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Jenkins\Desktop\Communications-Data Tables\"/>
    </mc:Choice>
  </mc:AlternateContent>
  <bookViews>
    <workbookView xWindow="0" yWindow="0" windowWidth="21600" windowHeight="9510" activeTab="1"/>
  </bookViews>
  <sheets>
    <sheet name="Table 2" sheetId="23" r:id="rId1"/>
    <sheet name="Table 7" sheetId="10" r:id="rId2"/>
    <sheet name="Pop 25+ by race &amp; gender" sheetId="19" r:id="rId3"/>
    <sheet name="Attainment 25+ by race &amp; gender" sheetId="9" r:id="rId4"/>
    <sheet name="Attainment by Race Trends" sheetId="31" r:id="rId5"/>
    <sheet name="Historical Attainment Rates" sheetId="24" r:id="rId6"/>
    <sheet name="Sheet1" sheetId="32" r:id="rId7"/>
  </sheets>
  <definedNames>
    <definedName name="_xlnm.Print_Area" localSheetId="0">'Table 2'!$A$1:$J$68</definedName>
    <definedName name="_xlnm.Print_Area" localSheetId="1">'Table 7'!$A$1:$N$70</definedName>
  </definedNames>
  <calcPr calcId="171027"/>
</workbook>
</file>

<file path=xl/calcChain.xml><?xml version="1.0" encoding="utf-8"?>
<calcChain xmlns="http://schemas.openxmlformats.org/spreadsheetml/2006/main">
  <c r="Z57" i="31" l="1"/>
  <c r="Z58" i="31"/>
  <c r="Z59" i="31"/>
  <c r="Z60" i="31"/>
  <c r="Z61" i="31"/>
  <c r="Z62" i="31"/>
  <c r="Z63" i="31"/>
  <c r="Z64" i="31"/>
  <c r="Z65" i="31"/>
  <c r="Z56" i="31"/>
  <c r="Z43" i="31"/>
  <c r="Z44" i="31"/>
  <c r="Z45" i="31"/>
  <c r="Z46" i="31"/>
  <c r="Z47" i="31"/>
  <c r="Z48" i="31"/>
  <c r="Z49" i="31"/>
  <c r="Z50" i="31"/>
  <c r="Z51" i="31"/>
  <c r="Z52" i="31"/>
  <c r="Z53" i="31"/>
  <c r="Z42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27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9" i="31"/>
  <c r="AB57" i="31"/>
  <c r="AB58" i="31"/>
  <c r="AB59" i="31"/>
  <c r="AB60" i="31"/>
  <c r="AB61" i="31"/>
  <c r="AB62" i="31"/>
  <c r="AB63" i="31"/>
  <c r="AB64" i="31"/>
  <c r="AB65" i="31"/>
  <c r="AB56" i="31"/>
  <c r="AB43" i="31"/>
  <c r="AB44" i="31"/>
  <c r="AB45" i="31"/>
  <c r="AB46" i="31"/>
  <c r="AB47" i="31"/>
  <c r="AB48" i="31"/>
  <c r="AB49" i="31"/>
  <c r="AB50" i="31"/>
  <c r="AB51" i="31"/>
  <c r="AB52" i="31"/>
  <c r="AB53" i="31"/>
  <c r="AB42" i="31"/>
  <c r="AB28" i="31"/>
  <c r="AB29" i="31"/>
  <c r="AB30" i="31"/>
  <c r="AB31" i="31"/>
  <c r="AB32" i="31"/>
  <c r="AB33" i="31"/>
  <c r="AB34" i="31"/>
  <c r="AB35" i="31"/>
  <c r="AB36" i="31"/>
  <c r="AB37" i="31"/>
  <c r="AB38" i="31"/>
  <c r="AB39" i="31"/>
  <c r="AB27" i="31"/>
  <c r="AB10" i="31"/>
  <c r="AB11" i="31"/>
  <c r="AB12" i="31"/>
  <c r="AB13" i="31"/>
  <c r="AB14" i="31"/>
  <c r="AB15" i="31"/>
  <c r="AB16" i="31"/>
  <c r="AB17" i="31"/>
  <c r="AB18" i="31"/>
  <c r="AB19" i="31"/>
  <c r="AB20" i="31"/>
  <c r="AB21" i="31"/>
  <c r="AB22" i="31"/>
  <c r="AB23" i="31"/>
  <c r="AB24" i="31"/>
  <c r="AB9" i="31"/>
  <c r="AD57" i="31"/>
  <c r="AD58" i="31"/>
  <c r="AD59" i="31"/>
  <c r="AD60" i="31"/>
  <c r="AD61" i="31"/>
  <c r="AD62" i="31"/>
  <c r="AD63" i="31"/>
  <c r="AD64" i="31"/>
  <c r="AD65" i="31"/>
  <c r="AD56" i="31"/>
  <c r="AD43" i="31"/>
  <c r="AD44" i="31"/>
  <c r="AD45" i="31"/>
  <c r="AD46" i="31"/>
  <c r="AD47" i="31"/>
  <c r="AD48" i="31"/>
  <c r="AD49" i="31"/>
  <c r="AD50" i="31"/>
  <c r="AD51" i="31"/>
  <c r="AD52" i="31"/>
  <c r="AD53" i="31"/>
  <c r="AD42" i="31"/>
  <c r="AD28" i="31"/>
  <c r="AD29" i="31"/>
  <c r="AD30" i="31"/>
  <c r="AD31" i="31"/>
  <c r="AD32" i="31"/>
  <c r="AD33" i="31"/>
  <c r="AD34" i="31"/>
  <c r="AD35" i="31"/>
  <c r="AD36" i="31"/>
  <c r="AD37" i="31"/>
  <c r="AD38" i="31"/>
  <c r="AD39" i="31"/>
  <c r="AD27" i="31"/>
  <c r="AD10" i="31"/>
  <c r="AD11" i="31"/>
  <c r="AD12" i="31"/>
  <c r="AD13" i="31"/>
  <c r="AD14" i="31"/>
  <c r="AD15" i="31"/>
  <c r="AD16" i="31"/>
  <c r="AD17" i="31"/>
  <c r="AD18" i="31"/>
  <c r="AD19" i="31"/>
  <c r="AD20" i="31"/>
  <c r="AD21" i="31"/>
  <c r="AD22" i="31"/>
  <c r="AD23" i="31"/>
  <c r="AD24" i="31"/>
  <c r="AD9" i="31"/>
  <c r="I57" i="23" l="1"/>
  <c r="I58" i="23"/>
  <c r="I59" i="23"/>
  <c r="I60" i="23"/>
  <c r="I61" i="23"/>
  <c r="I62" i="23"/>
  <c r="I63" i="23"/>
  <c r="I64" i="23"/>
  <c r="I65" i="23"/>
  <c r="I56" i="23"/>
  <c r="I43" i="23"/>
  <c r="I44" i="23"/>
  <c r="I45" i="23"/>
  <c r="I46" i="23"/>
  <c r="I47" i="23"/>
  <c r="I48" i="23"/>
  <c r="I49" i="23"/>
  <c r="I50" i="23"/>
  <c r="I51" i="23"/>
  <c r="I52" i="23"/>
  <c r="I53" i="23"/>
  <c r="I42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27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9" i="23"/>
  <c r="E57" i="23"/>
  <c r="E58" i="23"/>
  <c r="E59" i="23"/>
  <c r="E60" i="23"/>
  <c r="E61" i="23"/>
  <c r="E62" i="23"/>
  <c r="E63" i="23"/>
  <c r="E64" i="23"/>
  <c r="E65" i="23"/>
  <c r="E56" i="23"/>
  <c r="E43" i="23"/>
  <c r="E44" i="23"/>
  <c r="E45" i="23"/>
  <c r="E46" i="23"/>
  <c r="E47" i="23"/>
  <c r="E48" i="23"/>
  <c r="E49" i="23"/>
  <c r="E50" i="23"/>
  <c r="E51" i="23"/>
  <c r="E52" i="23"/>
  <c r="E53" i="23"/>
  <c r="E42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7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9" i="23"/>
  <c r="AK57" i="31" l="1"/>
  <c r="AK58" i="31"/>
  <c r="AK59" i="31"/>
  <c r="AK60" i="31"/>
  <c r="AK61" i="31"/>
  <c r="AK62" i="31"/>
  <c r="AK63" i="31"/>
  <c r="AK64" i="31"/>
  <c r="AK65" i="31"/>
  <c r="AK56" i="31"/>
  <c r="AK43" i="31"/>
  <c r="AK44" i="31"/>
  <c r="AK45" i="31"/>
  <c r="AK46" i="31"/>
  <c r="AK47" i="31"/>
  <c r="AK48" i="31"/>
  <c r="AK49" i="31"/>
  <c r="AK50" i="31"/>
  <c r="AK51" i="31"/>
  <c r="AK52" i="31"/>
  <c r="AK53" i="31"/>
  <c r="AK42" i="31"/>
  <c r="AK28" i="31"/>
  <c r="AK29" i="31"/>
  <c r="AK30" i="31"/>
  <c r="AK31" i="31"/>
  <c r="AK32" i="31"/>
  <c r="AK33" i="31"/>
  <c r="AK34" i="31"/>
  <c r="AK35" i="31"/>
  <c r="AK36" i="31"/>
  <c r="AK37" i="31"/>
  <c r="AK38" i="31"/>
  <c r="AK39" i="31"/>
  <c r="AK27" i="31"/>
  <c r="AK10" i="31"/>
  <c r="AK11" i="31"/>
  <c r="AK12" i="31"/>
  <c r="AK13" i="31"/>
  <c r="AK14" i="31"/>
  <c r="AK15" i="31"/>
  <c r="AK16" i="31"/>
  <c r="AK17" i="31"/>
  <c r="AK18" i="31"/>
  <c r="AK19" i="31"/>
  <c r="AK20" i="31"/>
  <c r="AK21" i="31"/>
  <c r="AK22" i="31"/>
  <c r="AK23" i="31"/>
  <c r="AK24" i="31"/>
  <c r="AK9" i="31"/>
  <c r="AI57" i="31"/>
  <c r="AI58" i="31"/>
  <c r="AI59" i="31"/>
  <c r="AI60" i="31"/>
  <c r="AI61" i="31"/>
  <c r="AI62" i="31"/>
  <c r="AI63" i="31"/>
  <c r="AI64" i="31"/>
  <c r="AI65" i="31"/>
  <c r="AI56" i="31"/>
  <c r="AI43" i="31"/>
  <c r="AI44" i="31"/>
  <c r="AI45" i="31"/>
  <c r="AI46" i="31"/>
  <c r="AI47" i="31"/>
  <c r="AI48" i="31"/>
  <c r="AI49" i="31"/>
  <c r="AI50" i="31"/>
  <c r="AI51" i="31"/>
  <c r="AI52" i="31"/>
  <c r="AI53" i="31"/>
  <c r="AI42" i="31"/>
  <c r="AI28" i="31"/>
  <c r="AI29" i="31"/>
  <c r="AI30" i="31"/>
  <c r="AI31" i="31"/>
  <c r="AI32" i="31"/>
  <c r="AI33" i="31"/>
  <c r="AI34" i="31"/>
  <c r="AI35" i="31"/>
  <c r="AI36" i="31"/>
  <c r="AI37" i="31"/>
  <c r="AI38" i="31"/>
  <c r="AI39" i="31"/>
  <c r="AI27" i="31"/>
  <c r="AI10" i="31"/>
  <c r="AI11" i="31"/>
  <c r="AI12" i="31"/>
  <c r="AI13" i="31"/>
  <c r="AI14" i="31"/>
  <c r="AI15" i="31"/>
  <c r="AI16" i="31"/>
  <c r="AI17" i="31"/>
  <c r="AI18" i="31"/>
  <c r="AI19" i="31"/>
  <c r="AI20" i="31"/>
  <c r="AI21" i="31"/>
  <c r="AI22" i="31"/>
  <c r="AI23" i="31"/>
  <c r="AI24" i="31"/>
  <c r="AI9" i="31"/>
  <c r="AG57" i="31"/>
  <c r="AG58" i="31"/>
  <c r="AG59" i="31"/>
  <c r="AG60" i="31"/>
  <c r="AG61" i="31"/>
  <c r="AG62" i="31"/>
  <c r="AG63" i="31"/>
  <c r="AG64" i="31"/>
  <c r="AG65" i="31"/>
  <c r="AG56" i="31"/>
  <c r="AG43" i="31"/>
  <c r="AG44" i="31"/>
  <c r="AG45" i="31"/>
  <c r="AG46" i="31"/>
  <c r="AG47" i="31"/>
  <c r="AG48" i="31"/>
  <c r="AG49" i="31"/>
  <c r="AG50" i="31"/>
  <c r="AG51" i="31"/>
  <c r="AG52" i="31"/>
  <c r="AG53" i="31"/>
  <c r="AG42" i="31"/>
  <c r="AG28" i="31"/>
  <c r="AG29" i="31"/>
  <c r="AG30" i="31"/>
  <c r="AG31" i="31"/>
  <c r="AG32" i="31"/>
  <c r="AG33" i="31"/>
  <c r="AG34" i="31"/>
  <c r="AG35" i="31"/>
  <c r="AG36" i="31"/>
  <c r="AG37" i="31"/>
  <c r="AG38" i="31"/>
  <c r="AG39" i="31"/>
  <c r="AG27" i="31"/>
  <c r="AG10" i="31"/>
  <c r="AG11" i="31"/>
  <c r="AG12" i="31"/>
  <c r="AG13" i="31"/>
  <c r="AG14" i="31"/>
  <c r="AG15" i="31"/>
  <c r="AG16" i="31"/>
  <c r="AG17" i="31"/>
  <c r="AG18" i="31"/>
  <c r="AG19" i="31"/>
  <c r="AG20" i="31"/>
  <c r="AG21" i="31"/>
  <c r="AG22" i="31"/>
  <c r="AG23" i="31"/>
  <c r="AG24" i="31"/>
  <c r="AG9" i="31"/>
  <c r="AE57" i="31"/>
  <c r="AE58" i="31"/>
  <c r="AE59" i="31"/>
  <c r="AE60" i="31"/>
  <c r="AE61" i="31"/>
  <c r="E62" i="10" s="1"/>
  <c r="AE62" i="31"/>
  <c r="AE63" i="31"/>
  <c r="AE64" i="31"/>
  <c r="AE65" i="31"/>
  <c r="AE56" i="31"/>
  <c r="AE43" i="31"/>
  <c r="AE44" i="31"/>
  <c r="E45" i="10" s="1"/>
  <c r="AE45" i="31"/>
  <c r="AE46" i="31"/>
  <c r="AE47" i="31"/>
  <c r="AE48" i="31"/>
  <c r="AE49" i="31"/>
  <c r="AE50" i="31"/>
  <c r="AE51" i="31"/>
  <c r="AE52" i="31"/>
  <c r="E53" i="10" s="1"/>
  <c r="AE53" i="31"/>
  <c r="AE42" i="31"/>
  <c r="AE28" i="31"/>
  <c r="AE29" i="31"/>
  <c r="AE30" i="31"/>
  <c r="AE31" i="31"/>
  <c r="AE32" i="31"/>
  <c r="E33" i="10" s="1"/>
  <c r="AE33" i="31"/>
  <c r="AE34" i="31"/>
  <c r="AE35" i="31"/>
  <c r="AE36" i="31"/>
  <c r="AE37" i="31"/>
  <c r="AE38" i="31"/>
  <c r="AE39" i="31"/>
  <c r="AE27" i="31"/>
  <c r="E28" i="10" s="1"/>
  <c r="AE10" i="31"/>
  <c r="AE11" i="31"/>
  <c r="AE12" i="31"/>
  <c r="AE13" i="31"/>
  <c r="AE14" i="31"/>
  <c r="AE15" i="31"/>
  <c r="AE16" i="31"/>
  <c r="E17" i="10" s="1"/>
  <c r="AE17" i="31"/>
  <c r="AE18" i="31"/>
  <c r="AE19" i="31"/>
  <c r="AE20" i="31"/>
  <c r="AE21" i="31"/>
  <c r="AE22" i="31"/>
  <c r="AE23" i="31"/>
  <c r="AE24" i="31"/>
  <c r="E25" i="10" s="1"/>
  <c r="AE9" i="31"/>
  <c r="AC57" i="31"/>
  <c r="AC58" i="31"/>
  <c r="AC59" i="31"/>
  <c r="AC60" i="31"/>
  <c r="AC61" i="31"/>
  <c r="D62" i="10" s="1"/>
  <c r="AC62" i="31"/>
  <c r="AC63" i="31"/>
  <c r="AC64" i="31"/>
  <c r="AC65" i="31"/>
  <c r="AC56" i="31"/>
  <c r="AC43" i="31"/>
  <c r="AC44" i="31"/>
  <c r="D45" i="10" s="1"/>
  <c r="AC45" i="31"/>
  <c r="AC46" i="31"/>
  <c r="AC47" i="31"/>
  <c r="AC48" i="31"/>
  <c r="D49" i="10" s="1"/>
  <c r="AC49" i="31"/>
  <c r="AC50" i="31"/>
  <c r="AC51" i="31"/>
  <c r="AC52" i="31"/>
  <c r="AC53" i="31"/>
  <c r="AC42" i="31"/>
  <c r="AC28" i="31"/>
  <c r="AC29" i="31"/>
  <c r="AC30" i="31"/>
  <c r="AC31" i="31"/>
  <c r="AC32" i="31"/>
  <c r="AC33" i="31"/>
  <c r="AC34" i="31"/>
  <c r="AC35" i="31"/>
  <c r="AC36" i="31"/>
  <c r="AC37" i="31"/>
  <c r="AC38" i="31"/>
  <c r="AC39" i="31"/>
  <c r="AC27" i="31"/>
  <c r="D28" i="10" s="1"/>
  <c r="AC10" i="31"/>
  <c r="AC11" i="31"/>
  <c r="AC12" i="31"/>
  <c r="AC13" i="31"/>
  <c r="AC14" i="31"/>
  <c r="AC15" i="31"/>
  <c r="AC16" i="31"/>
  <c r="D17" i="10" s="1"/>
  <c r="AC17" i="31"/>
  <c r="D18" i="10" s="1"/>
  <c r="AC18" i="31"/>
  <c r="D19" i="10" s="1"/>
  <c r="AC19" i="31"/>
  <c r="D20" i="10" s="1"/>
  <c r="AC20" i="31"/>
  <c r="AC21" i="31"/>
  <c r="D22" i="10" s="1"/>
  <c r="AC22" i="31"/>
  <c r="D23" i="10" s="1"/>
  <c r="AC23" i="31"/>
  <c r="D24" i="10" s="1"/>
  <c r="AC24" i="31"/>
  <c r="AC9" i="31"/>
  <c r="AA57" i="31"/>
  <c r="AA58" i="31"/>
  <c r="AA59" i="31"/>
  <c r="AA60" i="31"/>
  <c r="AA61" i="31"/>
  <c r="C62" i="10" s="1"/>
  <c r="AA62" i="31"/>
  <c r="AA63" i="31"/>
  <c r="AA64" i="31"/>
  <c r="AA65" i="31"/>
  <c r="AA56" i="31"/>
  <c r="AA43" i="31"/>
  <c r="AA44" i="31"/>
  <c r="C45" i="10" s="1"/>
  <c r="AA45" i="31"/>
  <c r="AA46" i="31"/>
  <c r="AA47" i="31"/>
  <c r="AA48" i="31"/>
  <c r="C49" i="10" s="1"/>
  <c r="AA49" i="31"/>
  <c r="AA50" i="31"/>
  <c r="AA51" i="31"/>
  <c r="AA52" i="31"/>
  <c r="AA53" i="31"/>
  <c r="AA42" i="31"/>
  <c r="AA28" i="31"/>
  <c r="AA29" i="31"/>
  <c r="AA30" i="31"/>
  <c r="AA31" i="31"/>
  <c r="AA32" i="31"/>
  <c r="C33" i="10" s="1"/>
  <c r="AA33" i="31"/>
  <c r="AA34" i="31"/>
  <c r="AA35" i="31"/>
  <c r="AA36" i="31"/>
  <c r="AA37" i="31"/>
  <c r="AA38" i="31"/>
  <c r="AA39" i="31"/>
  <c r="AA27" i="31"/>
  <c r="AA10" i="31"/>
  <c r="AA11" i="31"/>
  <c r="AA12" i="31"/>
  <c r="C13" i="10" s="1"/>
  <c r="AA13" i="31"/>
  <c r="AA14" i="31"/>
  <c r="AA15" i="31"/>
  <c r="AA16" i="31"/>
  <c r="AA17" i="31"/>
  <c r="AA18" i="31"/>
  <c r="AA19" i="31"/>
  <c r="AA20" i="31"/>
  <c r="AA21" i="31"/>
  <c r="AA22" i="31"/>
  <c r="AA23" i="31"/>
  <c r="AA24" i="31"/>
  <c r="C25" i="10" s="1"/>
  <c r="AA9" i="31"/>
  <c r="C21" i="10" l="1"/>
  <c r="C53" i="10"/>
  <c r="D33" i="10"/>
  <c r="D53" i="10"/>
  <c r="F25" i="10"/>
  <c r="F17" i="10"/>
  <c r="F28" i="10"/>
  <c r="F33" i="10"/>
  <c r="F53" i="10"/>
  <c r="F45" i="10"/>
  <c r="F66" i="10"/>
  <c r="F62" i="10"/>
  <c r="F58" i="10"/>
  <c r="G25" i="10"/>
  <c r="G21" i="10"/>
  <c r="G17" i="10"/>
  <c r="G28" i="10"/>
  <c r="G37" i="10"/>
  <c r="H10" i="10"/>
  <c r="H22" i="10"/>
  <c r="H18" i="10"/>
  <c r="H14" i="10"/>
  <c r="H38" i="10"/>
  <c r="H34" i="10"/>
  <c r="H30" i="10"/>
  <c r="C24" i="10"/>
  <c r="C20" i="10"/>
  <c r="C16" i="10"/>
  <c r="C12" i="10"/>
  <c r="C40" i="10"/>
  <c r="C36" i="10"/>
  <c r="C32" i="10"/>
  <c r="C52" i="10"/>
  <c r="C48" i="10"/>
  <c r="C44" i="10"/>
  <c r="C65" i="10"/>
  <c r="C61" i="10"/>
  <c r="D16" i="10"/>
  <c r="D12" i="10"/>
  <c r="D40" i="10"/>
  <c r="D36" i="10"/>
  <c r="D32" i="10"/>
  <c r="D52" i="10"/>
  <c r="D48" i="10"/>
  <c r="D44" i="10"/>
  <c r="D65" i="10"/>
  <c r="D61" i="10"/>
  <c r="E24" i="10"/>
  <c r="E20" i="10"/>
  <c r="E16" i="10"/>
  <c r="E12" i="10"/>
  <c r="E40" i="10"/>
  <c r="E36" i="10"/>
  <c r="E32" i="10"/>
  <c r="E52" i="10"/>
  <c r="E48" i="10"/>
  <c r="E44" i="10"/>
  <c r="E65" i="10"/>
  <c r="E61" i="10"/>
  <c r="F24" i="10"/>
  <c r="F20" i="10"/>
  <c r="F16" i="10"/>
  <c r="F12" i="10"/>
  <c r="F40" i="10"/>
  <c r="F36" i="10"/>
  <c r="F32" i="10"/>
  <c r="F52" i="10"/>
  <c r="F48" i="10"/>
  <c r="F44" i="10"/>
  <c r="F65" i="10"/>
  <c r="F61" i="10"/>
  <c r="G24" i="10"/>
  <c r="G20" i="10"/>
  <c r="G16" i="10"/>
  <c r="G12" i="10"/>
  <c r="G40" i="10"/>
  <c r="G36" i="10"/>
  <c r="G32" i="10"/>
  <c r="G52" i="10"/>
  <c r="G48" i="10"/>
  <c r="C17" i="10"/>
  <c r="C28" i="10"/>
  <c r="C37" i="10"/>
  <c r="C29" i="10"/>
  <c r="C66" i="10"/>
  <c r="C58" i="10"/>
  <c r="D13" i="10"/>
  <c r="D37" i="10"/>
  <c r="D29" i="10"/>
  <c r="D66" i="10"/>
  <c r="D58" i="10"/>
  <c r="E21" i="10"/>
  <c r="E13" i="10"/>
  <c r="E37" i="10"/>
  <c r="E29" i="10"/>
  <c r="E49" i="10"/>
  <c r="E66" i="10"/>
  <c r="E58" i="10"/>
  <c r="F21" i="10"/>
  <c r="F13" i="10"/>
  <c r="F37" i="10"/>
  <c r="F29" i="10"/>
  <c r="F49" i="10"/>
  <c r="G13" i="10"/>
  <c r="C23" i="10"/>
  <c r="C19" i="10"/>
  <c r="C15" i="10"/>
  <c r="C11" i="10"/>
  <c r="C39" i="10"/>
  <c r="C35" i="10"/>
  <c r="C31" i="10"/>
  <c r="C43" i="10"/>
  <c r="C51" i="10"/>
  <c r="C47" i="10"/>
  <c r="C64" i="10"/>
  <c r="C60" i="10"/>
  <c r="D15" i="10"/>
  <c r="D11" i="10"/>
  <c r="D39" i="10"/>
  <c r="D35" i="10"/>
  <c r="D31" i="10"/>
  <c r="D43" i="10"/>
  <c r="D51" i="10"/>
  <c r="D47" i="10"/>
  <c r="D64" i="10"/>
  <c r="D60" i="10"/>
  <c r="E23" i="10"/>
  <c r="E19" i="10"/>
  <c r="E15" i="10"/>
  <c r="E11" i="10"/>
  <c r="E39" i="10"/>
  <c r="E35" i="10"/>
  <c r="E31" i="10"/>
  <c r="E43" i="10"/>
  <c r="E51" i="10"/>
  <c r="E47" i="10"/>
  <c r="E64" i="10"/>
  <c r="E60" i="10"/>
  <c r="F23" i="10"/>
  <c r="F19" i="10"/>
  <c r="F15" i="10"/>
  <c r="F11" i="10"/>
  <c r="F39" i="10"/>
  <c r="F35" i="10"/>
  <c r="F31" i="10"/>
  <c r="F43" i="10"/>
  <c r="F51" i="10"/>
  <c r="F47" i="10"/>
  <c r="F64" i="10"/>
  <c r="F60" i="10"/>
  <c r="G23" i="10"/>
  <c r="G19" i="10"/>
  <c r="G15" i="10"/>
  <c r="G11" i="10"/>
  <c r="G57" i="10"/>
  <c r="G63" i="10"/>
  <c r="G59" i="10"/>
  <c r="H57" i="10"/>
  <c r="H63" i="10"/>
  <c r="C10" i="10"/>
  <c r="C22" i="10"/>
  <c r="C18" i="10"/>
  <c r="C14" i="10"/>
  <c r="C38" i="10"/>
  <c r="C34" i="10"/>
  <c r="C30" i="10"/>
  <c r="C54" i="10"/>
  <c r="C50" i="10"/>
  <c r="C46" i="10"/>
  <c r="C57" i="10"/>
  <c r="C63" i="10"/>
  <c r="C59" i="10"/>
  <c r="D10" i="10"/>
  <c r="D14" i="10"/>
  <c r="D25" i="10"/>
  <c r="D21" i="10"/>
  <c r="D38" i="10"/>
  <c r="D34" i="10"/>
  <c r="D30" i="10"/>
  <c r="D54" i="10"/>
  <c r="D50" i="10"/>
  <c r="D46" i="10"/>
  <c r="D57" i="10"/>
  <c r="D63" i="10"/>
  <c r="D59" i="10"/>
  <c r="E10" i="10"/>
  <c r="E22" i="10"/>
  <c r="E18" i="10"/>
  <c r="E14" i="10"/>
  <c r="E38" i="10"/>
  <c r="E34" i="10"/>
  <c r="E30" i="10"/>
  <c r="E54" i="10"/>
  <c r="E50" i="10"/>
  <c r="E46" i="10"/>
  <c r="E57" i="10"/>
  <c r="E63" i="10"/>
  <c r="E59" i="10"/>
  <c r="F10" i="10"/>
  <c r="F22" i="10"/>
  <c r="F18" i="10"/>
  <c r="F14" i="10"/>
  <c r="F38" i="10"/>
  <c r="F34" i="10"/>
  <c r="F30" i="10"/>
  <c r="F54" i="10"/>
  <c r="F50" i="10"/>
  <c r="F46" i="10"/>
  <c r="F57" i="10"/>
  <c r="F63" i="10"/>
  <c r="F59" i="10"/>
  <c r="G10" i="10"/>
  <c r="G22" i="10"/>
  <c r="G18" i="10"/>
  <c r="G14" i="10"/>
  <c r="G38" i="10"/>
  <c r="G34" i="10"/>
  <c r="G30" i="10"/>
  <c r="G54" i="10"/>
  <c r="G50" i="10"/>
  <c r="G46" i="10"/>
  <c r="H54" i="10"/>
  <c r="H50" i="10"/>
  <c r="H46" i="10"/>
  <c r="G44" i="10"/>
  <c r="G65" i="10"/>
  <c r="G61" i="10"/>
  <c r="H24" i="10"/>
  <c r="H20" i="10"/>
  <c r="H16" i="10"/>
  <c r="H12" i="10"/>
  <c r="H40" i="10"/>
  <c r="H36" i="10"/>
  <c r="H32" i="10"/>
  <c r="H52" i="10"/>
  <c r="H48" i="10"/>
  <c r="H44" i="10"/>
  <c r="H65" i="10"/>
  <c r="H61" i="10"/>
  <c r="G39" i="10"/>
  <c r="G35" i="10"/>
  <c r="G31" i="10"/>
  <c r="G43" i="10"/>
  <c r="G51" i="10"/>
  <c r="G47" i="10"/>
  <c r="G64" i="10"/>
  <c r="G60" i="10"/>
  <c r="H23" i="10"/>
  <c r="H19" i="10"/>
  <c r="H15" i="10"/>
  <c r="H11" i="10"/>
  <c r="H39" i="10"/>
  <c r="H35" i="10"/>
  <c r="H31" i="10"/>
  <c r="H43" i="10"/>
  <c r="H51" i="10"/>
  <c r="H47" i="10"/>
  <c r="H64" i="10"/>
  <c r="H60" i="10"/>
  <c r="H59" i="10"/>
  <c r="G33" i="10"/>
  <c r="G29" i="10"/>
  <c r="G53" i="10"/>
  <c r="G49" i="10"/>
  <c r="G45" i="10"/>
  <c r="G66" i="10"/>
  <c r="G62" i="10"/>
  <c r="G58" i="10"/>
  <c r="H25" i="10"/>
  <c r="H21" i="10"/>
  <c r="H17" i="10"/>
  <c r="H13" i="10"/>
  <c r="H28" i="10"/>
  <c r="H37" i="10"/>
  <c r="H33" i="10"/>
  <c r="H29" i="10"/>
  <c r="H53" i="10"/>
  <c r="H49" i="10"/>
  <c r="H45" i="10"/>
  <c r="H66" i="10"/>
  <c r="H62" i="10"/>
  <c r="H58" i="10"/>
  <c r="EP53" i="9"/>
  <c r="EP39" i="9"/>
  <c r="EP24" i="9"/>
  <c r="DH52" i="19"/>
  <c r="DI52" i="19"/>
  <c r="DH38" i="19"/>
  <c r="DI38" i="19"/>
  <c r="DH23" i="19"/>
  <c r="DI23" i="19"/>
  <c r="DH5" i="19"/>
  <c r="DI5" i="19"/>
  <c r="DG5" i="19"/>
  <c r="DG52" i="19"/>
  <c r="DG38" i="19"/>
  <c r="DG23" i="19"/>
  <c r="DF52" i="19"/>
  <c r="DF38" i="19"/>
  <c r="DF23" i="19"/>
  <c r="DF5" i="19"/>
  <c r="DE5" i="19"/>
  <c r="DE23" i="19"/>
  <c r="DE38" i="19"/>
  <c r="DE52" i="19"/>
  <c r="DG4" i="19" l="1"/>
  <c r="DE4" i="19"/>
  <c r="DH4" i="19"/>
  <c r="DI4" i="19"/>
  <c r="DF4" i="19"/>
  <c r="K66" i="10"/>
  <c r="J66" i="10"/>
  <c r="I66" i="10"/>
  <c r="K65" i="10"/>
  <c r="J65" i="10"/>
  <c r="I65" i="10"/>
  <c r="K64" i="10"/>
  <c r="J64" i="10"/>
  <c r="I64" i="10"/>
  <c r="K63" i="10"/>
  <c r="J63" i="10"/>
  <c r="I63" i="10"/>
  <c r="K62" i="10"/>
  <c r="J62" i="10"/>
  <c r="I62" i="10"/>
  <c r="K61" i="10"/>
  <c r="J61" i="10"/>
  <c r="I61" i="10"/>
  <c r="K60" i="10"/>
  <c r="J60" i="10"/>
  <c r="I60" i="10"/>
  <c r="K59" i="10"/>
  <c r="J59" i="10"/>
  <c r="I59" i="10"/>
  <c r="K58" i="10"/>
  <c r="J58" i="10"/>
  <c r="I58" i="10"/>
  <c r="K57" i="10"/>
  <c r="J57" i="10"/>
  <c r="I57" i="10"/>
  <c r="K54" i="10"/>
  <c r="J54" i="10"/>
  <c r="I54" i="10"/>
  <c r="K53" i="10"/>
  <c r="J53" i="10"/>
  <c r="I53" i="10"/>
  <c r="K52" i="10"/>
  <c r="J52" i="10"/>
  <c r="I52" i="10"/>
  <c r="K51" i="10"/>
  <c r="J51" i="10"/>
  <c r="I51" i="10"/>
  <c r="K50" i="10"/>
  <c r="J50" i="10"/>
  <c r="I50" i="10"/>
  <c r="K49" i="10"/>
  <c r="J49" i="10"/>
  <c r="I49" i="10"/>
  <c r="K48" i="10"/>
  <c r="J48" i="10"/>
  <c r="I48" i="10"/>
  <c r="K47" i="10"/>
  <c r="J47" i="10"/>
  <c r="I47" i="10"/>
  <c r="K46" i="10"/>
  <c r="J46" i="10"/>
  <c r="I46" i="10"/>
  <c r="K45" i="10"/>
  <c r="J45" i="10"/>
  <c r="I45" i="10"/>
  <c r="K44" i="10"/>
  <c r="J44" i="10"/>
  <c r="I44" i="10"/>
  <c r="K43" i="10"/>
  <c r="J43" i="10"/>
  <c r="I43" i="10"/>
  <c r="K40" i="10"/>
  <c r="J40" i="10"/>
  <c r="I40" i="10"/>
  <c r="K39" i="10"/>
  <c r="J39" i="10"/>
  <c r="I39" i="10"/>
  <c r="K38" i="10"/>
  <c r="J38" i="10"/>
  <c r="I38" i="10"/>
  <c r="K37" i="10"/>
  <c r="J37" i="10"/>
  <c r="I37" i="10"/>
  <c r="K36" i="10"/>
  <c r="J36" i="10"/>
  <c r="I36" i="10"/>
  <c r="K35" i="10"/>
  <c r="J35" i="10"/>
  <c r="I35" i="10"/>
  <c r="K34" i="10"/>
  <c r="J34" i="10"/>
  <c r="I34" i="10"/>
  <c r="K33" i="10"/>
  <c r="J33" i="10"/>
  <c r="I33" i="10"/>
  <c r="K32" i="10"/>
  <c r="J32" i="10"/>
  <c r="I32" i="10"/>
  <c r="K31" i="10"/>
  <c r="J31" i="10"/>
  <c r="I31" i="10"/>
  <c r="K30" i="10"/>
  <c r="J30" i="10"/>
  <c r="I30" i="10"/>
  <c r="K29" i="10"/>
  <c r="J29" i="10"/>
  <c r="I29" i="10"/>
  <c r="K28" i="10"/>
  <c r="J28" i="10"/>
  <c r="I28" i="10"/>
  <c r="K25" i="10"/>
  <c r="J25" i="10"/>
  <c r="I25" i="10"/>
  <c r="K24" i="10"/>
  <c r="J24" i="10"/>
  <c r="I24" i="10"/>
  <c r="K23" i="10"/>
  <c r="J23" i="10"/>
  <c r="I23" i="10"/>
  <c r="K22" i="10"/>
  <c r="J22" i="10"/>
  <c r="I22" i="10"/>
  <c r="K21" i="10"/>
  <c r="J21" i="10"/>
  <c r="I21" i="10"/>
  <c r="K20" i="10"/>
  <c r="J20" i="10"/>
  <c r="I20" i="10"/>
  <c r="K19" i="10"/>
  <c r="J19" i="10"/>
  <c r="I19" i="10"/>
  <c r="K18" i="10"/>
  <c r="J18" i="10"/>
  <c r="I18" i="10"/>
  <c r="K17" i="10"/>
  <c r="J17" i="10"/>
  <c r="I17" i="10"/>
  <c r="K16" i="10"/>
  <c r="J16" i="10"/>
  <c r="I16" i="10"/>
  <c r="K15" i="10"/>
  <c r="J15" i="10"/>
  <c r="I15" i="10"/>
  <c r="K14" i="10"/>
  <c r="J14" i="10"/>
  <c r="I14" i="10"/>
  <c r="K13" i="10"/>
  <c r="J13" i="10"/>
  <c r="I13" i="10"/>
  <c r="K12" i="10"/>
  <c r="J12" i="10"/>
  <c r="I12" i="10"/>
  <c r="K11" i="10"/>
  <c r="J11" i="10"/>
  <c r="I11" i="10"/>
  <c r="K10" i="10"/>
  <c r="J10" i="10"/>
  <c r="I10" i="10"/>
  <c r="OC6" i="9"/>
  <c r="OC24" i="9"/>
  <c r="OC39" i="9"/>
  <c r="OC53" i="9"/>
  <c r="MY6" i="9"/>
  <c r="MY24" i="9"/>
  <c r="MY39" i="9"/>
  <c r="MY53" i="9"/>
  <c r="IA6" i="9"/>
  <c r="IA24" i="9"/>
  <c r="IA39" i="9"/>
  <c r="IA53" i="9"/>
  <c r="HB6" i="9"/>
  <c r="HB24" i="9"/>
  <c r="HB39" i="9"/>
  <c r="HB53" i="9"/>
  <c r="FX6" i="9"/>
  <c r="FX24" i="9"/>
  <c r="FX39" i="9"/>
  <c r="FX53" i="9"/>
  <c r="ET6" i="9"/>
  <c r="ET24" i="9"/>
  <c r="ET39" i="9"/>
  <c r="ET53" i="9"/>
  <c r="BD53" i="9"/>
  <c r="BD39" i="9"/>
  <c r="BD24" i="9"/>
  <c r="AE53" i="9"/>
  <c r="AE39" i="9"/>
  <c r="AE24" i="9"/>
  <c r="DK53" i="9"/>
  <c r="DK6" i="9"/>
  <c r="DK39" i="9"/>
  <c r="DK24" i="9"/>
  <c r="DK5" i="9" l="1"/>
  <c r="ET5" i="9"/>
  <c r="FX5" i="9"/>
  <c r="HB5" i="9"/>
  <c r="IA5" i="9"/>
  <c r="MY5" i="9"/>
  <c r="OC5" i="9"/>
  <c r="BD6" i="9"/>
  <c r="BD5" i="9" s="1"/>
  <c r="AE6" i="9"/>
  <c r="AE5" i="9" s="1"/>
  <c r="OB6" i="9"/>
  <c r="OB24" i="9"/>
  <c r="OB39" i="9"/>
  <c r="OB53" i="9"/>
  <c r="MX6" i="9"/>
  <c r="MX24" i="9"/>
  <c r="AK25" i="31" s="1"/>
  <c r="MX39" i="9"/>
  <c r="AK40" i="31" s="1"/>
  <c r="MX53" i="9"/>
  <c r="AK54" i="31" s="1"/>
  <c r="HZ6" i="9"/>
  <c r="HZ24" i="9"/>
  <c r="HZ39" i="9"/>
  <c r="HZ53" i="9"/>
  <c r="HA6" i="9"/>
  <c r="HA24" i="9"/>
  <c r="HA39" i="9"/>
  <c r="HA53" i="9"/>
  <c r="FW6" i="9"/>
  <c r="FW24" i="9"/>
  <c r="FW39" i="9"/>
  <c r="FW53" i="9"/>
  <c r="ES53" i="9"/>
  <c r="ES39" i="9"/>
  <c r="ES24" i="9"/>
  <c r="ES6" i="9"/>
  <c r="DJ6" i="9"/>
  <c r="DJ24" i="9"/>
  <c r="AE25" i="31" s="1"/>
  <c r="DJ39" i="9"/>
  <c r="AE40" i="31" s="1"/>
  <c r="DJ53" i="9"/>
  <c r="AE54" i="31" s="1"/>
  <c r="BC53" i="9"/>
  <c r="BC39" i="9"/>
  <c r="BC24" i="9"/>
  <c r="BC6" i="9"/>
  <c r="AD6" i="9"/>
  <c r="AD24" i="9"/>
  <c r="AD39" i="9"/>
  <c r="AD53" i="9"/>
  <c r="E41" i="10" l="1"/>
  <c r="E26" i="10"/>
  <c r="H26" i="10"/>
  <c r="H41" i="10"/>
  <c r="AD5" i="9"/>
  <c r="DJ5" i="9"/>
  <c r="AE6" i="31" s="1"/>
  <c r="AE7" i="31"/>
  <c r="FW5" i="9"/>
  <c r="HZ5" i="9"/>
  <c r="MX5" i="9"/>
  <c r="AK6" i="31" s="1"/>
  <c r="AK7" i="31"/>
  <c r="OB5" i="9"/>
  <c r="E55" i="10"/>
  <c r="H55" i="10"/>
  <c r="HA5" i="9"/>
  <c r="ES5" i="9"/>
  <c r="BC5" i="9"/>
  <c r="OA6" i="9"/>
  <c r="OA24" i="9"/>
  <c r="OA39" i="9"/>
  <c r="OA53" i="9"/>
  <c r="MW6" i="9"/>
  <c r="MW24" i="9"/>
  <c r="AI25" i="31" s="1"/>
  <c r="MW39" i="9"/>
  <c r="AI40" i="31" s="1"/>
  <c r="MW53" i="9"/>
  <c r="AI54" i="31" s="1"/>
  <c r="HY6" i="9"/>
  <c r="HY24" i="9"/>
  <c r="HY39" i="9"/>
  <c r="HY53" i="9"/>
  <c r="FV6" i="9"/>
  <c r="FV24" i="9"/>
  <c r="FV39" i="9"/>
  <c r="FV53" i="9"/>
  <c r="GZ6" i="9"/>
  <c r="GZ24" i="9"/>
  <c r="GZ39" i="9"/>
  <c r="GZ53" i="9"/>
  <c r="ER6" i="9"/>
  <c r="ER24" i="9"/>
  <c r="ER39" i="9"/>
  <c r="ER53" i="9"/>
  <c r="DI6" i="9"/>
  <c r="DI24" i="9"/>
  <c r="AC25" i="31" s="1"/>
  <c r="DI39" i="9"/>
  <c r="AC40" i="31" s="1"/>
  <c r="DI53" i="9"/>
  <c r="AC54" i="31" s="1"/>
  <c r="BB6" i="9"/>
  <c r="BB24" i="9"/>
  <c r="BB39" i="9"/>
  <c r="BB53" i="9"/>
  <c r="AC6" i="9"/>
  <c r="AC24" i="9"/>
  <c r="AC39" i="9"/>
  <c r="AC53" i="9"/>
  <c r="AC5" i="9" l="1"/>
  <c r="DI5" i="9"/>
  <c r="AC6" i="31" s="1"/>
  <c r="AC7" i="31"/>
  <c r="OA5" i="9"/>
  <c r="D55" i="10"/>
  <c r="G55" i="10"/>
  <c r="H8" i="10"/>
  <c r="E8" i="10"/>
  <c r="G26" i="10"/>
  <c r="BB5" i="9"/>
  <c r="GZ5" i="9"/>
  <c r="HY5" i="9"/>
  <c r="MW5" i="9"/>
  <c r="AI6" i="31" s="1"/>
  <c r="AI7" i="31"/>
  <c r="D41" i="10"/>
  <c r="G41" i="10"/>
  <c r="H7" i="10"/>
  <c r="H56" i="10" s="1"/>
  <c r="E7" i="10"/>
  <c r="D26" i="10"/>
  <c r="ER5" i="9"/>
  <c r="FV5" i="9"/>
  <c r="EQ6" i="9"/>
  <c r="EQ24" i="9"/>
  <c r="EQ39" i="9"/>
  <c r="EQ53" i="9"/>
  <c r="EQ5" i="9" l="1"/>
  <c r="D8" i="10"/>
  <c r="D7" i="10"/>
  <c r="G7" i="10"/>
  <c r="H27" i="10"/>
  <c r="H42" i="10"/>
  <c r="G8" i="10"/>
  <c r="HX6" i="9"/>
  <c r="HX24" i="9"/>
  <c r="HX39" i="9"/>
  <c r="HX53" i="9"/>
  <c r="NZ6" i="9"/>
  <c r="NY24" i="9"/>
  <c r="NZ24" i="9"/>
  <c r="NZ39" i="9"/>
  <c r="NZ53" i="9"/>
  <c r="MV6" i="9"/>
  <c r="MV24" i="9"/>
  <c r="AG25" i="31" s="1"/>
  <c r="MV39" i="9"/>
  <c r="AG40" i="31" s="1"/>
  <c r="MV53" i="9"/>
  <c r="AG54" i="31" s="1"/>
  <c r="GY6" i="9"/>
  <c r="GY24" i="9"/>
  <c r="GY39" i="9"/>
  <c r="GY53" i="9"/>
  <c r="FU6" i="9"/>
  <c r="FU24" i="9"/>
  <c r="FU39" i="9"/>
  <c r="FU53" i="9"/>
  <c r="DG53" i="9"/>
  <c r="E54" i="23" s="1"/>
  <c r="DH53" i="9"/>
  <c r="AA54" i="31" s="1"/>
  <c r="DG39" i="9"/>
  <c r="E40" i="23" s="1"/>
  <c r="DH39" i="9"/>
  <c r="AA40" i="31" s="1"/>
  <c r="DH24" i="9"/>
  <c r="AA25" i="31" s="1"/>
  <c r="DH6" i="9"/>
  <c r="AA7" i="31" s="1"/>
  <c r="BA6" i="9"/>
  <c r="BA24" i="9"/>
  <c r="BA39" i="9"/>
  <c r="BA53" i="9"/>
  <c r="AB6" i="9"/>
  <c r="AB53" i="9"/>
  <c r="AB39" i="9"/>
  <c r="AB24" i="9"/>
  <c r="FU5" i="9" l="1"/>
  <c r="C41" i="10"/>
  <c r="MV5" i="9"/>
  <c r="AG6" i="31" s="1"/>
  <c r="AG7" i="31"/>
  <c r="AB5" i="9"/>
  <c r="BA5" i="9"/>
  <c r="F55" i="10"/>
  <c r="NZ5" i="9"/>
  <c r="C8" i="10"/>
  <c r="C55" i="10"/>
  <c r="F41" i="10"/>
  <c r="C26" i="10"/>
  <c r="F26" i="10"/>
  <c r="HX5" i="9"/>
  <c r="GY5" i="9"/>
  <c r="DH5" i="9"/>
  <c r="AA6" i="31" s="1"/>
  <c r="NY6" i="9"/>
  <c r="NY39" i="9"/>
  <c r="NY53" i="9"/>
  <c r="MU53" i="9"/>
  <c r="I54" i="23" s="1"/>
  <c r="MU39" i="9"/>
  <c r="I40" i="23" s="1"/>
  <c r="MU24" i="9"/>
  <c r="I25" i="23" s="1"/>
  <c r="MU6" i="9"/>
  <c r="I7" i="23" s="1"/>
  <c r="HW53" i="9"/>
  <c r="HW39" i="9"/>
  <c r="HW24" i="9"/>
  <c r="HW6" i="9"/>
  <c r="GX53" i="9"/>
  <c r="GX39" i="9"/>
  <c r="GX24" i="9"/>
  <c r="GX6" i="9"/>
  <c r="FT53" i="9"/>
  <c r="FT39" i="9"/>
  <c r="FT24" i="9"/>
  <c r="FT6" i="9"/>
  <c r="EP6" i="9"/>
  <c r="DG24" i="9"/>
  <c r="E25" i="23" s="1"/>
  <c r="DG6" i="9"/>
  <c r="E7" i="23" s="1"/>
  <c r="AZ53" i="9"/>
  <c r="AZ39" i="9"/>
  <c r="AZ24" i="9"/>
  <c r="AZ6" i="9"/>
  <c r="AA53" i="9"/>
  <c r="AA39" i="9"/>
  <c r="AA24" i="9"/>
  <c r="AA6" i="9"/>
  <c r="NY5" i="9" l="1"/>
  <c r="F8" i="10"/>
  <c r="F7" i="10"/>
  <c r="C7" i="10"/>
  <c r="DG5" i="9"/>
  <c r="E6" i="23" s="1"/>
  <c r="MU5" i="9"/>
  <c r="I6" i="23" s="1"/>
  <c r="HW5" i="9"/>
  <c r="GX5" i="9"/>
  <c r="FT5" i="9"/>
  <c r="EP5" i="9"/>
  <c r="AZ5" i="9"/>
  <c r="AA5" i="9"/>
  <c r="Y10" i="31"/>
  <c r="Y11" i="31"/>
  <c r="Y12" i="31"/>
  <c r="Y13" i="31"/>
  <c r="Y14" i="31"/>
  <c r="Y15" i="31"/>
  <c r="Y16" i="31"/>
  <c r="Y17" i="31"/>
  <c r="Y18" i="31"/>
  <c r="Y19" i="31"/>
  <c r="Y20" i="31"/>
  <c r="Y21" i="31"/>
  <c r="Y22" i="31"/>
  <c r="Y23" i="31"/>
  <c r="Y24" i="31"/>
  <c r="Y27" i="31"/>
  <c r="Y28" i="31"/>
  <c r="Y29" i="31"/>
  <c r="Y30" i="31"/>
  <c r="Y31" i="31"/>
  <c r="Y32" i="31"/>
  <c r="Y33" i="31"/>
  <c r="Y34" i="31"/>
  <c r="Y35" i="31"/>
  <c r="Y36" i="31"/>
  <c r="Y37" i="31"/>
  <c r="Y38" i="31"/>
  <c r="Y39" i="31"/>
  <c r="Y42" i="31"/>
  <c r="Y43" i="31"/>
  <c r="Y44" i="31"/>
  <c r="Y45" i="31"/>
  <c r="Y46" i="31"/>
  <c r="Y47" i="31"/>
  <c r="Y48" i="31"/>
  <c r="Y49" i="31"/>
  <c r="Y50" i="31"/>
  <c r="Y51" i="31"/>
  <c r="Y52" i="31"/>
  <c r="Y53" i="31"/>
  <c r="Y56" i="31"/>
  <c r="Y57" i="31"/>
  <c r="Y58" i="31"/>
  <c r="Y59" i="31"/>
  <c r="Y60" i="31"/>
  <c r="Y61" i="31"/>
  <c r="Y62" i="31"/>
  <c r="Y63" i="31"/>
  <c r="Y64" i="31"/>
  <c r="Y65" i="31"/>
  <c r="Y9" i="31"/>
  <c r="W10" i="31"/>
  <c r="W11" i="31"/>
  <c r="W12" i="31"/>
  <c r="W13" i="31"/>
  <c r="W14" i="31"/>
  <c r="W15" i="31"/>
  <c r="W16" i="31"/>
  <c r="W17" i="31"/>
  <c r="W18" i="31"/>
  <c r="W19" i="31"/>
  <c r="W20" i="31"/>
  <c r="W21" i="31"/>
  <c r="W22" i="31"/>
  <c r="W23" i="31"/>
  <c r="W24" i="31"/>
  <c r="W27" i="31"/>
  <c r="W28" i="31"/>
  <c r="W29" i="31"/>
  <c r="W30" i="31"/>
  <c r="W31" i="31"/>
  <c r="W32" i="31"/>
  <c r="W33" i="31"/>
  <c r="W34" i="31"/>
  <c r="W35" i="31"/>
  <c r="W36" i="31"/>
  <c r="W37" i="31"/>
  <c r="W38" i="31"/>
  <c r="W39" i="31"/>
  <c r="W42" i="31"/>
  <c r="W43" i="31"/>
  <c r="W44" i="31"/>
  <c r="W45" i="31"/>
  <c r="W46" i="31"/>
  <c r="W47" i="31"/>
  <c r="W48" i="31"/>
  <c r="W49" i="31"/>
  <c r="W50" i="31"/>
  <c r="W51" i="31"/>
  <c r="W52" i="31"/>
  <c r="W53" i="31"/>
  <c r="W56" i="31"/>
  <c r="W57" i="31"/>
  <c r="W58" i="31"/>
  <c r="W59" i="31"/>
  <c r="W60" i="31"/>
  <c r="W61" i="31"/>
  <c r="W62" i="31"/>
  <c r="W63" i="31"/>
  <c r="W64" i="31"/>
  <c r="W65" i="31"/>
  <c r="W9" i="31"/>
  <c r="U10" i="31"/>
  <c r="U11" i="31"/>
  <c r="U12" i="31"/>
  <c r="U13" i="31"/>
  <c r="U14" i="31"/>
  <c r="U15" i="31"/>
  <c r="U16" i="31"/>
  <c r="U17" i="31"/>
  <c r="U18" i="31"/>
  <c r="U19" i="31"/>
  <c r="U20" i="31"/>
  <c r="U21" i="31"/>
  <c r="U22" i="31"/>
  <c r="U23" i="31"/>
  <c r="U24" i="31"/>
  <c r="U27" i="31"/>
  <c r="U28" i="31"/>
  <c r="U29" i="31"/>
  <c r="U30" i="31"/>
  <c r="U31" i="31"/>
  <c r="U32" i="31"/>
  <c r="U33" i="31"/>
  <c r="U34" i="31"/>
  <c r="U35" i="31"/>
  <c r="U36" i="31"/>
  <c r="U37" i="31"/>
  <c r="U38" i="31"/>
  <c r="U39" i="31"/>
  <c r="U42" i="31"/>
  <c r="U43" i="31"/>
  <c r="U44" i="31"/>
  <c r="U45" i="31"/>
  <c r="U46" i="31"/>
  <c r="U47" i="31"/>
  <c r="U48" i="31"/>
  <c r="U49" i="31"/>
  <c r="U50" i="31"/>
  <c r="U51" i="31"/>
  <c r="U52" i="31"/>
  <c r="U53" i="31"/>
  <c r="U56" i="31"/>
  <c r="U57" i="31"/>
  <c r="U58" i="31"/>
  <c r="U59" i="31"/>
  <c r="U60" i="31"/>
  <c r="U61" i="31"/>
  <c r="U62" i="31"/>
  <c r="U63" i="31"/>
  <c r="U64" i="31"/>
  <c r="U65" i="31"/>
  <c r="U9" i="31"/>
  <c r="DB6" i="9"/>
  <c r="DB24" i="9"/>
  <c r="DB39" i="9"/>
  <c r="DB53" i="9"/>
  <c r="DF6" i="9"/>
  <c r="DF24" i="9"/>
  <c r="DF39" i="9"/>
  <c r="DF53" i="9"/>
  <c r="DE6" i="9"/>
  <c r="DE24" i="9"/>
  <c r="DE39" i="9"/>
  <c r="DE53" i="9"/>
  <c r="DD6" i="9"/>
  <c r="DD24" i="9"/>
  <c r="DD39" i="9"/>
  <c r="DD53" i="9"/>
  <c r="DC6" i="9"/>
  <c r="DC24" i="9"/>
  <c r="DC39" i="9"/>
  <c r="DC53" i="9"/>
  <c r="DD5" i="9" l="1"/>
  <c r="DF5" i="9"/>
  <c r="DC5" i="9"/>
  <c r="DB5" i="9"/>
  <c r="DE5" i="9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6" i="31"/>
  <c r="C57" i="31"/>
  <c r="C58" i="31"/>
  <c r="C59" i="31"/>
  <c r="C60" i="31"/>
  <c r="C61" i="31"/>
  <c r="C62" i="31"/>
  <c r="C63" i="31"/>
  <c r="C64" i="31"/>
  <c r="C65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6" i="31"/>
  <c r="E57" i="31"/>
  <c r="E58" i="31"/>
  <c r="E59" i="31"/>
  <c r="E60" i="31"/>
  <c r="E61" i="31"/>
  <c r="E62" i="31"/>
  <c r="E63" i="31"/>
  <c r="E64" i="31"/>
  <c r="E65" i="31"/>
  <c r="FO6" i="9"/>
  <c r="FP6" i="9"/>
  <c r="FQ6" i="9"/>
  <c r="FR6" i="9"/>
  <c r="FS6" i="9"/>
  <c r="FO24" i="9"/>
  <c r="FP24" i="9"/>
  <c r="FQ24" i="9"/>
  <c r="FR24" i="9"/>
  <c r="FS24" i="9"/>
  <c r="FO39" i="9"/>
  <c r="FP39" i="9"/>
  <c r="FQ39" i="9"/>
  <c r="FR39" i="9"/>
  <c r="FS39" i="9"/>
  <c r="FO53" i="9"/>
  <c r="FP53" i="9"/>
  <c r="FQ53" i="9"/>
  <c r="FR53" i="9"/>
  <c r="FS53" i="9"/>
  <c r="GT6" i="9"/>
  <c r="GU6" i="9"/>
  <c r="GV6" i="9"/>
  <c r="GW6" i="9"/>
  <c r="GT24" i="9"/>
  <c r="GU24" i="9"/>
  <c r="GV24" i="9"/>
  <c r="GW24" i="9"/>
  <c r="GT39" i="9"/>
  <c r="GU39" i="9"/>
  <c r="GV39" i="9"/>
  <c r="GW39" i="9"/>
  <c r="GT53" i="9"/>
  <c r="GU53" i="9"/>
  <c r="GV53" i="9"/>
  <c r="GW53" i="9"/>
  <c r="GS6" i="9"/>
  <c r="GS24" i="9"/>
  <c r="GS39" i="9"/>
  <c r="GS53" i="9"/>
  <c r="EO6" i="9"/>
  <c r="EO53" i="9"/>
  <c r="EO39" i="9"/>
  <c r="EO24" i="9"/>
  <c r="EN6" i="9"/>
  <c r="EN24" i="9"/>
  <c r="EN39" i="9"/>
  <c r="EN53" i="9"/>
  <c r="EM6" i="9"/>
  <c r="EM24" i="9"/>
  <c r="EM39" i="9"/>
  <c r="EM53" i="9"/>
  <c r="EL6" i="9"/>
  <c r="EL24" i="9"/>
  <c r="EL39" i="9"/>
  <c r="EL53" i="9"/>
  <c r="EK6" i="9"/>
  <c r="EK24" i="9"/>
  <c r="EK39" i="9"/>
  <c r="EK53" i="9"/>
  <c r="FO5" i="9" l="1"/>
  <c r="FS5" i="9"/>
  <c r="FR5" i="9"/>
  <c r="FQ5" i="9"/>
  <c r="FP5" i="9"/>
  <c r="GW5" i="9"/>
  <c r="GV5" i="9"/>
  <c r="GU5" i="9"/>
  <c r="GS5" i="9"/>
  <c r="GT5" i="9"/>
  <c r="EL5" i="9"/>
  <c r="EK5" i="9"/>
  <c r="EM5" i="9"/>
  <c r="EO5" i="9"/>
  <c r="EN5" i="9"/>
  <c r="DA38" i="19" l="1"/>
  <c r="S10" i="31" l="1"/>
  <c r="S11" i="31"/>
  <c r="S12" i="31"/>
  <c r="S13" i="31"/>
  <c r="S14" i="31"/>
  <c r="S15" i="31"/>
  <c r="S16" i="31"/>
  <c r="S17" i="31"/>
  <c r="S18" i="31"/>
  <c r="S19" i="31"/>
  <c r="S20" i="31"/>
  <c r="S21" i="31"/>
  <c r="S22" i="31"/>
  <c r="S23" i="31"/>
  <c r="S24" i="31"/>
  <c r="S27" i="31"/>
  <c r="S28" i="31"/>
  <c r="S29" i="31"/>
  <c r="S30" i="31"/>
  <c r="S31" i="31"/>
  <c r="S32" i="31"/>
  <c r="S33" i="31"/>
  <c r="S34" i="31"/>
  <c r="S35" i="31"/>
  <c r="S36" i="31"/>
  <c r="S37" i="31"/>
  <c r="S38" i="31"/>
  <c r="S39" i="31"/>
  <c r="S42" i="31"/>
  <c r="S43" i="31"/>
  <c r="S44" i="31"/>
  <c r="S45" i="31"/>
  <c r="S46" i="31"/>
  <c r="S47" i="31"/>
  <c r="S48" i="31"/>
  <c r="S49" i="31"/>
  <c r="S50" i="31"/>
  <c r="S51" i="31"/>
  <c r="S52" i="31"/>
  <c r="S53" i="31"/>
  <c r="S56" i="31"/>
  <c r="S57" i="31"/>
  <c r="S58" i="31"/>
  <c r="S59" i="31"/>
  <c r="S60" i="31"/>
  <c r="S61" i="31"/>
  <c r="S62" i="31"/>
  <c r="S63" i="31"/>
  <c r="S64" i="31"/>
  <c r="S65" i="31"/>
  <c r="S9" i="31"/>
  <c r="Q10" i="31"/>
  <c r="Q11" i="31"/>
  <c r="Q12" i="31"/>
  <c r="Q13" i="31"/>
  <c r="Q14" i="31"/>
  <c r="Q15" i="31"/>
  <c r="Q16" i="31"/>
  <c r="Q17" i="31"/>
  <c r="Q18" i="31"/>
  <c r="Q19" i="31"/>
  <c r="Q20" i="31"/>
  <c r="Q21" i="31"/>
  <c r="Q22" i="31"/>
  <c r="Q23" i="31"/>
  <c r="Q24" i="31"/>
  <c r="Q27" i="31"/>
  <c r="Q28" i="31"/>
  <c r="Q29" i="31"/>
  <c r="Q30" i="31"/>
  <c r="Q31" i="31"/>
  <c r="Q32" i="31"/>
  <c r="Q33" i="31"/>
  <c r="Q34" i="31"/>
  <c r="Q35" i="31"/>
  <c r="Q36" i="31"/>
  <c r="Q37" i="31"/>
  <c r="Q38" i="31"/>
  <c r="Q39" i="31"/>
  <c r="Q42" i="31"/>
  <c r="Q43" i="31"/>
  <c r="Q44" i="31"/>
  <c r="Q45" i="31"/>
  <c r="Q46" i="31"/>
  <c r="Q47" i="31"/>
  <c r="Q48" i="31"/>
  <c r="Q49" i="31"/>
  <c r="Q50" i="31"/>
  <c r="Q51" i="31"/>
  <c r="Q52" i="31"/>
  <c r="Q53" i="31"/>
  <c r="Q56" i="31"/>
  <c r="Q57" i="31"/>
  <c r="Q58" i="31"/>
  <c r="Q59" i="31"/>
  <c r="Q60" i="31"/>
  <c r="Q61" i="31"/>
  <c r="Q62" i="31"/>
  <c r="Q63" i="31"/>
  <c r="Q64" i="31"/>
  <c r="Q65" i="31"/>
  <c r="Q9" i="31"/>
  <c r="O10" i="31"/>
  <c r="O11" i="31"/>
  <c r="O12" i="31"/>
  <c r="O13" i="31"/>
  <c r="O14" i="31"/>
  <c r="O15" i="31"/>
  <c r="O16" i="31"/>
  <c r="O17" i="31"/>
  <c r="O18" i="31"/>
  <c r="O19" i="31"/>
  <c r="O20" i="31"/>
  <c r="O21" i="31"/>
  <c r="O22" i="31"/>
  <c r="O23" i="31"/>
  <c r="O24" i="31"/>
  <c r="O27" i="31"/>
  <c r="O28" i="31"/>
  <c r="O29" i="31"/>
  <c r="O30" i="31"/>
  <c r="O31" i="31"/>
  <c r="O32" i="31"/>
  <c r="O33" i="31"/>
  <c r="O34" i="31"/>
  <c r="O35" i="31"/>
  <c r="O36" i="31"/>
  <c r="O37" i="31"/>
  <c r="O38" i="31"/>
  <c r="O39" i="31"/>
  <c r="O42" i="31"/>
  <c r="O43" i="31"/>
  <c r="O44" i="31"/>
  <c r="O45" i="31"/>
  <c r="O46" i="31"/>
  <c r="O47" i="31"/>
  <c r="O48" i="31"/>
  <c r="O49" i="31"/>
  <c r="O50" i="31"/>
  <c r="O51" i="31"/>
  <c r="O52" i="31"/>
  <c r="O53" i="31"/>
  <c r="O56" i="31"/>
  <c r="O57" i="31"/>
  <c r="O58" i="31"/>
  <c r="O59" i="31"/>
  <c r="O60" i="31"/>
  <c r="O61" i="31"/>
  <c r="O62" i="31"/>
  <c r="O63" i="31"/>
  <c r="O64" i="31"/>
  <c r="O65" i="31"/>
  <c r="O9" i="31"/>
  <c r="R10" i="31"/>
  <c r="R11" i="31"/>
  <c r="R12" i="31"/>
  <c r="R13" i="31"/>
  <c r="R14" i="31"/>
  <c r="R15" i="31"/>
  <c r="R16" i="31"/>
  <c r="R17" i="31"/>
  <c r="R18" i="31"/>
  <c r="R19" i="31"/>
  <c r="R20" i="31"/>
  <c r="R21" i="31"/>
  <c r="R22" i="31"/>
  <c r="R23" i="31"/>
  <c r="R24" i="31"/>
  <c r="R27" i="31"/>
  <c r="R28" i="31"/>
  <c r="R29" i="31"/>
  <c r="R30" i="31"/>
  <c r="R31" i="31"/>
  <c r="R32" i="31"/>
  <c r="R33" i="31"/>
  <c r="R34" i="31"/>
  <c r="R35" i="31"/>
  <c r="R36" i="31"/>
  <c r="R37" i="31"/>
  <c r="R38" i="31"/>
  <c r="R39" i="31"/>
  <c r="R42" i="31"/>
  <c r="R43" i="31"/>
  <c r="R44" i="31"/>
  <c r="R45" i="31"/>
  <c r="R46" i="31"/>
  <c r="R47" i="31"/>
  <c r="R48" i="31"/>
  <c r="R49" i="31"/>
  <c r="R50" i="31"/>
  <c r="R51" i="31"/>
  <c r="R52" i="31"/>
  <c r="R53" i="31"/>
  <c r="R56" i="31"/>
  <c r="R57" i="31"/>
  <c r="R58" i="31"/>
  <c r="R59" i="31"/>
  <c r="R60" i="31"/>
  <c r="R61" i="31"/>
  <c r="R62" i="31"/>
  <c r="R63" i="31"/>
  <c r="R64" i="31"/>
  <c r="R65" i="31"/>
  <c r="R9" i="31"/>
  <c r="P65" i="31"/>
  <c r="P64" i="31"/>
  <c r="P63" i="31"/>
  <c r="P62" i="31"/>
  <c r="P61" i="31"/>
  <c r="P60" i="31"/>
  <c r="P59" i="31"/>
  <c r="P58" i="31"/>
  <c r="P57" i="31"/>
  <c r="P56" i="31"/>
  <c r="P53" i="31"/>
  <c r="P52" i="31"/>
  <c r="P51" i="31"/>
  <c r="P50" i="31"/>
  <c r="P49" i="31"/>
  <c r="P48" i="31"/>
  <c r="P47" i="31"/>
  <c r="P46" i="31"/>
  <c r="P45" i="31"/>
  <c r="P44" i="31"/>
  <c r="P43" i="31"/>
  <c r="P42" i="31"/>
  <c r="P39" i="31"/>
  <c r="P38" i="31"/>
  <c r="P37" i="31"/>
  <c r="P36" i="31"/>
  <c r="P35" i="31"/>
  <c r="P34" i="31"/>
  <c r="P33" i="31"/>
  <c r="P32" i="31"/>
  <c r="P31" i="31"/>
  <c r="P30" i="31"/>
  <c r="P29" i="31"/>
  <c r="P28" i="31"/>
  <c r="P27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N65" i="31"/>
  <c r="N64" i="31"/>
  <c r="N63" i="31"/>
  <c r="N62" i="31"/>
  <c r="N61" i="31"/>
  <c r="N60" i="31"/>
  <c r="N59" i="31"/>
  <c r="N58" i="31"/>
  <c r="N57" i="31"/>
  <c r="N56" i="31"/>
  <c r="N53" i="31"/>
  <c r="N52" i="31"/>
  <c r="N51" i="31"/>
  <c r="N50" i="31"/>
  <c r="N49" i="31"/>
  <c r="N48" i="31"/>
  <c r="N47" i="31"/>
  <c r="N46" i="31"/>
  <c r="N45" i="31"/>
  <c r="N44" i="31"/>
  <c r="N43" i="31"/>
  <c r="N42" i="31"/>
  <c r="N39" i="31"/>
  <c r="N38" i="31"/>
  <c r="N37" i="31"/>
  <c r="N36" i="31"/>
  <c r="N35" i="31"/>
  <c r="N34" i="31"/>
  <c r="N33" i="31"/>
  <c r="N32" i="31"/>
  <c r="N31" i="31"/>
  <c r="N30" i="31"/>
  <c r="N29" i="31"/>
  <c r="N28" i="31"/>
  <c r="N27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CZ5" i="19" l="1"/>
  <c r="DA5" i="19"/>
  <c r="DB5" i="19"/>
  <c r="DC5" i="19"/>
  <c r="DD5" i="19"/>
  <c r="CZ52" i="19"/>
  <c r="DA52" i="19"/>
  <c r="DB52" i="19"/>
  <c r="DC52" i="19"/>
  <c r="DD52" i="19"/>
  <c r="CZ38" i="19"/>
  <c r="DB38" i="19"/>
  <c r="DC38" i="19"/>
  <c r="DD38" i="19"/>
  <c r="CZ23" i="19"/>
  <c r="DA23" i="19"/>
  <c r="DB23" i="19"/>
  <c r="DC23" i="19"/>
  <c r="DD23" i="19"/>
  <c r="DC4" i="19" l="1"/>
  <c r="CZ4" i="19"/>
  <c r="DD4" i="19"/>
  <c r="DB4" i="19"/>
  <c r="DA4" i="19"/>
  <c r="NX6" i="9"/>
  <c r="NX24" i="9"/>
  <c r="NX39" i="9"/>
  <c r="NX53" i="9"/>
  <c r="NV6" i="9"/>
  <c r="NW6" i="9"/>
  <c r="NV24" i="9"/>
  <c r="NW24" i="9"/>
  <c r="NV39" i="9"/>
  <c r="NW39" i="9"/>
  <c r="NV53" i="9"/>
  <c r="NW53" i="9"/>
  <c r="NU6" i="9"/>
  <c r="NU24" i="9"/>
  <c r="NU39" i="9"/>
  <c r="NU53" i="9"/>
  <c r="NT6" i="9"/>
  <c r="NT53" i="9"/>
  <c r="NT39" i="9"/>
  <c r="NT24" i="9"/>
  <c r="NT5" i="9" l="1"/>
  <c r="NX5" i="9"/>
  <c r="NV5" i="9"/>
  <c r="NU5" i="9"/>
  <c r="NW5" i="9"/>
  <c r="MP6" i="9" l="1"/>
  <c r="MQ6" i="9"/>
  <c r="U7" i="31" s="1"/>
  <c r="MR6" i="9"/>
  <c r="W7" i="31" s="1"/>
  <c r="MS6" i="9"/>
  <c r="Y7" i="31" s="1"/>
  <c r="MT6" i="9"/>
  <c r="MP53" i="9"/>
  <c r="MQ53" i="9"/>
  <c r="U54" i="31" s="1"/>
  <c r="MR53" i="9"/>
  <c r="W54" i="31" s="1"/>
  <c r="MS53" i="9"/>
  <c r="Y54" i="31" s="1"/>
  <c r="MT53" i="9"/>
  <c r="MP39" i="9"/>
  <c r="MQ39" i="9"/>
  <c r="U40" i="31" s="1"/>
  <c r="MR39" i="9"/>
  <c r="W40" i="31" s="1"/>
  <c r="MS39" i="9"/>
  <c r="Y40" i="31" s="1"/>
  <c r="MT39" i="9"/>
  <c r="MT24" i="9"/>
  <c r="MP24" i="9"/>
  <c r="MQ24" i="9"/>
  <c r="U25" i="31" s="1"/>
  <c r="MR24" i="9"/>
  <c r="W25" i="31" s="1"/>
  <c r="MS24" i="9"/>
  <c r="Y25" i="31" s="1"/>
  <c r="O7" i="31"/>
  <c r="Q7" i="31"/>
  <c r="S7" i="31"/>
  <c r="O54" i="31"/>
  <c r="Q54" i="31"/>
  <c r="S54" i="31"/>
  <c r="O40" i="31"/>
  <c r="Q40" i="31"/>
  <c r="S40" i="31"/>
  <c r="O25" i="31"/>
  <c r="Q25" i="31"/>
  <c r="S25" i="31"/>
  <c r="AY6" i="9"/>
  <c r="AY24" i="9"/>
  <c r="AY39" i="9"/>
  <c r="AY53" i="9"/>
  <c r="AX6" i="9"/>
  <c r="AX24" i="9"/>
  <c r="AX39" i="9"/>
  <c r="AX53" i="9"/>
  <c r="BI8" i="9"/>
  <c r="DA8" i="9"/>
  <c r="DL8" i="9"/>
  <c r="DM8" i="9"/>
  <c r="DN8" i="9"/>
  <c r="DO8" i="9"/>
  <c r="DP8" i="9"/>
  <c r="BI9" i="9"/>
  <c r="DA9" i="9"/>
  <c r="DL9" i="9"/>
  <c r="DM9" i="9"/>
  <c r="DN9" i="9"/>
  <c r="DO9" i="9"/>
  <c r="DP9" i="9"/>
  <c r="BI10" i="9"/>
  <c r="DA10" i="9"/>
  <c r="BI11" i="9"/>
  <c r="BN11" i="9"/>
  <c r="DA11" i="9"/>
  <c r="DL11" i="9"/>
  <c r="DM11" i="9"/>
  <c r="DN11" i="9"/>
  <c r="DO11" i="9"/>
  <c r="DP11" i="9"/>
  <c r="BI12" i="9"/>
  <c r="DA12" i="9"/>
  <c r="DL12" i="9"/>
  <c r="DM12" i="9"/>
  <c r="DN12" i="9"/>
  <c r="DO12" i="9"/>
  <c r="DP12" i="9"/>
  <c r="BI13" i="9"/>
  <c r="DA13" i="9"/>
  <c r="DL13" i="9"/>
  <c r="DM13" i="9"/>
  <c r="DN13" i="9"/>
  <c r="DO13" i="9"/>
  <c r="DP13" i="9"/>
  <c r="BI14" i="9"/>
  <c r="DA14" i="9"/>
  <c r="DL14" i="9"/>
  <c r="DM14" i="9"/>
  <c r="DN14" i="9"/>
  <c r="DO14" i="9"/>
  <c r="DP14" i="9"/>
  <c r="BI15" i="9"/>
  <c r="DA15" i="9"/>
  <c r="DL15" i="9"/>
  <c r="DM15" i="9"/>
  <c r="DN15" i="9"/>
  <c r="DO15" i="9"/>
  <c r="DP15" i="9"/>
  <c r="BI16" i="9"/>
  <c r="DA16" i="9"/>
  <c r="DL16" i="9"/>
  <c r="DM16" i="9"/>
  <c r="DN16" i="9"/>
  <c r="DO16" i="9"/>
  <c r="DP16" i="9"/>
  <c r="BI17" i="9"/>
  <c r="DA17" i="9"/>
  <c r="DL17" i="9"/>
  <c r="DM17" i="9"/>
  <c r="DN17" i="9"/>
  <c r="DO17" i="9"/>
  <c r="DP17" i="9"/>
  <c r="BI18" i="9"/>
  <c r="DA18" i="9"/>
  <c r="DL18" i="9"/>
  <c r="DM18" i="9"/>
  <c r="DN18" i="9"/>
  <c r="DO18" i="9"/>
  <c r="DP18" i="9"/>
  <c r="BI19" i="9"/>
  <c r="DA19" i="9"/>
  <c r="DL19" i="9"/>
  <c r="DM19" i="9"/>
  <c r="DN19" i="9"/>
  <c r="DO19" i="9"/>
  <c r="DP19" i="9"/>
  <c r="BI20" i="9"/>
  <c r="DA20" i="9"/>
  <c r="DL20" i="9"/>
  <c r="DM20" i="9"/>
  <c r="DN20" i="9"/>
  <c r="DO20" i="9"/>
  <c r="DP20" i="9"/>
  <c r="BI21" i="9"/>
  <c r="DA21" i="9"/>
  <c r="DL21" i="9"/>
  <c r="DM21" i="9"/>
  <c r="DN21" i="9"/>
  <c r="DO21" i="9"/>
  <c r="DP21" i="9"/>
  <c r="BI22" i="9"/>
  <c r="DA22" i="9"/>
  <c r="DL22" i="9"/>
  <c r="DM22" i="9"/>
  <c r="DN22" i="9"/>
  <c r="DO22" i="9"/>
  <c r="DP22" i="9"/>
  <c r="BI23" i="9"/>
  <c r="DA23" i="9"/>
  <c r="DL23" i="9"/>
  <c r="DM23" i="9"/>
  <c r="DN23" i="9"/>
  <c r="DO23" i="9"/>
  <c r="DP23" i="9"/>
  <c r="BE24" i="9"/>
  <c r="BF24" i="9"/>
  <c r="BG24" i="9"/>
  <c r="BH24" i="9"/>
  <c r="BS24" i="9"/>
  <c r="BT24" i="9"/>
  <c r="BU24" i="9"/>
  <c r="BV24" i="9"/>
  <c r="BW24" i="9"/>
  <c r="BX24" i="9"/>
  <c r="BY24" i="9"/>
  <c r="BZ24" i="9"/>
  <c r="CA24" i="9"/>
  <c r="CB24" i="9"/>
  <c r="CC24" i="9"/>
  <c r="CD24" i="9"/>
  <c r="CE24" i="9"/>
  <c r="CF24" i="9"/>
  <c r="CG24" i="9"/>
  <c r="CH24" i="9"/>
  <c r="CI24" i="9"/>
  <c r="CJ24" i="9"/>
  <c r="CK24" i="9"/>
  <c r="CL24" i="9"/>
  <c r="CM24" i="9"/>
  <c r="CN24" i="9"/>
  <c r="CO24" i="9"/>
  <c r="CP24" i="9"/>
  <c r="CQ24" i="9"/>
  <c r="CR24" i="9"/>
  <c r="CS24" i="9"/>
  <c r="CT24" i="9"/>
  <c r="CU24" i="9"/>
  <c r="CV24" i="9"/>
  <c r="CW24" i="9"/>
  <c r="CX24" i="9"/>
  <c r="CY24" i="9"/>
  <c r="CZ24" i="9"/>
  <c r="DQ24" i="9"/>
  <c r="BI26" i="9"/>
  <c r="DA26" i="9"/>
  <c r="BI27" i="9"/>
  <c r="DA27" i="9"/>
  <c r="BI28" i="9"/>
  <c r="DA28" i="9"/>
  <c r="BI29" i="9"/>
  <c r="DA29" i="9"/>
  <c r="BI30" i="9"/>
  <c r="DA30" i="9"/>
  <c r="BI31" i="9"/>
  <c r="DA31" i="9"/>
  <c r="BI32" i="9"/>
  <c r="DA32" i="9"/>
  <c r="BI33" i="9"/>
  <c r="DA33" i="9"/>
  <c r="BI34" i="9"/>
  <c r="DA34" i="9"/>
  <c r="BI35" i="9"/>
  <c r="DA35" i="9"/>
  <c r="BI36" i="9"/>
  <c r="DA36" i="9"/>
  <c r="BI37" i="9"/>
  <c r="DA37" i="9"/>
  <c r="BI38" i="9"/>
  <c r="DA38" i="9"/>
  <c r="BE39" i="9"/>
  <c r="BF39" i="9"/>
  <c r="BG39" i="9"/>
  <c r="BH39" i="9"/>
  <c r="BS39" i="9"/>
  <c r="BT39" i="9"/>
  <c r="BU39" i="9"/>
  <c r="BV39" i="9"/>
  <c r="BW39" i="9"/>
  <c r="BX39" i="9"/>
  <c r="BY39" i="9"/>
  <c r="BZ39" i="9"/>
  <c r="CA39" i="9"/>
  <c r="CB39" i="9"/>
  <c r="CC39" i="9"/>
  <c r="CD39" i="9"/>
  <c r="CE39" i="9"/>
  <c r="CF39" i="9"/>
  <c r="CG39" i="9"/>
  <c r="CH39" i="9"/>
  <c r="CI39" i="9"/>
  <c r="CJ39" i="9"/>
  <c r="CK39" i="9"/>
  <c r="CL39" i="9"/>
  <c r="CM39" i="9"/>
  <c r="CN39" i="9"/>
  <c r="CO39" i="9"/>
  <c r="CP39" i="9"/>
  <c r="CQ39" i="9"/>
  <c r="CR39" i="9"/>
  <c r="CS39" i="9"/>
  <c r="CT39" i="9"/>
  <c r="CU39" i="9"/>
  <c r="CV39" i="9"/>
  <c r="CW39" i="9"/>
  <c r="CX39" i="9"/>
  <c r="CY39" i="9"/>
  <c r="CZ39" i="9"/>
  <c r="DQ39" i="9"/>
  <c r="BI41" i="9"/>
  <c r="DA41" i="9"/>
  <c r="BI42" i="9"/>
  <c r="DA42" i="9"/>
  <c r="BI43" i="9"/>
  <c r="DA43" i="9"/>
  <c r="BI44" i="9"/>
  <c r="DA44" i="9"/>
  <c r="BI45" i="9"/>
  <c r="DA45" i="9"/>
  <c r="BI46" i="9"/>
  <c r="DA46" i="9"/>
  <c r="BI47" i="9"/>
  <c r="DA47" i="9"/>
  <c r="BI48" i="9"/>
  <c r="DA48" i="9"/>
  <c r="BI49" i="9"/>
  <c r="DA49" i="9"/>
  <c r="BI50" i="9"/>
  <c r="DA50" i="9"/>
  <c r="BI51" i="9"/>
  <c r="DA51" i="9"/>
  <c r="BI52" i="9"/>
  <c r="DA52" i="9"/>
  <c r="BE53" i="9"/>
  <c r="BF53" i="9"/>
  <c r="BG53" i="9"/>
  <c r="BH53" i="9"/>
  <c r="BS53" i="9"/>
  <c r="BT53" i="9"/>
  <c r="BU53" i="9"/>
  <c r="BV53" i="9"/>
  <c r="BW53" i="9"/>
  <c r="BX53" i="9"/>
  <c r="BY53" i="9"/>
  <c r="BZ53" i="9"/>
  <c r="CA53" i="9"/>
  <c r="CB53" i="9"/>
  <c r="CC53" i="9"/>
  <c r="CD53" i="9"/>
  <c r="CE53" i="9"/>
  <c r="CF53" i="9"/>
  <c r="CG53" i="9"/>
  <c r="CH53" i="9"/>
  <c r="CI53" i="9"/>
  <c r="CJ53" i="9"/>
  <c r="CK53" i="9"/>
  <c r="CL53" i="9"/>
  <c r="CM53" i="9"/>
  <c r="CN53" i="9"/>
  <c r="CO53" i="9"/>
  <c r="CP53" i="9"/>
  <c r="CQ53" i="9"/>
  <c r="CR53" i="9"/>
  <c r="CS53" i="9"/>
  <c r="CT53" i="9"/>
  <c r="CU53" i="9"/>
  <c r="CV53" i="9"/>
  <c r="CW53" i="9"/>
  <c r="CX53" i="9"/>
  <c r="CY53" i="9"/>
  <c r="CZ53" i="9"/>
  <c r="DQ53" i="9"/>
  <c r="BI55" i="9"/>
  <c r="DA55" i="9"/>
  <c r="BI56" i="9"/>
  <c r="DA56" i="9"/>
  <c r="BI57" i="9"/>
  <c r="DA57" i="9"/>
  <c r="BI58" i="9"/>
  <c r="DA58" i="9"/>
  <c r="BI59" i="9"/>
  <c r="DA59" i="9"/>
  <c r="BI60" i="9"/>
  <c r="DA60" i="9"/>
  <c r="BI61" i="9"/>
  <c r="DA61" i="9"/>
  <c r="BI62" i="9"/>
  <c r="DA62" i="9"/>
  <c r="BI63" i="9"/>
  <c r="DA63" i="9"/>
  <c r="BI64" i="9"/>
  <c r="DA64" i="9"/>
  <c r="AW6" i="9"/>
  <c r="AW24" i="9"/>
  <c r="AW39" i="9"/>
  <c r="AW53" i="9"/>
  <c r="AV6" i="9"/>
  <c r="AV24" i="9"/>
  <c r="AV39" i="9"/>
  <c r="AV53" i="9"/>
  <c r="AU6" i="9"/>
  <c r="AU24" i="9"/>
  <c r="AU39" i="9"/>
  <c r="AU53" i="9"/>
  <c r="V6" i="9"/>
  <c r="V24" i="9"/>
  <c r="V39" i="9"/>
  <c r="V53" i="9"/>
  <c r="DA53" i="9" l="1"/>
  <c r="BI39" i="9"/>
  <c r="DA24" i="9"/>
  <c r="MT5" i="9"/>
  <c r="DA39" i="9"/>
  <c r="BI24" i="9"/>
  <c r="MS5" i="9"/>
  <c r="Y6" i="31" s="1"/>
  <c r="MR5" i="9"/>
  <c r="W6" i="31" s="1"/>
  <c r="MQ5" i="9"/>
  <c r="U6" i="31" s="1"/>
  <c r="BI53" i="9"/>
  <c r="MP5" i="9"/>
  <c r="AW5" i="9"/>
  <c r="S6" i="31"/>
  <c r="Q6" i="31"/>
  <c r="O6" i="31"/>
  <c r="AX5" i="9"/>
  <c r="AY5" i="9"/>
  <c r="V5" i="9"/>
  <c r="AV5" i="9"/>
  <c r="AU5" i="9"/>
  <c r="W6" i="9" l="1"/>
  <c r="W53" i="9"/>
  <c r="W39" i="9"/>
  <c r="W24" i="9"/>
  <c r="X6" i="9"/>
  <c r="X53" i="9"/>
  <c r="X39" i="9"/>
  <c r="X24" i="9"/>
  <c r="Y6" i="9"/>
  <c r="Y24" i="9"/>
  <c r="Y39" i="9"/>
  <c r="Y53" i="9"/>
  <c r="Z53" i="9"/>
  <c r="Z39" i="9"/>
  <c r="Z24" i="9"/>
  <c r="Z6" i="9"/>
  <c r="X5" i="9" l="1"/>
  <c r="W5" i="9"/>
  <c r="Y5" i="9"/>
  <c r="Z5" i="9"/>
  <c r="M64" i="31" l="1"/>
  <c r="M57" i="31"/>
  <c r="M50" i="31"/>
  <c r="K50" i="31"/>
  <c r="G64" i="31"/>
  <c r="G57" i="31"/>
  <c r="G50" i="31"/>
  <c r="K34" i="31" l="1"/>
  <c r="K35" i="31"/>
  <c r="K36" i="31"/>
  <c r="K37" i="31"/>
  <c r="K38" i="31"/>
  <c r="K39" i="31"/>
  <c r="K42" i="31"/>
  <c r="K43" i="31"/>
  <c r="K44" i="31"/>
  <c r="K45" i="31"/>
  <c r="K46" i="31"/>
  <c r="K47" i="31"/>
  <c r="K48" i="31"/>
  <c r="K49" i="31"/>
  <c r="K51" i="31"/>
  <c r="K52" i="31"/>
  <c r="K53" i="31"/>
  <c r="K56" i="31"/>
  <c r="K57" i="31"/>
  <c r="K58" i="31"/>
  <c r="K59" i="31"/>
  <c r="K60" i="31"/>
  <c r="K61" i="31"/>
  <c r="K62" i="31"/>
  <c r="K63" i="31"/>
  <c r="K64" i="31"/>
  <c r="K65" i="31"/>
  <c r="K32" i="31"/>
  <c r="M65" i="31"/>
  <c r="M63" i="31"/>
  <c r="M62" i="31"/>
  <c r="M61" i="31"/>
  <c r="M60" i="31"/>
  <c r="M59" i="31"/>
  <c r="M58" i="31"/>
  <c r="M56" i="31"/>
  <c r="M53" i="31"/>
  <c r="M52" i="31"/>
  <c r="M51" i="31"/>
  <c r="M49" i="31"/>
  <c r="M48" i="31"/>
  <c r="M47" i="31"/>
  <c r="M46" i="31"/>
  <c r="M45" i="31"/>
  <c r="M44" i="31"/>
  <c r="M43" i="31"/>
  <c r="M42" i="31"/>
  <c r="M39" i="31"/>
  <c r="M38" i="31"/>
  <c r="M37" i="31"/>
  <c r="M36" i="31"/>
  <c r="M35" i="31"/>
  <c r="M34" i="31"/>
  <c r="M33" i="31"/>
  <c r="M32" i="31"/>
  <c r="M31" i="31"/>
  <c r="M30" i="31"/>
  <c r="M29" i="31"/>
  <c r="M28" i="31"/>
  <c r="M27" i="31"/>
  <c r="M24" i="31"/>
  <c r="M23" i="31"/>
  <c r="M22" i="31"/>
  <c r="M21" i="31"/>
  <c r="M20" i="31"/>
  <c r="M19" i="31"/>
  <c r="M18" i="31"/>
  <c r="M17" i="31"/>
  <c r="M16" i="31"/>
  <c r="M15" i="31"/>
  <c r="M14" i="31"/>
  <c r="M13" i="31"/>
  <c r="M12" i="31"/>
  <c r="M11" i="31"/>
  <c r="M10" i="31"/>
  <c r="M9" i="31"/>
  <c r="K33" i="31"/>
  <c r="K31" i="31"/>
  <c r="K30" i="31"/>
  <c r="K29" i="31"/>
  <c r="K28" i="31"/>
  <c r="K27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11" i="31"/>
  <c r="K10" i="31"/>
  <c r="K9" i="31"/>
  <c r="I65" i="31"/>
  <c r="I64" i="31"/>
  <c r="I63" i="31"/>
  <c r="I62" i="31"/>
  <c r="I61" i="31"/>
  <c r="I60" i="31"/>
  <c r="I59" i="31"/>
  <c r="I58" i="31"/>
  <c r="I57" i="31"/>
  <c r="I56" i="31"/>
  <c r="I53" i="31"/>
  <c r="I52" i="31"/>
  <c r="I51" i="31"/>
  <c r="I50" i="31"/>
  <c r="I49" i="31"/>
  <c r="I48" i="31"/>
  <c r="I47" i="31"/>
  <c r="I46" i="31"/>
  <c r="I45" i="31"/>
  <c r="I44" i="31"/>
  <c r="I43" i="31"/>
  <c r="I42" i="31"/>
  <c r="I39" i="31"/>
  <c r="I38" i="31"/>
  <c r="I37" i="31"/>
  <c r="I36" i="31"/>
  <c r="I35" i="31"/>
  <c r="I34" i="31"/>
  <c r="I33" i="31"/>
  <c r="I32" i="31"/>
  <c r="I31" i="31"/>
  <c r="I30" i="31"/>
  <c r="I29" i="31"/>
  <c r="I28" i="31"/>
  <c r="I27" i="31"/>
  <c r="I24" i="31"/>
  <c r="I23" i="31"/>
  <c r="I22" i="31"/>
  <c r="I21" i="31"/>
  <c r="I20" i="31"/>
  <c r="I19" i="31"/>
  <c r="I18" i="31"/>
  <c r="I17" i="31"/>
  <c r="I16" i="31"/>
  <c r="I15" i="31"/>
  <c r="I14" i="31"/>
  <c r="I13" i="31"/>
  <c r="I12" i="31"/>
  <c r="I11" i="31"/>
  <c r="I10" i="31"/>
  <c r="I9" i="31"/>
  <c r="G65" i="31"/>
  <c r="G63" i="31"/>
  <c r="G62" i="31"/>
  <c r="G61" i="31"/>
  <c r="G60" i="31"/>
  <c r="G59" i="31"/>
  <c r="G58" i="31"/>
  <c r="G56" i="31"/>
  <c r="G53" i="31"/>
  <c r="G52" i="31"/>
  <c r="G51" i="31"/>
  <c r="G49" i="31"/>
  <c r="G48" i="31"/>
  <c r="G47" i="31"/>
  <c r="G46" i="31"/>
  <c r="G45" i="31"/>
  <c r="G44" i="31"/>
  <c r="G43" i="31"/>
  <c r="G42" i="31"/>
  <c r="G39" i="31"/>
  <c r="G38" i="31"/>
  <c r="G37" i="31"/>
  <c r="G36" i="31"/>
  <c r="G35" i="31"/>
  <c r="G34" i="31"/>
  <c r="G33" i="31"/>
  <c r="G32" i="31"/>
  <c r="G31" i="31"/>
  <c r="G30" i="31"/>
  <c r="G29" i="31"/>
  <c r="G28" i="31"/>
  <c r="G27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FY56" i="9"/>
  <c r="FZ56" i="9"/>
  <c r="GA56" i="9"/>
  <c r="GB56" i="9"/>
  <c r="GC56" i="9"/>
  <c r="GD56" i="9"/>
  <c r="GE56" i="9"/>
  <c r="GF56" i="9"/>
  <c r="GG56" i="9"/>
  <c r="GH56" i="9"/>
  <c r="FY57" i="9"/>
  <c r="FZ57" i="9"/>
  <c r="GA57" i="9"/>
  <c r="GB57" i="9"/>
  <c r="GC57" i="9"/>
  <c r="GD57" i="9"/>
  <c r="GE57" i="9"/>
  <c r="GF57" i="9"/>
  <c r="GG57" i="9"/>
  <c r="GH57" i="9"/>
  <c r="FY58" i="9"/>
  <c r="FZ58" i="9"/>
  <c r="GA58" i="9"/>
  <c r="GB58" i="9"/>
  <c r="GC58" i="9"/>
  <c r="GD58" i="9"/>
  <c r="GE58" i="9"/>
  <c r="GF58" i="9"/>
  <c r="GG58" i="9"/>
  <c r="GH58" i="9"/>
  <c r="FY59" i="9"/>
  <c r="FZ59" i="9"/>
  <c r="GA59" i="9"/>
  <c r="GB59" i="9"/>
  <c r="GC59" i="9"/>
  <c r="GD59" i="9"/>
  <c r="GE59" i="9"/>
  <c r="GF59" i="9"/>
  <c r="GG59" i="9"/>
  <c r="GH59" i="9"/>
  <c r="FY60" i="9"/>
  <c r="FZ60" i="9"/>
  <c r="GA60" i="9"/>
  <c r="GB60" i="9"/>
  <c r="GC60" i="9"/>
  <c r="GD60" i="9"/>
  <c r="GE60" i="9"/>
  <c r="GF60" i="9"/>
  <c r="GG60" i="9"/>
  <c r="GH60" i="9"/>
  <c r="FY61" i="9"/>
  <c r="FZ61" i="9"/>
  <c r="GA61" i="9"/>
  <c r="GB61" i="9"/>
  <c r="GC61" i="9"/>
  <c r="GD61" i="9"/>
  <c r="GE61" i="9"/>
  <c r="GF61" i="9"/>
  <c r="GG61" i="9"/>
  <c r="GH61" i="9"/>
  <c r="FY62" i="9"/>
  <c r="FZ62" i="9"/>
  <c r="GA62" i="9"/>
  <c r="GB62" i="9"/>
  <c r="GC62" i="9"/>
  <c r="GD62" i="9"/>
  <c r="GE62" i="9"/>
  <c r="GF62" i="9"/>
  <c r="GG62" i="9"/>
  <c r="GH62" i="9"/>
  <c r="FY63" i="9"/>
  <c r="FZ63" i="9"/>
  <c r="GA63" i="9"/>
  <c r="GB63" i="9"/>
  <c r="GC63" i="9"/>
  <c r="GD63" i="9"/>
  <c r="GE63" i="9"/>
  <c r="GF63" i="9"/>
  <c r="GG63" i="9"/>
  <c r="GH63" i="9"/>
  <c r="FY64" i="9"/>
  <c r="FZ64" i="9"/>
  <c r="GA64" i="9"/>
  <c r="GB64" i="9"/>
  <c r="GC64" i="9"/>
  <c r="GD64" i="9"/>
  <c r="GE64" i="9"/>
  <c r="GF64" i="9"/>
  <c r="GG64" i="9"/>
  <c r="GH64" i="9"/>
  <c r="GH55" i="9"/>
  <c r="GG55" i="9"/>
  <c r="GF55" i="9"/>
  <c r="GE55" i="9"/>
  <c r="GD55" i="9"/>
  <c r="GC55" i="9"/>
  <c r="GB55" i="9"/>
  <c r="GA55" i="9"/>
  <c r="FZ55" i="9"/>
  <c r="FY55" i="9"/>
  <c r="FY42" i="9"/>
  <c r="FZ42" i="9"/>
  <c r="GA42" i="9"/>
  <c r="GB42" i="9"/>
  <c r="GC42" i="9"/>
  <c r="GD42" i="9"/>
  <c r="GE42" i="9"/>
  <c r="GF42" i="9"/>
  <c r="GG42" i="9"/>
  <c r="GH42" i="9"/>
  <c r="FY43" i="9"/>
  <c r="FZ43" i="9"/>
  <c r="GA43" i="9"/>
  <c r="GB43" i="9"/>
  <c r="GC43" i="9"/>
  <c r="GD43" i="9"/>
  <c r="GE43" i="9"/>
  <c r="GF43" i="9"/>
  <c r="GG43" i="9"/>
  <c r="GH43" i="9"/>
  <c r="FY44" i="9"/>
  <c r="FZ44" i="9"/>
  <c r="GA44" i="9"/>
  <c r="GB44" i="9"/>
  <c r="GC44" i="9"/>
  <c r="GD44" i="9"/>
  <c r="GE44" i="9"/>
  <c r="GF44" i="9"/>
  <c r="GG44" i="9"/>
  <c r="GH44" i="9"/>
  <c r="FY45" i="9"/>
  <c r="FZ45" i="9"/>
  <c r="GA45" i="9"/>
  <c r="GB45" i="9"/>
  <c r="GC45" i="9"/>
  <c r="GD45" i="9"/>
  <c r="GE45" i="9"/>
  <c r="GF45" i="9"/>
  <c r="GG45" i="9"/>
  <c r="GH45" i="9"/>
  <c r="FY46" i="9"/>
  <c r="FZ46" i="9"/>
  <c r="GA46" i="9"/>
  <c r="GB46" i="9"/>
  <c r="GC46" i="9"/>
  <c r="GD46" i="9"/>
  <c r="GE46" i="9"/>
  <c r="GF46" i="9"/>
  <c r="GG46" i="9"/>
  <c r="GH46" i="9"/>
  <c r="FY47" i="9"/>
  <c r="FZ47" i="9"/>
  <c r="GA47" i="9"/>
  <c r="GB47" i="9"/>
  <c r="GC47" i="9"/>
  <c r="GD47" i="9"/>
  <c r="GE47" i="9"/>
  <c r="GF47" i="9"/>
  <c r="GG47" i="9"/>
  <c r="GH47" i="9"/>
  <c r="FY48" i="9"/>
  <c r="FZ48" i="9"/>
  <c r="GA48" i="9"/>
  <c r="GB48" i="9"/>
  <c r="GC48" i="9"/>
  <c r="GD48" i="9"/>
  <c r="GE48" i="9"/>
  <c r="GF48" i="9"/>
  <c r="GG48" i="9"/>
  <c r="GH48" i="9"/>
  <c r="FY49" i="9"/>
  <c r="FZ49" i="9"/>
  <c r="GA49" i="9"/>
  <c r="GB49" i="9"/>
  <c r="GC49" i="9"/>
  <c r="GD49" i="9"/>
  <c r="GE49" i="9"/>
  <c r="GF49" i="9"/>
  <c r="GG49" i="9"/>
  <c r="GH49" i="9"/>
  <c r="FY50" i="9"/>
  <c r="FZ50" i="9"/>
  <c r="GA50" i="9"/>
  <c r="GB50" i="9"/>
  <c r="GC50" i="9"/>
  <c r="GD50" i="9"/>
  <c r="GE50" i="9"/>
  <c r="GF50" i="9"/>
  <c r="GG50" i="9"/>
  <c r="GH50" i="9"/>
  <c r="FY51" i="9"/>
  <c r="FZ51" i="9"/>
  <c r="GA51" i="9"/>
  <c r="GB51" i="9"/>
  <c r="GC51" i="9"/>
  <c r="GD51" i="9"/>
  <c r="GE51" i="9"/>
  <c r="GF51" i="9"/>
  <c r="GG51" i="9"/>
  <c r="GH51" i="9"/>
  <c r="FY52" i="9"/>
  <c r="FZ52" i="9"/>
  <c r="GA52" i="9"/>
  <c r="GB52" i="9"/>
  <c r="GC52" i="9"/>
  <c r="GD52" i="9"/>
  <c r="GE52" i="9"/>
  <c r="GF52" i="9"/>
  <c r="GG52" i="9"/>
  <c r="GH52" i="9"/>
  <c r="GH41" i="9"/>
  <c r="GG41" i="9"/>
  <c r="GF41" i="9"/>
  <c r="GE41" i="9"/>
  <c r="GD41" i="9"/>
  <c r="GC41" i="9"/>
  <c r="GB41" i="9"/>
  <c r="GA41" i="9"/>
  <c r="FZ41" i="9"/>
  <c r="FY41" i="9"/>
  <c r="FY27" i="9"/>
  <c r="FZ27" i="9"/>
  <c r="GA27" i="9"/>
  <c r="GB27" i="9"/>
  <c r="GC27" i="9"/>
  <c r="GD27" i="9"/>
  <c r="GE27" i="9"/>
  <c r="GF27" i="9"/>
  <c r="GG27" i="9"/>
  <c r="GH27" i="9"/>
  <c r="FY28" i="9"/>
  <c r="FZ28" i="9"/>
  <c r="GA28" i="9"/>
  <c r="GB28" i="9"/>
  <c r="GC28" i="9"/>
  <c r="GD28" i="9"/>
  <c r="GE28" i="9"/>
  <c r="GF28" i="9"/>
  <c r="GG28" i="9"/>
  <c r="GH28" i="9"/>
  <c r="FY29" i="9"/>
  <c r="FZ29" i="9"/>
  <c r="GA29" i="9"/>
  <c r="GB29" i="9"/>
  <c r="GC29" i="9"/>
  <c r="GD29" i="9"/>
  <c r="GE29" i="9"/>
  <c r="GF29" i="9"/>
  <c r="GG29" i="9"/>
  <c r="GH29" i="9"/>
  <c r="FY30" i="9"/>
  <c r="FZ30" i="9"/>
  <c r="GA30" i="9"/>
  <c r="GB30" i="9"/>
  <c r="GC30" i="9"/>
  <c r="GD30" i="9"/>
  <c r="GE30" i="9"/>
  <c r="GF30" i="9"/>
  <c r="GG30" i="9"/>
  <c r="GH30" i="9"/>
  <c r="FY31" i="9"/>
  <c r="FZ31" i="9"/>
  <c r="GA31" i="9"/>
  <c r="GB31" i="9"/>
  <c r="GC31" i="9"/>
  <c r="GD31" i="9"/>
  <c r="GE31" i="9"/>
  <c r="GF31" i="9"/>
  <c r="GG31" i="9"/>
  <c r="GH31" i="9"/>
  <c r="FY32" i="9"/>
  <c r="FZ32" i="9"/>
  <c r="GA32" i="9"/>
  <c r="GB32" i="9"/>
  <c r="GC32" i="9"/>
  <c r="GD32" i="9"/>
  <c r="GE32" i="9"/>
  <c r="GF32" i="9"/>
  <c r="GG32" i="9"/>
  <c r="GH32" i="9"/>
  <c r="FY33" i="9"/>
  <c r="FZ33" i="9"/>
  <c r="GA33" i="9"/>
  <c r="GB33" i="9"/>
  <c r="GC33" i="9"/>
  <c r="GD33" i="9"/>
  <c r="GE33" i="9"/>
  <c r="GF33" i="9"/>
  <c r="GG33" i="9"/>
  <c r="GH33" i="9"/>
  <c r="FY34" i="9"/>
  <c r="FZ34" i="9"/>
  <c r="GA34" i="9"/>
  <c r="GB34" i="9"/>
  <c r="GC34" i="9"/>
  <c r="GD34" i="9"/>
  <c r="GE34" i="9"/>
  <c r="GF34" i="9"/>
  <c r="GG34" i="9"/>
  <c r="GH34" i="9"/>
  <c r="FY35" i="9"/>
  <c r="FZ35" i="9"/>
  <c r="GA35" i="9"/>
  <c r="GB35" i="9"/>
  <c r="GC35" i="9"/>
  <c r="GD35" i="9"/>
  <c r="GE35" i="9"/>
  <c r="GF35" i="9"/>
  <c r="GG35" i="9"/>
  <c r="GH35" i="9"/>
  <c r="FY36" i="9"/>
  <c r="FZ36" i="9"/>
  <c r="GA36" i="9"/>
  <c r="GB36" i="9"/>
  <c r="GC36" i="9"/>
  <c r="GD36" i="9"/>
  <c r="GE36" i="9"/>
  <c r="GF36" i="9"/>
  <c r="GG36" i="9"/>
  <c r="GH36" i="9"/>
  <c r="FY37" i="9"/>
  <c r="FZ37" i="9"/>
  <c r="GA37" i="9"/>
  <c r="GB37" i="9"/>
  <c r="GC37" i="9"/>
  <c r="GD37" i="9"/>
  <c r="GE37" i="9"/>
  <c r="GF37" i="9"/>
  <c r="GG37" i="9"/>
  <c r="GH37" i="9"/>
  <c r="FY38" i="9"/>
  <c r="FZ38" i="9"/>
  <c r="GA38" i="9"/>
  <c r="GB38" i="9"/>
  <c r="GC38" i="9"/>
  <c r="GD38" i="9"/>
  <c r="GE38" i="9"/>
  <c r="GF38" i="9"/>
  <c r="GG38" i="9"/>
  <c r="GH38" i="9"/>
  <c r="GH26" i="9"/>
  <c r="GG26" i="9"/>
  <c r="GF26" i="9"/>
  <c r="GE26" i="9"/>
  <c r="GD26" i="9"/>
  <c r="GC26" i="9"/>
  <c r="GB26" i="9"/>
  <c r="GA26" i="9"/>
  <c r="FZ26" i="9"/>
  <c r="FY26" i="9"/>
  <c r="FY9" i="9"/>
  <c r="FZ9" i="9"/>
  <c r="GA9" i="9"/>
  <c r="GB9" i="9"/>
  <c r="GC9" i="9"/>
  <c r="GD9" i="9"/>
  <c r="GE9" i="9"/>
  <c r="GF9" i="9"/>
  <c r="GG9" i="9"/>
  <c r="GH9" i="9"/>
  <c r="FY10" i="9"/>
  <c r="FZ10" i="9"/>
  <c r="GA10" i="9"/>
  <c r="GB10" i="9"/>
  <c r="GC10" i="9"/>
  <c r="GD10" i="9"/>
  <c r="GE10" i="9"/>
  <c r="GF10" i="9"/>
  <c r="GG10" i="9"/>
  <c r="GH10" i="9"/>
  <c r="FY11" i="9"/>
  <c r="FZ11" i="9"/>
  <c r="GA11" i="9"/>
  <c r="GB11" i="9"/>
  <c r="GC11" i="9"/>
  <c r="GD11" i="9"/>
  <c r="GE11" i="9"/>
  <c r="GF11" i="9"/>
  <c r="GG11" i="9"/>
  <c r="GH11" i="9"/>
  <c r="FY12" i="9"/>
  <c r="FZ12" i="9"/>
  <c r="GA12" i="9"/>
  <c r="GB12" i="9"/>
  <c r="GC12" i="9"/>
  <c r="GD12" i="9"/>
  <c r="GE12" i="9"/>
  <c r="GF12" i="9"/>
  <c r="GG12" i="9"/>
  <c r="GH12" i="9"/>
  <c r="FY13" i="9"/>
  <c r="FZ13" i="9"/>
  <c r="GA13" i="9"/>
  <c r="GB13" i="9"/>
  <c r="GC13" i="9"/>
  <c r="GD13" i="9"/>
  <c r="GE13" i="9"/>
  <c r="GF13" i="9"/>
  <c r="GG13" i="9"/>
  <c r="GH13" i="9"/>
  <c r="FY14" i="9"/>
  <c r="FZ14" i="9"/>
  <c r="GA14" i="9"/>
  <c r="GB14" i="9"/>
  <c r="GC14" i="9"/>
  <c r="GD14" i="9"/>
  <c r="GE14" i="9"/>
  <c r="GF14" i="9"/>
  <c r="GG14" i="9"/>
  <c r="GH14" i="9"/>
  <c r="FY15" i="9"/>
  <c r="FZ15" i="9"/>
  <c r="GA15" i="9"/>
  <c r="GB15" i="9"/>
  <c r="GC15" i="9"/>
  <c r="GD15" i="9"/>
  <c r="GE15" i="9"/>
  <c r="GF15" i="9"/>
  <c r="GG15" i="9"/>
  <c r="GH15" i="9"/>
  <c r="FY16" i="9"/>
  <c r="FZ16" i="9"/>
  <c r="GA16" i="9"/>
  <c r="GB16" i="9"/>
  <c r="GC16" i="9"/>
  <c r="GD16" i="9"/>
  <c r="GE16" i="9"/>
  <c r="GF16" i="9"/>
  <c r="GG16" i="9"/>
  <c r="GH16" i="9"/>
  <c r="FY17" i="9"/>
  <c r="FZ17" i="9"/>
  <c r="GA17" i="9"/>
  <c r="GB17" i="9"/>
  <c r="GC17" i="9"/>
  <c r="GD17" i="9"/>
  <c r="GE17" i="9"/>
  <c r="GF17" i="9"/>
  <c r="GG17" i="9"/>
  <c r="GH17" i="9"/>
  <c r="FY18" i="9"/>
  <c r="FZ18" i="9"/>
  <c r="GA18" i="9"/>
  <c r="GB18" i="9"/>
  <c r="GC18" i="9"/>
  <c r="GD18" i="9"/>
  <c r="GE18" i="9"/>
  <c r="GF18" i="9"/>
  <c r="GG18" i="9"/>
  <c r="GH18" i="9"/>
  <c r="FY19" i="9"/>
  <c r="FZ19" i="9"/>
  <c r="GA19" i="9"/>
  <c r="GB19" i="9"/>
  <c r="GC19" i="9"/>
  <c r="GD19" i="9"/>
  <c r="GE19" i="9"/>
  <c r="GF19" i="9"/>
  <c r="GG19" i="9"/>
  <c r="GH19" i="9"/>
  <c r="FY20" i="9"/>
  <c r="FZ20" i="9"/>
  <c r="GA20" i="9"/>
  <c r="GB20" i="9"/>
  <c r="GC20" i="9"/>
  <c r="GD20" i="9"/>
  <c r="GE20" i="9"/>
  <c r="GF20" i="9"/>
  <c r="GG20" i="9"/>
  <c r="GH20" i="9"/>
  <c r="FY21" i="9"/>
  <c r="FZ21" i="9"/>
  <c r="GA21" i="9"/>
  <c r="GB21" i="9"/>
  <c r="GC21" i="9"/>
  <c r="GD21" i="9"/>
  <c r="GE21" i="9"/>
  <c r="GF21" i="9"/>
  <c r="GG21" i="9"/>
  <c r="GH21" i="9"/>
  <c r="FY22" i="9"/>
  <c r="FZ22" i="9"/>
  <c r="GA22" i="9"/>
  <c r="GB22" i="9"/>
  <c r="GC22" i="9"/>
  <c r="GD22" i="9"/>
  <c r="GE22" i="9"/>
  <c r="GF22" i="9"/>
  <c r="GG22" i="9"/>
  <c r="GH22" i="9"/>
  <c r="FY23" i="9"/>
  <c r="FZ23" i="9"/>
  <c r="GA23" i="9"/>
  <c r="GB23" i="9"/>
  <c r="GC23" i="9"/>
  <c r="GD23" i="9"/>
  <c r="GE23" i="9"/>
  <c r="GF23" i="9"/>
  <c r="GG23" i="9"/>
  <c r="GH23" i="9"/>
  <c r="FZ8" i="9"/>
  <c r="GA8" i="9"/>
  <c r="GB8" i="9"/>
  <c r="GC8" i="9"/>
  <c r="GD8" i="9"/>
  <c r="GE8" i="9"/>
  <c r="GF8" i="9"/>
  <c r="GG8" i="9"/>
  <c r="GH8" i="9"/>
  <c r="FY8" i="9"/>
  <c r="FJ53" i="9"/>
  <c r="FK53" i="9"/>
  <c r="FL53" i="9"/>
  <c r="FM53" i="9"/>
  <c r="FN53" i="9"/>
  <c r="FJ39" i="9"/>
  <c r="FK39" i="9"/>
  <c r="FL39" i="9"/>
  <c r="FM39" i="9"/>
  <c r="FN39" i="9"/>
  <c r="FJ24" i="9"/>
  <c r="FK24" i="9"/>
  <c r="FL24" i="9"/>
  <c r="FM24" i="9"/>
  <c r="FN24" i="9"/>
  <c r="FJ6" i="9"/>
  <c r="FK6" i="9"/>
  <c r="FL6" i="9"/>
  <c r="FM6" i="9"/>
  <c r="FN6" i="9"/>
  <c r="FY39" i="9" l="1"/>
  <c r="GA39" i="9"/>
  <c r="FJ5" i="9"/>
  <c r="GH24" i="9"/>
  <c r="GF39" i="9"/>
  <c r="GE53" i="9"/>
  <c r="GC53" i="9"/>
  <c r="GG6" i="9"/>
  <c r="GF53" i="9"/>
  <c r="FZ53" i="9"/>
  <c r="GB53" i="9"/>
  <c r="GH6" i="9"/>
  <c r="GB24" i="9"/>
  <c r="GA24" i="9"/>
  <c r="GF6" i="9"/>
  <c r="GE39" i="9"/>
  <c r="FY6" i="9"/>
  <c r="GF24" i="9"/>
  <c r="GH53" i="9"/>
  <c r="GG53" i="9"/>
  <c r="GB6" i="9"/>
  <c r="GC24" i="9"/>
  <c r="GG24" i="9"/>
  <c r="GG39" i="9"/>
  <c r="FY53" i="9"/>
  <c r="GD53" i="9"/>
  <c r="GA53" i="9"/>
  <c r="GB39" i="9"/>
  <c r="GC39" i="9"/>
  <c r="FZ39" i="9"/>
  <c r="GH39" i="9"/>
  <c r="GD39" i="9"/>
  <c r="GD24" i="9"/>
  <c r="GE24" i="9"/>
  <c r="GE6" i="9"/>
  <c r="GD6" i="9"/>
  <c r="FY24" i="9"/>
  <c r="FZ24" i="9"/>
  <c r="FZ6" i="9"/>
  <c r="GC6" i="9"/>
  <c r="GA6" i="9"/>
  <c r="FK5" i="9"/>
  <c r="FL5" i="9"/>
  <c r="FN5" i="9"/>
  <c r="FM5" i="9"/>
  <c r="GN53" i="9"/>
  <c r="GO53" i="9"/>
  <c r="GP53" i="9"/>
  <c r="GQ53" i="9"/>
  <c r="GR53" i="9"/>
  <c r="GN39" i="9"/>
  <c r="GO39" i="9"/>
  <c r="GP39" i="9"/>
  <c r="GQ39" i="9"/>
  <c r="GR39" i="9"/>
  <c r="GN24" i="9"/>
  <c r="GO24" i="9"/>
  <c r="GP24" i="9"/>
  <c r="GQ24" i="9"/>
  <c r="GR24" i="9"/>
  <c r="GN6" i="9"/>
  <c r="GO6" i="9"/>
  <c r="GP6" i="9"/>
  <c r="GQ6" i="9"/>
  <c r="GR6" i="9"/>
  <c r="NO53" i="9"/>
  <c r="NP53" i="9"/>
  <c r="NQ53" i="9"/>
  <c r="NR53" i="9"/>
  <c r="NS53" i="9"/>
  <c r="NO39" i="9"/>
  <c r="NP39" i="9"/>
  <c r="NQ39" i="9"/>
  <c r="NR39" i="9"/>
  <c r="NS39" i="9"/>
  <c r="NO24" i="9"/>
  <c r="NP24" i="9"/>
  <c r="NQ24" i="9"/>
  <c r="NR24" i="9"/>
  <c r="NS24" i="9"/>
  <c r="NO6" i="9"/>
  <c r="NP6" i="9"/>
  <c r="NQ6" i="9"/>
  <c r="NR6" i="9"/>
  <c r="NS6" i="9"/>
  <c r="MK53" i="9"/>
  <c r="ML53" i="9"/>
  <c r="MM53" i="9"/>
  <c r="MN53" i="9"/>
  <c r="MO53" i="9"/>
  <c r="MK39" i="9"/>
  <c r="ML39" i="9"/>
  <c r="MM39" i="9"/>
  <c r="MN39" i="9"/>
  <c r="MO39" i="9"/>
  <c r="MK24" i="9"/>
  <c r="ML24" i="9"/>
  <c r="MM24" i="9"/>
  <c r="MN24" i="9"/>
  <c r="MO24" i="9"/>
  <c r="MK6" i="9"/>
  <c r="ML6" i="9"/>
  <c r="MM6" i="9"/>
  <c r="MN6" i="9"/>
  <c r="MO6" i="9"/>
  <c r="HR53" i="9"/>
  <c r="HS53" i="9"/>
  <c r="HT53" i="9"/>
  <c r="HU53" i="9"/>
  <c r="HV53" i="9"/>
  <c r="HR39" i="9"/>
  <c r="HS39" i="9"/>
  <c r="HT39" i="9"/>
  <c r="HU39" i="9"/>
  <c r="HV39" i="9"/>
  <c r="HR24" i="9"/>
  <c r="HS24" i="9"/>
  <c r="HT24" i="9"/>
  <c r="HU24" i="9"/>
  <c r="HV24" i="9"/>
  <c r="HR6" i="9"/>
  <c r="HS6" i="9"/>
  <c r="HT6" i="9"/>
  <c r="HU6" i="9"/>
  <c r="HV6" i="9"/>
  <c r="EF53" i="9"/>
  <c r="EG53" i="9"/>
  <c r="EH53" i="9"/>
  <c r="EI53" i="9"/>
  <c r="EJ53" i="9"/>
  <c r="EF39" i="9"/>
  <c r="EG39" i="9"/>
  <c r="EH39" i="9"/>
  <c r="EI39" i="9"/>
  <c r="EJ39" i="9"/>
  <c r="EF24" i="9"/>
  <c r="EG24" i="9"/>
  <c r="EH24" i="9"/>
  <c r="EI24" i="9"/>
  <c r="EJ24" i="9"/>
  <c r="EF6" i="9"/>
  <c r="EG6" i="9"/>
  <c r="EH6" i="9"/>
  <c r="EI6" i="9"/>
  <c r="EJ6" i="9"/>
  <c r="CW6" i="9"/>
  <c r="CX6" i="9"/>
  <c r="CY6" i="9"/>
  <c r="CZ6" i="9"/>
  <c r="GG5" i="9" l="1"/>
  <c r="GF5" i="9"/>
  <c r="FY5" i="9"/>
  <c r="GB5" i="9"/>
  <c r="GA5" i="9"/>
  <c r="GC5" i="9"/>
  <c r="GH5" i="9"/>
  <c r="DA6" i="9"/>
  <c r="DA5" i="9" s="1"/>
  <c r="GE5" i="9"/>
  <c r="GD5" i="9"/>
  <c r="FZ5" i="9"/>
  <c r="GP5" i="9"/>
  <c r="GR5" i="9"/>
  <c r="GO5" i="9"/>
  <c r="GN5" i="9"/>
  <c r="GQ5" i="9"/>
  <c r="NS5" i="9"/>
  <c r="NO5" i="9"/>
  <c r="NQ5" i="9"/>
  <c r="NP5" i="9"/>
  <c r="NR5" i="9"/>
  <c r="ML5" i="9"/>
  <c r="MK5" i="9"/>
  <c r="MM5" i="9"/>
  <c r="MO5" i="9"/>
  <c r="MN5" i="9"/>
  <c r="HR5" i="9"/>
  <c r="HT5" i="9"/>
  <c r="HU5" i="9"/>
  <c r="HS5" i="9"/>
  <c r="HV5" i="9"/>
  <c r="EH5" i="9"/>
  <c r="EI5" i="9"/>
  <c r="EJ5" i="9"/>
  <c r="EF5" i="9"/>
  <c r="EG5" i="9"/>
  <c r="CY5" i="9"/>
  <c r="CW5" i="9"/>
  <c r="CX5" i="9"/>
  <c r="CZ5" i="9"/>
  <c r="BH6" i="9"/>
  <c r="BG6" i="9"/>
  <c r="BF6" i="9"/>
  <c r="BE6" i="9"/>
  <c r="CX55" i="19"/>
  <c r="CX56" i="19"/>
  <c r="CX57" i="19"/>
  <c r="CX58" i="19"/>
  <c r="CX59" i="19"/>
  <c r="CX60" i="19"/>
  <c r="CX61" i="19"/>
  <c r="CX62" i="19"/>
  <c r="CX63" i="19"/>
  <c r="CX54" i="19"/>
  <c r="CX41" i="19"/>
  <c r="CX42" i="19"/>
  <c r="CX43" i="19"/>
  <c r="CX44" i="19"/>
  <c r="CX45" i="19"/>
  <c r="CX46" i="19"/>
  <c r="CX47" i="19"/>
  <c r="CX48" i="19"/>
  <c r="CX49" i="19"/>
  <c r="CX50" i="19"/>
  <c r="CX51" i="19"/>
  <c r="CX40" i="19"/>
  <c r="CX26" i="19"/>
  <c r="CX27" i="19"/>
  <c r="CX28" i="19"/>
  <c r="CX29" i="19"/>
  <c r="CX30" i="19"/>
  <c r="CX31" i="19"/>
  <c r="CX32" i="19"/>
  <c r="CX33" i="19"/>
  <c r="CX34" i="19"/>
  <c r="CX35" i="19"/>
  <c r="CX36" i="19"/>
  <c r="CX37" i="19"/>
  <c r="CX25" i="19"/>
  <c r="CX8" i="19"/>
  <c r="CX9" i="19"/>
  <c r="CX10" i="19"/>
  <c r="CX11" i="19"/>
  <c r="CX12" i="19"/>
  <c r="CX13" i="19"/>
  <c r="CX14" i="19"/>
  <c r="CX15" i="19"/>
  <c r="CX16" i="19"/>
  <c r="CX17" i="19"/>
  <c r="CX18" i="19"/>
  <c r="CX19" i="19"/>
  <c r="CX20" i="19"/>
  <c r="CX21" i="19"/>
  <c r="CX22" i="19"/>
  <c r="CX7" i="19"/>
  <c r="CU52" i="19"/>
  <c r="CV52" i="19"/>
  <c r="C54" i="31" s="1"/>
  <c r="CW52" i="19"/>
  <c r="E54" i="31" s="1"/>
  <c r="CY52" i="19"/>
  <c r="G54" i="31" s="1"/>
  <c r="CU38" i="19"/>
  <c r="CV38" i="19"/>
  <c r="C40" i="31" s="1"/>
  <c r="CW38" i="19"/>
  <c r="E40" i="31" s="1"/>
  <c r="CY38" i="19"/>
  <c r="G40" i="31" s="1"/>
  <c r="CU23" i="19"/>
  <c r="CV23" i="19"/>
  <c r="C25" i="31" s="1"/>
  <c r="CW23" i="19"/>
  <c r="E25" i="31" s="1"/>
  <c r="CY23" i="19"/>
  <c r="G25" i="31" s="1"/>
  <c r="I40" i="31" l="1"/>
  <c r="K40" i="31"/>
  <c r="K54" i="31"/>
  <c r="M25" i="31"/>
  <c r="M54" i="31"/>
  <c r="CX52" i="19"/>
  <c r="M40" i="31"/>
  <c r="I25" i="31"/>
  <c r="I54" i="31"/>
  <c r="K25" i="31"/>
  <c r="BI6" i="9"/>
  <c r="BI5" i="9" s="1"/>
  <c r="BE5" i="9"/>
  <c r="BF5" i="9"/>
  <c r="BG5" i="9"/>
  <c r="BH5" i="9"/>
  <c r="CX38" i="19"/>
  <c r="CX23" i="19"/>
  <c r="CU5" i="19"/>
  <c r="CV5" i="19"/>
  <c r="C7" i="31" s="1"/>
  <c r="CW5" i="19"/>
  <c r="E7" i="31" s="1"/>
  <c r="CY5" i="19"/>
  <c r="CX5" i="19"/>
  <c r="CU4" i="19" l="1"/>
  <c r="CY4" i="19"/>
  <c r="G7" i="31"/>
  <c r="M7" i="31"/>
  <c r="CW4" i="19"/>
  <c r="E6" i="31" s="1"/>
  <c r="K7" i="31"/>
  <c r="CV4" i="19"/>
  <c r="C6" i="31" s="1"/>
  <c r="I7" i="31"/>
  <c r="CX4" i="19"/>
  <c r="H65" i="23"/>
  <c r="H64" i="23"/>
  <c r="H63" i="23"/>
  <c r="H62" i="23"/>
  <c r="H61" i="23"/>
  <c r="H60" i="23"/>
  <c r="H59" i="23"/>
  <c r="H58" i="23"/>
  <c r="H57" i="23"/>
  <c r="H56" i="23"/>
  <c r="H53" i="23"/>
  <c r="H52" i="23"/>
  <c r="H51" i="23"/>
  <c r="H50" i="23"/>
  <c r="H49" i="23"/>
  <c r="H48" i="23"/>
  <c r="H47" i="23"/>
  <c r="H46" i="23"/>
  <c r="H45" i="23"/>
  <c r="H44" i="23"/>
  <c r="H43" i="23"/>
  <c r="H42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D65" i="23"/>
  <c r="D64" i="23"/>
  <c r="D63" i="23"/>
  <c r="D62" i="23"/>
  <c r="D61" i="23"/>
  <c r="D60" i="23"/>
  <c r="D59" i="23"/>
  <c r="D58" i="23"/>
  <c r="D57" i="23"/>
  <c r="D56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C65" i="23"/>
  <c r="C64" i="23"/>
  <c r="C63" i="23"/>
  <c r="C62" i="23"/>
  <c r="C61" i="23"/>
  <c r="C60" i="23"/>
  <c r="C59" i="23"/>
  <c r="C58" i="23"/>
  <c r="C57" i="23"/>
  <c r="C56" i="23"/>
  <c r="C53" i="23"/>
  <c r="C52" i="23"/>
  <c r="C51" i="23"/>
  <c r="C50" i="23"/>
  <c r="C49" i="23"/>
  <c r="C48" i="23"/>
  <c r="C47" i="23"/>
  <c r="C46" i="23"/>
  <c r="C45" i="23"/>
  <c r="C44" i="23"/>
  <c r="C43" i="23"/>
  <c r="C42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K6" i="31" l="1"/>
  <c r="M6" i="31"/>
  <c r="G6" i="31"/>
  <c r="I6" i="31"/>
  <c r="BY52" i="19"/>
  <c r="BZ52" i="19"/>
  <c r="BY38" i="19"/>
  <c r="BZ38" i="19"/>
  <c r="BY23" i="19"/>
  <c r="BZ23" i="19"/>
  <c r="BY5" i="19"/>
  <c r="BZ5" i="19"/>
  <c r="BX63" i="19"/>
  <c r="BX62" i="19"/>
  <c r="BX61" i="19"/>
  <c r="BX60" i="19"/>
  <c r="BX59" i="19"/>
  <c r="BX58" i="19"/>
  <c r="BX57" i="19"/>
  <c r="BX56" i="19"/>
  <c r="BX55" i="19"/>
  <c r="BX54" i="19"/>
  <c r="BX51" i="19"/>
  <c r="BX50" i="19"/>
  <c r="BX49" i="19"/>
  <c r="BX48" i="19"/>
  <c r="BX47" i="19"/>
  <c r="BX46" i="19"/>
  <c r="BX45" i="19"/>
  <c r="BX44" i="19"/>
  <c r="BX43" i="19"/>
  <c r="BX42" i="19"/>
  <c r="BX41" i="19"/>
  <c r="BX40" i="19"/>
  <c r="BX37" i="19"/>
  <c r="BX36" i="19"/>
  <c r="BX35" i="19"/>
  <c r="BX34" i="19"/>
  <c r="BX33" i="19"/>
  <c r="BX32" i="19"/>
  <c r="BX31" i="19"/>
  <c r="BX30" i="19"/>
  <c r="BX29" i="19"/>
  <c r="BX28" i="19"/>
  <c r="BX27" i="19"/>
  <c r="BX26" i="19"/>
  <c r="BX25" i="19"/>
  <c r="BX22" i="19"/>
  <c r="BX21" i="19"/>
  <c r="BX20" i="19"/>
  <c r="BX19" i="19"/>
  <c r="BX18" i="19"/>
  <c r="BX17" i="19"/>
  <c r="BX16" i="19"/>
  <c r="BX15" i="19"/>
  <c r="BX14" i="19"/>
  <c r="BX13" i="19"/>
  <c r="BX12" i="19"/>
  <c r="BX11" i="19"/>
  <c r="BX10" i="19"/>
  <c r="BX9" i="19"/>
  <c r="BX8" i="19"/>
  <c r="BX7" i="19"/>
  <c r="BK52" i="19"/>
  <c r="BJ52" i="19"/>
  <c r="BK38" i="19"/>
  <c r="BJ38" i="19"/>
  <c r="BK23" i="19"/>
  <c r="BJ23" i="19"/>
  <c r="BK5" i="19"/>
  <c r="BJ5" i="19"/>
  <c r="BX38" i="19" l="1"/>
  <c r="BX5" i="19"/>
  <c r="BX23" i="19"/>
  <c r="BX52" i="19"/>
  <c r="BZ4" i="19"/>
  <c r="BY4" i="19"/>
  <c r="BJ4" i="19"/>
  <c r="BK4" i="19"/>
  <c r="EB24" i="9"/>
  <c r="EC24" i="9"/>
  <c r="EA53" i="9"/>
  <c r="EB53" i="9"/>
  <c r="EC53" i="9"/>
  <c r="ED53" i="9"/>
  <c r="EE53" i="9"/>
  <c r="EA39" i="9"/>
  <c r="EB39" i="9"/>
  <c r="EC39" i="9"/>
  <c r="ED39" i="9"/>
  <c r="EE39" i="9"/>
  <c r="EA24" i="9"/>
  <c r="ED24" i="9"/>
  <c r="EE24" i="9"/>
  <c r="EA6" i="9"/>
  <c r="EB6" i="9"/>
  <c r="EC6" i="9"/>
  <c r="ED6" i="9"/>
  <c r="EE6" i="9"/>
  <c r="BX4" i="19" l="1"/>
  <c r="ED5" i="9"/>
  <c r="EE5" i="9"/>
  <c r="EC5" i="9"/>
  <c r="EB5" i="9"/>
  <c r="EA5" i="9"/>
  <c r="NM53" i="9"/>
  <c r="NK53" i="9"/>
  <c r="NL53" i="9"/>
  <c r="NN53" i="9"/>
  <c r="NK39" i="9"/>
  <c r="NL39" i="9"/>
  <c r="NM39" i="9"/>
  <c r="NN39" i="9"/>
  <c r="NK24" i="9"/>
  <c r="NL24" i="9"/>
  <c r="NM24" i="9"/>
  <c r="NN24" i="9"/>
  <c r="NK6" i="9"/>
  <c r="NL6" i="9"/>
  <c r="NM6" i="9"/>
  <c r="NN6" i="9"/>
  <c r="MG53" i="9"/>
  <c r="MH53" i="9"/>
  <c r="MI53" i="9"/>
  <c r="MJ53" i="9"/>
  <c r="MG39" i="9"/>
  <c r="MH39" i="9"/>
  <c r="MI39" i="9"/>
  <c r="MJ39" i="9"/>
  <c r="MG24" i="9"/>
  <c r="MH24" i="9"/>
  <c r="MI24" i="9"/>
  <c r="MJ24" i="9"/>
  <c r="MG6" i="9"/>
  <c r="MH6" i="9"/>
  <c r="MI6" i="9"/>
  <c r="MJ6" i="9"/>
  <c r="HQ53" i="9"/>
  <c r="HP53" i="9"/>
  <c r="HO53" i="9"/>
  <c r="HN53" i="9"/>
  <c r="HM53" i="9"/>
  <c r="HQ39" i="9"/>
  <c r="HP39" i="9"/>
  <c r="HO39" i="9"/>
  <c r="HN39" i="9"/>
  <c r="HM39" i="9"/>
  <c r="HQ24" i="9"/>
  <c r="HP24" i="9"/>
  <c r="HO24" i="9"/>
  <c r="HN24" i="9"/>
  <c r="HM24" i="9"/>
  <c r="HQ6" i="9"/>
  <c r="HP6" i="9"/>
  <c r="HO6" i="9"/>
  <c r="HN6" i="9"/>
  <c r="HM6" i="9"/>
  <c r="GM53" i="9"/>
  <c r="GL53" i="9"/>
  <c r="GK53" i="9"/>
  <c r="GJ53" i="9"/>
  <c r="GI53" i="9"/>
  <c r="GM39" i="9"/>
  <c r="GL39" i="9"/>
  <c r="GK39" i="9"/>
  <c r="GJ39" i="9"/>
  <c r="GI39" i="9"/>
  <c r="GM24" i="9"/>
  <c r="GL24" i="9"/>
  <c r="GK24" i="9"/>
  <c r="GJ24" i="9"/>
  <c r="GI24" i="9"/>
  <c r="GM6" i="9"/>
  <c r="GL6" i="9"/>
  <c r="GK6" i="9"/>
  <c r="GJ6" i="9"/>
  <c r="GI6" i="9"/>
  <c r="FI53" i="9"/>
  <c r="FH53" i="9"/>
  <c r="FG53" i="9"/>
  <c r="FF53" i="9"/>
  <c r="FE53" i="9"/>
  <c r="FI39" i="9"/>
  <c r="FH39" i="9"/>
  <c r="FG39" i="9"/>
  <c r="FF39" i="9"/>
  <c r="FE39" i="9"/>
  <c r="FI24" i="9"/>
  <c r="FH24" i="9"/>
  <c r="FG24" i="9"/>
  <c r="FF24" i="9"/>
  <c r="FE24" i="9"/>
  <c r="FI6" i="9"/>
  <c r="FH6" i="9"/>
  <c r="FG6" i="9"/>
  <c r="FF6" i="9"/>
  <c r="FE6" i="9"/>
  <c r="CV6" i="9"/>
  <c r="CU6" i="9"/>
  <c r="CT6" i="9"/>
  <c r="CS6" i="9"/>
  <c r="CR6" i="9"/>
  <c r="AT53" i="9"/>
  <c r="AS53" i="9"/>
  <c r="AR53" i="9"/>
  <c r="AQ53" i="9"/>
  <c r="AP53" i="9"/>
  <c r="AT39" i="9"/>
  <c r="AS39" i="9"/>
  <c r="AR39" i="9"/>
  <c r="AQ39" i="9"/>
  <c r="AP39" i="9"/>
  <c r="AT24" i="9"/>
  <c r="AS24" i="9"/>
  <c r="AR24" i="9"/>
  <c r="AQ24" i="9"/>
  <c r="AP24" i="9"/>
  <c r="AT6" i="9"/>
  <c r="AS6" i="9"/>
  <c r="AR6" i="9"/>
  <c r="AQ6" i="9"/>
  <c r="AP6" i="9"/>
  <c r="HQ5" i="9" l="1"/>
  <c r="NN5" i="9"/>
  <c r="MI5" i="9"/>
  <c r="NM5" i="9"/>
  <c r="GI5" i="9"/>
  <c r="HN5" i="9"/>
  <c r="MH5" i="9"/>
  <c r="NL5" i="9"/>
  <c r="HO5" i="9"/>
  <c r="MG5" i="9"/>
  <c r="NK5" i="9"/>
  <c r="MJ5" i="9"/>
  <c r="HM5" i="9"/>
  <c r="CV5" i="9"/>
  <c r="HP5" i="9"/>
  <c r="AP5" i="9"/>
  <c r="GM5" i="9"/>
  <c r="FE5" i="9"/>
  <c r="GJ5" i="9"/>
  <c r="GK5" i="9"/>
  <c r="GL5" i="9"/>
  <c r="FH5" i="9"/>
  <c r="FF5" i="9"/>
  <c r="FG5" i="9"/>
  <c r="FI5" i="9"/>
  <c r="CR5" i="9"/>
  <c r="CU5" i="9"/>
  <c r="CT5" i="9"/>
  <c r="AT5" i="9"/>
  <c r="CS5" i="9"/>
  <c r="AQ5" i="9"/>
  <c r="AS5" i="9"/>
  <c r="AR5" i="9"/>
  <c r="T53" i="9"/>
  <c r="U53" i="9"/>
  <c r="S53" i="9"/>
  <c r="R53" i="9"/>
  <c r="Q53" i="9"/>
  <c r="U39" i="9"/>
  <c r="T39" i="9"/>
  <c r="S39" i="9"/>
  <c r="R39" i="9"/>
  <c r="Q39" i="9"/>
  <c r="U24" i="9"/>
  <c r="T24" i="9"/>
  <c r="S24" i="9"/>
  <c r="R24" i="9"/>
  <c r="Q24" i="9"/>
  <c r="U6" i="9"/>
  <c r="T6" i="9"/>
  <c r="S6" i="9"/>
  <c r="R6" i="9"/>
  <c r="Q6" i="9"/>
  <c r="T5" i="9" l="1"/>
  <c r="S5" i="9"/>
  <c r="R5" i="9"/>
  <c r="U5" i="9"/>
  <c r="Q5" i="9"/>
  <c r="CR52" i="19"/>
  <c r="CS52" i="19"/>
  <c r="CT52" i="19"/>
  <c r="CR38" i="19"/>
  <c r="CS38" i="19"/>
  <c r="CT38" i="19"/>
  <c r="CR23" i="19"/>
  <c r="CS23" i="19"/>
  <c r="CT23" i="19"/>
  <c r="CQ52" i="19"/>
  <c r="CQ38" i="19"/>
  <c r="CQ23" i="19"/>
  <c r="CP52" i="19"/>
  <c r="CP38" i="19"/>
  <c r="CP23" i="19"/>
  <c r="CT5" i="19" l="1"/>
  <c r="CT4" i="19" l="1"/>
  <c r="BO52" i="19"/>
  <c r="BP52" i="19"/>
  <c r="BQ52" i="19"/>
  <c r="BR52" i="19"/>
  <c r="BS52" i="19"/>
  <c r="BT52" i="19"/>
  <c r="BU52" i="19"/>
  <c r="BV52" i="19"/>
  <c r="BW52" i="19"/>
  <c r="BO38" i="19"/>
  <c r="BP38" i="19"/>
  <c r="BQ38" i="19"/>
  <c r="BR38" i="19"/>
  <c r="BS38" i="19"/>
  <c r="BT38" i="19"/>
  <c r="BU38" i="19"/>
  <c r="BV38" i="19"/>
  <c r="BW38" i="19"/>
  <c r="BO23" i="19"/>
  <c r="BP23" i="19"/>
  <c r="BQ23" i="19"/>
  <c r="BR23" i="19"/>
  <c r="BS23" i="19"/>
  <c r="BT23" i="19"/>
  <c r="BU23" i="19"/>
  <c r="BV23" i="19"/>
  <c r="BW23" i="19"/>
  <c r="BO5" i="19"/>
  <c r="BP5" i="19"/>
  <c r="BQ5" i="19"/>
  <c r="BR5" i="19"/>
  <c r="BS5" i="19"/>
  <c r="BT5" i="19"/>
  <c r="BU5" i="19"/>
  <c r="BV5" i="19"/>
  <c r="BW5" i="19"/>
  <c r="BN52" i="19"/>
  <c r="BN38" i="19"/>
  <c r="BN23" i="19"/>
  <c r="BN5" i="19"/>
  <c r="BM52" i="19"/>
  <c r="BM38" i="19"/>
  <c r="BM23" i="19"/>
  <c r="BM5" i="19"/>
  <c r="BL52" i="19"/>
  <c r="BL38" i="19"/>
  <c r="BL23" i="19"/>
  <c r="BL5" i="19"/>
  <c r="BI52" i="19"/>
  <c r="BI38" i="19"/>
  <c r="BI23" i="19"/>
  <c r="BI5" i="19"/>
  <c r="CQ5" i="19"/>
  <c r="CR5" i="19"/>
  <c r="CS5" i="19"/>
  <c r="F65" i="31"/>
  <c r="D65" i="31"/>
  <c r="B65" i="31"/>
  <c r="F64" i="31"/>
  <c r="D64" i="31"/>
  <c r="B64" i="31"/>
  <c r="F63" i="31"/>
  <c r="D63" i="31"/>
  <c r="B63" i="31"/>
  <c r="F62" i="31"/>
  <c r="D62" i="31"/>
  <c r="B62" i="31"/>
  <c r="F61" i="31"/>
  <c r="D61" i="31"/>
  <c r="B61" i="31"/>
  <c r="F60" i="31"/>
  <c r="D60" i="31"/>
  <c r="B60" i="31"/>
  <c r="F59" i="31"/>
  <c r="D59" i="31"/>
  <c r="B59" i="31"/>
  <c r="F58" i="31"/>
  <c r="D58" i="31"/>
  <c r="B58" i="31"/>
  <c r="F57" i="31"/>
  <c r="D57" i="31"/>
  <c r="B57" i="31"/>
  <c r="F56" i="31"/>
  <c r="D56" i="31"/>
  <c r="B56" i="31"/>
  <c r="F53" i="31"/>
  <c r="D53" i="31"/>
  <c r="B53" i="31"/>
  <c r="F52" i="31"/>
  <c r="D52" i="31"/>
  <c r="B52" i="31"/>
  <c r="F51" i="31"/>
  <c r="D51" i="31"/>
  <c r="B51" i="31"/>
  <c r="F50" i="31"/>
  <c r="D50" i="31"/>
  <c r="B50" i="31"/>
  <c r="F49" i="31"/>
  <c r="D49" i="31"/>
  <c r="B49" i="31"/>
  <c r="F48" i="31"/>
  <c r="D48" i="31"/>
  <c r="B48" i="31"/>
  <c r="F47" i="31"/>
  <c r="D47" i="31"/>
  <c r="B47" i="31"/>
  <c r="F46" i="31"/>
  <c r="D46" i="31"/>
  <c r="B46" i="31"/>
  <c r="F45" i="31"/>
  <c r="D45" i="31"/>
  <c r="B45" i="31"/>
  <c r="F44" i="31"/>
  <c r="D44" i="31"/>
  <c r="B44" i="31"/>
  <c r="F43" i="31"/>
  <c r="D43" i="31"/>
  <c r="B43" i="31"/>
  <c r="F42" i="31"/>
  <c r="D42" i="31"/>
  <c r="B42" i="31"/>
  <c r="F39" i="31"/>
  <c r="D39" i="31"/>
  <c r="B39" i="31"/>
  <c r="F38" i="31"/>
  <c r="D38" i="31"/>
  <c r="B38" i="31"/>
  <c r="F37" i="31"/>
  <c r="D37" i="31"/>
  <c r="B37" i="31"/>
  <c r="F36" i="31"/>
  <c r="D36" i="31"/>
  <c r="B36" i="31"/>
  <c r="F35" i="31"/>
  <c r="D35" i="31"/>
  <c r="B35" i="31"/>
  <c r="F34" i="31"/>
  <c r="D34" i="31"/>
  <c r="B34" i="31"/>
  <c r="F33" i="31"/>
  <c r="D33" i="31"/>
  <c r="B33" i="31"/>
  <c r="F32" i="31"/>
  <c r="D32" i="31"/>
  <c r="B32" i="31"/>
  <c r="F31" i="31"/>
  <c r="D31" i="31"/>
  <c r="B31" i="31"/>
  <c r="F30" i="31"/>
  <c r="D30" i="31"/>
  <c r="B30" i="31"/>
  <c r="F29" i="31"/>
  <c r="D29" i="31"/>
  <c r="B29" i="31"/>
  <c r="F28" i="31"/>
  <c r="D28" i="31"/>
  <c r="B28" i="31"/>
  <c r="F27" i="31"/>
  <c r="D27" i="31"/>
  <c r="B27" i="31"/>
  <c r="F24" i="31"/>
  <c r="D24" i="31"/>
  <c r="B24" i="31"/>
  <c r="F23" i="31"/>
  <c r="D23" i="31"/>
  <c r="B23" i="31"/>
  <c r="F22" i="31"/>
  <c r="D22" i="31"/>
  <c r="B22" i="31"/>
  <c r="F21" i="31"/>
  <c r="D21" i="31"/>
  <c r="B21" i="31"/>
  <c r="F20" i="31"/>
  <c r="D20" i="31"/>
  <c r="B20" i="31"/>
  <c r="F19" i="31"/>
  <c r="D19" i="31"/>
  <c r="B19" i="31"/>
  <c r="F18" i="31"/>
  <c r="D18" i="31"/>
  <c r="B18" i="31"/>
  <c r="F17" i="31"/>
  <c r="D17" i="31"/>
  <c r="B17" i="31"/>
  <c r="F16" i="31"/>
  <c r="D16" i="31"/>
  <c r="B16" i="31"/>
  <c r="F15" i="31"/>
  <c r="D15" i="31"/>
  <c r="B15" i="31"/>
  <c r="F14" i="31"/>
  <c r="D14" i="31"/>
  <c r="B14" i="31"/>
  <c r="F13" i="31"/>
  <c r="D13" i="31"/>
  <c r="B13" i="31"/>
  <c r="F12" i="31"/>
  <c r="D12" i="31"/>
  <c r="B12" i="31"/>
  <c r="F11" i="31"/>
  <c r="D11" i="31"/>
  <c r="B11" i="31"/>
  <c r="F10" i="31"/>
  <c r="D10" i="31"/>
  <c r="B10" i="31"/>
  <c r="F9" i="31"/>
  <c r="D9" i="31"/>
  <c r="B9" i="31"/>
  <c r="BP4" i="19" l="1"/>
  <c r="BL4" i="19"/>
  <c r="BI4" i="19"/>
  <c r="BO4" i="19"/>
  <c r="BV4" i="19"/>
  <c r="BS4" i="19"/>
  <c r="BR4" i="19"/>
  <c r="BQ4" i="19"/>
  <c r="BW4" i="19"/>
  <c r="BU4" i="19"/>
  <c r="BT4" i="19"/>
  <c r="BM4" i="19"/>
  <c r="BN4" i="19"/>
  <c r="CQ4" i="19"/>
  <c r="CS4" i="19"/>
  <c r="CR4" i="19"/>
  <c r="CP5" i="19" l="1"/>
  <c r="NJ6" i="9"/>
  <c r="NJ24" i="9"/>
  <c r="NJ39" i="9"/>
  <c r="NJ53" i="9"/>
  <c r="MF53" i="9"/>
  <c r="MF39" i="9"/>
  <c r="MF24" i="9"/>
  <c r="MF6" i="9"/>
  <c r="CO52" i="19"/>
  <c r="CN52" i="19"/>
  <c r="CM52" i="19"/>
  <c r="CL52" i="19"/>
  <c r="CK52" i="19"/>
  <c r="CJ52" i="19"/>
  <c r="CI52" i="19"/>
  <c r="CH52" i="19"/>
  <c r="CG52" i="19"/>
  <c r="CF52" i="19"/>
  <c r="CE52" i="19"/>
  <c r="CD52" i="19"/>
  <c r="CC52" i="19"/>
  <c r="CB52" i="19"/>
  <c r="CA52" i="19"/>
  <c r="BH52" i="19"/>
  <c r="BG52" i="19"/>
  <c r="BF52" i="19"/>
  <c r="BE52" i="19"/>
  <c r="BD52" i="19"/>
  <c r="BC52" i="19"/>
  <c r="AD54" i="31" s="1"/>
  <c r="K55" i="10" s="1"/>
  <c r="BB52" i="19"/>
  <c r="BA52" i="19"/>
  <c r="AZ52" i="19"/>
  <c r="AB54" i="31" s="1"/>
  <c r="J55" i="10" s="1"/>
  <c r="AY52" i="19"/>
  <c r="AX52" i="19"/>
  <c r="AV52" i="19"/>
  <c r="AU52" i="19"/>
  <c r="AT52" i="19"/>
  <c r="Z54" i="31" s="1"/>
  <c r="AS52" i="19"/>
  <c r="AQ52" i="19"/>
  <c r="AP52" i="19"/>
  <c r="AO52" i="19"/>
  <c r="AN52" i="19"/>
  <c r="AM52" i="19"/>
  <c r="AK52" i="19"/>
  <c r="AJ52" i="19"/>
  <c r="AI52" i="19"/>
  <c r="AG52" i="19"/>
  <c r="AF52" i="19"/>
  <c r="AE52" i="19"/>
  <c r="AD52" i="19"/>
  <c r="AC52" i="19"/>
  <c r="AB52" i="19"/>
  <c r="AA52" i="19"/>
  <c r="Y52" i="19"/>
  <c r="X52" i="19"/>
  <c r="V52" i="19"/>
  <c r="U52" i="19"/>
  <c r="S52" i="19"/>
  <c r="R52" i="19"/>
  <c r="Q52" i="19"/>
  <c r="O52" i="19"/>
  <c r="N52" i="19"/>
  <c r="L52" i="19"/>
  <c r="K52" i="19"/>
  <c r="I52" i="19"/>
  <c r="H52" i="19"/>
  <c r="G52" i="19"/>
  <c r="F52" i="19"/>
  <c r="E52" i="19"/>
  <c r="D52" i="19"/>
  <c r="C52" i="19"/>
  <c r="B52" i="19"/>
  <c r="CO38" i="19"/>
  <c r="CN38" i="19"/>
  <c r="CM38" i="19"/>
  <c r="CL38" i="19"/>
  <c r="CK38" i="19"/>
  <c r="CJ38" i="19"/>
  <c r="CI38" i="19"/>
  <c r="CH38" i="19"/>
  <c r="CG38" i="19"/>
  <c r="CF38" i="19"/>
  <c r="CE38" i="19"/>
  <c r="CD38" i="19"/>
  <c r="CC38" i="19"/>
  <c r="CB38" i="19"/>
  <c r="CA38" i="19"/>
  <c r="BH38" i="19"/>
  <c r="BG38" i="19"/>
  <c r="BF38" i="19"/>
  <c r="BE38" i="19"/>
  <c r="BD38" i="19"/>
  <c r="BC38" i="19"/>
  <c r="AD40" i="31" s="1"/>
  <c r="K41" i="10" s="1"/>
  <c r="BB38" i="19"/>
  <c r="BA38" i="19"/>
  <c r="AZ38" i="19"/>
  <c r="AB40" i="31" s="1"/>
  <c r="J41" i="10" s="1"/>
  <c r="AY38" i="19"/>
  <c r="AX38" i="19"/>
  <c r="AV38" i="19"/>
  <c r="AU38" i="19"/>
  <c r="AT38" i="19"/>
  <c r="Z40" i="31" s="1"/>
  <c r="AS38" i="19"/>
  <c r="AQ38" i="19"/>
  <c r="AP38" i="19"/>
  <c r="AO38" i="19"/>
  <c r="AN38" i="19"/>
  <c r="AM38" i="19"/>
  <c r="AK38" i="19"/>
  <c r="AJ38" i="19"/>
  <c r="AI38" i="19"/>
  <c r="AG38" i="19"/>
  <c r="AF38" i="19"/>
  <c r="AE38" i="19"/>
  <c r="AD38" i="19"/>
  <c r="AC38" i="19"/>
  <c r="AB38" i="19"/>
  <c r="AA38" i="19"/>
  <c r="Y38" i="19"/>
  <c r="X38" i="19"/>
  <c r="V38" i="19"/>
  <c r="U38" i="19"/>
  <c r="S38" i="19"/>
  <c r="R38" i="19"/>
  <c r="Q38" i="19"/>
  <c r="O38" i="19"/>
  <c r="N38" i="19"/>
  <c r="L38" i="19"/>
  <c r="K38" i="19"/>
  <c r="I38" i="19"/>
  <c r="H38" i="19"/>
  <c r="G38" i="19"/>
  <c r="F38" i="19"/>
  <c r="E38" i="19"/>
  <c r="D38" i="19"/>
  <c r="C38" i="19"/>
  <c r="B38" i="19"/>
  <c r="CO23" i="19"/>
  <c r="CN23" i="19"/>
  <c r="CM23" i="19"/>
  <c r="CL23" i="19"/>
  <c r="CK23" i="19"/>
  <c r="CJ23" i="19"/>
  <c r="CI23" i="19"/>
  <c r="CH23" i="19"/>
  <c r="CG23" i="19"/>
  <c r="CF23" i="19"/>
  <c r="CE23" i="19"/>
  <c r="CD23" i="19"/>
  <c r="CC23" i="19"/>
  <c r="CB23" i="19"/>
  <c r="CA23" i="19"/>
  <c r="BH23" i="19"/>
  <c r="BG23" i="19"/>
  <c r="BF23" i="19"/>
  <c r="BE23" i="19"/>
  <c r="BD23" i="19"/>
  <c r="BC23" i="19"/>
  <c r="AD25" i="31" s="1"/>
  <c r="K26" i="10" s="1"/>
  <c r="BB23" i="19"/>
  <c r="BA23" i="19"/>
  <c r="AZ23" i="19"/>
  <c r="AB25" i="31" s="1"/>
  <c r="J26" i="10" s="1"/>
  <c r="AY23" i="19"/>
  <c r="AX23" i="19"/>
  <c r="AV23" i="19"/>
  <c r="AU23" i="19"/>
  <c r="AT23" i="19"/>
  <c r="Z25" i="31" s="1"/>
  <c r="AS23" i="19"/>
  <c r="AQ23" i="19"/>
  <c r="AP23" i="19"/>
  <c r="AO23" i="19"/>
  <c r="AN23" i="19"/>
  <c r="AM23" i="19"/>
  <c r="AK23" i="19"/>
  <c r="AJ23" i="19"/>
  <c r="AI23" i="19"/>
  <c r="AG23" i="19"/>
  <c r="AF23" i="19"/>
  <c r="AE23" i="19"/>
  <c r="AD23" i="19"/>
  <c r="AC23" i="19"/>
  <c r="AB23" i="19"/>
  <c r="AA23" i="19"/>
  <c r="Y23" i="19"/>
  <c r="X23" i="19"/>
  <c r="V23" i="19"/>
  <c r="U23" i="19"/>
  <c r="S23" i="19"/>
  <c r="R23" i="19"/>
  <c r="Q23" i="19"/>
  <c r="O23" i="19"/>
  <c r="N23" i="19"/>
  <c r="L23" i="19"/>
  <c r="K23" i="19"/>
  <c r="I23" i="19"/>
  <c r="H23" i="19"/>
  <c r="G23" i="19"/>
  <c r="F23" i="19"/>
  <c r="E23" i="19"/>
  <c r="D23" i="19"/>
  <c r="C23" i="19"/>
  <c r="B23" i="19"/>
  <c r="CO5" i="19"/>
  <c r="CN5" i="19"/>
  <c r="CN4" i="19" s="1"/>
  <c r="CM5" i="19"/>
  <c r="CL5" i="19"/>
  <c r="CK5" i="19"/>
  <c r="CK4" i="19" s="1"/>
  <c r="CJ5" i="19"/>
  <c r="CI5" i="19"/>
  <c r="CH5" i="19"/>
  <c r="CG5" i="19"/>
  <c r="CF5" i="19"/>
  <c r="CE5" i="19"/>
  <c r="CD5" i="19"/>
  <c r="CC5" i="19"/>
  <c r="CB5" i="19"/>
  <c r="CB4" i="19" s="1"/>
  <c r="CA5" i="19"/>
  <c r="BH5" i="19"/>
  <c r="BH4" i="19" s="1"/>
  <c r="BG5" i="19"/>
  <c r="BF5" i="19"/>
  <c r="BF4" i="19" s="1"/>
  <c r="BE5" i="19"/>
  <c r="BD5" i="19"/>
  <c r="BD4" i="19" s="1"/>
  <c r="BC5" i="19"/>
  <c r="BB5" i="19"/>
  <c r="BA5" i="19"/>
  <c r="AZ5" i="19"/>
  <c r="AY5" i="19"/>
  <c r="AX5" i="19"/>
  <c r="AV5" i="19"/>
  <c r="AU5" i="19"/>
  <c r="AT5" i="19"/>
  <c r="AS5" i="19"/>
  <c r="AQ5" i="19"/>
  <c r="AP5" i="19"/>
  <c r="AO5" i="19"/>
  <c r="AO4" i="19" s="1"/>
  <c r="AN5" i="19"/>
  <c r="AN4" i="19" s="1"/>
  <c r="AM5" i="19"/>
  <c r="AM4" i="19" s="1"/>
  <c r="AK5" i="19"/>
  <c r="AK4" i="19" s="1"/>
  <c r="AJ5" i="19"/>
  <c r="AI5" i="19"/>
  <c r="AG5" i="19"/>
  <c r="AF5" i="19"/>
  <c r="AE5" i="19"/>
  <c r="AD5" i="19"/>
  <c r="AC5" i="19"/>
  <c r="AB5" i="19"/>
  <c r="AB4" i="19" s="1"/>
  <c r="AA5" i="19"/>
  <c r="AA4" i="19" s="1"/>
  <c r="Y5" i="19"/>
  <c r="Y4" i="19" s="1"/>
  <c r="X5" i="19"/>
  <c r="V5" i="19"/>
  <c r="V4" i="19" s="1"/>
  <c r="U5" i="19"/>
  <c r="U4" i="19" s="1"/>
  <c r="S5" i="19"/>
  <c r="R5" i="19"/>
  <c r="R4" i="19" s="1"/>
  <c r="Q5" i="19"/>
  <c r="Q4" i="19" s="1"/>
  <c r="O5" i="19"/>
  <c r="O4" i="19" s="1"/>
  <c r="N5" i="19"/>
  <c r="N4" i="19" s="1"/>
  <c r="L5" i="19"/>
  <c r="L4" i="19" s="1"/>
  <c r="K5" i="19"/>
  <c r="I5" i="19"/>
  <c r="H5" i="19"/>
  <c r="H4" i="19" s="1"/>
  <c r="G5" i="19"/>
  <c r="F5" i="19"/>
  <c r="E5" i="19"/>
  <c r="D5" i="19"/>
  <c r="D4" i="19" s="1"/>
  <c r="C5" i="19"/>
  <c r="B5" i="19"/>
  <c r="BA4" i="19" l="1"/>
  <c r="I26" i="10"/>
  <c r="I41" i="10"/>
  <c r="I55" i="10"/>
  <c r="R25" i="31"/>
  <c r="N40" i="31"/>
  <c r="R40" i="31"/>
  <c r="N54" i="31"/>
  <c r="R54" i="31"/>
  <c r="N25" i="31"/>
  <c r="P25" i="31"/>
  <c r="P40" i="31"/>
  <c r="P54" i="31"/>
  <c r="AS4" i="19"/>
  <c r="AI4" i="19"/>
  <c r="NJ5" i="9"/>
  <c r="S4" i="19"/>
  <c r="BG4" i="19"/>
  <c r="AE4" i="19"/>
  <c r="CJ4" i="19"/>
  <c r="X4" i="19"/>
  <c r="CH4" i="19"/>
  <c r="CG4" i="19"/>
  <c r="AY4" i="19"/>
  <c r="AP4" i="19"/>
  <c r="F4" i="19"/>
  <c r="AC4" i="19"/>
  <c r="AX4" i="19"/>
  <c r="AQ4" i="19"/>
  <c r="AV4" i="19"/>
  <c r="CC4" i="19"/>
  <c r="CD4" i="19"/>
  <c r="I4" i="19"/>
  <c r="AU4" i="19"/>
  <c r="G4" i="19"/>
  <c r="AD4" i="19"/>
  <c r="AF4" i="19"/>
  <c r="CF4" i="19"/>
  <c r="K4" i="19"/>
  <c r="CI4" i="19"/>
  <c r="BB4" i="19"/>
  <c r="AJ4" i="19"/>
  <c r="CA4" i="19"/>
  <c r="AG4" i="19"/>
  <c r="BE4" i="19"/>
  <c r="E4" i="19"/>
  <c r="CE4" i="19"/>
  <c r="CL4" i="19"/>
  <c r="AT4" i="19"/>
  <c r="CM4" i="19"/>
  <c r="AZ4" i="19"/>
  <c r="BC4" i="19"/>
  <c r="CO4" i="19"/>
  <c r="CP4" i="19"/>
  <c r="MF5" i="9"/>
  <c r="ME53" i="9"/>
  <c r="MD53" i="9"/>
  <c r="MC53" i="9"/>
  <c r="MB53" i="9"/>
  <c r="MA53" i="9"/>
  <c r="LZ53" i="9"/>
  <c r="LY53" i="9"/>
  <c r="LX53" i="9"/>
  <c r="LW53" i="9"/>
  <c r="LV53" i="9"/>
  <c r="LU53" i="9"/>
  <c r="LT53" i="9"/>
  <c r="LS53" i="9"/>
  <c r="LR53" i="9"/>
  <c r="LQ53" i="9"/>
  <c r="LM53" i="9"/>
  <c r="LL53" i="9"/>
  <c r="LJ53" i="9"/>
  <c r="LI53" i="9"/>
  <c r="LG53" i="9"/>
  <c r="LF53" i="9"/>
  <c r="LD53" i="9"/>
  <c r="LC53" i="9"/>
  <c r="LA53" i="9"/>
  <c r="KZ53" i="9"/>
  <c r="KY53" i="9"/>
  <c r="H54" i="23" s="1"/>
  <c r="KX53" i="9"/>
  <c r="KW53" i="9"/>
  <c r="KV53" i="9"/>
  <c r="KU53" i="9"/>
  <c r="KK53" i="9"/>
  <c r="KJ53" i="9"/>
  <c r="KH53" i="9"/>
  <c r="KG53" i="9"/>
  <c r="KD53" i="9"/>
  <c r="KC53" i="9"/>
  <c r="KB53" i="9"/>
  <c r="KA53" i="9"/>
  <c r="ME39" i="9"/>
  <c r="MD39" i="9"/>
  <c r="MC39" i="9"/>
  <c r="MB39" i="9"/>
  <c r="MA39" i="9"/>
  <c r="LZ39" i="9"/>
  <c r="LY39" i="9"/>
  <c r="LX39" i="9"/>
  <c r="LW39" i="9"/>
  <c r="LV39" i="9"/>
  <c r="LU39" i="9"/>
  <c r="LT39" i="9"/>
  <c r="LS39" i="9"/>
  <c r="LR39" i="9"/>
  <c r="LQ39" i="9"/>
  <c r="LM39" i="9"/>
  <c r="LL39" i="9"/>
  <c r="LJ39" i="9"/>
  <c r="LI39" i="9"/>
  <c r="LG39" i="9"/>
  <c r="LF39" i="9"/>
  <c r="LD39" i="9"/>
  <c r="LC39" i="9"/>
  <c r="LA39" i="9"/>
  <c r="KZ39" i="9"/>
  <c r="KY39" i="9"/>
  <c r="H40" i="23" s="1"/>
  <c r="KX39" i="9"/>
  <c r="KW39" i="9"/>
  <c r="KV39" i="9"/>
  <c r="KU39" i="9"/>
  <c r="KK39" i="9"/>
  <c r="KJ39" i="9"/>
  <c r="KH39" i="9"/>
  <c r="KG39" i="9"/>
  <c r="KD39" i="9"/>
  <c r="KC39" i="9"/>
  <c r="KB39" i="9"/>
  <c r="KA39" i="9"/>
  <c r="ME24" i="9"/>
  <c r="MD24" i="9"/>
  <c r="MC24" i="9"/>
  <c r="MB24" i="9"/>
  <c r="MA24" i="9"/>
  <c r="LZ24" i="9"/>
  <c r="LY24" i="9"/>
  <c r="LX24" i="9"/>
  <c r="LW24" i="9"/>
  <c r="LV24" i="9"/>
  <c r="LU24" i="9"/>
  <c r="LT24" i="9"/>
  <c r="LS24" i="9"/>
  <c r="LR24" i="9"/>
  <c r="LQ24" i="9"/>
  <c r="LM24" i="9"/>
  <c r="LL24" i="9"/>
  <c r="LJ24" i="9"/>
  <c r="LI24" i="9"/>
  <c r="LG24" i="9"/>
  <c r="LF24" i="9"/>
  <c r="LD24" i="9"/>
  <c r="LC24" i="9"/>
  <c r="LA24" i="9"/>
  <c r="KZ24" i="9"/>
  <c r="KY24" i="9"/>
  <c r="H25" i="23" s="1"/>
  <c r="KX24" i="9"/>
  <c r="KW24" i="9"/>
  <c r="KV24" i="9"/>
  <c r="KU24" i="9"/>
  <c r="KK24" i="9"/>
  <c r="KJ24" i="9"/>
  <c r="KH24" i="9"/>
  <c r="KG24" i="9"/>
  <c r="KD24" i="9"/>
  <c r="KC24" i="9"/>
  <c r="KB24" i="9"/>
  <c r="KA24" i="9"/>
  <c r="ME6" i="9"/>
  <c r="MD6" i="9"/>
  <c r="MC6" i="9"/>
  <c r="MB6" i="9"/>
  <c r="MA6" i="9"/>
  <c r="LZ6" i="9"/>
  <c r="LY6" i="9"/>
  <c r="LX6" i="9"/>
  <c r="LW6" i="9"/>
  <c r="LV6" i="9"/>
  <c r="LU6" i="9"/>
  <c r="LT6" i="9"/>
  <c r="LS6" i="9"/>
  <c r="LR6" i="9"/>
  <c r="LQ6" i="9"/>
  <c r="LM6" i="9"/>
  <c r="LL6" i="9"/>
  <c r="LJ6" i="9"/>
  <c r="LI6" i="9"/>
  <c r="LG6" i="9"/>
  <c r="LF6" i="9"/>
  <c r="LD6" i="9"/>
  <c r="LC6" i="9"/>
  <c r="LA6" i="9"/>
  <c r="KZ6" i="9"/>
  <c r="KY6" i="9"/>
  <c r="H7" i="23" s="1"/>
  <c r="KX6" i="9"/>
  <c r="KW6" i="9"/>
  <c r="KV6" i="9"/>
  <c r="KU6" i="9"/>
  <c r="KK6" i="9"/>
  <c r="KJ6" i="9"/>
  <c r="KH6" i="9"/>
  <c r="KG6" i="9"/>
  <c r="KD6" i="9"/>
  <c r="KC6" i="9"/>
  <c r="KB6" i="9"/>
  <c r="KA6" i="9"/>
  <c r="JU53" i="9"/>
  <c r="JT53" i="9"/>
  <c r="JS53" i="9"/>
  <c r="JL53" i="9"/>
  <c r="JK53" i="9"/>
  <c r="JI53" i="9"/>
  <c r="JH53" i="9"/>
  <c r="JF53" i="9"/>
  <c r="JE53" i="9"/>
  <c r="JD53" i="9"/>
  <c r="JC53" i="9"/>
  <c r="IY53" i="9"/>
  <c r="JU39" i="9"/>
  <c r="JT39" i="9"/>
  <c r="JS39" i="9"/>
  <c r="JL39" i="9"/>
  <c r="JK39" i="9"/>
  <c r="JI39" i="9"/>
  <c r="JH39" i="9"/>
  <c r="JF39" i="9"/>
  <c r="JE39" i="9"/>
  <c r="JD39" i="9"/>
  <c r="JC39" i="9"/>
  <c r="IY39" i="9"/>
  <c r="JU24" i="9"/>
  <c r="JT24" i="9"/>
  <c r="JS24" i="9"/>
  <c r="JL24" i="9"/>
  <c r="JK24" i="9"/>
  <c r="JI24" i="9"/>
  <c r="JH24" i="9"/>
  <c r="JF24" i="9"/>
  <c r="JE24" i="9"/>
  <c r="JD24" i="9"/>
  <c r="JC24" i="9"/>
  <c r="IY24" i="9"/>
  <c r="JU6" i="9"/>
  <c r="JT6" i="9"/>
  <c r="JS6" i="9"/>
  <c r="JL6" i="9"/>
  <c r="JK6" i="9"/>
  <c r="JI6" i="9"/>
  <c r="JH6" i="9"/>
  <c r="JF6" i="9"/>
  <c r="JE6" i="9"/>
  <c r="JD6" i="9"/>
  <c r="JC6" i="9"/>
  <c r="IY6" i="9"/>
  <c r="IX53" i="9"/>
  <c r="IW53" i="9"/>
  <c r="IU53" i="9"/>
  <c r="IT53" i="9"/>
  <c r="IR53" i="9"/>
  <c r="IQ53" i="9"/>
  <c r="IM53" i="9"/>
  <c r="IX39" i="9"/>
  <c r="IW39" i="9"/>
  <c r="IU39" i="9"/>
  <c r="IT39" i="9"/>
  <c r="IR39" i="9"/>
  <c r="IQ39" i="9"/>
  <c r="IM39" i="9"/>
  <c r="IX24" i="9"/>
  <c r="IW24" i="9"/>
  <c r="IU24" i="9"/>
  <c r="IT24" i="9"/>
  <c r="IR24" i="9"/>
  <c r="IQ24" i="9"/>
  <c r="IM24" i="9"/>
  <c r="IW6" i="9"/>
  <c r="IX6" i="9"/>
  <c r="IU6" i="9"/>
  <c r="IT6" i="9"/>
  <c r="IR6" i="9"/>
  <c r="IQ6" i="9"/>
  <c r="IM6" i="9"/>
  <c r="IL53" i="9"/>
  <c r="IK53" i="9"/>
  <c r="II53" i="9"/>
  <c r="IH53" i="9"/>
  <c r="ID53" i="9"/>
  <c r="IL39" i="9"/>
  <c r="IK39" i="9"/>
  <c r="II39" i="9"/>
  <c r="IH39" i="9"/>
  <c r="ID39" i="9"/>
  <c r="IL24" i="9"/>
  <c r="IK24" i="9"/>
  <c r="II24" i="9"/>
  <c r="IH24" i="9"/>
  <c r="ID24" i="9"/>
  <c r="IL6" i="9"/>
  <c r="IK6" i="9"/>
  <c r="II6" i="9"/>
  <c r="IH6" i="9"/>
  <c r="ID6" i="9"/>
  <c r="IC6" i="9"/>
  <c r="IB6" i="9"/>
  <c r="NI53" i="9"/>
  <c r="NH53" i="9"/>
  <c r="NG53" i="9"/>
  <c r="NF53" i="9"/>
  <c r="NE53" i="9"/>
  <c r="ND53" i="9"/>
  <c r="NC53" i="9"/>
  <c r="NB53" i="9"/>
  <c r="NA53" i="9"/>
  <c r="MZ53" i="9"/>
  <c r="NI39" i="9"/>
  <c r="NH39" i="9"/>
  <c r="NG39" i="9"/>
  <c r="NF39" i="9"/>
  <c r="NE39" i="9"/>
  <c r="ND39" i="9"/>
  <c r="NC39" i="9"/>
  <c r="NB39" i="9"/>
  <c r="NA39" i="9"/>
  <c r="MZ39" i="9"/>
  <c r="NI24" i="9"/>
  <c r="NH24" i="9"/>
  <c r="NG24" i="9"/>
  <c r="NF24" i="9"/>
  <c r="NE24" i="9"/>
  <c r="ND24" i="9"/>
  <c r="NC24" i="9"/>
  <c r="NB24" i="9"/>
  <c r="NA24" i="9"/>
  <c r="MZ24" i="9"/>
  <c r="NI6" i="9"/>
  <c r="NH6" i="9"/>
  <c r="NG6" i="9"/>
  <c r="NF6" i="9"/>
  <c r="NE6" i="9"/>
  <c r="ND6" i="9"/>
  <c r="NC6" i="9"/>
  <c r="NB6" i="9"/>
  <c r="NA6" i="9"/>
  <c r="MZ6" i="9"/>
  <c r="HL53" i="9"/>
  <c r="HK53" i="9"/>
  <c r="HJ53" i="9"/>
  <c r="HI53" i="9"/>
  <c r="HH53" i="9"/>
  <c r="HG53" i="9"/>
  <c r="HF53" i="9"/>
  <c r="HE53" i="9"/>
  <c r="HD53" i="9"/>
  <c r="HC53" i="9"/>
  <c r="FD53" i="9"/>
  <c r="FC53" i="9"/>
  <c r="FB53" i="9"/>
  <c r="FA53" i="9"/>
  <c r="EZ53" i="9"/>
  <c r="EY53" i="9"/>
  <c r="EX53" i="9"/>
  <c r="EW53" i="9"/>
  <c r="EV53" i="9"/>
  <c r="EU53" i="9"/>
  <c r="HL39" i="9"/>
  <c r="HK39" i="9"/>
  <c r="HJ39" i="9"/>
  <c r="HI39" i="9"/>
  <c r="HH39" i="9"/>
  <c r="HG39" i="9"/>
  <c r="HF39" i="9"/>
  <c r="HE39" i="9"/>
  <c r="HD39" i="9"/>
  <c r="HC39" i="9"/>
  <c r="FD39" i="9"/>
  <c r="FC39" i="9"/>
  <c r="FB39" i="9"/>
  <c r="FA39" i="9"/>
  <c r="EZ39" i="9"/>
  <c r="EY39" i="9"/>
  <c r="EX39" i="9"/>
  <c r="EW39" i="9"/>
  <c r="EV39" i="9"/>
  <c r="EU39" i="9"/>
  <c r="HL24" i="9"/>
  <c r="HK24" i="9"/>
  <c r="HJ24" i="9"/>
  <c r="HI24" i="9"/>
  <c r="HH24" i="9"/>
  <c r="HG24" i="9"/>
  <c r="HF24" i="9"/>
  <c r="HE24" i="9"/>
  <c r="HD24" i="9"/>
  <c r="HC24" i="9"/>
  <c r="FD24" i="9"/>
  <c r="FC24" i="9"/>
  <c r="FB24" i="9"/>
  <c r="FA24" i="9"/>
  <c r="EZ24" i="9"/>
  <c r="EY24" i="9"/>
  <c r="EX24" i="9"/>
  <c r="EW24" i="9"/>
  <c r="EV24" i="9"/>
  <c r="EU24" i="9"/>
  <c r="HL6" i="9"/>
  <c r="HK6" i="9"/>
  <c r="HJ6" i="9"/>
  <c r="HI6" i="9"/>
  <c r="HH6" i="9"/>
  <c r="HG6" i="9"/>
  <c r="HF6" i="9"/>
  <c r="HE6" i="9"/>
  <c r="HD6" i="9"/>
  <c r="HC6" i="9"/>
  <c r="FD6" i="9"/>
  <c r="FC6" i="9"/>
  <c r="FB6" i="9"/>
  <c r="FA6" i="9"/>
  <c r="EZ6" i="9"/>
  <c r="EY6" i="9"/>
  <c r="EX6" i="9"/>
  <c r="EW6" i="9"/>
  <c r="EV6" i="9"/>
  <c r="EU6" i="9"/>
  <c r="DZ53" i="9"/>
  <c r="DY53" i="9"/>
  <c r="DX53" i="9"/>
  <c r="DW53" i="9"/>
  <c r="DV53" i="9"/>
  <c r="DU53" i="9"/>
  <c r="DT53" i="9"/>
  <c r="DS53" i="9"/>
  <c r="DR53" i="9"/>
  <c r="DZ39" i="9"/>
  <c r="DY39" i="9"/>
  <c r="DX39" i="9"/>
  <c r="DW39" i="9"/>
  <c r="DV39" i="9"/>
  <c r="DU39" i="9"/>
  <c r="DT39" i="9"/>
  <c r="DS39" i="9"/>
  <c r="DR39" i="9"/>
  <c r="DZ24" i="9"/>
  <c r="DY24" i="9"/>
  <c r="DX24" i="9"/>
  <c r="DW24" i="9"/>
  <c r="DV24" i="9"/>
  <c r="DU24" i="9"/>
  <c r="DT24" i="9"/>
  <c r="DS24" i="9"/>
  <c r="DR24" i="9"/>
  <c r="DZ6" i="9"/>
  <c r="DY6" i="9"/>
  <c r="DX6" i="9"/>
  <c r="DW6" i="9"/>
  <c r="DV6" i="9"/>
  <c r="DU6" i="9"/>
  <c r="DT6" i="9"/>
  <c r="DS6" i="9"/>
  <c r="DR6" i="9"/>
  <c r="DQ6" i="9"/>
  <c r="CQ6" i="9"/>
  <c r="CP6" i="9"/>
  <c r="CO6" i="9"/>
  <c r="CN6" i="9"/>
  <c r="CM6" i="9"/>
  <c r="CL6" i="9"/>
  <c r="CK6" i="9"/>
  <c r="CJ6" i="9"/>
  <c r="CI6" i="9"/>
  <c r="CH6" i="9"/>
  <c r="CG6" i="9"/>
  <c r="CF6" i="9"/>
  <c r="CE6" i="9"/>
  <c r="CD6" i="9"/>
  <c r="CC6" i="9"/>
  <c r="F54" i="31"/>
  <c r="D54" i="31"/>
  <c r="B54" i="31"/>
  <c r="D54" i="23"/>
  <c r="C54" i="23"/>
  <c r="F40" i="31"/>
  <c r="D40" i="31"/>
  <c r="B40" i="31"/>
  <c r="D40" i="23"/>
  <c r="C40" i="23"/>
  <c r="F25" i="31"/>
  <c r="D25" i="31"/>
  <c r="B25" i="31"/>
  <c r="D25" i="23"/>
  <c r="C25" i="23"/>
  <c r="CB6" i="9"/>
  <c r="CA6" i="9"/>
  <c r="BZ6" i="9"/>
  <c r="BY6" i="9"/>
  <c r="BX6" i="9"/>
  <c r="D7" i="23" s="1"/>
  <c r="BW6" i="9"/>
  <c r="BV6" i="9"/>
  <c r="BU6" i="9"/>
  <c r="BT6" i="9"/>
  <c r="BS6" i="9"/>
  <c r="C7" i="23" s="1"/>
  <c r="BR6" i="9"/>
  <c r="BQ6" i="9"/>
  <c r="BP6" i="9"/>
  <c r="BO6" i="9"/>
  <c r="BM6" i="9"/>
  <c r="BL6" i="9"/>
  <c r="BK6" i="9"/>
  <c r="BJ6" i="9"/>
  <c r="AO6" i="9"/>
  <c r="AN6" i="9"/>
  <c r="AM6" i="9"/>
  <c r="AL6" i="9"/>
  <c r="AK6" i="9"/>
  <c r="AJ6" i="9"/>
  <c r="AI6" i="9"/>
  <c r="AH6" i="9"/>
  <c r="AG6" i="9"/>
  <c r="AF6" i="9"/>
  <c r="AO24" i="9"/>
  <c r="AN24" i="9"/>
  <c r="AM24" i="9"/>
  <c r="AL24" i="9"/>
  <c r="AK24" i="9"/>
  <c r="AJ24" i="9"/>
  <c r="AI24" i="9"/>
  <c r="AH24" i="9"/>
  <c r="AG24" i="9"/>
  <c r="AF24" i="9"/>
  <c r="AO39" i="9"/>
  <c r="AN39" i="9"/>
  <c r="AM39" i="9"/>
  <c r="AL39" i="9"/>
  <c r="AK39" i="9"/>
  <c r="AJ39" i="9"/>
  <c r="AI39" i="9"/>
  <c r="AH39" i="9"/>
  <c r="AG39" i="9"/>
  <c r="AF39" i="9"/>
  <c r="AO53" i="9"/>
  <c r="AN53" i="9"/>
  <c r="AM53" i="9"/>
  <c r="AL53" i="9"/>
  <c r="AK53" i="9"/>
  <c r="AJ53" i="9"/>
  <c r="AI53" i="9"/>
  <c r="AH53" i="9"/>
  <c r="AG53" i="9"/>
  <c r="AF53" i="9"/>
  <c r="P53" i="9"/>
  <c r="O53" i="9"/>
  <c r="N53" i="9"/>
  <c r="M53" i="9"/>
  <c r="L53" i="9"/>
  <c r="P39" i="9"/>
  <c r="O39" i="9"/>
  <c r="N39" i="9"/>
  <c r="M39" i="9"/>
  <c r="L39" i="9"/>
  <c r="P24" i="9"/>
  <c r="O24" i="9"/>
  <c r="N24" i="9"/>
  <c r="M24" i="9"/>
  <c r="L24" i="9"/>
  <c r="P6" i="9"/>
  <c r="O6" i="9"/>
  <c r="N6" i="9"/>
  <c r="M6" i="9"/>
  <c r="L6" i="9"/>
  <c r="K53" i="9"/>
  <c r="J53" i="9"/>
  <c r="I53" i="9"/>
  <c r="H53" i="9"/>
  <c r="G53" i="9"/>
  <c r="K39" i="9"/>
  <c r="J39" i="9"/>
  <c r="I39" i="9"/>
  <c r="H39" i="9"/>
  <c r="G39" i="9"/>
  <c r="K24" i="9"/>
  <c r="J24" i="9"/>
  <c r="I24" i="9"/>
  <c r="H24" i="9"/>
  <c r="G24" i="9"/>
  <c r="K6" i="9"/>
  <c r="J6" i="9"/>
  <c r="I6" i="9"/>
  <c r="H6" i="9"/>
  <c r="G6" i="9"/>
  <c r="B8" i="9"/>
  <c r="C8" i="9"/>
  <c r="D8" i="9"/>
  <c r="E8" i="9"/>
  <c r="F8" i="9"/>
  <c r="IE8" i="9"/>
  <c r="IF8" i="9"/>
  <c r="IG8" i="9"/>
  <c r="IJ8" i="9"/>
  <c r="IN8" i="9"/>
  <c r="IO8" i="9"/>
  <c r="IP8" i="9"/>
  <c r="IS8" i="9"/>
  <c r="IV8" i="9"/>
  <c r="JB8" i="9"/>
  <c r="JG8" i="9"/>
  <c r="JJ8" i="9"/>
  <c r="JQ8" i="9"/>
  <c r="JR8" i="9"/>
  <c r="JO8" i="9" s="1"/>
  <c r="JA8" i="9" s="1"/>
  <c r="JV8" i="9"/>
  <c r="G9" i="23" s="1"/>
  <c r="JY8" i="9"/>
  <c r="JZ8" i="9"/>
  <c r="KE8" i="9"/>
  <c r="KF8" i="9"/>
  <c r="KI8" i="9"/>
  <c r="KL8" i="9"/>
  <c r="KS8" i="9"/>
  <c r="KP8" i="9" s="1"/>
  <c r="KT8" i="9"/>
  <c r="KQ8" i="9" s="1"/>
  <c r="KN8" i="9" s="1"/>
  <c r="JX8" i="9" s="1"/>
  <c r="LB8" i="9"/>
  <c r="AF9" i="31" s="1"/>
  <c r="LE8" i="9"/>
  <c r="LH8" i="9"/>
  <c r="AH9" i="31" s="1"/>
  <c r="M10" i="10" s="1"/>
  <c r="LK8" i="9"/>
  <c r="AJ9" i="31" s="1"/>
  <c r="N10" i="10" s="1"/>
  <c r="LO8" i="9"/>
  <c r="LP8" i="9"/>
  <c r="B9" i="9"/>
  <c r="C9" i="9"/>
  <c r="D9" i="9"/>
  <c r="E9" i="9"/>
  <c r="F9" i="9"/>
  <c r="IE9" i="9"/>
  <c r="IF9" i="9"/>
  <c r="IG9" i="9"/>
  <c r="IJ9" i="9"/>
  <c r="IN9" i="9"/>
  <c r="IO9" i="9"/>
  <c r="IP9" i="9"/>
  <c r="IS9" i="9"/>
  <c r="IV9" i="9"/>
  <c r="JB9" i="9"/>
  <c r="JG9" i="9"/>
  <c r="JJ9" i="9"/>
  <c r="JQ9" i="9"/>
  <c r="JR9" i="9"/>
  <c r="JO9" i="9" s="1"/>
  <c r="JA9" i="9" s="1"/>
  <c r="JV9" i="9"/>
  <c r="G10" i="23" s="1"/>
  <c r="JY9" i="9"/>
  <c r="JZ9" i="9"/>
  <c r="KE9" i="9"/>
  <c r="KF9" i="9"/>
  <c r="KI9" i="9"/>
  <c r="KL9" i="9"/>
  <c r="KS9" i="9"/>
  <c r="KP9" i="9" s="1"/>
  <c r="KT9" i="9"/>
  <c r="KQ9" i="9" s="1"/>
  <c r="KN9" i="9" s="1"/>
  <c r="JX9" i="9" s="1"/>
  <c r="LB9" i="9"/>
  <c r="AF10" i="31" s="1"/>
  <c r="LE9" i="9"/>
  <c r="LH9" i="9"/>
  <c r="AH10" i="31" s="1"/>
  <c r="M11" i="10" s="1"/>
  <c r="LK9" i="9"/>
  <c r="AJ10" i="31" s="1"/>
  <c r="N11" i="10" s="1"/>
  <c r="LO9" i="9"/>
  <c r="LP9" i="9"/>
  <c r="IE10" i="9"/>
  <c r="IF10" i="9"/>
  <c r="IG10" i="9"/>
  <c r="IJ10" i="9"/>
  <c r="IN10" i="9"/>
  <c r="IO10" i="9"/>
  <c r="IP10" i="9"/>
  <c r="IS10" i="9"/>
  <c r="IV10" i="9"/>
  <c r="JB10" i="9"/>
  <c r="JG10" i="9"/>
  <c r="JJ10" i="9"/>
  <c r="JQ10" i="9"/>
  <c r="JR10" i="9"/>
  <c r="JO10" i="9" s="1"/>
  <c r="JA10" i="9" s="1"/>
  <c r="JV10" i="9"/>
  <c r="G11" i="23" s="1"/>
  <c r="JY10" i="9"/>
  <c r="JZ10" i="9"/>
  <c r="KE10" i="9"/>
  <c r="KF10" i="9"/>
  <c r="KI10" i="9"/>
  <c r="KL10" i="9"/>
  <c r="KS10" i="9"/>
  <c r="KP10" i="9" s="1"/>
  <c r="KT10" i="9"/>
  <c r="KQ10" i="9" s="1"/>
  <c r="KN10" i="9" s="1"/>
  <c r="JX10" i="9" s="1"/>
  <c r="LB10" i="9"/>
  <c r="AF11" i="31" s="1"/>
  <c r="LE10" i="9"/>
  <c r="LH10" i="9"/>
  <c r="AH11" i="31" s="1"/>
  <c r="M12" i="10" s="1"/>
  <c r="LK10" i="9"/>
  <c r="AJ11" i="31" s="1"/>
  <c r="N12" i="10" s="1"/>
  <c r="LO10" i="9"/>
  <c r="LP10" i="9"/>
  <c r="B11" i="9"/>
  <c r="C11" i="9"/>
  <c r="D11" i="9"/>
  <c r="E11" i="9"/>
  <c r="F11" i="9"/>
  <c r="IE11" i="9"/>
  <c r="IF11" i="9"/>
  <c r="IG11" i="9"/>
  <c r="IJ11" i="9"/>
  <c r="IN11" i="9"/>
  <c r="IO11" i="9"/>
  <c r="IP11" i="9"/>
  <c r="IS11" i="9"/>
  <c r="IV11" i="9"/>
  <c r="JB11" i="9"/>
  <c r="JG11" i="9"/>
  <c r="JJ11" i="9"/>
  <c r="JQ11" i="9"/>
  <c r="JN11" i="9" s="1"/>
  <c r="JR11" i="9"/>
  <c r="JO11" i="9" s="1"/>
  <c r="JA11" i="9" s="1"/>
  <c r="JV11" i="9"/>
  <c r="G12" i="23" s="1"/>
  <c r="JY11" i="9"/>
  <c r="JZ11" i="9"/>
  <c r="KE11" i="9"/>
  <c r="KF11" i="9"/>
  <c r="KI11" i="9"/>
  <c r="KL11" i="9"/>
  <c r="KS11" i="9"/>
  <c r="KT11" i="9"/>
  <c r="KQ11" i="9" s="1"/>
  <c r="KN11" i="9" s="1"/>
  <c r="JX11" i="9" s="1"/>
  <c r="LB11" i="9"/>
  <c r="AF12" i="31" s="1"/>
  <c r="LE11" i="9"/>
  <c r="LH11" i="9"/>
  <c r="AH12" i="31" s="1"/>
  <c r="M13" i="10" s="1"/>
  <c r="LK11" i="9"/>
  <c r="AJ12" i="31" s="1"/>
  <c r="N13" i="10" s="1"/>
  <c r="LO11" i="9"/>
  <c r="LP11" i="9"/>
  <c r="B12" i="9"/>
  <c r="C12" i="9"/>
  <c r="D12" i="9"/>
  <c r="E12" i="9"/>
  <c r="F12" i="9"/>
  <c r="IE12" i="9"/>
  <c r="IF12" i="9"/>
  <c r="IG12" i="9"/>
  <c r="IJ12" i="9"/>
  <c r="IN12" i="9"/>
  <c r="IO12" i="9"/>
  <c r="IP12" i="9"/>
  <c r="IS12" i="9"/>
  <c r="IV12" i="9"/>
  <c r="JB12" i="9"/>
  <c r="JG12" i="9"/>
  <c r="JJ12" i="9"/>
  <c r="JQ12" i="9"/>
  <c r="JN12" i="9" s="1"/>
  <c r="JR12" i="9"/>
  <c r="JO12" i="9" s="1"/>
  <c r="JA12" i="9" s="1"/>
  <c r="JV12" i="9"/>
  <c r="G13" i="23" s="1"/>
  <c r="JY12" i="9"/>
  <c r="JZ12" i="9"/>
  <c r="KE12" i="9"/>
  <c r="KF12" i="9"/>
  <c r="KI12" i="9"/>
  <c r="KL12" i="9"/>
  <c r="KS12" i="9"/>
  <c r="KT12" i="9"/>
  <c r="KQ12" i="9" s="1"/>
  <c r="KN12" i="9" s="1"/>
  <c r="JX12" i="9" s="1"/>
  <c r="LB12" i="9"/>
  <c r="AF13" i="31" s="1"/>
  <c r="LE12" i="9"/>
  <c r="LH12" i="9"/>
  <c r="AH13" i="31" s="1"/>
  <c r="M14" i="10" s="1"/>
  <c r="LK12" i="9"/>
  <c r="AJ13" i="31" s="1"/>
  <c r="N14" i="10" s="1"/>
  <c r="LO12" i="9"/>
  <c r="LP12" i="9"/>
  <c r="B13" i="9"/>
  <c r="C13" i="9"/>
  <c r="D13" i="9"/>
  <c r="E13" i="9"/>
  <c r="F13" i="9"/>
  <c r="IE13" i="9"/>
  <c r="IF13" i="9"/>
  <c r="IG13" i="9"/>
  <c r="IJ13" i="9"/>
  <c r="IN13" i="9"/>
  <c r="IO13" i="9"/>
  <c r="IP13" i="9"/>
  <c r="IS13" i="9"/>
  <c r="IV13" i="9"/>
  <c r="JB13" i="9"/>
  <c r="JG13" i="9"/>
  <c r="JJ13" i="9"/>
  <c r="JQ13" i="9"/>
  <c r="JN13" i="9" s="1"/>
  <c r="JR13" i="9"/>
  <c r="JO13" i="9" s="1"/>
  <c r="JA13" i="9" s="1"/>
  <c r="JV13" i="9"/>
  <c r="G14" i="23" s="1"/>
  <c r="JY13" i="9"/>
  <c r="JZ13" i="9"/>
  <c r="KE13" i="9"/>
  <c r="KF13" i="9"/>
  <c r="KI13" i="9"/>
  <c r="KL13" i="9"/>
  <c r="KS13" i="9"/>
  <c r="KT13" i="9"/>
  <c r="KQ13" i="9" s="1"/>
  <c r="KN13" i="9" s="1"/>
  <c r="JX13" i="9" s="1"/>
  <c r="LB13" i="9"/>
  <c r="AF14" i="31" s="1"/>
  <c r="LE13" i="9"/>
  <c r="LH13" i="9"/>
  <c r="AH14" i="31" s="1"/>
  <c r="M15" i="10" s="1"/>
  <c r="LK13" i="9"/>
  <c r="AJ14" i="31" s="1"/>
  <c r="N15" i="10" s="1"/>
  <c r="LO13" i="9"/>
  <c r="LP13" i="9"/>
  <c r="B14" i="9"/>
  <c r="C14" i="9"/>
  <c r="D14" i="9"/>
  <c r="E14" i="9"/>
  <c r="F14" i="9"/>
  <c r="IE14" i="9"/>
  <c r="IF14" i="9"/>
  <c r="IG14" i="9"/>
  <c r="IJ14" i="9"/>
  <c r="IN14" i="9"/>
  <c r="IO14" i="9"/>
  <c r="IP14" i="9"/>
  <c r="IS14" i="9"/>
  <c r="IV14" i="9"/>
  <c r="JB14" i="9"/>
  <c r="JG14" i="9"/>
  <c r="JJ14" i="9"/>
  <c r="JQ14" i="9"/>
  <c r="JN14" i="9" s="1"/>
  <c r="IZ14" i="9" s="1"/>
  <c r="JR14" i="9"/>
  <c r="JV14" i="9"/>
  <c r="G15" i="23" s="1"/>
  <c r="JY14" i="9"/>
  <c r="JZ14" i="9"/>
  <c r="KE14" i="9"/>
  <c r="KF14" i="9"/>
  <c r="KI14" i="9"/>
  <c r="KL14" i="9"/>
  <c r="KS14" i="9"/>
  <c r="KP14" i="9" s="1"/>
  <c r="KT14" i="9"/>
  <c r="KQ14" i="9" s="1"/>
  <c r="KN14" i="9" s="1"/>
  <c r="JX14" i="9" s="1"/>
  <c r="LB14" i="9"/>
  <c r="AF15" i="31" s="1"/>
  <c r="LE14" i="9"/>
  <c r="LH14" i="9"/>
  <c r="AH15" i="31" s="1"/>
  <c r="M16" i="10" s="1"/>
  <c r="LK14" i="9"/>
  <c r="AJ15" i="31" s="1"/>
  <c r="N16" i="10" s="1"/>
  <c r="LO14" i="9"/>
  <c r="LP14" i="9"/>
  <c r="B15" i="9"/>
  <c r="C15" i="9"/>
  <c r="D15" i="9"/>
  <c r="E15" i="9"/>
  <c r="F15" i="9"/>
  <c r="IE15" i="9"/>
  <c r="IF15" i="9"/>
  <c r="IG15" i="9"/>
  <c r="IJ15" i="9"/>
  <c r="IN15" i="9"/>
  <c r="IO15" i="9"/>
  <c r="IP15" i="9"/>
  <c r="IS15" i="9"/>
  <c r="IV15" i="9"/>
  <c r="JB15" i="9"/>
  <c r="JG15" i="9"/>
  <c r="JJ15" i="9"/>
  <c r="JQ15" i="9"/>
  <c r="JN15" i="9" s="1"/>
  <c r="IZ15" i="9" s="1"/>
  <c r="JR15" i="9"/>
  <c r="JV15" i="9"/>
  <c r="G16" i="23" s="1"/>
  <c r="JY15" i="9"/>
  <c r="JZ15" i="9"/>
  <c r="KE15" i="9"/>
  <c r="KF15" i="9"/>
  <c r="KI15" i="9"/>
  <c r="KL15" i="9"/>
  <c r="KS15" i="9"/>
  <c r="KP15" i="9" s="1"/>
  <c r="KT15" i="9"/>
  <c r="KQ15" i="9" s="1"/>
  <c r="KN15" i="9" s="1"/>
  <c r="JX15" i="9" s="1"/>
  <c r="LB15" i="9"/>
  <c r="AF16" i="31" s="1"/>
  <c r="LE15" i="9"/>
  <c r="LH15" i="9"/>
  <c r="AH16" i="31" s="1"/>
  <c r="M17" i="10" s="1"/>
  <c r="LK15" i="9"/>
  <c r="AJ16" i="31" s="1"/>
  <c r="N17" i="10" s="1"/>
  <c r="LO15" i="9"/>
  <c r="LP15" i="9"/>
  <c r="B16" i="9"/>
  <c r="C16" i="9"/>
  <c r="D16" i="9"/>
  <c r="E16" i="9"/>
  <c r="F16" i="9"/>
  <c r="IE16" i="9"/>
  <c r="IF16" i="9"/>
  <c r="IG16" i="9"/>
  <c r="IJ16" i="9"/>
  <c r="IN16" i="9"/>
  <c r="IO16" i="9"/>
  <c r="IP16" i="9"/>
  <c r="IS16" i="9"/>
  <c r="IV16" i="9"/>
  <c r="JB16" i="9"/>
  <c r="JG16" i="9"/>
  <c r="JJ16" i="9"/>
  <c r="JQ16" i="9"/>
  <c r="JN16" i="9" s="1"/>
  <c r="IZ16" i="9" s="1"/>
  <c r="JR16" i="9"/>
  <c r="JV16" i="9"/>
  <c r="G17" i="23" s="1"/>
  <c r="JY16" i="9"/>
  <c r="JZ16" i="9"/>
  <c r="KE16" i="9"/>
  <c r="KF16" i="9"/>
  <c r="KI16" i="9"/>
  <c r="KL16" i="9"/>
  <c r="KS16" i="9"/>
  <c r="KP16" i="9" s="1"/>
  <c r="KT16" i="9"/>
  <c r="KQ16" i="9" s="1"/>
  <c r="KN16" i="9" s="1"/>
  <c r="JX16" i="9" s="1"/>
  <c r="LB16" i="9"/>
  <c r="AF17" i="31" s="1"/>
  <c r="LE16" i="9"/>
  <c r="LH16" i="9"/>
  <c r="AH17" i="31" s="1"/>
  <c r="M18" i="10" s="1"/>
  <c r="LK16" i="9"/>
  <c r="AJ17" i="31" s="1"/>
  <c r="N18" i="10" s="1"/>
  <c r="LO16" i="9"/>
  <c r="LP16" i="9"/>
  <c r="B17" i="9"/>
  <c r="C17" i="9"/>
  <c r="D17" i="9"/>
  <c r="E17" i="9"/>
  <c r="F17" i="9"/>
  <c r="IE17" i="9"/>
  <c r="IF17" i="9"/>
  <c r="IG17" i="9"/>
  <c r="IJ17" i="9"/>
  <c r="IN17" i="9"/>
  <c r="IO17" i="9"/>
  <c r="IP17" i="9"/>
  <c r="IS17" i="9"/>
  <c r="IV17" i="9"/>
  <c r="JB17" i="9"/>
  <c r="JG17" i="9"/>
  <c r="JJ17" i="9"/>
  <c r="JQ17" i="9"/>
  <c r="JN17" i="9" s="1"/>
  <c r="IZ17" i="9" s="1"/>
  <c r="JR17" i="9"/>
  <c r="JV17" i="9"/>
  <c r="G18" i="23" s="1"/>
  <c r="JY17" i="9"/>
  <c r="JZ17" i="9"/>
  <c r="KE17" i="9"/>
  <c r="KF17" i="9"/>
  <c r="KI17" i="9"/>
  <c r="KL17" i="9"/>
  <c r="KS17" i="9"/>
  <c r="KP17" i="9" s="1"/>
  <c r="KT17" i="9"/>
  <c r="KQ17" i="9" s="1"/>
  <c r="KN17" i="9" s="1"/>
  <c r="JX17" i="9" s="1"/>
  <c r="LB17" i="9"/>
  <c r="AF18" i="31" s="1"/>
  <c r="LE17" i="9"/>
  <c r="LH17" i="9"/>
  <c r="AH18" i="31" s="1"/>
  <c r="M19" i="10" s="1"/>
  <c r="LK17" i="9"/>
  <c r="AJ18" i="31" s="1"/>
  <c r="N19" i="10" s="1"/>
  <c r="LO17" i="9"/>
  <c r="LP17" i="9"/>
  <c r="B18" i="9"/>
  <c r="C18" i="9"/>
  <c r="D18" i="9"/>
  <c r="E18" i="9"/>
  <c r="F18" i="9"/>
  <c r="IE18" i="9"/>
  <c r="IF18" i="9"/>
  <c r="IG18" i="9"/>
  <c r="IJ18" i="9"/>
  <c r="IN18" i="9"/>
  <c r="IO18" i="9"/>
  <c r="IP18" i="9"/>
  <c r="IS18" i="9"/>
  <c r="IV18" i="9"/>
  <c r="JB18" i="9"/>
  <c r="JG18" i="9"/>
  <c r="JJ18" i="9"/>
  <c r="JQ18" i="9"/>
  <c r="JN18" i="9" s="1"/>
  <c r="IZ18" i="9" s="1"/>
  <c r="JR18" i="9"/>
  <c r="JV18" i="9"/>
  <c r="G19" i="23" s="1"/>
  <c r="JY18" i="9"/>
  <c r="JZ18" i="9"/>
  <c r="KE18" i="9"/>
  <c r="KF18" i="9"/>
  <c r="KI18" i="9"/>
  <c r="KL18" i="9"/>
  <c r="KS18" i="9"/>
  <c r="KP18" i="9" s="1"/>
  <c r="KT18" i="9"/>
  <c r="KQ18" i="9" s="1"/>
  <c r="KN18" i="9" s="1"/>
  <c r="JX18" i="9" s="1"/>
  <c r="LB18" i="9"/>
  <c r="AF19" i="31" s="1"/>
  <c r="LE18" i="9"/>
  <c r="LH18" i="9"/>
  <c r="AH19" i="31" s="1"/>
  <c r="M20" i="10" s="1"/>
  <c r="LK18" i="9"/>
  <c r="AJ19" i="31" s="1"/>
  <c r="N20" i="10" s="1"/>
  <c r="LO18" i="9"/>
  <c r="LP18" i="9"/>
  <c r="B19" i="9"/>
  <c r="C19" i="9"/>
  <c r="D19" i="9"/>
  <c r="E19" i="9"/>
  <c r="F19" i="9"/>
  <c r="IE19" i="9"/>
  <c r="IF19" i="9"/>
  <c r="IG19" i="9"/>
  <c r="IJ19" i="9"/>
  <c r="IN19" i="9"/>
  <c r="IO19" i="9"/>
  <c r="IP19" i="9"/>
  <c r="IS19" i="9"/>
  <c r="IV19" i="9"/>
  <c r="JB19" i="9"/>
  <c r="JG19" i="9"/>
  <c r="JJ19" i="9"/>
  <c r="JQ19" i="9"/>
  <c r="JN19" i="9" s="1"/>
  <c r="IZ19" i="9" s="1"/>
  <c r="JR19" i="9"/>
  <c r="JV19" i="9"/>
  <c r="G20" i="23" s="1"/>
  <c r="JY19" i="9"/>
  <c r="JZ19" i="9"/>
  <c r="KE19" i="9"/>
  <c r="KF19" i="9"/>
  <c r="KI19" i="9"/>
  <c r="KL19" i="9"/>
  <c r="KS19" i="9"/>
  <c r="KP19" i="9" s="1"/>
  <c r="KT19" i="9"/>
  <c r="KQ19" i="9" s="1"/>
  <c r="KN19" i="9" s="1"/>
  <c r="JX19" i="9" s="1"/>
  <c r="LB19" i="9"/>
  <c r="AF20" i="31" s="1"/>
  <c r="LE19" i="9"/>
  <c r="LH19" i="9"/>
  <c r="AH20" i="31" s="1"/>
  <c r="M21" i="10" s="1"/>
  <c r="LK19" i="9"/>
  <c r="AJ20" i="31" s="1"/>
  <c r="N21" i="10" s="1"/>
  <c r="LO19" i="9"/>
  <c r="LP19" i="9"/>
  <c r="B20" i="9"/>
  <c r="C20" i="9"/>
  <c r="D20" i="9"/>
  <c r="E20" i="9"/>
  <c r="F20" i="9"/>
  <c r="IE20" i="9"/>
  <c r="IF20" i="9"/>
  <c r="IG20" i="9"/>
  <c r="IJ20" i="9"/>
  <c r="IN20" i="9"/>
  <c r="IO20" i="9"/>
  <c r="IP20" i="9"/>
  <c r="IS20" i="9"/>
  <c r="IV20" i="9"/>
  <c r="JB20" i="9"/>
  <c r="JG20" i="9"/>
  <c r="JJ20" i="9"/>
  <c r="JQ20" i="9"/>
  <c r="JN20" i="9" s="1"/>
  <c r="IZ20" i="9" s="1"/>
  <c r="JR20" i="9"/>
  <c r="JV20" i="9"/>
  <c r="G21" i="23" s="1"/>
  <c r="JY20" i="9"/>
  <c r="JZ20" i="9"/>
  <c r="KE20" i="9"/>
  <c r="KF20" i="9"/>
  <c r="KI20" i="9"/>
  <c r="KL20" i="9"/>
  <c r="KS20" i="9"/>
  <c r="KP20" i="9" s="1"/>
  <c r="KT20" i="9"/>
  <c r="KQ20" i="9" s="1"/>
  <c r="KN20" i="9" s="1"/>
  <c r="JX20" i="9" s="1"/>
  <c r="LB20" i="9"/>
  <c r="AF21" i="31" s="1"/>
  <c r="LE20" i="9"/>
  <c r="LH20" i="9"/>
  <c r="AH21" i="31" s="1"/>
  <c r="M22" i="10" s="1"/>
  <c r="LK20" i="9"/>
  <c r="AJ21" i="31" s="1"/>
  <c r="N22" i="10" s="1"/>
  <c r="LO20" i="9"/>
  <c r="LP20" i="9"/>
  <c r="B21" i="9"/>
  <c r="C21" i="9"/>
  <c r="D21" i="9"/>
  <c r="E21" i="9"/>
  <c r="F21" i="9"/>
  <c r="IE21" i="9"/>
  <c r="IF21" i="9"/>
  <c r="IG21" i="9"/>
  <c r="IJ21" i="9"/>
  <c r="IN21" i="9"/>
  <c r="IO21" i="9"/>
  <c r="IP21" i="9"/>
  <c r="IS21" i="9"/>
  <c r="IV21" i="9"/>
  <c r="JB21" i="9"/>
  <c r="JG21" i="9"/>
  <c r="JJ21" i="9"/>
  <c r="JQ21" i="9"/>
  <c r="JN21" i="9" s="1"/>
  <c r="IZ21" i="9" s="1"/>
  <c r="JR21" i="9"/>
  <c r="JV21" i="9"/>
  <c r="G22" i="23" s="1"/>
  <c r="JY21" i="9"/>
  <c r="JZ21" i="9"/>
  <c r="KE21" i="9"/>
  <c r="KF21" i="9"/>
  <c r="KI21" i="9"/>
  <c r="KL21" i="9"/>
  <c r="KS21" i="9"/>
  <c r="KP21" i="9" s="1"/>
  <c r="KT21" i="9"/>
  <c r="KQ21" i="9" s="1"/>
  <c r="KN21" i="9" s="1"/>
  <c r="JX21" i="9" s="1"/>
  <c r="LB21" i="9"/>
  <c r="AF22" i="31" s="1"/>
  <c r="LE21" i="9"/>
  <c r="LH21" i="9"/>
  <c r="AH22" i="31" s="1"/>
  <c r="M23" i="10" s="1"/>
  <c r="LK21" i="9"/>
  <c r="AJ22" i="31" s="1"/>
  <c r="N23" i="10" s="1"/>
  <c r="LO21" i="9"/>
  <c r="LP21" i="9"/>
  <c r="B22" i="9"/>
  <c r="C22" i="9"/>
  <c r="D22" i="9"/>
  <c r="E22" i="9"/>
  <c r="F22" i="9"/>
  <c r="IE22" i="9"/>
  <c r="IF22" i="9"/>
  <c r="IG22" i="9"/>
  <c r="IJ22" i="9"/>
  <c r="IN22" i="9"/>
  <c r="IO22" i="9"/>
  <c r="IP22" i="9"/>
  <c r="IS22" i="9"/>
  <c r="IV22" i="9"/>
  <c r="JB22" i="9"/>
  <c r="JG22" i="9"/>
  <c r="JJ22" i="9"/>
  <c r="JQ22" i="9"/>
  <c r="JN22" i="9" s="1"/>
  <c r="IZ22" i="9" s="1"/>
  <c r="JR22" i="9"/>
  <c r="JV22" i="9"/>
  <c r="G23" i="23" s="1"/>
  <c r="JY22" i="9"/>
  <c r="JZ22" i="9"/>
  <c r="KE22" i="9"/>
  <c r="KF22" i="9"/>
  <c r="KI22" i="9"/>
  <c r="KL22" i="9"/>
  <c r="KS22" i="9"/>
  <c r="KP22" i="9" s="1"/>
  <c r="KT22" i="9"/>
  <c r="KQ22" i="9" s="1"/>
  <c r="KN22" i="9" s="1"/>
  <c r="JX22" i="9" s="1"/>
  <c r="LB22" i="9"/>
  <c r="AF23" i="31" s="1"/>
  <c r="LE22" i="9"/>
  <c r="LH22" i="9"/>
  <c r="AH23" i="31" s="1"/>
  <c r="M24" i="10" s="1"/>
  <c r="LK22" i="9"/>
  <c r="AJ23" i="31" s="1"/>
  <c r="N24" i="10" s="1"/>
  <c r="LO22" i="9"/>
  <c r="LP22" i="9"/>
  <c r="B23" i="9"/>
  <c r="C23" i="9"/>
  <c r="D23" i="9"/>
  <c r="E23" i="9"/>
  <c r="F23" i="9"/>
  <c r="IE23" i="9"/>
  <c r="IF23" i="9"/>
  <c r="IG23" i="9"/>
  <c r="IJ23" i="9"/>
  <c r="IN23" i="9"/>
  <c r="IO23" i="9"/>
  <c r="IP23" i="9"/>
  <c r="IS23" i="9"/>
  <c r="IV23" i="9"/>
  <c r="JB23" i="9"/>
  <c r="JG23" i="9"/>
  <c r="JJ23" i="9"/>
  <c r="JQ23" i="9"/>
  <c r="JN23" i="9" s="1"/>
  <c r="IZ23" i="9" s="1"/>
  <c r="JR23" i="9"/>
  <c r="JV23" i="9"/>
  <c r="G24" i="23" s="1"/>
  <c r="JY23" i="9"/>
  <c r="JZ23" i="9"/>
  <c r="KE23" i="9"/>
  <c r="KF23" i="9"/>
  <c r="KI23" i="9"/>
  <c r="KL23" i="9"/>
  <c r="KS23" i="9"/>
  <c r="KP23" i="9" s="1"/>
  <c r="KT23" i="9"/>
  <c r="KQ23" i="9" s="1"/>
  <c r="KN23" i="9" s="1"/>
  <c r="JX23" i="9" s="1"/>
  <c r="LB23" i="9"/>
  <c r="AF24" i="31" s="1"/>
  <c r="LE23" i="9"/>
  <c r="LH23" i="9"/>
  <c r="AH24" i="31" s="1"/>
  <c r="M25" i="10" s="1"/>
  <c r="LK23" i="9"/>
  <c r="AJ24" i="31" s="1"/>
  <c r="N25" i="10" s="1"/>
  <c r="LO23" i="9"/>
  <c r="LP23" i="9"/>
  <c r="IE26" i="9"/>
  <c r="IF26" i="9"/>
  <c r="IG26" i="9"/>
  <c r="IJ26" i="9"/>
  <c r="IN26" i="9"/>
  <c r="IO26" i="9"/>
  <c r="IP26" i="9"/>
  <c r="IS26" i="9"/>
  <c r="IV26" i="9"/>
  <c r="JB26" i="9"/>
  <c r="JG26" i="9"/>
  <c r="JJ26" i="9"/>
  <c r="JQ26" i="9"/>
  <c r="JN26" i="9" s="1"/>
  <c r="JR26" i="9"/>
  <c r="JO26" i="9" s="1"/>
  <c r="JA26" i="9" s="1"/>
  <c r="JV26" i="9"/>
  <c r="G27" i="23" s="1"/>
  <c r="JY26" i="9"/>
  <c r="JZ26" i="9"/>
  <c r="KE26" i="9"/>
  <c r="KF26" i="9"/>
  <c r="KI26" i="9"/>
  <c r="KL26" i="9"/>
  <c r="KS26" i="9"/>
  <c r="KP26" i="9" s="1"/>
  <c r="KM26" i="9" s="1"/>
  <c r="JW26" i="9" s="1"/>
  <c r="KT26" i="9"/>
  <c r="LB26" i="9"/>
  <c r="AF27" i="31" s="1"/>
  <c r="LE26" i="9"/>
  <c r="LH26" i="9"/>
  <c r="AH27" i="31" s="1"/>
  <c r="M28" i="10" s="1"/>
  <c r="LK26" i="9"/>
  <c r="AJ27" i="31" s="1"/>
  <c r="N28" i="10" s="1"/>
  <c r="LO26" i="9"/>
  <c r="LP26" i="9"/>
  <c r="IE27" i="9"/>
  <c r="IF27" i="9"/>
  <c r="IG27" i="9"/>
  <c r="IJ27" i="9"/>
  <c r="IN27" i="9"/>
  <c r="IO27" i="9"/>
  <c r="IP27" i="9"/>
  <c r="IS27" i="9"/>
  <c r="IV27" i="9"/>
  <c r="JB27" i="9"/>
  <c r="JG27" i="9"/>
  <c r="JJ27" i="9"/>
  <c r="JQ27" i="9"/>
  <c r="JN27" i="9" s="1"/>
  <c r="JR27" i="9"/>
  <c r="JO27" i="9" s="1"/>
  <c r="JA27" i="9" s="1"/>
  <c r="JV27" i="9"/>
  <c r="G28" i="23" s="1"/>
  <c r="JY27" i="9"/>
  <c r="JZ27" i="9"/>
  <c r="KE27" i="9"/>
  <c r="KF27" i="9"/>
  <c r="KI27" i="9"/>
  <c r="KL27" i="9"/>
  <c r="KS27" i="9"/>
  <c r="KP27" i="9" s="1"/>
  <c r="KM27" i="9" s="1"/>
  <c r="JW27" i="9" s="1"/>
  <c r="KT27" i="9"/>
  <c r="LB27" i="9"/>
  <c r="AF28" i="31" s="1"/>
  <c r="LE27" i="9"/>
  <c r="LH27" i="9"/>
  <c r="AH28" i="31" s="1"/>
  <c r="M29" i="10" s="1"/>
  <c r="LK27" i="9"/>
  <c r="AJ28" i="31" s="1"/>
  <c r="N29" i="10" s="1"/>
  <c r="LO27" i="9"/>
  <c r="LP27" i="9"/>
  <c r="IE28" i="9"/>
  <c r="IF28" i="9"/>
  <c r="IG28" i="9"/>
  <c r="IJ28" i="9"/>
  <c r="IN28" i="9"/>
  <c r="IO28" i="9"/>
  <c r="IP28" i="9"/>
  <c r="IS28" i="9"/>
  <c r="IV28" i="9"/>
  <c r="JB28" i="9"/>
  <c r="JG28" i="9"/>
  <c r="JJ28" i="9"/>
  <c r="JQ28" i="9"/>
  <c r="JN28" i="9" s="1"/>
  <c r="JR28" i="9"/>
  <c r="JO28" i="9" s="1"/>
  <c r="JA28" i="9" s="1"/>
  <c r="JV28" i="9"/>
  <c r="G29" i="23" s="1"/>
  <c r="JY28" i="9"/>
  <c r="JZ28" i="9"/>
  <c r="KE28" i="9"/>
  <c r="KF28" i="9"/>
  <c r="KI28" i="9"/>
  <c r="KL28" i="9"/>
  <c r="KS28" i="9"/>
  <c r="KP28" i="9" s="1"/>
  <c r="KM28" i="9" s="1"/>
  <c r="JW28" i="9" s="1"/>
  <c r="KT28" i="9"/>
  <c r="LB28" i="9"/>
  <c r="AF29" i="31" s="1"/>
  <c r="LE28" i="9"/>
  <c r="LH28" i="9"/>
  <c r="AH29" i="31" s="1"/>
  <c r="M30" i="10" s="1"/>
  <c r="LK28" i="9"/>
  <c r="AJ29" i="31" s="1"/>
  <c r="N30" i="10" s="1"/>
  <c r="LO28" i="9"/>
  <c r="LP28" i="9"/>
  <c r="IE29" i="9"/>
  <c r="IF29" i="9"/>
  <c r="IG29" i="9"/>
  <c r="IJ29" i="9"/>
  <c r="IN29" i="9"/>
  <c r="IO29" i="9"/>
  <c r="IP29" i="9"/>
  <c r="IS29" i="9"/>
  <c r="IV29" i="9"/>
  <c r="JB29" i="9"/>
  <c r="JG29" i="9"/>
  <c r="JJ29" i="9"/>
  <c r="JQ29" i="9"/>
  <c r="JN29" i="9" s="1"/>
  <c r="JR29" i="9"/>
  <c r="JO29" i="9" s="1"/>
  <c r="JA29" i="9" s="1"/>
  <c r="JV29" i="9"/>
  <c r="G30" i="23" s="1"/>
  <c r="JY29" i="9"/>
  <c r="JZ29" i="9"/>
  <c r="KE29" i="9"/>
  <c r="KF29" i="9"/>
  <c r="KI29" i="9"/>
  <c r="KL29" i="9"/>
  <c r="KS29" i="9"/>
  <c r="KP29" i="9" s="1"/>
  <c r="KM29" i="9" s="1"/>
  <c r="JW29" i="9" s="1"/>
  <c r="KT29" i="9"/>
  <c r="LB29" i="9"/>
  <c r="AF30" i="31" s="1"/>
  <c r="LE29" i="9"/>
  <c r="LH29" i="9"/>
  <c r="AH30" i="31" s="1"/>
  <c r="M31" i="10" s="1"/>
  <c r="LK29" i="9"/>
  <c r="AJ30" i="31" s="1"/>
  <c r="N31" i="10" s="1"/>
  <c r="LO29" i="9"/>
  <c r="LP29" i="9"/>
  <c r="IE55" i="9"/>
  <c r="IF55" i="9"/>
  <c r="IG55" i="9"/>
  <c r="IJ55" i="9"/>
  <c r="IN55" i="9"/>
  <c r="IO55" i="9"/>
  <c r="IP55" i="9"/>
  <c r="IS55" i="9"/>
  <c r="IV55" i="9"/>
  <c r="JB55" i="9"/>
  <c r="JG55" i="9"/>
  <c r="JJ55" i="9"/>
  <c r="JQ55" i="9"/>
  <c r="JN55" i="9" s="1"/>
  <c r="JR55" i="9"/>
  <c r="JO55" i="9" s="1"/>
  <c r="JA55" i="9" s="1"/>
  <c r="JV55" i="9"/>
  <c r="G56" i="23" s="1"/>
  <c r="JY55" i="9"/>
  <c r="JZ55" i="9"/>
  <c r="KE55" i="9"/>
  <c r="KF55" i="9"/>
  <c r="KI55" i="9"/>
  <c r="KL55" i="9"/>
  <c r="KS55" i="9"/>
  <c r="KP55" i="9" s="1"/>
  <c r="KM55" i="9" s="1"/>
  <c r="JW55" i="9" s="1"/>
  <c r="KT55" i="9"/>
  <c r="LB55" i="9"/>
  <c r="AF56" i="31" s="1"/>
  <c r="LE55" i="9"/>
  <c r="LH55" i="9"/>
  <c r="AH56" i="31" s="1"/>
  <c r="M57" i="10" s="1"/>
  <c r="LK55" i="9"/>
  <c r="AJ56" i="31" s="1"/>
  <c r="N57" i="10" s="1"/>
  <c r="LO55" i="9"/>
  <c r="LP55" i="9"/>
  <c r="IE30" i="9"/>
  <c r="IF30" i="9"/>
  <c r="IG30" i="9"/>
  <c r="IJ30" i="9"/>
  <c r="IN30" i="9"/>
  <c r="IO30" i="9"/>
  <c r="IP30" i="9"/>
  <c r="IS30" i="9"/>
  <c r="IV30" i="9"/>
  <c r="JB30" i="9"/>
  <c r="JG30" i="9"/>
  <c r="JJ30" i="9"/>
  <c r="JQ30" i="9"/>
  <c r="JN30" i="9" s="1"/>
  <c r="JR30" i="9"/>
  <c r="JO30" i="9" s="1"/>
  <c r="JA30" i="9" s="1"/>
  <c r="JV30" i="9"/>
  <c r="G31" i="23" s="1"/>
  <c r="JY30" i="9"/>
  <c r="JZ30" i="9"/>
  <c r="KE30" i="9"/>
  <c r="KF30" i="9"/>
  <c r="KI30" i="9"/>
  <c r="KL30" i="9"/>
  <c r="KS30" i="9"/>
  <c r="KP30" i="9" s="1"/>
  <c r="KM30" i="9" s="1"/>
  <c r="JW30" i="9" s="1"/>
  <c r="KT30" i="9"/>
  <c r="LB30" i="9"/>
  <c r="AF31" i="31" s="1"/>
  <c r="LE30" i="9"/>
  <c r="LH30" i="9"/>
  <c r="AH31" i="31" s="1"/>
  <c r="M32" i="10" s="1"/>
  <c r="LK30" i="9"/>
  <c r="AJ31" i="31" s="1"/>
  <c r="N32" i="10" s="1"/>
  <c r="LO30" i="9"/>
  <c r="LP30" i="9"/>
  <c r="IE31" i="9"/>
  <c r="IF31" i="9"/>
  <c r="IG31" i="9"/>
  <c r="IJ31" i="9"/>
  <c r="IN31" i="9"/>
  <c r="IO31" i="9"/>
  <c r="IP31" i="9"/>
  <c r="IS31" i="9"/>
  <c r="IV31" i="9"/>
  <c r="JB31" i="9"/>
  <c r="JG31" i="9"/>
  <c r="JJ31" i="9"/>
  <c r="JQ31" i="9"/>
  <c r="JN31" i="9" s="1"/>
  <c r="JR31" i="9"/>
  <c r="JO31" i="9" s="1"/>
  <c r="JA31" i="9" s="1"/>
  <c r="JV31" i="9"/>
  <c r="G32" i="23" s="1"/>
  <c r="JY31" i="9"/>
  <c r="JZ31" i="9"/>
  <c r="KE31" i="9"/>
  <c r="KF31" i="9"/>
  <c r="KI31" i="9"/>
  <c r="KL31" i="9"/>
  <c r="KS31" i="9"/>
  <c r="KP31" i="9" s="1"/>
  <c r="KM31" i="9" s="1"/>
  <c r="JW31" i="9" s="1"/>
  <c r="KT31" i="9"/>
  <c r="LB31" i="9"/>
  <c r="AF32" i="31" s="1"/>
  <c r="LE31" i="9"/>
  <c r="LH31" i="9"/>
  <c r="AH32" i="31" s="1"/>
  <c r="M33" i="10" s="1"/>
  <c r="LK31" i="9"/>
  <c r="AJ32" i="31" s="1"/>
  <c r="N33" i="10" s="1"/>
  <c r="LO31" i="9"/>
  <c r="LP31" i="9"/>
  <c r="IE41" i="9"/>
  <c r="IF41" i="9"/>
  <c r="IG41" i="9"/>
  <c r="IJ41" i="9"/>
  <c r="IN41" i="9"/>
  <c r="IO41" i="9"/>
  <c r="IP41" i="9"/>
  <c r="IS41" i="9"/>
  <c r="IV41" i="9"/>
  <c r="JB41" i="9"/>
  <c r="JG41" i="9"/>
  <c r="JJ41" i="9"/>
  <c r="JQ41" i="9"/>
  <c r="JN41" i="9" s="1"/>
  <c r="JR41" i="9"/>
  <c r="JO41" i="9" s="1"/>
  <c r="JA41" i="9" s="1"/>
  <c r="JV41" i="9"/>
  <c r="G42" i="23" s="1"/>
  <c r="JY41" i="9"/>
  <c r="JZ41" i="9"/>
  <c r="KE41" i="9"/>
  <c r="KF41" i="9"/>
  <c r="KI41" i="9"/>
  <c r="KL41" i="9"/>
  <c r="KS41" i="9"/>
  <c r="KP41" i="9" s="1"/>
  <c r="KM41" i="9" s="1"/>
  <c r="JW41" i="9" s="1"/>
  <c r="KT41" i="9"/>
  <c r="LB41" i="9"/>
  <c r="AF42" i="31" s="1"/>
  <c r="LE41" i="9"/>
  <c r="LH41" i="9"/>
  <c r="AH42" i="31" s="1"/>
  <c r="M43" i="10" s="1"/>
  <c r="LK41" i="9"/>
  <c r="AJ42" i="31" s="1"/>
  <c r="N43" i="10" s="1"/>
  <c r="LO41" i="9"/>
  <c r="LP41" i="9"/>
  <c r="IE42" i="9"/>
  <c r="IF42" i="9"/>
  <c r="IG42" i="9"/>
  <c r="IJ42" i="9"/>
  <c r="IN42" i="9"/>
  <c r="IO42" i="9"/>
  <c r="IP42" i="9"/>
  <c r="IS42" i="9"/>
  <c r="IV42" i="9"/>
  <c r="JB42" i="9"/>
  <c r="JG42" i="9"/>
  <c r="JJ42" i="9"/>
  <c r="JQ42" i="9"/>
  <c r="JN42" i="9" s="1"/>
  <c r="JR42" i="9"/>
  <c r="JO42" i="9" s="1"/>
  <c r="JA42" i="9" s="1"/>
  <c r="JV42" i="9"/>
  <c r="G43" i="23" s="1"/>
  <c r="JY42" i="9"/>
  <c r="JZ42" i="9"/>
  <c r="KE42" i="9"/>
  <c r="KF42" i="9"/>
  <c r="KI42" i="9"/>
  <c r="KL42" i="9"/>
  <c r="KS42" i="9"/>
  <c r="KP42" i="9" s="1"/>
  <c r="KM42" i="9" s="1"/>
  <c r="JW42" i="9" s="1"/>
  <c r="KT42" i="9"/>
  <c r="LB42" i="9"/>
  <c r="AF43" i="31" s="1"/>
  <c r="LE42" i="9"/>
  <c r="LH42" i="9"/>
  <c r="AH43" i="31" s="1"/>
  <c r="M44" i="10" s="1"/>
  <c r="LK42" i="9"/>
  <c r="AJ43" i="31" s="1"/>
  <c r="N44" i="10" s="1"/>
  <c r="LO42" i="9"/>
  <c r="LP42" i="9"/>
  <c r="IE43" i="9"/>
  <c r="IF43" i="9"/>
  <c r="IG43" i="9"/>
  <c r="IJ43" i="9"/>
  <c r="IN43" i="9"/>
  <c r="IO43" i="9"/>
  <c r="IP43" i="9"/>
  <c r="IS43" i="9"/>
  <c r="IV43" i="9"/>
  <c r="JB43" i="9"/>
  <c r="JG43" i="9"/>
  <c r="JJ43" i="9"/>
  <c r="JQ43" i="9"/>
  <c r="JN43" i="9" s="1"/>
  <c r="JR43" i="9"/>
  <c r="JO43" i="9" s="1"/>
  <c r="JA43" i="9" s="1"/>
  <c r="JV43" i="9"/>
  <c r="G44" i="23" s="1"/>
  <c r="JY43" i="9"/>
  <c r="JZ43" i="9"/>
  <c r="KE43" i="9"/>
  <c r="KF43" i="9"/>
  <c r="KI43" i="9"/>
  <c r="KL43" i="9"/>
  <c r="KS43" i="9"/>
  <c r="KP43" i="9" s="1"/>
  <c r="KM43" i="9" s="1"/>
  <c r="JW43" i="9" s="1"/>
  <c r="KT43" i="9"/>
  <c r="LB43" i="9"/>
  <c r="AF44" i="31" s="1"/>
  <c r="LE43" i="9"/>
  <c r="LH43" i="9"/>
  <c r="AH44" i="31" s="1"/>
  <c r="M45" i="10" s="1"/>
  <c r="LK43" i="9"/>
  <c r="AJ44" i="31" s="1"/>
  <c r="N45" i="10" s="1"/>
  <c r="LO43" i="9"/>
  <c r="LP43" i="9"/>
  <c r="IE44" i="9"/>
  <c r="IF44" i="9"/>
  <c r="IG44" i="9"/>
  <c r="IJ44" i="9"/>
  <c r="IN44" i="9"/>
  <c r="IO44" i="9"/>
  <c r="IP44" i="9"/>
  <c r="IS44" i="9"/>
  <c r="IV44" i="9"/>
  <c r="JB44" i="9"/>
  <c r="JG44" i="9"/>
  <c r="JJ44" i="9"/>
  <c r="JQ44" i="9"/>
  <c r="JN44" i="9" s="1"/>
  <c r="JR44" i="9"/>
  <c r="JO44" i="9" s="1"/>
  <c r="JA44" i="9" s="1"/>
  <c r="JV44" i="9"/>
  <c r="G45" i="23" s="1"/>
  <c r="JY44" i="9"/>
  <c r="JZ44" i="9"/>
  <c r="KE44" i="9"/>
  <c r="KF44" i="9"/>
  <c r="KI44" i="9"/>
  <c r="KL44" i="9"/>
  <c r="KS44" i="9"/>
  <c r="KP44" i="9" s="1"/>
  <c r="KM44" i="9" s="1"/>
  <c r="JW44" i="9" s="1"/>
  <c r="KT44" i="9"/>
  <c r="LB44" i="9"/>
  <c r="AF45" i="31" s="1"/>
  <c r="LE44" i="9"/>
  <c r="LH44" i="9"/>
  <c r="AH45" i="31" s="1"/>
  <c r="M46" i="10" s="1"/>
  <c r="LK44" i="9"/>
  <c r="AJ45" i="31" s="1"/>
  <c r="N46" i="10" s="1"/>
  <c r="LO44" i="9"/>
  <c r="LP44" i="9"/>
  <c r="IE56" i="9"/>
  <c r="IF56" i="9"/>
  <c r="IG56" i="9"/>
  <c r="IJ56" i="9"/>
  <c r="IN56" i="9"/>
  <c r="IO56" i="9"/>
  <c r="IP56" i="9"/>
  <c r="IS56" i="9"/>
  <c r="IV56" i="9"/>
  <c r="JB56" i="9"/>
  <c r="JG56" i="9"/>
  <c r="JJ56" i="9"/>
  <c r="JQ56" i="9"/>
  <c r="JN56" i="9" s="1"/>
  <c r="JR56" i="9"/>
  <c r="JO56" i="9" s="1"/>
  <c r="JA56" i="9" s="1"/>
  <c r="JV56" i="9"/>
  <c r="G57" i="23" s="1"/>
  <c r="JY56" i="9"/>
  <c r="JZ56" i="9"/>
  <c r="KE56" i="9"/>
  <c r="KF56" i="9"/>
  <c r="KI56" i="9"/>
  <c r="KL56" i="9"/>
  <c r="KS56" i="9"/>
  <c r="KP56" i="9" s="1"/>
  <c r="KM56" i="9" s="1"/>
  <c r="JW56" i="9" s="1"/>
  <c r="KT56" i="9"/>
  <c r="LB56" i="9"/>
  <c r="AF57" i="31" s="1"/>
  <c r="LE56" i="9"/>
  <c r="LH56" i="9"/>
  <c r="AH57" i="31" s="1"/>
  <c r="M58" i="10" s="1"/>
  <c r="LK56" i="9"/>
  <c r="AJ57" i="31" s="1"/>
  <c r="N58" i="10" s="1"/>
  <c r="LO56" i="9"/>
  <c r="LP56" i="9"/>
  <c r="IE57" i="9"/>
  <c r="IF57" i="9"/>
  <c r="IG57" i="9"/>
  <c r="IJ57" i="9"/>
  <c r="IN57" i="9"/>
  <c r="IO57" i="9"/>
  <c r="IP57" i="9"/>
  <c r="IS57" i="9"/>
  <c r="IV57" i="9"/>
  <c r="JB57" i="9"/>
  <c r="JG57" i="9"/>
  <c r="JJ57" i="9"/>
  <c r="JQ57" i="9"/>
  <c r="JN57" i="9" s="1"/>
  <c r="JR57" i="9"/>
  <c r="JO57" i="9" s="1"/>
  <c r="JA57" i="9" s="1"/>
  <c r="JV57" i="9"/>
  <c r="G58" i="23" s="1"/>
  <c r="JY57" i="9"/>
  <c r="JZ57" i="9"/>
  <c r="KE57" i="9"/>
  <c r="KF57" i="9"/>
  <c r="KI57" i="9"/>
  <c r="KL57" i="9"/>
  <c r="KS57" i="9"/>
  <c r="KP57" i="9" s="1"/>
  <c r="KM57" i="9" s="1"/>
  <c r="JW57" i="9" s="1"/>
  <c r="KT57" i="9"/>
  <c r="LB57" i="9"/>
  <c r="AF58" i="31" s="1"/>
  <c r="LE57" i="9"/>
  <c r="LH57" i="9"/>
  <c r="AH58" i="31" s="1"/>
  <c r="M59" i="10" s="1"/>
  <c r="LK57" i="9"/>
  <c r="AJ58" i="31" s="1"/>
  <c r="N59" i="10" s="1"/>
  <c r="LO57" i="9"/>
  <c r="LP57" i="9"/>
  <c r="IE45" i="9"/>
  <c r="IF45" i="9"/>
  <c r="IG45" i="9"/>
  <c r="IJ45" i="9"/>
  <c r="IN45" i="9"/>
  <c r="IO45" i="9"/>
  <c r="IP45" i="9"/>
  <c r="IS45" i="9"/>
  <c r="IV45" i="9"/>
  <c r="JB45" i="9"/>
  <c r="JG45" i="9"/>
  <c r="JJ45" i="9"/>
  <c r="JQ45" i="9"/>
  <c r="JN45" i="9" s="1"/>
  <c r="JR45" i="9"/>
  <c r="JO45" i="9" s="1"/>
  <c r="JA45" i="9" s="1"/>
  <c r="JV45" i="9"/>
  <c r="G46" i="23" s="1"/>
  <c r="JY45" i="9"/>
  <c r="JZ45" i="9"/>
  <c r="KE45" i="9"/>
  <c r="KF45" i="9"/>
  <c r="KI45" i="9"/>
  <c r="KL45" i="9"/>
  <c r="KS45" i="9"/>
  <c r="KP45" i="9" s="1"/>
  <c r="KM45" i="9" s="1"/>
  <c r="JW45" i="9" s="1"/>
  <c r="KT45" i="9"/>
  <c r="LB45" i="9"/>
  <c r="AF46" i="31" s="1"/>
  <c r="LE45" i="9"/>
  <c r="LH45" i="9"/>
  <c r="AH46" i="31" s="1"/>
  <c r="M47" i="10" s="1"/>
  <c r="LK45" i="9"/>
  <c r="AJ46" i="31" s="1"/>
  <c r="N47" i="10" s="1"/>
  <c r="LO45" i="9"/>
  <c r="LP45" i="9"/>
  <c r="IE46" i="9"/>
  <c r="IF46" i="9"/>
  <c r="IG46" i="9"/>
  <c r="IJ46" i="9"/>
  <c r="IN46" i="9"/>
  <c r="IO46" i="9"/>
  <c r="IP46" i="9"/>
  <c r="IS46" i="9"/>
  <c r="IV46" i="9"/>
  <c r="JB46" i="9"/>
  <c r="JG46" i="9"/>
  <c r="JJ46" i="9"/>
  <c r="JQ46" i="9"/>
  <c r="JN46" i="9" s="1"/>
  <c r="JR46" i="9"/>
  <c r="JO46" i="9" s="1"/>
  <c r="JA46" i="9" s="1"/>
  <c r="JV46" i="9"/>
  <c r="G47" i="23" s="1"/>
  <c r="JY46" i="9"/>
  <c r="JZ46" i="9"/>
  <c r="KE46" i="9"/>
  <c r="KF46" i="9"/>
  <c r="KI46" i="9"/>
  <c r="KL46" i="9"/>
  <c r="KS46" i="9"/>
  <c r="KP46" i="9" s="1"/>
  <c r="KM46" i="9" s="1"/>
  <c r="JW46" i="9" s="1"/>
  <c r="KT46" i="9"/>
  <c r="LB46" i="9"/>
  <c r="AF47" i="31" s="1"/>
  <c r="LE46" i="9"/>
  <c r="LH46" i="9"/>
  <c r="AH47" i="31" s="1"/>
  <c r="M48" i="10" s="1"/>
  <c r="LK46" i="9"/>
  <c r="AJ47" i="31" s="1"/>
  <c r="N48" i="10" s="1"/>
  <c r="LO46" i="9"/>
  <c r="LP46" i="9"/>
  <c r="IE47" i="9"/>
  <c r="IF47" i="9"/>
  <c r="IG47" i="9"/>
  <c r="IJ47" i="9"/>
  <c r="IN47" i="9"/>
  <c r="IO47" i="9"/>
  <c r="IP47" i="9"/>
  <c r="IS47" i="9"/>
  <c r="IV47" i="9"/>
  <c r="JB47" i="9"/>
  <c r="JG47" i="9"/>
  <c r="JJ47" i="9"/>
  <c r="JQ47" i="9"/>
  <c r="JN47" i="9" s="1"/>
  <c r="JR47" i="9"/>
  <c r="JO47" i="9" s="1"/>
  <c r="JA47" i="9" s="1"/>
  <c r="JV47" i="9"/>
  <c r="G48" i="23" s="1"/>
  <c r="JY47" i="9"/>
  <c r="JZ47" i="9"/>
  <c r="KE47" i="9"/>
  <c r="KF47" i="9"/>
  <c r="KI47" i="9"/>
  <c r="KL47" i="9"/>
  <c r="KS47" i="9"/>
  <c r="KP47" i="9" s="1"/>
  <c r="KM47" i="9" s="1"/>
  <c r="JW47" i="9" s="1"/>
  <c r="KT47" i="9"/>
  <c r="LB47" i="9"/>
  <c r="AF48" i="31" s="1"/>
  <c r="LE47" i="9"/>
  <c r="LH47" i="9"/>
  <c r="AH48" i="31" s="1"/>
  <c r="M49" i="10" s="1"/>
  <c r="LK47" i="9"/>
  <c r="AJ48" i="31" s="1"/>
  <c r="N49" i="10" s="1"/>
  <c r="LO47" i="9"/>
  <c r="LP47" i="9"/>
  <c r="IE32" i="9"/>
  <c r="IF32" i="9"/>
  <c r="IG32" i="9"/>
  <c r="IJ32" i="9"/>
  <c r="IN32" i="9"/>
  <c r="IO32" i="9"/>
  <c r="IP32" i="9"/>
  <c r="IS32" i="9"/>
  <c r="IV32" i="9"/>
  <c r="JB32" i="9"/>
  <c r="JG32" i="9"/>
  <c r="JJ32" i="9"/>
  <c r="JQ32" i="9"/>
  <c r="JN32" i="9" s="1"/>
  <c r="JR32" i="9"/>
  <c r="JO32" i="9" s="1"/>
  <c r="JA32" i="9" s="1"/>
  <c r="JV32" i="9"/>
  <c r="G33" i="23" s="1"/>
  <c r="JY32" i="9"/>
  <c r="JZ32" i="9"/>
  <c r="KE32" i="9"/>
  <c r="KF32" i="9"/>
  <c r="KI32" i="9"/>
  <c r="KL32" i="9"/>
  <c r="KS32" i="9"/>
  <c r="KP32" i="9" s="1"/>
  <c r="KM32" i="9" s="1"/>
  <c r="JW32" i="9" s="1"/>
  <c r="KT32" i="9"/>
  <c r="LB32" i="9"/>
  <c r="AF33" i="31" s="1"/>
  <c r="LE32" i="9"/>
  <c r="LH32" i="9"/>
  <c r="AH33" i="31" s="1"/>
  <c r="M34" i="10" s="1"/>
  <c r="LK32" i="9"/>
  <c r="AJ33" i="31" s="1"/>
  <c r="N34" i="10" s="1"/>
  <c r="LO32" i="9"/>
  <c r="LP32" i="9"/>
  <c r="IE48" i="9"/>
  <c r="IF48" i="9"/>
  <c r="IG48" i="9"/>
  <c r="IJ48" i="9"/>
  <c r="IN48" i="9"/>
  <c r="IO48" i="9"/>
  <c r="IP48" i="9"/>
  <c r="IS48" i="9"/>
  <c r="IV48" i="9"/>
  <c r="JB48" i="9"/>
  <c r="JG48" i="9"/>
  <c r="JJ48" i="9"/>
  <c r="JQ48" i="9"/>
  <c r="JN48" i="9" s="1"/>
  <c r="JR48" i="9"/>
  <c r="JO48" i="9" s="1"/>
  <c r="JA48" i="9" s="1"/>
  <c r="JV48" i="9"/>
  <c r="G49" i="23" s="1"/>
  <c r="JY48" i="9"/>
  <c r="JZ48" i="9"/>
  <c r="KE48" i="9"/>
  <c r="KF48" i="9"/>
  <c r="KI48" i="9"/>
  <c r="KL48" i="9"/>
  <c r="KS48" i="9"/>
  <c r="KP48" i="9" s="1"/>
  <c r="KM48" i="9" s="1"/>
  <c r="JW48" i="9" s="1"/>
  <c r="KT48" i="9"/>
  <c r="LB48" i="9"/>
  <c r="AF49" i="31" s="1"/>
  <c r="LE48" i="9"/>
  <c r="LH48" i="9"/>
  <c r="AH49" i="31" s="1"/>
  <c r="M50" i="10" s="1"/>
  <c r="LK48" i="9"/>
  <c r="AJ49" i="31" s="1"/>
  <c r="N50" i="10" s="1"/>
  <c r="LO48" i="9"/>
  <c r="LP48" i="9"/>
  <c r="IE33" i="9"/>
  <c r="IF33" i="9"/>
  <c r="IG33" i="9"/>
  <c r="IJ33" i="9"/>
  <c r="IN33" i="9"/>
  <c r="IO33" i="9"/>
  <c r="IP33" i="9"/>
  <c r="IS33" i="9"/>
  <c r="IV33" i="9"/>
  <c r="JB33" i="9"/>
  <c r="JG33" i="9"/>
  <c r="JJ33" i="9"/>
  <c r="JQ33" i="9"/>
  <c r="JN33" i="9" s="1"/>
  <c r="JR33" i="9"/>
  <c r="JO33" i="9" s="1"/>
  <c r="JA33" i="9" s="1"/>
  <c r="JV33" i="9"/>
  <c r="G34" i="23" s="1"/>
  <c r="JY33" i="9"/>
  <c r="JZ33" i="9"/>
  <c r="KE33" i="9"/>
  <c r="KF33" i="9"/>
  <c r="KI33" i="9"/>
  <c r="KL33" i="9"/>
  <c r="KS33" i="9"/>
  <c r="KP33" i="9" s="1"/>
  <c r="KM33" i="9" s="1"/>
  <c r="JW33" i="9" s="1"/>
  <c r="KT33" i="9"/>
  <c r="LB33" i="9"/>
  <c r="AF34" i="31" s="1"/>
  <c r="LE33" i="9"/>
  <c r="LH33" i="9"/>
  <c r="AH34" i="31" s="1"/>
  <c r="M35" i="10" s="1"/>
  <c r="LK33" i="9"/>
  <c r="AJ34" i="31" s="1"/>
  <c r="N35" i="10" s="1"/>
  <c r="LO33" i="9"/>
  <c r="LP33" i="9"/>
  <c r="IE58" i="9"/>
  <c r="IF58" i="9"/>
  <c r="IG58" i="9"/>
  <c r="IJ58" i="9"/>
  <c r="IN58" i="9"/>
  <c r="IO58" i="9"/>
  <c r="IP58" i="9"/>
  <c r="IS58" i="9"/>
  <c r="IV58" i="9"/>
  <c r="JB58" i="9"/>
  <c r="JG58" i="9"/>
  <c r="JJ58" i="9"/>
  <c r="JQ58" i="9"/>
  <c r="JN58" i="9" s="1"/>
  <c r="JR58" i="9"/>
  <c r="JO58" i="9" s="1"/>
  <c r="JA58" i="9" s="1"/>
  <c r="JV58" i="9"/>
  <c r="G59" i="23" s="1"/>
  <c r="JY58" i="9"/>
  <c r="JZ58" i="9"/>
  <c r="KE58" i="9"/>
  <c r="KF58" i="9"/>
  <c r="KI58" i="9"/>
  <c r="KL58" i="9"/>
  <c r="KS58" i="9"/>
  <c r="KP58" i="9" s="1"/>
  <c r="KM58" i="9" s="1"/>
  <c r="JW58" i="9" s="1"/>
  <c r="KT58" i="9"/>
  <c r="LB58" i="9"/>
  <c r="AF59" i="31" s="1"/>
  <c r="LE58" i="9"/>
  <c r="LH58" i="9"/>
  <c r="AH59" i="31" s="1"/>
  <c r="M60" i="10" s="1"/>
  <c r="LK58" i="9"/>
  <c r="AJ59" i="31" s="1"/>
  <c r="N60" i="10" s="1"/>
  <c r="LO58" i="9"/>
  <c r="LP58" i="9"/>
  <c r="IE59" i="9"/>
  <c r="IF59" i="9"/>
  <c r="IG59" i="9"/>
  <c r="IJ59" i="9"/>
  <c r="IN59" i="9"/>
  <c r="IO59" i="9"/>
  <c r="IP59" i="9"/>
  <c r="IS59" i="9"/>
  <c r="IV59" i="9"/>
  <c r="JB59" i="9"/>
  <c r="JG59" i="9"/>
  <c r="JJ59" i="9"/>
  <c r="JQ59" i="9"/>
  <c r="JN59" i="9" s="1"/>
  <c r="JR59" i="9"/>
  <c r="JO59" i="9" s="1"/>
  <c r="JA59" i="9" s="1"/>
  <c r="JV59" i="9"/>
  <c r="G60" i="23" s="1"/>
  <c r="JY59" i="9"/>
  <c r="JZ59" i="9"/>
  <c r="KE59" i="9"/>
  <c r="KF59" i="9"/>
  <c r="KI59" i="9"/>
  <c r="KL59" i="9"/>
  <c r="KS59" i="9"/>
  <c r="KP59" i="9" s="1"/>
  <c r="KM59" i="9" s="1"/>
  <c r="JW59" i="9" s="1"/>
  <c r="KT59" i="9"/>
  <c r="LB59" i="9"/>
  <c r="AF60" i="31" s="1"/>
  <c r="LE59" i="9"/>
  <c r="LH59" i="9"/>
  <c r="AH60" i="31" s="1"/>
  <c r="M61" i="10" s="1"/>
  <c r="LK59" i="9"/>
  <c r="AJ60" i="31" s="1"/>
  <c r="N61" i="10" s="1"/>
  <c r="LO59" i="9"/>
  <c r="LP59" i="9"/>
  <c r="IE34" i="9"/>
  <c r="IF34" i="9"/>
  <c r="IG34" i="9"/>
  <c r="IJ34" i="9"/>
  <c r="IN34" i="9"/>
  <c r="IO34" i="9"/>
  <c r="IP34" i="9"/>
  <c r="IS34" i="9"/>
  <c r="IV34" i="9"/>
  <c r="JB34" i="9"/>
  <c r="JG34" i="9"/>
  <c r="JJ34" i="9"/>
  <c r="JQ34" i="9"/>
  <c r="JN34" i="9" s="1"/>
  <c r="JR34" i="9"/>
  <c r="JO34" i="9" s="1"/>
  <c r="JA34" i="9" s="1"/>
  <c r="JV34" i="9"/>
  <c r="G35" i="23" s="1"/>
  <c r="JY34" i="9"/>
  <c r="JZ34" i="9"/>
  <c r="KE34" i="9"/>
  <c r="KF34" i="9"/>
  <c r="KI34" i="9"/>
  <c r="KL34" i="9"/>
  <c r="KS34" i="9"/>
  <c r="KP34" i="9" s="1"/>
  <c r="KM34" i="9" s="1"/>
  <c r="JW34" i="9" s="1"/>
  <c r="KT34" i="9"/>
  <c r="LB34" i="9"/>
  <c r="AF35" i="31" s="1"/>
  <c r="LE34" i="9"/>
  <c r="LH34" i="9"/>
  <c r="AH35" i="31" s="1"/>
  <c r="M36" i="10" s="1"/>
  <c r="LK34" i="9"/>
  <c r="AJ35" i="31" s="1"/>
  <c r="N36" i="10" s="1"/>
  <c r="LO34" i="9"/>
  <c r="LP34" i="9"/>
  <c r="IE60" i="9"/>
  <c r="IF60" i="9"/>
  <c r="IG60" i="9"/>
  <c r="IJ60" i="9"/>
  <c r="IN60" i="9"/>
  <c r="IO60" i="9"/>
  <c r="IP60" i="9"/>
  <c r="IS60" i="9"/>
  <c r="IV60" i="9"/>
  <c r="JB60" i="9"/>
  <c r="JG60" i="9"/>
  <c r="JJ60" i="9"/>
  <c r="JQ60" i="9"/>
  <c r="JN60" i="9" s="1"/>
  <c r="JR60" i="9"/>
  <c r="JO60" i="9" s="1"/>
  <c r="JA60" i="9" s="1"/>
  <c r="JV60" i="9"/>
  <c r="G61" i="23" s="1"/>
  <c r="JY60" i="9"/>
  <c r="JZ60" i="9"/>
  <c r="KE60" i="9"/>
  <c r="KF60" i="9"/>
  <c r="KI60" i="9"/>
  <c r="KL60" i="9"/>
  <c r="KS60" i="9"/>
  <c r="KP60" i="9" s="1"/>
  <c r="KM60" i="9" s="1"/>
  <c r="JW60" i="9" s="1"/>
  <c r="KT60" i="9"/>
  <c r="LB60" i="9"/>
  <c r="AF61" i="31" s="1"/>
  <c r="LE60" i="9"/>
  <c r="LH60" i="9"/>
  <c r="AH61" i="31" s="1"/>
  <c r="M62" i="10" s="1"/>
  <c r="LK60" i="9"/>
  <c r="AJ61" i="31" s="1"/>
  <c r="N62" i="10" s="1"/>
  <c r="LO60" i="9"/>
  <c r="LP60" i="9"/>
  <c r="IE49" i="9"/>
  <c r="IF49" i="9"/>
  <c r="IG49" i="9"/>
  <c r="IJ49" i="9"/>
  <c r="IN49" i="9"/>
  <c r="IO49" i="9"/>
  <c r="IP49" i="9"/>
  <c r="IS49" i="9"/>
  <c r="IV49" i="9"/>
  <c r="JB49" i="9"/>
  <c r="JG49" i="9"/>
  <c r="JJ49" i="9"/>
  <c r="JQ49" i="9"/>
  <c r="JN49" i="9" s="1"/>
  <c r="JR49" i="9"/>
  <c r="JO49" i="9" s="1"/>
  <c r="JA49" i="9" s="1"/>
  <c r="JV49" i="9"/>
  <c r="G50" i="23" s="1"/>
  <c r="JY49" i="9"/>
  <c r="JZ49" i="9"/>
  <c r="KE49" i="9"/>
  <c r="KF49" i="9"/>
  <c r="KI49" i="9"/>
  <c r="KL49" i="9"/>
  <c r="KS49" i="9"/>
  <c r="KP49" i="9" s="1"/>
  <c r="KM49" i="9" s="1"/>
  <c r="JW49" i="9" s="1"/>
  <c r="KT49" i="9"/>
  <c r="LB49" i="9"/>
  <c r="AF50" i="31" s="1"/>
  <c r="LE49" i="9"/>
  <c r="LH49" i="9"/>
  <c r="AH50" i="31" s="1"/>
  <c r="M51" i="10" s="1"/>
  <c r="LK49" i="9"/>
  <c r="AJ50" i="31" s="1"/>
  <c r="N51" i="10" s="1"/>
  <c r="LO49" i="9"/>
  <c r="LP49" i="9"/>
  <c r="IE50" i="9"/>
  <c r="IF50" i="9"/>
  <c r="IG50" i="9"/>
  <c r="IJ50" i="9"/>
  <c r="IN50" i="9"/>
  <c r="IO50" i="9"/>
  <c r="IP50" i="9"/>
  <c r="IS50" i="9"/>
  <c r="IV50" i="9"/>
  <c r="JB50" i="9"/>
  <c r="JG50" i="9"/>
  <c r="JJ50" i="9"/>
  <c r="JQ50" i="9"/>
  <c r="JN50" i="9" s="1"/>
  <c r="JR50" i="9"/>
  <c r="JO50" i="9" s="1"/>
  <c r="JA50" i="9" s="1"/>
  <c r="JV50" i="9"/>
  <c r="G51" i="23" s="1"/>
  <c r="JY50" i="9"/>
  <c r="JZ50" i="9"/>
  <c r="KE50" i="9"/>
  <c r="KF50" i="9"/>
  <c r="KI50" i="9"/>
  <c r="KL50" i="9"/>
  <c r="KS50" i="9"/>
  <c r="KP50" i="9" s="1"/>
  <c r="KM50" i="9" s="1"/>
  <c r="JW50" i="9" s="1"/>
  <c r="KT50" i="9"/>
  <c r="LB50" i="9"/>
  <c r="AF51" i="31" s="1"/>
  <c r="LE50" i="9"/>
  <c r="LH50" i="9"/>
  <c r="AH51" i="31" s="1"/>
  <c r="M52" i="10" s="1"/>
  <c r="LK50" i="9"/>
  <c r="AJ51" i="31" s="1"/>
  <c r="N52" i="10" s="1"/>
  <c r="LO50" i="9"/>
  <c r="LP50" i="9"/>
  <c r="IE35" i="9"/>
  <c r="IF35" i="9"/>
  <c r="IG35" i="9"/>
  <c r="IJ35" i="9"/>
  <c r="IN35" i="9"/>
  <c r="IO35" i="9"/>
  <c r="IP35" i="9"/>
  <c r="IS35" i="9"/>
  <c r="IV35" i="9"/>
  <c r="JB35" i="9"/>
  <c r="JG35" i="9"/>
  <c r="JJ35" i="9"/>
  <c r="JQ35" i="9"/>
  <c r="JN35" i="9" s="1"/>
  <c r="JR35" i="9"/>
  <c r="JO35" i="9" s="1"/>
  <c r="JA35" i="9" s="1"/>
  <c r="JV35" i="9"/>
  <c r="G36" i="23" s="1"/>
  <c r="JY35" i="9"/>
  <c r="JZ35" i="9"/>
  <c r="KE35" i="9"/>
  <c r="KF35" i="9"/>
  <c r="KI35" i="9"/>
  <c r="KL35" i="9"/>
  <c r="KS35" i="9"/>
  <c r="KP35" i="9" s="1"/>
  <c r="KM35" i="9" s="1"/>
  <c r="JW35" i="9" s="1"/>
  <c r="KT35" i="9"/>
  <c r="LB35" i="9"/>
  <c r="AF36" i="31" s="1"/>
  <c r="LE35" i="9"/>
  <c r="LH35" i="9"/>
  <c r="AH36" i="31" s="1"/>
  <c r="M37" i="10" s="1"/>
  <c r="LK35" i="9"/>
  <c r="AJ36" i="31" s="1"/>
  <c r="N37" i="10" s="1"/>
  <c r="LO35" i="9"/>
  <c r="LP35" i="9"/>
  <c r="IE61" i="9"/>
  <c r="IF61" i="9"/>
  <c r="IG61" i="9"/>
  <c r="IJ61" i="9"/>
  <c r="IN61" i="9"/>
  <c r="IO61" i="9"/>
  <c r="IP61" i="9"/>
  <c r="IS61" i="9"/>
  <c r="IV61" i="9"/>
  <c r="JB61" i="9"/>
  <c r="JG61" i="9"/>
  <c r="JJ61" i="9"/>
  <c r="JQ61" i="9"/>
  <c r="JN61" i="9" s="1"/>
  <c r="JR61" i="9"/>
  <c r="JO61" i="9" s="1"/>
  <c r="JA61" i="9" s="1"/>
  <c r="JV61" i="9"/>
  <c r="G62" i="23" s="1"/>
  <c r="JY61" i="9"/>
  <c r="JZ61" i="9"/>
  <c r="KE61" i="9"/>
  <c r="KF61" i="9"/>
  <c r="KI61" i="9"/>
  <c r="KL61" i="9"/>
  <c r="KS61" i="9"/>
  <c r="KP61" i="9" s="1"/>
  <c r="KM61" i="9" s="1"/>
  <c r="JW61" i="9" s="1"/>
  <c r="KT61" i="9"/>
  <c r="LB61" i="9"/>
  <c r="AF62" i="31" s="1"/>
  <c r="LE61" i="9"/>
  <c r="LH61" i="9"/>
  <c r="AH62" i="31" s="1"/>
  <c r="M63" i="10" s="1"/>
  <c r="LK61" i="9"/>
  <c r="AJ62" i="31" s="1"/>
  <c r="N63" i="10" s="1"/>
  <c r="LO61" i="9"/>
  <c r="LP61" i="9"/>
  <c r="IE62" i="9"/>
  <c r="IF62" i="9"/>
  <c r="IG62" i="9"/>
  <c r="IJ62" i="9"/>
  <c r="IN62" i="9"/>
  <c r="IO62" i="9"/>
  <c r="IP62" i="9"/>
  <c r="IS62" i="9"/>
  <c r="IV62" i="9"/>
  <c r="JB62" i="9"/>
  <c r="JG62" i="9"/>
  <c r="JJ62" i="9"/>
  <c r="JQ62" i="9"/>
  <c r="JN62" i="9" s="1"/>
  <c r="JR62" i="9"/>
  <c r="JO62" i="9" s="1"/>
  <c r="JA62" i="9" s="1"/>
  <c r="JV62" i="9"/>
  <c r="G63" i="23" s="1"/>
  <c r="JY62" i="9"/>
  <c r="JZ62" i="9"/>
  <c r="KE62" i="9"/>
  <c r="KF62" i="9"/>
  <c r="KI62" i="9"/>
  <c r="KL62" i="9"/>
  <c r="KS62" i="9"/>
  <c r="KP62" i="9" s="1"/>
  <c r="KM62" i="9" s="1"/>
  <c r="JW62" i="9" s="1"/>
  <c r="KT62" i="9"/>
  <c r="LB62" i="9"/>
  <c r="AF63" i="31" s="1"/>
  <c r="LE62" i="9"/>
  <c r="LH62" i="9"/>
  <c r="AH63" i="31" s="1"/>
  <c r="M64" i="10" s="1"/>
  <c r="LK62" i="9"/>
  <c r="AJ63" i="31" s="1"/>
  <c r="N64" i="10" s="1"/>
  <c r="LO62" i="9"/>
  <c r="LP62" i="9"/>
  <c r="IE51" i="9"/>
  <c r="IF51" i="9"/>
  <c r="IG51" i="9"/>
  <c r="IJ51" i="9"/>
  <c r="IN51" i="9"/>
  <c r="IO51" i="9"/>
  <c r="IP51" i="9"/>
  <c r="IS51" i="9"/>
  <c r="IV51" i="9"/>
  <c r="JB51" i="9"/>
  <c r="JG51" i="9"/>
  <c r="JJ51" i="9"/>
  <c r="JQ51" i="9"/>
  <c r="JN51" i="9" s="1"/>
  <c r="JR51" i="9"/>
  <c r="JO51" i="9" s="1"/>
  <c r="JA51" i="9" s="1"/>
  <c r="JV51" i="9"/>
  <c r="G52" i="23" s="1"/>
  <c r="JY51" i="9"/>
  <c r="JZ51" i="9"/>
  <c r="KE51" i="9"/>
  <c r="KF51" i="9"/>
  <c r="KI51" i="9"/>
  <c r="KL51" i="9"/>
  <c r="KS51" i="9"/>
  <c r="KP51" i="9" s="1"/>
  <c r="KM51" i="9" s="1"/>
  <c r="JW51" i="9" s="1"/>
  <c r="KT51" i="9"/>
  <c r="LB51" i="9"/>
  <c r="AF52" i="31" s="1"/>
  <c r="LE51" i="9"/>
  <c r="LH51" i="9"/>
  <c r="AH52" i="31" s="1"/>
  <c r="M53" i="10" s="1"/>
  <c r="LK51" i="9"/>
  <c r="AJ52" i="31" s="1"/>
  <c r="N53" i="10" s="1"/>
  <c r="LO51" i="9"/>
  <c r="LP51" i="9"/>
  <c r="IE36" i="9"/>
  <c r="IF36" i="9"/>
  <c r="IG36" i="9"/>
  <c r="IJ36" i="9"/>
  <c r="IN36" i="9"/>
  <c r="IO36" i="9"/>
  <c r="IP36" i="9"/>
  <c r="IS36" i="9"/>
  <c r="IV36" i="9"/>
  <c r="JB36" i="9"/>
  <c r="JG36" i="9"/>
  <c r="JJ36" i="9"/>
  <c r="JQ36" i="9"/>
  <c r="JN36" i="9" s="1"/>
  <c r="JR36" i="9"/>
  <c r="JO36" i="9" s="1"/>
  <c r="JA36" i="9" s="1"/>
  <c r="JV36" i="9"/>
  <c r="G37" i="23" s="1"/>
  <c r="JY36" i="9"/>
  <c r="JZ36" i="9"/>
  <c r="KE36" i="9"/>
  <c r="KF36" i="9"/>
  <c r="KI36" i="9"/>
  <c r="KL36" i="9"/>
  <c r="KS36" i="9"/>
  <c r="KP36" i="9" s="1"/>
  <c r="KM36" i="9" s="1"/>
  <c r="JW36" i="9" s="1"/>
  <c r="KT36" i="9"/>
  <c r="LB36" i="9"/>
  <c r="AF37" i="31" s="1"/>
  <c r="LE36" i="9"/>
  <c r="LH36" i="9"/>
  <c r="AH37" i="31" s="1"/>
  <c r="M38" i="10" s="1"/>
  <c r="LK36" i="9"/>
  <c r="AJ37" i="31" s="1"/>
  <c r="N38" i="10" s="1"/>
  <c r="LO36" i="9"/>
  <c r="LP36" i="9"/>
  <c r="IE63" i="9"/>
  <c r="IF63" i="9"/>
  <c r="IG63" i="9"/>
  <c r="IJ63" i="9"/>
  <c r="IN63" i="9"/>
  <c r="IO63" i="9"/>
  <c r="IP63" i="9"/>
  <c r="IS63" i="9"/>
  <c r="IV63" i="9"/>
  <c r="JB63" i="9"/>
  <c r="JG63" i="9"/>
  <c r="JJ63" i="9"/>
  <c r="JQ63" i="9"/>
  <c r="JN63" i="9" s="1"/>
  <c r="JR63" i="9"/>
  <c r="JO63" i="9" s="1"/>
  <c r="JA63" i="9" s="1"/>
  <c r="JV63" i="9"/>
  <c r="G64" i="23" s="1"/>
  <c r="JY63" i="9"/>
  <c r="JZ63" i="9"/>
  <c r="KE63" i="9"/>
  <c r="KF63" i="9"/>
  <c r="KI63" i="9"/>
  <c r="KL63" i="9"/>
  <c r="KS63" i="9"/>
  <c r="KP63" i="9" s="1"/>
  <c r="KM63" i="9" s="1"/>
  <c r="JW63" i="9" s="1"/>
  <c r="KT63" i="9"/>
  <c r="LB63" i="9"/>
  <c r="AF64" i="31" s="1"/>
  <c r="LE63" i="9"/>
  <c r="LH63" i="9"/>
  <c r="AH64" i="31" s="1"/>
  <c r="M65" i="10" s="1"/>
  <c r="LK63" i="9"/>
  <c r="AJ64" i="31" s="1"/>
  <c r="N65" i="10" s="1"/>
  <c r="LO63" i="9"/>
  <c r="LP63" i="9"/>
  <c r="IE37" i="9"/>
  <c r="IF37" i="9"/>
  <c r="IG37" i="9"/>
  <c r="IJ37" i="9"/>
  <c r="IN37" i="9"/>
  <c r="IO37" i="9"/>
  <c r="IP37" i="9"/>
  <c r="IS37" i="9"/>
  <c r="IV37" i="9"/>
  <c r="JB37" i="9"/>
  <c r="JG37" i="9"/>
  <c r="JJ37" i="9"/>
  <c r="JQ37" i="9"/>
  <c r="JN37" i="9" s="1"/>
  <c r="JR37" i="9"/>
  <c r="JO37" i="9" s="1"/>
  <c r="JA37" i="9" s="1"/>
  <c r="JV37" i="9"/>
  <c r="G38" i="23" s="1"/>
  <c r="JY37" i="9"/>
  <c r="JZ37" i="9"/>
  <c r="KE37" i="9"/>
  <c r="KF37" i="9"/>
  <c r="KI37" i="9"/>
  <c r="KL37" i="9"/>
  <c r="KS37" i="9"/>
  <c r="KP37" i="9" s="1"/>
  <c r="KM37" i="9" s="1"/>
  <c r="JW37" i="9" s="1"/>
  <c r="KT37" i="9"/>
  <c r="LB37" i="9"/>
  <c r="AF38" i="31" s="1"/>
  <c r="LE37" i="9"/>
  <c r="LH37" i="9"/>
  <c r="AH38" i="31" s="1"/>
  <c r="M39" i="10" s="1"/>
  <c r="LK37" i="9"/>
  <c r="AJ38" i="31" s="1"/>
  <c r="N39" i="10" s="1"/>
  <c r="LO37" i="9"/>
  <c r="LP37" i="9"/>
  <c r="IE52" i="9"/>
  <c r="IF52" i="9"/>
  <c r="IG52" i="9"/>
  <c r="IJ52" i="9"/>
  <c r="IN52" i="9"/>
  <c r="IO52" i="9"/>
  <c r="IP52" i="9"/>
  <c r="IS52" i="9"/>
  <c r="IV52" i="9"/>
  <c r="JB52" i="9"/>
  <c r="JG52" i="9"/>
  <c r="JJ52" i="9"/>
  <c r="JQ52" i="9"/>
  <c r="JN52" i="9" s="1"/>
  <c r="JR52" i="9"/>
  <c r="JO52" i="9" s="1"/>
  <c r="JA52" i="9" s="1"/>
  <c r="JV52" i="9"/>
  <c r="G53" i="23" s="1"/>
  <c r="JY52" i="9"/>
  <c r="JZ52" i="9"/>
  <c r="KE52" i="9"/>
  <c r="KF52" i="9"/>
  <c r="KI52" i="9"/>
  <c r="KL52" i="9"/>
  <c r="KS52" i="9"/>
  <c r="KP52" i="9" s="1"/>
  <c r="KM52" i="9" s="1"/>
  <c r="JW52" i="9" s="1"/>
  <c r="KT52" i="9"/>
  <c r="LB52" i="9"/>
  <c r="AF53" i="31" s="1"/>
  <c r="LE52" i="9"/>
  <c r="LH52" i="9"/>
  <c r="AH53" i="31" s="1"/>
  <c r="M54" i="10" s="1"/>
  <c r="LK52" i="9"/>
  <c r="AJ53" i="31" s="1"/>
  <c r="N54" i="10" s="1"/>
  <c r="LO52" i="9"/>
  <c r="LP52" i="9"/>
  <c r="IE38" i="9"/>
  <c r="IF38" i="9"/>
  <c r="IG38" i="9"/>
  <c r="IJ38" i="9"/>
  <c r="IN38" i="9"/>
  <c r="IO38" i="9"/>
  <c r="IP38" i="9"/>
  <c r="IS38" i="9"/>
  <c r="IV38" i="9"/>
  <c r="JB38" i="9"/>
  <c r="JG38" i="9"/>
  <c r="JJ38" i="9"/>
  <c r="JQ38" i="9"/>
  <c r="JN38" i="9" s="1"/>
  <c r="JR38" i="9"/>
  <c r="JO38" i="9" s="1"/>
  <c r="JA38" i="9" s="1"/>
  <c r="JV38" i="9"/>
  <c r="G39" i="23" s="1"/>
  <c r="JY38" i="9"/>
  <c r="JZ38" i="9"/>
  <c r="KE38" i="9"/>
  <c r="KF38" i="9"/>
  <c r="KI38" i="9"/>
  <c r="KL38" i="9"/>
  <c r="KS38" i="9"/>
  <c r="KP38" i="9" s="1"/>
  <c r="KM38" i="9" s="1"/>
  <c r="JW38" i="9" s="1"/>
  <c r="KT38" i="9"/>
  <c r="LB38" i="9"/>
  <c r="AF39" i="31" s="1"/>
  <c r="LE38" i="9"/>
  <c r="LH38" i="9"/>
  <c r="AH39" i="31" s="1"/>
  <c r="M40" i="10" s="1"/>
  <c r="LK38" i="9"/>
  <c r="AJ39" i="31" s="1"/>
  <c r="N40" i="10" s="1"/>
  <c r="LO38" i="9"/>
  <c r="LP38" i="9"/>
  <c r="IE64" i="9"/>
  <c r="IF64" i="9"/>
  <c r="IG64" i="9"/>
  <c r="IJ64" i="9"/>
  <c r="IN64" i="9"/>
  <c r="IO64" i="9"/>
  <c r="IP64" i="9"/>
  <c r="IS64" i="9"/>
  <c r="IV64" i="9"/>
  <c r="JB64" i="9"/>
  <c r="JG64" i="9"/>
  <c r="JJ64" i="9"/>
  <c r="JQ64" i="9"/>
  <c r="JN64" i="9" s="1"/>
  <c r="IZ64" i="9" s="1"/>
  <c r="JR64" i="9"/>
  <c r="JV64" i="9"/>
  <c r="G65" i="23" s="1"/>
  <c r="JY64" i="9"/>
  <c r="JZ64" i="9"/>
  <c r="KE64" i="9"/>
  <c r="KF64" i="9"/>
  <c r="KI64" i="9"/>
  <c r="KL64" i="9"/>
  <c r="KS64" i="9"/>
  <c r="KP64" i="9" s="1"/>
  <c r="KT64" i="9"/>
  <c r="KQ64" i="9" s="1"/>
  <c r="KN64" i="9" s="1"/>
  <c r="JX64" i="9" s="1"/>
  <c r="LB64" i="9"/>
  <c r="AF65" i="31" s="1"/>
  <c r="LE64" i="9"/>
  <c r="LH64" i="9"/>
  <c r="AH65" i="31" s="1"/>
  <c r="M66" i="10" s="1"/>
  <c r="LK64" i="9"/>
  <c r="AJ65" i="31" s="1"/>
  <c r="N66" i="10" s="1"/>
  <c r="LO64" i="9"/>
  <c r="LP64" i="9"/>
  <c r="J7" i="19"/>
  <c r="M7" i="19"/>
  <c r="P7" i="19"/>
  <c r="W7" i="19"/>
  <c r="AH7" i="19"/>
  <c r="AL7" i="19"/>
  <c r="AW7" i="19"/>
  <c r="J8" i="19"/>
  <c r="M8" i="19"/>
  <c r="P8" i="19"/>
  <c r="W8" i="19"/>
  <c r="AH8" i="19"/>
  <c r="AL8" i="19"/>
  <c r="AW8" i="19"/>
  <c r="J9" i="19"/>
  <c r="M9" i="19"/>
  <c r="P9" i="19"/>
  <c r="T9" i="19"/>
  <c r="T5" i="19" s="1"/>
  <c r="W9" i="19"/>
  <c r="Z9" i="19"/>
  <c r="Z5" i="19" s="1"/>
  <c r="AH9" i="19"/>
  <c r="AL9" i="19"/>
  <c r="AW9" i="19"/>
  <c r="J10" i="19"/>
  <c r="M10" i="19"/>
  <c r="P10" i="19"/>
  <c r="W10" i="19"/>
  <c r="AH10" i="19"/>
  <c r="AL10" i="19"/>
  <c r="AW10" i="19"/>
  <c r="J11" i="19"/>
  <c r="M11" i="19"/>
  <c r="P11" i="19"/>
  <c r="W11" i="19"/>
  <c r="AH11" i="19"/>
  <c r="AL11" i="19"/>
  <c r="AW11" i="19"/>
  <c r="J12" i="19"/>
  <c r="M12" i="19"/>
  <c r="P12" i="19"/>
  <c r="W12" i="19"/>
  <c r="AH12" i="19"/>
  <c r="AL12" i="19"/>
  <c r="AW12" i="19"/>
  <c r="J13" i="19"/>
  <c r="M13" i="19"/>
  <c r="P13" i="19"/>
  <c r="W13" i="19"/>
  <c r="AH13" i="19"/>
  <c r="AL13" i="19"/>
  <c r="AW13" i="19"/>
  <c r="J14" i="19"/>
  <c r="M14" i="19"/>
  <c r="P14" i="19"/>
  <c r="W14" i="19"/>
  <c r="AH14" i="19"/>
  <c r="AL14" i="19"/>
  <c r="AW14" i="19"/>
  <c r="J15" i="19"/>
  <c r="M15" i="19"/>
  <c r="P15" i="19"/>
  <c r="W15" i="19"/>
  <c r="AH15" i="19"/>
  <c r="AL15" i="19"/>
  <c r="AW15" i="19"/>
  <c r="J16" i="19"/>
  <c r="M16" i="19"/>
  <c r="P16" i="19"/>
  <c r="W16" i="19"/>
  <c r="AH16" i="19"/>
  <c r="AL16" i="19"/>
  <c r="AW16" i="19"/>
  <c r="J17" i="19"/>
  <c r="M17" i="19"/>
  <c r="P17" i="19"/>
  <c r="W17" i="19"/>
  <c r="AH17" i="19"/>
  <c r="AL17" i="19"/>
  <c r="AW17" i="19"/>
  <c r="J18" i="19"/>
  <c r="M18" i="19"/>
  <c r="P18" i="19"/>
  <c r="W18" i="19"/>
  <c r="AH18" i="19"/>
  <c r="AL18" i="19"/>
  <c r="AW18" i="19"/>
  <c r="J19" i="19"/>
  <c r="M19" i="19"/>
  <c r="P19" i="19"/>
  <c r="W19" i="19"/>
  <c r="AH19" i="19"/>
  <c r="AL19" i="19"/>
  <c r="AW19" i="19"/>
  <c r="J20" i="19"/>
  <c r="M20" i="19"/>
  <c r="P20" i="19"/>
  <c r="W20" i="19"/>
  <c r="AH20" i="19"/>
  <c r="AL20" i="19"/>
  <c r="AW20" i="19"/>
  <c r="J21" i="19"/>
  <c r="M21" i="19"/>
  <c r="P21" i="19"/>
  <c r="W21" i="19"/>
  <c r="AH21" i="19"/>
  <c r="AL21" i="19"/>
  <c r="AW21" i="19"/>
  <c r="J22" i="19"/>
  <c r="M22" i="19"/>
  <c r="P22" i="19"/>
  <c r="W22" i="19"/>
  <c r="AH22" i="19"/>
  <c r="AL22" i="19"/>
  <c r="AW22" i="19"/>
  <c r="J25" i="19"/>
  <c r="M25" i="19"/>
  <c r="P25" i="19"/>
  <c r="T25" i="19"/>
  <c r="W25" i="19"/>
  <c r="Z25" i="19"/>
  <c r="AH25" i="19"/>
  <c r="AL25" i="19"/>
  <c r="AW25" i="19"/>
  <c r="J26" i="19"/>
  <c r="M26" i="19"/>
  <c r="P26" i="19"/>
  <c r="T26" i="19"/>
  <c r="W26" i="19"/>
  <c r="Z26" i="19"/>
  <c r="AH26" i="19"/>
  <c r="AL26" i="19"/>
  <c r="AW26" i="19"/>
  <c r="J27" i="19"/>
  <c r="M27" i="19"/>
  <c r="P27" i="19"/>
  <c r="T27" i="19"/>
  <c r="W27" i="19"/>
  <c r="Z27" i="19"/>
  <c r="AH27" i="19"/>
  <c r="AL27" i="19"/>
  <c r="AW27" i="19"/>
  <c r="J28" i="19"/>
  <c r="M28" i="19"/>
  <c r="P28" i="19"/>
  <c r="T28" i="19"/>
  <c r="W28" i="19"/>
  <c r="Z28" i="19"/>
  <c r="AH28" i="19"/>
  <c r="AL28" i="19"/>
  <c r="AW28" i="19"/>
  <c r="J54" i="19"/>
  <c r="M54" i="19"/>
  <c r="P54" i="19"/>
  <c r="T54" i="19"/>
  <c r="W54" i="19"/>
  <c r="Z54" i="19"/>
  <c r="AH54" i="19"/>
  <c r="AL54" i="19"/>
  <c r="AW54" i="19"/>
  <c r="J29" i="19"/>
  <c r="M29" i="19"/>
  <c r="P29" i="19"/>
  <c r="T29" i="19"/>
  <c r="W29" i="19"/>
  <c r="Z29" i="19"/>
  <c r="AH29" i="19"/>
  <c r="AL29" i="19"/>
  <c r="AW29" i="19"/>
  <c r="J30" i="19"/>
  <c r="M30" i="19"/>
  <c r="P30" i="19"/>
  <c r="T30" i="19"/>
  <c r="W30" i="19"/>
  <c r="Z30" i="19"/>
  <c r="AH30" i="19"/>
  <c r="AL30" i="19"/>
  <c r="AW30" i="19"/>
  <c r="J40" i="19"/>
  <c r="M40" i="19"/>
  <c r="P40" i="19"/>
  <c r="T40" i="19"/>
  <c r="W40" i="19"/>
  <c r="Z40" i="19"/>
  <c r="AH40" i="19"/>
  <c r="AL40" i="19"/>
  <c r="AW40" i="19"/>
  <c r="J41" i="19"/>
  <c r="M41" i="19"/>
  <c r="P41" i="19"/>
  <c r="T41" i="19"/>
  <c r="W41" i="19"/>
  <c r="Z41" i="19"/>
  <c r="AH41" i="19"/>
  <c r="AL41" i="19"/>
  <c r="AW41" i="19"/>
  <c r="J42" i="19"/>
  <c r="M42" i="19"/>
  <c r="P42" i="19"/>
  <c r="T42" i="19"/>
  <c r="W42" i="19"/>
  <c r="Z42" i="19"/>
  <c r="AH42" i="19"/>
  <c r="AL42" i="19"/>
  <c r="AW42" i="19"/>
  <c r="J43" i="19"/>
  <c r="M43" i="19"/>
  <c r="P43" i="19"/>
  <c r="T43" i="19"/>
  <c r="W43" i="19"/>
  <c r="Z43" i="19"/>
  <c r="AH43" i="19"/>
  <c r="AL43" i="19"/>
  <c r="AW43" i="19"/>
  <c r="J55" i="19"/>
  <c r="M55" i="19"/>
  <c r="P55" i="19"/>
  <c r="T55" i="19"/>
  <c r="W55" i="19"/>
  <c r="Z55" i="19"/>
  <c r="AH55" i="19"/>
  <c r="AL55" i="19"/>
  <c r="AW55" i="19"/>
  <c r="J56" i="19"/>
  <c r="M56" i="19"/>
  <c r="P56" i="19"/>
  <c r="T56" i="19"/>
  <c r="W56" i="19"/>
  <c r="Z56" i="19"/>
  <c r="AH56" i="19"/>
  <c r="AL56" i="19"/>
  <c r="AW56" i="19"/>
  <c r="J44" i="19"/>
  <c r="M44" i="19"/>
  <c r="P44" i="19"/>
  <c r="T44" i="19"/>
  <c r="W44" i="19"/>
  <c r="Z44" i="19"/>
  <c r="AH44" i="19"/>
  <c r="AL44" i="19"/>
  <c r="AW44" i="19"/>
  <c r="J45" i="19"/>
  <c r="M45" i="19"/>
  <c r="P45" i="19"/>
  <c r="T45" i="19"/>
  <c r="W45" i="19"/>
  <c r="Z45" i="19"/>
  <c r="AH45" i="19"/>
  <c r="AL45" i="19"/>
  <c r="AW45" i="19"/>
  <c r="J46" i="19"/>
  <c r="M46" i="19"/>
  <c r="P46" i="19"/>
  <c r="T46" i="19"/>
  <c r="W46" i="19"/>
  <c r="Z46" i="19"/>
  <c r="AH46" i="19"/>
  <c r="AL46" i="19"/>
  <c r="AW46" i="19"/>
  <c r="J31" i="19"/>
  <c r="M31" i="19"/>
  <c r="P31" i="19"/>
  <c r="T31" i="19"/>
  <c r="W31" i="19"/>
  <c r="Z31" i="19"/>
  <c r="AH31" i="19"/>
  <c r="AL31" i="19"/>
  <c r="AW31" i="19"/>
  <c r="J47" i="19"/>
  <c r="M47" i="19"/>
  <c r="P47" i="19"/>
  <c r="T47" i="19"/>
  <c r="W47" i="19"/>
  <c r="Z47" i="19"/>
  <c r="AH47" i="19"/>
  <c r="AL47" i="19"/>
  <c r="AW47" i="19"/>
  <c r="J32" i="19"/>
  <c r="M32" i="19"/>
  <c r="P32" i="19"/>
  <c r="T32" i="19"/>
  <c r="W32" i="19"/>
  <c r="Z32" i="19"/>
  <c r="AH32" i="19"/>
  <c r="AL32" i="19"/>
  <c r="AW32" i="19"/>
  <c r="J57" i="19"/>
  <c r="M57" i="19"/>
  <c r="P57" i="19"/>
  <c r="T57" i="19"/>
  <c r="W57" i="19"/>
  <c r="Z57" i="19"/>
  <c r="AH57" i="19"/>
  <c r="AL57" i="19"/>
  <c r="AW57" i="19"/>
  <c r="J58" i="19"/>
  <c r="M58" i="19"/>
  <c r="P58" i="19"/>
  <c r="T58" i="19"/>
  <c r="W58" i="19"/>
  <c r="Z58" i="19"/>
  <c r="AH58" i="19"/>
  <c r="AL58" i="19"/>
  <c r="AW58" i="19"/>
  <c r="J33" i="19"/>
  <c r="M33" i="19"/>
  <c r="P33" i="19"/>
  <c r="T33" i="19"/>
  <c r="W33" i="19"/>
  <c r="Z33" i="19"/>
  <c r="AH33" i="19"/>
  <c r="AL33" i="19"/>
  <c r="AW33" i="19"/>
  <c r="J59" i="19"/>
  <c r="M59" i="19"/>
  <c r="P59" i="19"/>
  <c r="T59" i="19"/>
  <c r="W59" i="19"/>
  <c r="Z59" i="19"/>
  <c r="AH59" i="19"/>
  <c r="AL59" i="19"/>
  <c r="AW59" i="19"/>
  <c r="J48" i="19"/>
  <c r="M48" i="19"/>
  <c r="P48" i="19"/>
  <c r="T48" i="19"/>
  <c r="W48" i="19"/>
  <c r="Z48" i="19"/>
  <c r="AH48" i="19"/>
  <c r="AL48" i="19"/>
  <c r="AW48" i="19"/>
  <c r="J49" i="19"/>
  <c r="M49" i="19"/>
  <c r="P49" i="19"/>
  <c r="T49" i="19"/>
  <c r="W49" i="19"/>
  <c r="Z49" i="19"/>
  <c r="AH49" i="19"/>
  <c r="AL49" i="19"/>
  <c r="AW49" i="19"/>
  <c r="J34" i="19"/>
  <c r="M34" i="19"/>
  <c r="P34" i="19"/>
  <c r="T34" i="19"/>
  <c r="W34" i="19"/>
  <c r="Z34" i="19"/>
  <c r="AH34" i="19"/>
  <c r="AL34" i="19"/>
  <c r="AW34" i="19"/>
  <c r="J60" i="19"/>
  <c r="M60" i="19"/>
  <c r="P60" i="19"/>
  <c r="T60" i="19"/>
  <c r="W60" i="19"/>
  <c r="Z60" i="19"/>
  <c r="AH60" i="19"/>
  <c r="AL60" i="19"/>
  <c r="AW60" i="19"/>
  <c r="J61" i="19"/>
  <c r="M61" i="19"/>
  <c r="P61" i="19"/>
  <c r="T61" i="19"/>
  <c r="W61" i="19"/>
  <c r="Z61" i="19"/>
  <c r="AH61" i="19"/>
  <c r="AL61" i="19"/>
  <c r="AW61" i="19"/>
  <c r="J50" i="19"/>
  <c r="M50" i="19"/>
  <c r="P50" i="19"/>
  <c r="T50" i="19"/>
  <c r="W50" i="19"/>
  <c r="Z50" i="19"/>
  <c r="AH50" i="19"/>
  <c r="AL50" i="19"/>
  <c r="AW50" i="19"/>
  <c r="J35" i="19"/>
  <c r="M35" i="19"/>
  <c r="P35" i="19"/>
  <c r="T35" i="19"/>
  <c r="W35" i="19"/>
  <c r="Z35" i="19"/>
  <c r="AH35" i="19"/>
  <c r="AL35" i="19"/>
  <c r="AW35" i="19"/>
  <c r="J62" i="19"/>
  <c r="M62" i="19"/>
  <c r="P62" i="19"/>
  <c r="T62" i="19"/>
  <c r="W62" i="19"/>
  <c r="Z62" i="19"/>
  <c r="AH62" i="19"/>
  <c r="AL62" i="19"/>
  <c r="AW62" i="19"/>
  <c r="J36" i="19"/>
  <c r="M36" i="19"/>
  <c r="P36" i="19"/>
  <c r="T36" i="19"/>
  <c r="W36" i="19"/>
  <c r="Z36" i="19"/>
  <c r="AH36" i="19"/>
  <c r="AL36" i="19"/>
  <c r="AW36" i="19"/>
  <c r="J51" i="19"/>
  <c r="M51" i="19"/>
  <c r="P51" i="19"/>
  <c r="T51" i="19"/>
  <c r="W51" i="19"/>
  <c r="Z51" i="19"/>
  <c r="AH51" i="19"/>
  <c r="AL51" i="19"/>
  <c r="AW51" i="19"/>
  <c r="J37" i="19"/>
  <c r="M37" i="19"/>
  <c r="P37" i="19"/>
  <c r="T37" i="19"/>
  <c r="W37" i="19"/>
  <c r="Z37" i="19"/>
  <c r="AH37" i="19"/>
  <c r="AL37" i="19"/>
  <c r="AW37" i="19"/>
  <c r="J63" i="19"/>
  <c r="M63" i="19"/>
  <c r="P63" i="19"/>
  <c r="T63" i="19"/>
  <c r="W63" i="19"/>
  <c r="Z63" i="19"/>
  <c r="AH63" i="19"/>
  <c r="AL63" i="19"/>
  <c r="AW63" i="19"/>
  <c r="B7" i="31" l="1"/>
  <c r="Z7" i="31"/>
  <c r="D7" i="31"/>
  <c r="AB7" i="31"/>
  <c r="J8" i="10" s="1"/>
  <c r="I8" i="10"/>
  <c r="F7" i="31"/>
  <c r="AD7" i="31"/>
  <c r="K8" i="10" s="1"/>
  <c r="R7" i="31"/>
  <c r="J37" i="31"/>
  <c r="V37" i="31"/>
  <c r="J35" i="31"/>
  <c r="V35" i="31"/>
  <c r="H42" i="31"/>
  <c r="T42" i="31"/>
  <c r="L27" i="31"/>
  <c r="X27" i="31"/>
  <c r="J23" i="31"/>
  <c r="V23" i="31"/>
  <c r="H20" i="31"/>
  <c r="T20" i="31"/>
  <c r="H16" i="31"/>
  <c r="T16" i="31"/>
  <c r="J11" i="31"/>
  <c r="V11" i="31"/>
  <c r="J53" i="31"/>
  <c r="V53" i="31"/>
  <c r="L63" i="31"/>
  <c r="X63" i="31"/>
  <c r="L59" i="31"/>
  <c r="X59" i="31"/>
  <c r="L30" i="31"/>
  <c r="X30" i="31"/>
  <c r="L14" i="31"/>
  <c r="X14" i="31"/>
  <c r="L47" i="31"/>
  <c r="X47" i="31"/>
  <c r="H46" i="31"/>
  <c r="T46" i="31"/>
  <c r="J30" i="31"/>
  <c r="V30" i="31"/>
  <c r="J18" i="31"/>
  <c r="V18" i="31"/>
  <c r="H15" i="31"/>
  <c r="T15" i="31"/>
  <c r="J47" i="31"/>
  <c r="V47" i="31"/>
  <c r="L44" i="31"/>
  <c r="X44" i="31"/>
  <c r="H43" i="31"/>
  <c r="T43" i="31"/>
  <c r="J32" i="31"/>
  <c r="V32" i="31"/>
  <c r="L28" i="31"/>
  <c r="X28" i="31"/>
  <c r="H27" i="31"/>
  <c r="T27" i="31"/>
  <c r="L21" i="31"/>
  <c r="X21" i="31"/>
  <c r="L17" i="31"/>
  <c r="X17" i="31"/>
  <c r="L13" i="31"/>
  <c r="X13" i="31"/>
  <c r="J39" i="31"/>
  <c r="V39" i="31"/>
  <c r="L52" i="31"/>
  <c r="X52" i="31"/>
  <c r="H63" i="31"/>
  <c r="T63" i="31"/>
  <c r="J36" i="31"/>
  <c r="V36" i="31"/>
  <c r="L60" i="31"/>
  <c r="X60" i="31"/>
  <c r="H59" i="31"/>
  <c r="T59" i="31"/>
  <c r="J49" i="31"/>
  <c r="V49" i="31"/>
  <c r="L58" i="31"/>
  <c r="X58" i="31"/>
  <c r="H57" i="31"/>
  <c r="T57" i="31"/>
  <c r="J44" i="31"/>
  <c r="V44" i="31"/>
  <c r="L56" i="31"/>
  <c r="X56" i="31"/>
  <c r="H30" i="31"/>
  <c r="T30" i="31"/>
  <c r="J28" i="31"/>
  <c r="V28" i="31"/>
  <c r="H22" i="31"/>
  <c r="T22" i="31"/>
  <c r="J21" i="31"/>
  <c r="V21" i="31"/>
  <c r="H18" i="31"/>
  <c r="T18" i="31"/>
  <c r="J17" i="31"/>
  <c r="V17" i="31"/>
  <c r="H14" i="31"/>
  <c r="T14" i="31"/>
  <c r="J13" i="31"/>
  <c r="V13" i="31"/>
  <c r="L10" i="31"/>
  <c r="X10" i="31"/>
  <c r="N7" i="31"/>
  <c r="H38" i="31"/>
  <c r="T38" i="31"/>
  <c r="L51" i="31"/>
  <c r="X51" i="31"/>
  <c r="H50" i="31"/>
  <c r="T50" i="31"/>
  <c r="J46" i="31"/>
  <c r="V46" i="31"/>
  <c r="J31" i="31"/>
  <c r="V31" i="31"/>
  <c r="J15" i="31"/>
  <c r="V15" i="31"/>
  <c r="H65" i="31"/>
  <c r="T65" i="31"/>
  <c r="L57" i="31"/>
  <c r="X57" i="31"/>
  <c r="H29" i="31"/>
  <c r="T29" i="31"/>
  <c r="J27" i="31"/>
  <c r="V27" i="31"/>
  <c r="H37" i="31"/>
  <c r="T37" i="31"/>
  <c r="J63" i="31"/>
  <c r="V63" i="31"/>
  <c r="H35" i="31"/>
  <c r="T35" i="31"/>
  <c r="J22" i="31"/>
  <c r="V22" i="31"/>
  <c r="H11" i="31"/>
  <c r="T11" i="31"/>
  <c r="L39" i="31"/>
  <c r="X39" i="31"/>
  <c r="J64" i="31"/>
  <c r="V64" i="31"/>
  <c r="J61" i="31"/>
  <c r="V61" i="31"/>
  <c r="L49" i="31"/>
  <c r="X49" i="31"/>
  <c r="H33" i="31"/>
  <c r="T33" i="31"/>
  <c r="J52" i="31"/>
  <c r="V52" i="31"/>
  <c r="J58" i="31"/>
  <c r="V58" i="31"/>
  <c r="J56" i="31"/>
  <c r="V56" i="31"/>
  <c r="L12" i="31"/>
  <c r="X12" i="31"/>
  <c r="J10" i="31"/>
  <c r="V10" i="31"/>
  <c r="L65" i="31"/>
  <c r="X65" i="31"/>
  <c r="H39" i="31"/>
  <c r="T39" i="31"/>
  <c r="J38" i="31"/>
  <c r="V38" i="31"/>
  <c r="L62" i="31"/>
  <c r="X62" i="31"/>
  <c r="H36" i="31"/>
  <c r="T36" i="31"/>
  <c r="J50" i="31"/>
  <c r="V50" i="31"/>
  <c r="L34" i="31"/>
  <c r="X34" i="31"/>
  <c r="H49" i="31"/>
  <c r="T49" i="31"/>
  <c r="J48" i="31"/>
  <c r="V48" i="31"/>
  <c r="L45" i="31"/>
  <c r="X45" i="31"/>
  <c r="H44" i="31"/>
  <c r="T44" i="31"/>
  <c r="J42" i="31"/>
  <c r="V42" i="31"/>
  <c r="L29" i="31"/>
  <c r="X29" i="31"/>
  <c r="H28" i="31"/>
  <c r="T28" i="31"/>
  <c r="J24" i="31"/>
  <c r="V24" i="31"/>
  <c r="H21" i="31"/>
  <c r="T21" i="31"/>
  <c r="J20" i="31"/>
  <c r="V20" i="31"/>
  <c r="H17" i="31"/>
  <c r="T17" i="31"/>
  <c r="J16" i="31"/>
  <c r="V16" i="31"/>
  <c r="H13" i="31"/>
  <c r="T13" i="31"/>
  <c r="J12" i="31"/>
  <c r="V12" i="31"/>
  <c r="L9" i="31"/>
  <c r="X9" i="31"/>
  <c r="L53" i="31"/>
  <c r="X53" i="31"/>
  <c r="L33" i="31"/>
  <c r="X33" i="31"/>
  <c r="H48" i="31"/>
  <c r="T48" i="31"/>
  <c r="L43" i="31"/>
  <c r="X43" i="31"/>
  <c r="H24" i="31"/>
  <c r="T24" i="31"/>
  <c r="J19" i="31"/>
  <c r="V19" i="31"/>
  <c r="H12" i="31"/>
  <c r="T12" i="31"/>
  <c r="H62" i="31"/>
  <c r="T62" i="31"/>
  <c r="J51" i="31"/>
  <c r="V51" i="31"/>
  <c r="H34" i="31"/>
  <c r="T34" i="31"/>
  <c r="J33" i="31"/>
  <c r="V33" i="31"/>
  <c r="H45" i="31"/>
  <c r="T45" i="31"/>
  <c r="J43" i="31"/>
  <c r="V43" i="31"/>
  <c r="L22" i="31"/>
  <c r="X22" i="31"/>
  <c r="L18" i="31"/>
  <c r="X18" i="31"/>
  <c r="H9" i="31"/>
  <c r="T9" i="31"/>
  <c r="L64" i="31"/>
  <c r="X64" i="31"/>
  <c r="L61" i="31"/>
  <c r="X61" i="31"/>
  <c r="J59" i="31"/>
  <c r="V59" i="31"/>
  <c r="J57" i="31"/>
  <c r="V57" i="31"/>
  <c r="L32" i="31"/>
  <c r="X32" i="31"/>
  <c r="H31" i="31"/>
  <c r="T31" i="31"/>
  <c r="H23" i="31"/>
  <c r="T23" i="31"/>
  <c r="H19" i="31"/>
  <c r="T19" i="31"/>
  <c r="J14" i="31"/>
  <c r="V14" i="31"/>
  <c r="H53" i="31"/>
  <c r="T53" i="31"/>
  <c r="L36" i="31"/>
  <c r="X36" i="31"/>
  <c r="H51" i="31"/>
  <c r="T51" i="31"/>
  <c r="L38" i="31"/>
  <c r="X38" i="31"/>
  <c r="H64" i="31"/>
  <c r="T64" i="31"/>
  <c r="L50" i="31"/>
  <c r="X50" i="31"/>
  <c r="H61" i="31"/>
  <c r="T61" i="31"/>
  <c r="J60" i="31"/>
  <c r="V60" i="31"/>
  <c r="L48" i="31"/>
  <c r="X48" i="31"/>
  <c r="H47" i="31"/>
  <c r="T47" i="31"/>
  <c r="L42" i="31"/>
  <c r="X42" i="31"/>
  <c r="H32" i="31"/>
  <c r="T32" i="31"/>
  <c r="L24" i="31"/>
  <c r="X24" i="31"/>
  <c r="L20" i="31"/>
  <c r="X20" i="31"/>
  <c r="L16" i="31"/>
  <c r="X16" i="31"/>
  <c r="J65" i="31"/>
  <c r="V65" i="31"/>
  <c r="L37" i="31"/>
  <c r="X37" i="31"/>
  <c r="H52" i="31"/>
  <c r="T52" i="31"/>
  <c r="J62" i="31"/>
  <c r="V62" i="31"/>
  <c r="L35" i="31"/>
  <c r="X35" i="31"/>
  <c r="H60" i="31"/>
  <c r="T60" i="31"/>
  <c r="J34" i="31"/>
  <c r="V34" i="31"/>
  <c r="L46" i="31"/>
  <c r="X46" i="31"/>
  <c r="H58" i="31"/>
  <c r="T58" i="31"/>
  <c r="J45" i="31"/>
  <c r="V45" i="31"/>
  <c r="L31" i="31"/>
  <c r="X31" i="31"/>
  <c r="H56" i="31"/>
  <c r="T56" i="31"/>
  <c r="J29" i="31"/>
  <c r="V29" i="31"/>
  <c r="L23" i="31"/>
  <c r="X23" i="31"/>
  <c r="L19" i="31"/>
  <c r="X19" i="31"/>
  <c r="L15" i="31"/>
  <c r="X15" i="31"/>
  <c r="L11" i="31"/>
  <c r="X11" i="31"/>
  <c r="H10" i="31"/>
  <c r="T10" i="31"/>
  <c r="J9" i="31"/>
  <c r="V9" i="31"/>
  <c r="P7" i="31"/>
  <c r="E41" i="23"/>
  <c r="E26" i="23"/>
  <c r="E55" i="23"/>
  <c r="E8" i="23"/>
  <c r="CH5" i="9"/>
  <c r="JU5" i="9"/>
  <c r="LW5" i="9"/>
  <c r="DX5" i="9"/>
  <c r="JD5" i="9"/>
  <c r="JI5" i="9"/>
  <c r="KA5" i="9"/>
  <c r="KU5" i="9"/>
  <c r="LD5" i="9"/>
  <c r="EW5" i="9"/>
  <c r="LZ5" i="9"/>
  <c r="DV5" i="9"/>
  <c r="LN58" i="9"/>
  <c r="L60" i="10" s="1"/>
  <c r="II5" i="9"/>
  <c r="LN29" i="9"/>
  <c r="L31" i="10" s="1"/>
  <c r="CC5" i="9"/>
  <c r="LN26" i="9"/>
  <c r="L28" i="10" s="1"/>
  <c r="LN11" i="9"/>
  <c r="L13" i="10" s="1"/>
  <c r="KZ5" i="9"/>
  <c r="LN36" i="9"/>
  <c r="L38" i="10" s="1"/>
  <c r="IH5" i="9"/>
  <c r="IY5" i="9"/>
  <c r="JE5" i="9"/>
  <c r="DY5" i="9"/>
  <c r="JK5" i="9"/>
  <c r="KH5" i="9"/>
  <c r="LL5" i="9"/>
  <c r="JL5" i="9"/>
  <c r="IW5" i="9"/>
  <c r="JT5" i="9"/>
  <c r="LR5" i="9"/>
  <c r="FA5" i="9"/>
  <c r="LN32" i="9"/>
  <c r="L34" i="10" s="1"/>
  <c r="BX5" i="9"/>
  <c r="D6" i="23" s="1"/>
  <c r="D41" i="23" s="1"/>
  <c r="FB5" i="9"/>
  <c r="AR43" i="19"/>
  <c r="AR58" i="19"/>
  <c r="AR59" i="19"/>
  <c r="CG5" i="9"/>
  <c r="NB5" i="9"/>
  <c r="ME5" i="9"/>
  <c r="KK5" i="9"/>
  <c r="LC5" i="9"/>
  <c r="LQ5" i="9"/>
  <c r="L5" i="9"/>
  <c r="BW5" i="9"/>
  <c r="NE5" i="9"/>
  <c r="KJ5" i="9"/>
  <c r="LA5" i="9"/>
  <c r="LM5" i="9"/>
  <c r="LX5" i="9"/>
  <c r="LN22" i="9"/>
  <c r="L24" i="10" s="1"/>
  <c r="LN20" i="9"/>
  <c r="L22" i="10" s="1"/>
  <c r="LN18" i="9"/>
  <c r="L20" i="10" s="1"/>
  <c r="LN16" i="9"/>
  <c r="L18" i="10" s="1"/>
  <c r="LN12" i="9"/>
  <c r="L14" i="10" s="1"/>
  <c r="N5" i="9"/>
  <c r="EX5" i="9"/>
  <c r="NC5" i="9"/>
  <c r="LN38" i="9"/>
  <c r="L40" i="10" s="1"/>
  <c r="LN50" i="9"/>
  <c r="L52" i="10" s="1"/>
  <c r="LN56" i="9"/>
  <c r="L58" i="10" s="1"/>
  <c r="LN42" i="9"/>
  <c r="L44" i="10" s="1"/>
  <c r="HC5" i="9"/>
  <c r="JH5" i="9"/>
  <c r="LN23" i="9"/>
  <c r="L25" i="10" s="1"/>
  <c r="LN19" i="9"/>
  <c r="L21" i="10" s="1"/>
  <c r="LN14" i="9"/>
  <c r="L16" i="10" s="1"/>
  <c r="HE5" i="9"/>
  <c r="CB5" i="9"/>
  <c r="BS5" i="9"/>
  <c r="C6" i="23" s="1"/>
  <c r="C41" i="23" s="1"/>
  <c r="DS5" i="9"/>
  <c r="HJ5" i="9"/>
  <c r="NI5" i="9"/>
  <c r="KC5" i="9"/>
  <c r="KW5" i="9"/>
  <c r="LG5" i="9"/>
  <c r="LT5" i="9"/>
  <c r="KG5" i="9"/>
  <c r="LJ5" i="9"/>
  <c r="MD5" i="9"/>
  <c r="LN47" i="9"/>
  <c r="L49" i="10" s="1"/>
  <c r="LN57" i="9"/>
  <c r="L59" i="10" s="1"/>
  <c r="LN21" i="9"/>
  <c r="L23" i="10" s="1"/>
  <c r="LN17" i="9"/>
  <c r="L19" i="10" s="1"/>
  <c r="LN15" i="9"/>
  <c r="L17" i="10" s="1"/>
  <c r="LN13" i="9"/>
  <c r="L15" i="10" s="1"/>
  <c r="HL5" i="9"/>
  <c r="LN49" i="9"/>
  <c r="L51" i="10" s="1"/>
  <c r="LN59" i="9"/>
  <c r="L61" i="10" s="1"/>
  <c r="LN41" i="9"/>
  <c r="L43" i="10" s="1"/>
  <c r="LN55" i="9"/>
  <c r="L57" i="10" s="1"/>
  <c r="MZ5" i="9"/>
  <c r="NH5" i="9"/>
  <c r="IR5" i="9"/>
  <c r="KB5" i="9"/>
  <c r="KV5" i="9"/>
  <c r="LF5" i="9"/>
  <c r="LS5" i="9"/>
  <c r="KD5" i="9"/>
  <c r="KX5" i="9"/>
  <c r="LI5" i="9"/>
  <c r="LU5" i="9"/>
  <c r="CP5" i="9"/>
  <c r="DQ5" i="9"/>
  <c r="EZ5" i="9"/>
  <c r="IM5" i="9"/>
  <c r="LY5" i="9"/>
  <c r="LN52" i="9"/>
  <c r="L54" i="10" s="1"/>
  <c r="LN51" i="9"/>
  <c r="L53" i="10" s="1"/>
  <c r="LN10" i="9"/>
  <c r="L12" i="10" s="1"/>
  <c r="BV5" i="9"/>
  <c r="DW5" i="9"/>
  <c r="HK5" i="9"/>
  <c r="NA5" i="9"/>
  <c r="NG5" i="9"/>
  <c r="IL5" i="9"/>
  <c r="CM5" i="9"/>
  <c r="LN62" i="9"/>
  <c r="L64" i="10" s="1"/>
  <c r="HI5" i="9"/>
  <c r="LV5" i="9"/>
  <c r="LN61" i="9"/>
  <c r="L63" i="10" s="1"/>
  <c r="LN60" i="9"/>
  <c r="L62" i="10" s="1"/>
  <c r="LN33" i="9"/>
  <c r="L35" i="10" s="1"/>
  <c r="LN46" i="9"/>
  <c r="L48" i="10" s="1"/>
  <c r="LN44" i="9"/>
  <c r="L46" i="10" s="1"/>
  <c r="LN31" i="9"/>
  <c r="L33" i="10" s="1"/>
  <c r="LN28" i="9"/>
  <c r="L30" i="10" s="1"/>
  <c r="J5" i="9"/>
  <c r="CF5" i="9"/>
  <c r="CQ5" i="9"/>
  <c r="CE5" i="9"/>
  <c r="DU5" i="9"/>
  <c r="FD5" i="9"/>
  <c r="HH5" i="9"/>
  <c r="IU5" i="9"/>
  <c r="MC5" i="9"/>
  <c r="CN5" i="9"/>
  <c r="LN9" i="9"/>
  <c r="L11" i="10" s="1"/>
  <c r="LN8" i="9"/>
  <c r="L10" i="10" s="1"/>
  <c r="BT5" i="9"/>
  <c r="JF5" i="9"/>
  <c r="KY5" i="9"/>
  <c r="H6" i="23" s="1"/>
  <c r="H26" i="23" s="1"/>
  <c r="LN64" i="9"/>
  <c r="L66" i="10" s="1"/>
  <c r="LN63" i="9"/>
  <c r="L65" i="10" s="1"/>
  <c r="BU5" i="9"/>
  <c r="CL5" i="9"/>
  <c r="EV5" i="9"/>
  <c r="FC5" i="9"/>
  <c r="MB5" i="9"/>
  <c r="EY5" i="9"/>
  <c r="LN37" i="9"/>
  <c r="L39" i="10" s="1"/>
  <c r="KR62" i="9"/>
  <c r="LN35" i="9"/>
  <c r="L37" i="10" s="1"/>
  <c r="LN34" i="9"/>
  <c r="L36" i="10" s="1"/>
  <c r="LN48" i="9"/>
  <c r="L50" i="10" s="1"/>
  <c r="LN45" i="9"/>
  <c r="L47" i="10" s="1"/>
  <c r="LN43" i="9"/>
  <c r="L45" i="10" s="1"/>
  <c r="LN30" i="9"/>
  <c r="L32" i="10" s="1"/>
  <c r="LN27" i="9"/>
  <c r="L29" i="10" s="1"/>
  <c r="H5" i="9"/>
  <c r="P5" i="9"/>
  <c r="BZ5" i="9"/>
  <c r="CD5" i="9"/>
  <c r="DZ5" i="9"/>
  <c r="EU5" i="9"/>
  <c r="HG5" i="9"/>
  <c r="ND5" i="9"/>
  <c r="IT5" i="9"/>
  <c r="JC5" i="9"/>
  <c r="JS5" i="9"/>
  <c r="MA5" i="9"/>
  <c r="AL52" i="19"/>
  <c r="Z52" i="19"/>
  <c r="T52" i="19"/>
  <c r="M52" i="19"/>
  <c r="AL38" i="19"/>
  <c r="Z38" i="19"/>
  <c r="T38" i="19"/>
  <c r="M38" i="19"/>
  <c r="AW23" i="19"/>
  <c r="AH23" i="19"/>
  <c r="W23" i="19"/>
  <c r="P23" i="19"/>
  <c r="J23" i="19"/>
  <c r="AW5" i="19"/>
  <c r="AH5" i="19"/>
  <c r="P5" i="19"/>
  <c r="J5" i="19"/>
  <c r="AW38" i="19"/>
  <c r="AR25" i="19"/>
  <c r="AL23" i="19"/>
  <c r="AW52" i="19"/>
  <c r="AH52" i="19"/>
  <c r="W52" i="19"/>
  <c r="P52" i="19"/>
  <c r="J52" i="19"/>
  <c r="AH38" i="19"/>
  <c r="W38" i="19"/>
  <c r="P38" i="19"/>
  <c r="J38" i="19"/>
  <c r="Z23" i="19"/>
  <c r="T23" i="19"/>
  <c r="M23" i="19"/>
  <c r="AL5" i="19"/>
  <c r="W5" i="19"/>
  <c r="M5" i="19"/>
  <c r="AR36" i="19"/>
  <c r="AR33" i="19"/>
  <c r="AR57" i="19"/>
  <c r="AR42" i="19"/>
  <c r="AR40" i="19"/>
  <c r="AR29" i="19"/>
  <c r="AR28" i="19"/>
  <c r="LO39" i="9"/>
  <c r="LK39" i="9"/>
  <c r="AJ40" i="31" s="1"/>
  <c r="N41" i="10" s="1"/>
  <c r="LE39" i="9"/>
  <c r="KT39" i="9"/>
  <c r="KL39" i="9"/>
  <c r="KF39" i="9"/>
  <c r="JZ39" i="9"/>
  <c r="JN39" i="9"/>
  <c r="JG39" i="9"/>
  <c r="IV39" i="9"/>
  <c r="IP39" i="9"/>
  <c r="IN39" i="9"/>
  <c r="IG39" i="9"/>
  <c r="IE39" i="9"/>
  <c r="LO53" i="9"/>
  <c r="LK53" i="9"/>
  <c r="AJ54" i="31" s="1"/>
  <c r="N55" i="10" s="1"/>
  <c r="LE53" i="9"/>
  <c r="KT53" i="9"/>
  <c r="KL53" i="9"/>
  <c r="KF53" i="9"/>
  <c r="JZ53" i="9"/>
  <c r="JN53" i="9"/>
  <c r="JG53" i="9"/>
  <c r="IV53" i="9"/>
  <c r="IP53" i="9"/>
  <c r="IN53" i="9"/>
  <c r="IG53" i="9"/>
  <c r="IE53" i="9"/>
  <c r="LO24" i="9"/>
  <c r="LK24" i="9"/>
  <c r="AJ25" i="31" s="1"/>
  <c r="N26" i="10" s="1"/>
  <c r="LE24" i="9"/>
  <c r="KT24" i="9"/>
  <c r="KL24" i="9"/>
  <c r="KF24" i="9"/>
  <c r="JZ24" i="9"/>
  <c r="JN24" i="9"/>
  <c r="JG24" i="9"/>
  <c r="IV24" i="9"/>
  <c r="IP24" i="9"/>
  <c r="IN24" i="9"/>
  <c r="IG24" i="9"/>
  <c r="IE24" i="9"/>
  <c r="LP6" i="9"/>
  <c r="LH6" i="9"/>
  <c r="AH7" i="31" s="1"/>
  <c r="M8" i="10" s="1"/>
  <c r="LB6" i="9"/>
  <c r="AF7" i="31" s="1"/>
  <c r="IS6" i="9"/>
  <c r="IO6" i="9"/>
  <c r="IJ6" i="9"/>
  <c r="IF6" i="9"/>
  <c r="DP6" i="9"/>
  <c r="DN6" i="9"/>
  <c r="DL6" i="9"/>
  <c r="E6" i="9"/>
  <c r="C6" i="9"/>
  <c r="AF5" i="9"/>
  <c r="AH5" i="9"/>
  <c r="AJ5" i="9"/>
  <c r="LP39" i="9"/>
  <c r="LH39" i="9"/>
  <c r="AH40" i="31" s="1"/>
  <c r="M41" i="10" s="1"/>
  <c r="LB39" i="9"/>
  <c r="AF40" i="31" s="1"/>
  <c r="JW39" i="9"/>
  <c r="JA39" i="9"/>
  <c r="JJ39" i="9"/>
  <c r="JB39" i="9"/>
  <c r="IS39" i="9"/>
  <c r="IO39" i="9"/>
  <c r="IJ39" i="9"/>
  <c r="IF39" i="9"/>
  <c r="LP53" i="9"/>
  <c r="LH53" i="9"/>
  <c r="AH54" i="31" s="1"/>
  <c r="M55" i="10" s="1"/>
  <c r="LB53" i="9"/>
  <c r="AF54" i="31" s="1"/>
  <c r="JA53" i="9"/>
  <c r="JJ53" i="9"/>
  <c r="JB53" i="9"/>
  <c r="IS53" i="9"/>
  <c r="IO53" i="9"/>
  <c r="IJ53" i="9"/>
  <c r="IF53" i="9"/>
  <c r="LP24" i="9"/>
  <c r="LH24" i="9"/>
  <c r="AH25" i="31" s="1"/>
  <c r="M26" i="10" s="1"/>
  <c r="LB24" i="9"/>
  <c r="AF25" i="31" s="1"/>
  <c r="JW24" i="9"/>
  <c r="KI24" i="9"/>
  <c r="KE24" i="9"/>
  <c r="JY24" i="9"/>
  <c r="JA24" i="9"/>
  <c r="JJ24" i="9"/>
  <c r="JB24" i="9"/>
  <c r="IS24" i="9"/>
  <c r="IO24" i="9"/>
  <c r="IJ24" i="9"/>
  <c r="IF24" i="9"/>
  <c r="LO6" i="9"/>
  <c r="LK6" i="9"/>
  <c r="AJ7" i="31" s="1"/>
  <c r="N8" i="10" s="1"/>
  <c r="LE6" i="9"/>
  <c r="JX6" i="9"/>
  <c r="KL6" i="9"/>
  <c r="KF6" i="9"/>
  <c r="JZ6" i="9"/>
  <c r="JV6" i="9"/>
  <c r="G7" i="23" s="1"/>
  <c r="JQ6" i="9"/>
  <c r="JG6" i="9"/>
  <c r="IV6" i="9"/>
  <c r="IP6" i="9"/>
  <c r="IN6" i="9"/>
  <c r="IG6" i="9"/>
  <c r="IE6" i="9"/>
  <c r="DO6" i="9"/>
  <c r="DM6" i="9"/>
  <c r="F6" i="9"/>
  <c r="D6" i="9"/>
  <c r="G5" i="9"/>
  <c r="I5" i="9"/>
  <c r="K5" i="9"/>
  <c r="M5" i="9"/>
  <c r="O5" i="9"/>
  <c r="AG5" i="9"/>
  <c r="AI5" i="9"/>
  <c r="AM5" i="9"/>
  <c r="AK5" i="9"/>
  <c r="AO5" i="9"/>
  <c r="CI5" i="9"/>
  <c r="CK5" i="9"/>
  <c r="CJ5" i="9"/>
  <c r="CO5" i="9"/>
  <c r="DR5" i="9"/>
  <c r="DT5" i="9"/>
  <c r="HD5" i="9"/>
  <c r="HF5" i="9"/>
  <c r="IK5" i="9"/>
  <c r="ID5" i="9"/>
  <c r="IQ5" i="9"/>
  <c r="IX5" i="9"/>
  <c r="JW53" i="9"/>
  <c r="BY5" i="9"/>
  <c r="CA5" i="9"/>
  <c r="JB6" i="9"/>
  <c r="JJ6" i="9"/>
  <c r="JR6" i="9"/>
  <c r="JO24" i="9"/>
  <c r="JQ24" i="9"/>
  <c r="JR39" i="9"/>
  <c r="JO53" i="9"/>
  <c r="JQ53" i="9"/>
  <c r="JY6" i="9"/>
  <c r="KE6" i="9"/>
  <c r="KI6" i="9"/>
  <c r="KQ6" i="9"/>
  <c r="KS6" i="9"/>
  <c r="KM24" i="9"/>
  <c r="KS24" i="9"/>
  <c r="JY39" i="9"/>
  <c r="KE39" i="9"/>
  <c r="KI39" i="9"/>
  <c r="KM39" i="9"/>
  <c r="KS39" i="9"/>
  <c r="JY53" i="9"/>
  <c r="KE53" i="9"/>
  <c r="KI53" i="9"/>
  <c r="KM53" i="9"/>
  <c r="KS53" i="9"/>
  <c r="KR56" i="9"/>
  <c r="B6" i="9"/>
  <c r="AL5" i="9"/>
  <c r="AN5" i="9"/>
  <c r="BN6" i="9"/>
  <c r="NF5" i="9"/>
  <c r="JR24" i="9"/>
  <c r="JO39" i="9"/>
  <c r="JQ39" i="9"/>
  <c r="JR53" i="9"/>
  <c r="KN6" i="9"/>
  <c r="KT6" i="9"/>
  <c r="JV24" i="9"/>
  <c r="G25" i="23" s="1"/>
  <c r="KP24" i="9"/>
  <c r="JV39" i="9"/>
  <c r="G40" i="23" s="1"/>
  <c r="KP39" i="9"/>
  <c r="JV53" i="9"/>
  <c r="G54" i="23" s="1"/>
  <c r="KP53" i="9"/>
  <c r="KR58" i="9"/>
  <c r="KR29" i="9"/>
  <c r="KR37" i="9"/>
  <c r="KR49" i="9"/>
  <c r="KR47" i="9"/>
  <c r="KR41" i="9"/>
  <c r="KR38" i="9"/>
  <c r="KR36" i="9"/>
  <c r="KR35" i="9"/>
  <c r="KR34" i="9"/>
  <c r="KR48" i="9"/>
  <c r="KR45" i="9"/>
  <c r="KR43" i="9"/>
  <c r="KR30" i="9"/>
  <c r="KR27" i="9"/>
  <c r="KR52" i="9"/>
  <c r="KR63" i="9"/>
  <c r="KR51" i="9"/>
  <c r="KR61" i="9"/>
  <c r="KR50" i="9"/>
  <c r="KR60" i="9"/>
  <c r="KR59" i="9"/>
  <c r="KR33" i="9"/>
  <c r="KR32" i="9"/>
  <c r="KR46" i="9"/>
  <c r="KR57" i="9"/>
  <c r="KR44" i="9"/>
  <c r="KR42" i="9"/>
  <c r="KR31" i="9"/>
  <c r="KR55" i="9"/>
  <c r="KR28" i="9"/>
  <c r="KR26" i="9"/>
  <c r="JM13" i="9"/>
  <c r="JM11" i="9"/>
  <c r="JP64" i="9"/>
  <c r="JP23" i="9"/>
  <c r="JP22" i="9"/>
  <c r="JP21" i="9"/>
  <c r="JP20" i="9"/>
  <c r="JP19" i="9"/>
  <c r="JP18" i="9"/>
  <c r="JP17" i="9"/>
  <c r="JP16" i="9"/>
  <c r="JP15" i="9"/>
  <c r="JP14" i="9"/>
  <c r="JM38" i="9"/>
  <c r="IZ38" i="9"/>
  <c r="JM52" i="9"/>
  <c r="IZ52" i="9"/>
  <c r="JM37" i="9"/>
  <c r="IZ37" i="9"/>
  <c r="JM63" i="9"/>
  <c r="IZ63" i="9"/>
  <c r="JM36" i="9"/>
  <c r="IZ36" i="9"/>
  <c r="JM51" i="9"/>
  <c r="IZ51" i="9"/>
  <c r="JM62" i="9"/>
  <c r="IZ62" i="9"/>
  <c r="JM61" i="9"/>
  <c r="IZ61" i="9"/>
  <c r="JM35" i="9"/>
  <c r="IZ35" i="9"/>
  <c r="JM50" i="9"/>
  <c r="IZ50" i="9"/>
  <c r="JM49" i="9"/>
  <c r="IZ49" i="9"/>
  <c r="JM60" i="9"/>
  <c r="IZ60" i="9"/>
  <c r="JM34" i="9"/>
  <c r="IZ34" i="9"/>
  <c r="JM59" i="9"/>
  <c r="IZ59" i="9"/>
  <c r="JM58" i="9"/>
  <c r="IZ58" i="9"/>
  <c r="JM33" i="9"/>
  <c r="IZ33" i="9"/>
  <c r="JM48" i="9"/>
  <c r="IZ48" i="9"/>
  <c r="JM32" i="9"/>
  <c r="IZ32" i="9"/>
  <c r="JM47" i="9"/>
  <c r="IZ47" i="9"/>
  <c r="JM46" i="9"/>
  <c r="IZ46" i="9"/>
  <c r="JM45" i="9"/>
  <c r="IZ45" i="9"/>
  <c r="JM57" i="9"/>
  <c r="IZ57" i="9"/>
  <c r="JM56" i="9"/>
  <c r="IZ56" i="9"/>
  <c r="JM44" i="9"/>
  <c r="IZ44" i="9"/>
  <c r="JM43" i="9"/>
  <c r="IZ43" i="9"/>
  <c r="JM42" i="9"/>
  <c r="IZ42" i="9"/>
  <c r="JM41" i="9"/>
  <c r="IZ41" i="9"/>
  <c r="JM31" i="9"/>
  <c r="IZ31" i="9"/>
  <c r="JM30" i="9"/>
  <c r="IZ30" i="9"/>
  <c r="JM55" i="9"/>
  <c r="IZ55" i="9"/>
  <c r="JM29" i="9"/>
  <c r="IZ29" i="9"/>
  <c r="JM28" i="9"/>
  <c r="IZ28" i="9"/>
  <c r="JM27" i="9"/>
  <c r="IZ27" i="9"/>
  <c r="JM26" i="9"/>
  <c r="IZ26" i="9"/>
  <c r="KM64" i="9"/>
  <c r="JW64" i="9" s="1"/>
  <c r="KO64" i="9"/>
  <c r="KM23" i="9"/>
  <c r="JW23" i="9" s="1"/>
  <c r="KO23" i="9"/>
  <c r="KM22" i="9"/>
  <c r="JW22" i="9" s="1"/>
  <c r="KO22" i="9"/>
  <c r="KM21" i="9"/>
  <c r="JW21" i="9" s="1"/>
  <c r="KO21" i="9"/>
  <c r="KM20" i="9"/>
  <c r="JW20" i="9" s="1"/>
  <c r="KO20" i="9"/>
  <c r="KM19" i="9"/>
  <c r="JW19" i="9" s="1"/>
  <c r="KO19" i="9"/>
  <c r="KM18" i="9"/>
  <c r="JW18" i="9" s="1"/>
  <c r="KO18" i="9"/>
  <c r="KM17" i="9"/>
  <c r="JW17" i="9" s="1"/>
  <c r="KO17" i="9"/>
  <c r="KM16" i="9"/>
  <c r="JW16" i="9" s="1"/>
  <c r="KO16" i="9"/>
  <c r="KM15" i="9"/>
  <c r="JW15" i="9" s="1"/>
  <c r="KO15" i="9"/>
  <c r="KM14" i="9"/>
  <c r="JW14" i="9" s="1"/>
  <c r="KO14" i="9"/>
  <c r="KP13" i="9"/>
  <c r="KR13" i="9"/>
  <c r="KP11" i="9"/>
  <c r="KR11" i="9"/>
  <c r="KM10" i="9"/>
  <c r="JW10" i="9" s="1"/>
  <c r="KO10" i="9"/>
  <c r="JN9" i="9"/>
  <c r="JP9" i="9"/>
  <c r="KM8" i="9"/>
  <c r="KO8" i="9"/>
  <c r="KR64" i="9"/>
  <c r="JO64" i="9"/>
  <c r="JA64" i="9" s="1"/>
  <c r="KQ38" i="9"/>
  <c r="KN38" i="9" s="1"/>
  <c r="JX38" i="9" s="1"/>
  <c r="JP38" i="9"/>
  <c r="KQ52" i="9"/>
  <c r="KN52" i="9" s="1"/>
  <c r="JX52" i="9" s="1"/>
  <c r="JP52" i="9"/>
  <c r="KQ37" i="9"/>
  <c r="KN37" i="9" s="1"/>
  <c r="JX37" i="9" s="1"/>
  <c r="JP37" i="9"/>
  <c r="KQ63" i="9"/>
  <c r="KN63" i="9" s="1"/>
  <c r="JX63" i="9" s="1"/>
  <c r="JP63" i="9"/>
  <c r="KQ36" i="9"/>
  <c r="KN36" i="9" s="1"/>
  <c r="JX36" i="9" s="1"/>
  <c r="JP36" i="9"/>
  <c r="KQ51" i="9"/>
  <c r="KN51" i="9" s="1"/>
  <c r="JX51" i="9" s="1"/>
  <c r="JP51" i="9"/>
  <c r="KQ62" i="9"/>
  <c r="KN62" i="9" s="1"/>
  <c r="JX62" i="9" s="1"/>
  <c r="JP62" i="9"/>
  <c r="KQ61" i="9"/>
  <c r="KN61" i="9" s="1"/>
  <c r="JX61" i="9" s="1"/>
  <c r="JP61" i="9"/>
  <c r="KQ35" i="9"/>
  <c r="KN35" i="9" s="1"/>
  <c r="JX35" i="9" s="1"/>
  <c r="JP35" i="9"/>
  <c r="KQ50" i="9"/>
  <c r="KN50" i="9" s="1"/>
  <c r="JX50" i="9" s="1"/>
  <c r="JP50" i="9"/>
  <c r="KQ49" i="9"/>
  <c r="KN49" i="9" s="1"/>
  <c r="JX49" i="9" s="1"/>
  <c r="JP49" i="9"/>
  <c r="KQ60" i="9"/>
  <c r="KN60" i="9" s="1"/>
  <c r="JX60" i="9" s="1"/>
  <c r="JP60" i="9"/>
  <c r="KQ34" i="9"/>
  <c r="KN34" i="9" s="1"/>
  <c r="JX34" i="9" s="1"/>
  <c r="JP34" i="9"/>
  <c r="KQ59" i="9"/>
  <c r="KN59" i="9" s="1"/>
  <c r="JX59" i="9" s="1"/>
  <c r="JP59" i="9"/>
  <c r="KQ58" i="9"/>
  <c r="KN58" i="9" s="1"/>
  <c r="JX58" i="9" s="1"/>
  <c r="JP58" i="9"/>
  <c r="KQ33" i="9"/>
  <c r="KN33" i="9" s="1"/>
  <c r="JX33" i="9" s="1"/>
  <c r="JP33" i="9"/>
  <c r="KQ48" i="9"/>
  <c r="KN48" i="9" s="1"/>
  <c r="JX48" i="9" s="1"/>
  <c r="JP48" i="9"/>
  <c r="KQ32" i="9"/>
  <c r="KN32" i="9" s="1"/>
  <c r="JX32" i="9" s="1"/>
  <c r="JP32" i="9"/>
  <c r="KQ47" i="9"/>
  <c r="KN47" i="9" s="1"/>
  <c r="JX47" i="9" s="1"/>
  <c r="JP47" i="9"/>
  <c r="KQ46" i="9"/>
  <c r="KN46" i="9" s="1"/>
  <c r="JX46" i="9" s="1"/>
  <c r="JP46" i="9"/>
  <c r="KQ45" i="9"/>
  <c r="KN45" i="9" s="1"/>
  <c r="JX45" i="9" s="1"/>
  <c r="JP45" i="9"/>
  <c r="KQ57" i="9"/>
  <c r="KN57" i="9" s="1"/>
  <c r="JX57" i="9" s="1"/>
  <c r="JP57" i="9"/>
  <c r="KQ56" i="9"/>
  <c r="KN56" i="9" s="1"/>
  <c r="JX56" i="9" s="1"/>
  <c r="JP56" i="9"/>
  <c r="KQ44" i="9"/>
  <c r="KN44" i="9" s="1"/>
  <c r="JX44" i="9" s="1"/>
  <c r="JP44" i="9"/>
  <c r="KQ43" i="9"/>
  <c r="KN43" i="9" s="1"/>
  <c r="JX43" i="9" s="1"/>
  <c r="JP43" i="9"/>
  <c r="KQ42" i="9"/>
  <c r="KN42" i="9" s="1"/>
  <c r="JX42" i="9" s="1"/>
  <c r="JP42" i="9"/>
  <c r="KQ41" i="9"/>
  <c r="JP41" i="9"/>
  <c r="KQ31" i="9"/>
  <c r="KN31" i="9" s="1"/>
  <c r="JX31" i="9" s="1"/>
  <c r="JP31" i="9"/>
  <c r="KQ30" i="9"/>
  <c r="KN30" i="9" s="1"/>
  <c r="JX30" i="9" s="1"/>
  <c r="JP30" i="9"/>
  <c r="KQ55" i="9"/>
  <c r="JP55" i="9"/>
  <c r="KQ29" i="9"/>
  <c r="KN29" i="9" s="1"/>
  <c r="JX29" i="9" s="1"/>
  <c r="JP29" i="9"/>
  <c r="KQ28" i="9"/>
  <c r="KN28" i="9" s="1"/>
  <c r="JX28" i="9" s="1"/>
  <c r="JP28" i="9"/>
  <c r="KQ27" i="9"/>
  <c r="KN27" i="9" s="1"/>
  <c r="JX27" i="9" s="1"/>
  <c r="JP27" i="9"/>
  <c r="KQ26" i="9"/>
  <c r="JP26" i="9"/>
  <c r="KR23" i="9"/>
  <c r="JO23" i="9"/>
  <c r="JA23" i="9" s="1"/>
  <c r="KR22" i="9"/>
  <c r="JO22" i="9"/>
  <c r="JA22" i="9" s="1"/>
  <c r="KR21" i="9"/>
  <c r="JO21" i="9"/>
  <c r="JA21" i="9" s="1"/>
  <c r="KR20" i="9"/>
  <c r="JO20" i="9"/>
  <c r="JA20" i="9" s="1"/>
  <c r="KR19" i="9"/>
  <c r="JO19" i="9"/>
  <c r="JA19" i="9" s="1"/>
  <c r="KR18" i="9"/>
  <c r="JO18" i="9"/>
  <c r="JA18" i="9" s="1"/>
  <c r="KR17" i="9"/>
  <c r="JO17" i="9"/>
  <c r="JA17" i="9" s="1"/>
  <c r="KR16" i="9"/>
  <c r="JO16" i="9"/>
  <c r="JA16" i="9" s="1"/>
  <c r="KR15" i="9"/>
  <c r="JO15" i="9"/>
  <c r="JA15" i="9" s="1"/>
  <c r="KR14" i="9"/>
  <c r="JO14" i="9"/>
  <c r="JA14" i="9" s="1"/>
  <c r="JP13" i="9"/>
  <c r="JM12" i="9"/>
  <c r="IZ12" i="9"/>
  <c r="JP11" i="9"/>
  <c r="KR9" i="9"/>
  <c r="KP12" i="9"/>
  <c r="KR12" i="9"/>
  <c r="JN10" i="9"/>
  <c r="JP10" i="9"/>
  <c r="KM9" i="9"/>
  <c r="JW9" i="9" s="1"/>
  <c r="KO9" i="9"/>
  <c r="JN8" i="9"/>
  <c r="JP8" i="9"/>
  <c r="IZ13" i="9"/>
  <c r="JP12" i="9"/>
  <c r="IZ11" i="9"/>
  <c r="KR10" i="9"/>
  <c r="KR8" i="9"/>
  <c r="AR63" i="19"/>
  <c r="AR37" i="19"/>
  <c r="AR51" i="19"/>
  <c r="AR62" i="19"/>
  <c r="AR35" i="19"/>
  <c r="AR50" i="19"/>
  <c r="AR61" i="19"/>
  <c r="AR60" i="19"/>
  <c r="AR34" i="19"/>
  <c r="AR49" i="19"/>
  <c r="AR48" i="19"/>
  <c r="AR32" i="19"/>
  <c r="AR47" i="19"/>
  <c r="AR31" i="19"/>
  <c r="AR46" i="19"/>
  <c r="AR45" i="19"/>
  <c r="AR44" i="19"/>
  <c r="AR56" i="19"/>
  <c r="AR55" i="19"/>
  <c r="AR41" i="19"/>
  <c r="AR30" i="19"/>
  <c r="AR54" i="19"/>
  <c r="AR27" i="19"/>
  <c r="AR26" i="19"/>
  <c r="AR22" i="19"/>
  <c r="AR21" i="19"/>
  <c r="AR20" i="19"/>
  <c r="AR19" i="19"/>
  <c r="AR18" i="19"/>
  <c r="AR17" i="19"/>
  <c r="AR16" i="19"/>
  <c r="AR15" i="19"/>
  <c r="AR14" i="19"/>
  <c r="AR13" i="19"/>
  <c r="AR12" i="19"/>
  <c r="AR11" i="19"/>
  <c r="AR10" i="19"/>
  <c r="AR9" i="19"/>
  <c r="AR8" i="19"/>
  <c r="AR7" i="19"/>
  <c r="F6" i="31" l="1"/>
  <c r="AD6" i="31"/>
  <c r="K7" i="10" s="1"/>
  <c r="D6" i="31"/>
  <c r="AB6" i="31"/>
  <c r="J7" i="10" s="1"/>
  <c r="B6" i="31"/>
  <c r="Z6" i="31"/>
  <c r="I7" i="10" s="1"/>
  <c r="N6" i="31"/>
  <c r="R6" i="31"/>
  <c r="L7" i="31"/>
  <c r="X7" i="31"/>
  <c r="J54" i="31"/>
  <c r="V54" i="31"/>
  <c r="H7" i="31"/>
  <c r="T7" i="31"/>
  <c r="P6" i="31"/>
  <c r="J7" i="31"/>
  <c r="V7" i="31"/>
  <c r="J40" i="31"/>
  <c r="V40" i="31"/>
  <c r="L40" i="31"/>
  <c r="X40" i="31"/>
  <c r="H25" i="31"/>
  <c r="T25" i="31"/>
  <c r="J25" i="31"/>
  <c r="V25" i="31"/>
  <c r="L54" i="31"/>
  <c r="X54" i="31"/>
  <c r="L25" i="31"/>
  <c r="X25" i="31"/>
  <c r="H40" i="31"/>
  <c r="T40" i="31"/>
  <c r="H54" i="31"/>
  <c r="T54" i="31"/>
  <c r="D55" i="23"/>
  <c r="H55" i="23"/>
  <c r="H8" i="23"/>
  <c r="H41" i="23"/>
  <c r="C8" i="23"/>
  <c r="C26" i="23"/>
  <c r="I41" i="23"/>
  <c r="I55" i="23"/>
  <c r="I26" i="23"/>
  <c r="D8" i="23"/>
  <c r="D26" i="23"/>
  <c r="C55" i="23"/>
  <c r="I8" i="23"/>
  <c r="IO5" i="9"/>
  <c r="LN53" i="9"/>
  <c r="L55" i="10" s="1"/>
  <c r="E42" i="10"/>
  <c r="E56" i="10"/>
  <c r="E27" i="10"/>
  <c r="IF5" i="9"/>
  <c r="E9" i="10"/>
  <c r="IG5" i="9"/>
  <c r="IP5" i="9"/>
  <c r="LB5" i="9"/>
  <c r="AF6" i="31" s="1"/>
  <c r="LN39" i="9"/>
  <c r="L41" i="10" s="1"/>
  <c r="JP53" i="9"/>
  <c r="JP24" i="9"/>
  <c r="M4" i="19"/>
  <c r="Z4" i="19"/>
  <c r="H9" i="10"/>
  <c r="D27" i="10"/>
  <c r="F56" i="10"/>
  <c r="AR52" i="19"/>
  <c r="AL4" i="19"/>
  <c r="T4" i="19"/>
  <c r="G9" i="10"/>
  <c r="C56" i="10"/>
  <c r="LN6" i="9"/>
  <c r="L8" i="10" s="1"/>
  <c r="IZ53" i="9"/>
  <c r="JJ5" i="9"/>
  <c r="LO5" i="9"/>
  <c r="IJ5" i="9"/>
  <c r="LP5" i="9"/>
  <c r="IS5" i="9"/>
  <c r="KF5" i="9"/>
  <c r="IZ24" i="9"/>
  <c r="JG5" i="9"/>
  <c r="JN6" i="9"/>
  <c r="JN5" i="9" s="1"/>
  <c r="LE5" i="9"/>
  <c r="JM39" i="9"/>
  <c r="IE5" i="9"/>
  <c r="JZ5" i="9"/>
  <c r="JP39" i="9"/>
  <c r="IZ39" i="9"/>
  <c r="KT5" i="9"/>
  <c r="JB5" i="9"/>
  <c r="LH5" i="9"/>
  <c r="AH6" i="31" s="1"/>
  <c r="M7" i="10" s="1"/>
  <c r="IV5" i="9"/>
  <c r="JA6" i="9"/>
  <c r="JA5" i="9" s="1"/>
  <c r="LN24" i="9"/>
  <c r="L26" i="10" s="1"/>
  <c r="LK5" i="9"/>
  <c r="AJ6" i="31" s="1"/>
  <c r="N7" i="10" s="1"/>
  <c r="JM24" i="9"/>
  <c r="JM53" i="9"/>
  <c r="IN5" i="9"/>
  <c r="KL5" i="9"/>
  <c r="AR5" i="19"/>
  <c r="AR38" i="19"/>
  <c r="W4" i="19"/>
  <c r="J4" i="19"/>
  <c r="AH4" i="19"/>
  <c r="AR23" i="19"/>
  <c r="P4" i="19"/>
  <c r="AW4" i="19"/>
  <c r="KP6" i="9"/>
  <c r="KP5" i="9" s="1"/>
  <c r="JQ5" i="9"/>
  <c r="KR6" i="9"/>
  <c r="JP6" i="9"/>
  <c r="KR24" i="9"/>
  <c r="KR53" i="9"/>
  <c r="KR39" i="9"/>
  <c r="KE5" i="9"/>
  <c r="JV5" i="9"/>
  <c r="G6" i="23" s="1"/>
  <c r="G26" i="23" s="1"/>
  <c r="KN26" i="9"/>
  <c r="KQ24" i="9"/>
  <c r="KN55" i="9"/>
  <c r="KQ53" i="9"/>
  <c r="KN41" i="9"/>
  <c r="KQ39" i="9"/>
  <c r="JW8" i="9"/>
  <c r="JO6" i="9"/>
  <c r="JO5" i="9" s="1"/>
  <c r="KS5" i="9"/>
  <c r="KI5" i="9"/>
  <c r="JY5" i="9"/>
  <c r="JR5" i="9"/>
  <c r="JM16" i="9"/>
  <c r="JM20" i="9"/>
  <c r="KO29" i="9"/>
  <c r="KO56" i="9"/>
  <c r="KO58" i="9"/>
  <c r="KO62" i="9"/>
  <c r="KO41" i="9"/>
  <c r="KO47" i="9"/>
  <c r="KO49" i="9"/>
  <c r="KO37" i="9"/>
  <c r="JM14" i="9"/>
  <c r="JM18" i="9"/>
  <c r="JM22" i="9"/>
  <c r="KO27" i="9"/>
  <c r="KO30" i="9"/>
  <c r="KO43" i="9"/>
  <c r="KO45" i="9"/>
  <c r="KO48" i="9"/>
  <c r="KO34" i="9"/>
  <c r="KO35" i="9"/>
  <c r="KO36" i="9"/>
  <c r="KO38" i="9"/>
  <c r="JM64" i="9"/>
  <c r="KM13" i="9"/>
  <c r="JW13" i="9" s="1"/>
  <c r="KO13" i="9"/>
  <c r="JM15" i="9"/>
  <c r="JM17" i="9"/>
  <c r="JM19" i="9"/>
  <c r="JM21" i="9"/>
  <c r="JM23" i="9"/>
  <c r="KO26" i="9"/>
  <c r="KO28" i="9"/>
  <c r="KO55" i="9"/>
  <c r="KO31" i="9"/>
  <c r="KO42" i="9"/>
  <c r="KO44" i="9"/>
  <c r="KO57" i="9"/>
  <c r="KO46" i="9"/>
  <c r="KO32" i="9"/>
  <c r="KO33" i="9"/>
  <c r="KO59" i="9"/>
  <c r="KO60" i="9"/>
  <c r="KO50" i="9"/>
  <c r="KO61" i="9"/>
  <c r="KO51" i="9"/>
  <c r="KO63" i="9"/>
  <c r="KO52" i="9"/>
  <c r="IZ8" i="9"/>
  <c r="JM8" i="9"/>
  <c r="IZ10" i="9"/>
  <c r="JM10" i="9"/>
  <c r="KO12" i="9"/>
  <c r="KM12" i="9"/>
  <c r="JW12" i="9" s="1"/>
  <c r="IZ9" i="9"/>
  <c r="JM9" i="9"/>
  <c r="KM11" i="9"/>
  <c r="JW11" i="9" s="1"/>
  <c r="KO11" i="9"/>
  <c r="J6" i="31" l="1"/>
  <c r="V6" i="31"/>
  <c r="H6" i="31"/>
  <c r="T6" i="31"/>
  <c r="L6" i="31"/>
  <c r="X6" i="31"/>
  <c r="G41" i="23"/>
  <c r="G55" i="23"/>
  <c r="G8" i="23"/>
  <c r="D56" i="10"/>
  <c r="LN5" i="9"/>
  <c r="L7" i="10" s="1"/>
  <c r="G42" i="10"/>
  <c r="G56" i="10"/>
  <c r="F27" i="10"/>
  <c r="JP5" i="9"/>
  <c r="F9" i="10"/>
  <c r="F42" i="10"/>
  <c r="D9" i="10"/>
  <c r="C42" i="10"/>
  <c r="G27" i="10"/>
  <c r="C27" i="10"/>
  <c r="D42" i="10"/>
  <c r="C9" i="10"/>
  <c r="KO6" i="9"/>
  <c r="AR4" i="19"/>
  <c r="KQ5" i="9"/>
  <c r="JM6" i="9"/>
  <c r="JM5" i="9" s="1"/>
  <c r="KM6" i="9"/>
  <c r="KM5" i="9" s="1"/>
  <c r="KR5" i="9"/>
  <c r="JX41" i="9"/>
  <c r="JX39" i="9" s="1"/>
  <c r="KN39" i="9"/>
  <c r="JX55" i="9"/>
  <c r="JX53" i="9" s="1"/>
  <c r="KN53" i="9"/>
  <c r="JX26" i="9"/>
  <c r="JX24" i="9" s="1"/>
  <c r="KN24" i="9"/>
  <c r="IZ6" i="9"/>
  <c r="IZ5" i="9" s="1"/>
  <c r="KO53" i="9"/>
  <c r="KO24" i="9"/>
  <c r="KO39" i="9"/>
  <c r="JW6" i="9"/>
  <c r="JW5" i="9" s="1"/>
  <c r="JX5" i="9" l="1"/>
  <c r="KN5" i="9"/>
  <c r="KO5" i="9"/>
</calcChain>
</file>

<file path=xl/comments1.xml><?xml version="1.0" encoding="utf-8"?>
<comments xmlns="http://schemas.openxmlformats.org/spreadsheetml/2006/main">
  <authors>
    <author>jmarks</author>
  </authors>
  <commentList>
    <comment ref="AC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 (Asian/Pac,Am/Natv)</t>
        </r>
      </text>
    </comment>
    <comment ref="B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 not erase or replace with a formula since the non SREB states are not present.</t>
        </r>
      </text>
    </comment>
    <comment ref="C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 not erase or replace with a formula since the non SREB states are not present.</t>
        </r>
      </text>
    </comment>
  </commentList>
</comments>
</file>

<file path=xl/comments2.xml><?xml version="1.0" encoding="utf-8"?>
<comments xmlns="http://schemas.openxmlformats.org/spreadsheetml/2006/main">
  <authors>
    <author>jmarks</author>
  </authors>
  <commentList>
    <comment ref="BY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non-Hisp or incl. Hisp?</t>
        </r>
      </text>
    </comment>
    <comment ref="JE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"others" not shown
</t>
        </r>
      </text>
    </comment>
    <comment ref="JF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"others" not shown
</t>
        </r>
      </text>
    </comment>
    <comment ref="KC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"others" not shown</t>
        </r>
      </text>
    </comment>
    <comment ref="KD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"others" not shown</t>
        </r>
      </text>
    </comment>
  </commentList>
</comments>
</file>

<file path=xl/comments3.xml><?xml version="1.0" encoding="utf-8"?>
<comments xmlns="http://schemas.openxmlformats.org/spreadsheetml/2006/main">
  <authors>
    <author>jmarks</author>
  </authors>
  <commentList>
    <comment ref="A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D.C. in this source.</t>
        </r>
      </text>
    </comment>
  </commentList>
</comments>
</file>

<file path=xl/sharedStrings.xml><?xml version="1.0" encoding="utf-8"?>
<sst xmlns="http://schemas.openxmlformats.org/spreadsheetml/2006/main" count="2140" uniqueCount="235">
  <si>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</si>
  <si>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</si>
  <si>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</si>
  <si>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</si>
  <si>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</si>
  <si>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</si>
  <si>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</si>
  <si>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</si>
  <si>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</si>
  <si>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</si>
  <si>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</si>
  <si>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</si>
  <si>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</si>
  <si>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</si>
  <si>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</si>
  <si>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</si>
  <si>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1940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</si>
  <si>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</si>
  <si>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</si>
  <si>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</si>
  <si>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</si>
  <si>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</si>
  <si>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</si>
  <si>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</si>
  <si>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</si>
  <si>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</si>
  <si>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</si>
  <si>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</si>
  <si>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</si>
  <si>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</si>
  <si>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</si>
  <si>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</si>
  <si>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</si>
  <si>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</si>
  <si>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</si>
  <si>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</si>
  <si>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</si>
  <si>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</si>
  <si>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</si>
  <si>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</si>
  <si>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</si>
  <si>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</si>
  <si>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</si>
  <si>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</si>
  <si>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</si>
  <si>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</si>
  <si>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</si>
  <si>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</si>
  <si>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</si>
  <si>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</si>
  <si>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</si>
  <si>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Less than 9th Grade</t>
  </si>
  <si>
    <t>9th-12th Grade, No Diploma</t>
  </si>
  <si>
    <t>Associate Degree</t>
  </si>
  <si>
    <t>Graduate or Professional Degree</t>
  </si>
  <si>
    <t>Population 25 and Older</t>
  </si>
  <si>
    <t>Bachelor's or Higher</t>
  </si>
  <si>
    <t>Total</t>
  </si>
  <si>
    <t>White</t>
  </si>
  <si>
    <t>Black</t>
  </si>
  <si>
    <t>Hispanic</t>
  </si>
  <si>
    <t>Other</t>
  </si>
  <si>
    <t>District of Columbia</t>
  </si>
  <si>
    <t>SREB states</t>
  </si>
  <si>
    <t xml:space="preserve"> </t>
  </si>
  <si>
    <t>Percent With Bachelor's Degrees or Higher</t>
  </si>
  <si>
    <t>All Races</t>
  </si>
  <si>
    <t>1 to 3 years of college (includes asso. degree holders)</t>
  </si>
  <si>
    <t>2000</t>
  </si>
  <si>
    <t>1960</t>
  </si>
  <si>
    <t>Whilte Men</t>
  </si>
  <si>
    <t>White Women</t>
  </si>
  <si>
    <t>Non-White Men</t>
  </si>
  <si>
    <t>Non-White Women</t>
  </si>
  <si>
    <t>Source: U.S. Bureau of the Census, 1980 Census of Population, General Social and Economic Characteristics, Table 61. "Selected Social and Economic Characteristics by Race: 1980 and 1970," Washington D.C.:  U.S. Government Printing Office, July 1993</t>
  </si>
  <si>
    <t>U.S. Bureau of the Census, "Sex by Educational Attainment for the Population 25 Years and Over," Census 2000 Summry File 3, Table P37 see below</t>
  </si>
  <si>
    <t>1970</t>
  </si>
  <si>
    <t>White Men</t>
  </si>
  <si>
    <t>Black Men</t>
  </si>
  <si>
    <t>Black Women</t>
  </si>
  <si>
    <t>Hispanic Men</t>
  </si>
  <si>
    <t>Hispanic Women</t>
  </si>
  <si>
    <t>and</t>
  </si>
  <si>
    <r>
      <t xml:space="preserve">Source: Price, D. V. and Wohlford, J.K. background data for  "Educational Attainment Equity: Race, Ethnic and Gender Inequality among the Fifty States," </t>
    </r>
    <r>
      <rPr>
        <i/>
        <sz val="10"/>
        <rFont val="Arial"/>
        <family val="2"/>
      </rPr>
      <t>Higher Education and the Color Line: College Access, Racial Equity, and Social Change</t>
    </r>
    <r>
      <rPr>
        <sz val="10"/>
        <rFont val="ARIAL"/>
        <family val="2"/>
      </rPr>
      <t>, Patricia Marin and Gary Orfield, editors. Harvard University: The Civil Rights Project (forthcoming 2005).</t>
    </r>
  </si>
  <si>
    <t>SOURCE: U.S.Bureauof theCensus, 1980 Census of Population: General Social and Economic Characteristics (1982)</t>
  </si>
  <si>
    <t>&amp;</t>
  </si>
  <si>
    <t>Other Total</t>
  </si>
  <si>
    <t>Other Men</t>
  </si>
  <si>
    <t>Other Women</t>
  </si>
  <si>
    <t>1990</t>
  </si>
  <si>
    <t>White non-Hispanic Men</t>
  </si>
  <si>
    <t>White non-Hispanic Women</t>
  </si>
  <si>
    <t>White non-Hispanic</t>
  </si>
  <si>
    <t>Black non-Hispanic Men</t>
  </si>
  <si>
    <t>Black non-Hispanic Women</t>
  </si>
  <si>
    <t>Black non-Hispanic</t>
  </si>
  <si>
    <t>Other Wom</t>
  </si>
  <si>
    <t>U.S. Bureau of the Census, "Sex by Educational Attainment for the Population 25 Years and Over," Census 2000 Summry File 3, Tables P37, P148A,D,E,F,G,H</t>
  </si>
  <si>
    <t>SOURCE: U.S. Bureau of the Census, "Educational Attainment of Persons 25 Years and Over," Summary File 3, Tables P57, P58,  P59 (2002)</t>
  </si>
  <si>
    <t>Source: US Census of the population, General Social and Economic Characteristics, various years Table 47 (1940-1960); 1970-1980 US Census of the population, General, Social &amp; Economic Characteristics Table 61; March 1990-1998 US Census Bureau, Educational attainment P-20 series internet</t>
  </si>
  <si>
    <t>1960 (4 or more years of college)</t>
  </si>
  <si>
    <t>White Total</t>
  </si>
  <si>
    <t>Non-White Total</t>
  </si>
  <si>
    <t>Black Total</t>
  </si>
  <si>
    <t>Hispanic Total</t>
  </si>
  <si>
    <t>Grand Total</t>
  </si>
  <si>
    <t>Total Men</t>
  </si>
  <si>
    <t>Total Women</t>
  </si>
  <si>
    <t>Nonwhite Men</t>
  </si>
  <si>
    <t>Nonwhite Women</t>
  </si>
  <si>
    <t>Native Men</t>
  </si>
  <si>
    <t>Native Women</t>
  </si>
  <si>
    <t>Asian Men</t>
  </si>
  <si>
    <t>Asian Women</t>
  </si>
  <si>
    <t>Unaccounted for Other</t>
  </si>
  <si>
    <t>Grand Total  Other  Total</t>
  </si>
  <si>
    <t>Grand Total  Other  Men</t>
  </si>
  <si>
    <t>Grand Total  Other  Women</t>
  </si>
  <si>
    <t>Non white -Black-Hisp-Oth Total</t>
  </si>
  <si>
    <t>Non white -Black-Hisp-Oth Men</t>
  </si>
  <si>
    <t>Non white -Black-Hisp-Oth Women</t>
  </si>
  <si>
    <t>White Non-Hispanic Men</t>
  </si>
  <si>
    <t>White Non-Hispanic Women</t>
  </si>
  <si>
    <t>Black Non-Hispanic Men</t>
  </si>
  <si>
    <t>Black Non-Hispanic Women</t>
  </si>
  <si>
    <t>White Non-Hispanic Total</t>
  </si>
  <si>
    <t>White (incl Hisp)</t>
  </si>
  <si>
    <t>Men</t>
  </si>
  <si>
    <t>Women</t>
  </si>
  <si>
    <t>Black (incl Hisp)</t>
  </si>
  <si>
    <t>Other Tot (incl Hisp)</t>
  </si>
  <si>
    <t>Other (incl Hisp)</t>
  </si>
  <si>
    <t>Percent With High School Diplomas or GED Credentials</t>
  </si>
  <si>
    <r>
      <t>Education Attainment of the Adult Population by Racial/Ethnic Group</t>
    </r>
    <r>
      <rPr>
        <vertAlign val="superscript"/>
        <sz val="10"/>
        <rFont val="Arial"/>
        <family val="2"/>
      </rPr>
      <t>1</t>
    </r>
  </si>
  <si>
    <t>Percent with High School Dipolma or Higher</t>
  </si>
  <si>
    <t>Percent with Bachelor's Degree or Higher</t>
  </si>
  <si>
    <t>*</t>
  </si>
  <si>
    <t>--</t>
  </si>
  <si>
    <t xml:space="preserve">Table 5a.  </t>
  </si>
  <si>
    <t xml:space="preserve">Table 6a. </t>
  </si>
  <si>
    <t xml:space="preserve">Table 7a. </t>
  </si>
  <si>
    <t xml:space="preserve">Table 8a.  </t>
  </si>
  <si>
    <t xml:space="preserve">Table 11a. </t>
  </si>
  <si>
    <t xml:space="preserve">Table 12a.  </t>
  </si>
  <si>
    <t>Source:  U.S. Census Bureau</t>
  </si>
  <si>
    <t xml:space="preserve">  A Half-Century of Learning:  Historical Statistics on Educational Attainment in the United States, 1940 to 2000 (Census 2000 PHC-T-41)</t>
  </si>
  <si>
    <t>Internet Release April 6, 2006</t>
  </si>
  <si>
    <r>
      <t>Education Attainment of the Adult Population</t>
    </r>
    <r>
      <rPr>
        <vertAlign val="superscript"/>
        <sz val="10"/>
        <rFont val="Arial"/>
        <family val="2"/>
      </rPr>
      <t>1</t>
    </r>
  </si>
  <si>
    <t>2005-2007</t>
  </si>
  <si>
    <t>U.S. Bureau of the Census, 2005-2007 American Community Survey 3-Year Estimates, Tables C15002. SEX BY EDUCATIONAL ATTAINMENT FOR THE POPULATION 25 YEARS AND OVER - Universe: POPULATION 25 YEARS AND OVER.</t>
  </si>
  <si>
    <t>Source: U.S. Bureau of the Census, 1980 Census General Social and Economic Characteristics (1982) (stated as "4 or more years of college completed")</t>
  </si>
  <si>
    <t>Source:  U.S. Bureau of the Census, 1950 Census of Population, Characteristics of the Population, Table 20. "Years of School Completed by Persons 25 years old and over, 1950 and 1940," Washington, D.C.:  U.S. Government Printing Office, 1952.</t>
  </si>
  <si>
    <t>Source: U.S. Bureau of the Census, "Educational Attainment of Persons 25 Years and Over," Summary File 3, Table P58 (2002)</t>
  </si>
  <si>
    <t>Source: U.S. Bureau of the Census, "Educational Attainment of Persons 25 Years and Over," Summary File 3, Table P59 (2002)</t>
  </si>
  <si>
    <t>Source: U.S. Bureau of the Census, "Educational Attainment of Persons 25 Years and Over," Summary File 3, Table P57 (2002)</t>
  </si>
  <si>
    <t>Source: U.S. Bureau of the Census, 1980 Census General Social and Economic Characteristics (1982)</t>
  </si>
  <si>
    <t>U.S. Bureau of the Census, "Sex by Educational Attainment for the Population 25 Years and Over," Census 2000 Summry File 3, Table P148A</t>
  </si>
  <si>
    <t xml:space="preserve">U.S. Bureau of the Census, "Sex by Educational Attainment for the Population 25 Years and Over," Census 2000 Summry File 3, Table P148B </t>
  </si>
  <si>
    <t xml:space="preserve">U.S. Bureau of the Census, "Sex by Educational Attainment for the Population 25 Years and Over," Census 2000 Summry File 3, Table P148D,E,F,G </t>
  </si>
  <si>
    <t xml:space="preserve">U.S. Bureau of the Census, "Sex by Educational Attainment for the Population 25 Years and Over," Census 2000 Summry File 3, Table P148H </t>
  </si>
  <si>
    <t xml:space="preserve">U.S. Bureau of the Census, "Sex by Educational Attainment for the Population 25 Years and Over," Census 2000 Summry File 3, Table P37 </t>
  </si>
  <si>
    <t xml:space="preserve">U.S. Bureau of the Census, "Sex by Educational Attainment for the Population 25 Years and Over," Census 2000 Summry File 3, Table P148A </t>
  </si>
  <si>
    <t>U.S. Bureau of the Census, "Sex by Educational Attainment for the Population 25 Years and Over," Census 2000 Summry File 3, Table P148D,E,F,G</t>
  </si>
  <si>
    <t>U.S. Bureau of the Census, "Sex by Educational Attainment for the Population 25 Years and Over," Census 2000 Summry File 3, Table P148B</t>
  </si>
  <si>
    <t>U.S. Bureau of the Census, "Sex by Educational Attainment for the Population 25 Years and Over," Census 2000 Summry File 3, Table P37</t>
  </si>
  <si>
    <t>U.S. Bureau of the Census, "Sex by Educational Attainment for the Population 25 Years and Over," Census 2000 Summry File 3, Table P148H</t>
  </si>
  <si>
    <t>Table 2</t>
  </si>
  <si>
    <t>2006-2008</t>
  </si>
  <si>
    <t>U.S. Bureau of the Census, 2006-2008American Community Survey 3-Year Estimates, Tables C15002. SEX BY EDUCATIONAL ATTAINMENT FOR THE POPULATION 25 YEARS AND OVER - Universe: POPULATION 25 YEARS AND OVER.</t>
  </si>
  <si>
    <t>White 
non-Hisp</t>
  </si>
  <si>
    <t>Black
non-Hisp</t>
  </si>
  <si>
    <t>Sources:</t>
  </si>
  <si>
    <t>White alone, including Hispanic</t>
  </si>
  <si>
    <t>Black alone, including Hispanic</t>
  </si>
  <si>
    <t>White Alone incl Hisp</t>
  </si>
  <si>
    <t>Black Alone incl Hisp</t>
  </si>
  <si>
    <t>Other Race incl Hisp</t>
  </si>
  <si>
    <t>Other Races incl Hisp.</t>
  </si>
  <si>
    <t>Other Races incl Hisp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</si>
  <si>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Population ages 25 and older.</t>
    </r>
  </si>
  <si>
    <t>2007-2009</t>
  </si>
  <si>
    <t>50 states and D.C.</t>
  </si>
  <si>
    <t xml:space="preserve">   as a percent of U.S.</t>
  </si>
  <si>
    <t>West</t>
  </si>
  <si>
    <t>Midwest</t>
  </si>
  <si>
    <t>Northeast</t>
  </si>
  <si>
    <t>—</t>
  </si>
  <si>
    <t>U.S. Bureau of the Census, 2007-2008 American Community Survey 3-Year Estimates, Tables C15002. SEX BY EDUCATIONAL ATTAINMENT FOR THE POPULATION 25 YEARS AND OVER - Universe: POPULATION 25 YEARS AND OVER.</t>
  </si>
  <si>
    <t>Bachelor's Only?</t>
  </si>
  <si>
    <t xml:space="preserve">    as a percent of U.S.</t>
  </si>
  <si>
    <t xml:space="preserve"> Population 25 Years and Over, both sexes, </t>
  </si>
  <si>
    <r>
      <t xml:space="preserve">    as a percent of U.S.</t>
    </r>
    <r>
      <rPr>
        <vertAlign val="superscript"/>
        <sz val="10"/>
        <rFont val="Arial"/>
        <family val="2"/>
      </rPr>
      <t>3</t>
    </r>
  </si>
  <si>
    <t>U.S. Bureau of the Census, 2007-2009 American Community Survey 3-Year Estimates, Tables C15002. SEX BY EDUCATIONAL ATTAINMENT FOR THE POPULATION 25 YEARS AND OVER - Universe: POPULATION 25 YEARS AND OVER.</t>
  </si>
  <si>
    <t>2008-2010</t>
  </si>
  <si>
    <t>Associate's or Higher</t>
  </si>
  <si>
    <t xml:space="preserve">NCHEMS analysis of U.S. Bureau of the Census, 2008-2010 American Community Survey 3-Year Estimates, Tables B 15001 and C15001. </t>
  </si>
  <si>
    <t>U.S. Bureau of the Census, 2008-2010 American Community Survey 3-Year Estimates, Tables B15002A. SEX BY EDUCATIONAL ATTAINMENT FOR THE POPULATION 25 YEARS AND OVER - Universe: POPULATION 25 YEARS AND OVER.</t>
  </si>
  <si>
    <t>U.S. Bureau of the Census, 2008-2010 American Community Survey 3-Year Estimates, Tables B15002B. SEX BY EDUCATIONAL ATTAINMENT FOR THE POPULATION 25 YEARS AND OVER - Universe: POPULATION 25 YEARS AND OVER.</t>
  </si>
  <si>
    <t>2010</t>
  </si>
  <si>
    <t>ACS-Based</t>
  </si>
  <si>
    <t>Note: Other includes, American Indian and Alaska Native, Asian, Native Hawaiian and Other Pacific Islander, Some Other Race, and Two or More Races.</t>
  </si>
  <si>
    <t xml:space="preserve">2010 Percent With High School Diplomas/GED </t>
  </si>
  <si>
    <t>2010 Percent With Bachelor's or Higher</t>
  </si>
  <si>
    <t>All Other Races + 2 More (not incl Hisp)</t>
  </si>
  <si>
    <t>2008-2010 ACS</t>
  </si>
  <si>
    <t>White incl Hisp</t>
  </si>
  <si>
    <t>Black incl Hisp</t>
  </si>
  <si>
    <t>Other*</t>
  </si>
  <si>
    <t>U.S. Bureau of the Census, ACS 2008-2010 summary sample 15002s</t>
  </si>
  <si>
    <t>* Other = Am Ind/Alaskan Native + Asian +Haw/Pacif Isl+2orMore</t>
  </si>
  <si>
    <r>
      <t xml:space="preserve">HS graduate or equivalent </t>
    </r>
    <r>
      <rPr>
        <b/>
        <sz val="10"/>
        <color rgb="FFFF0000"/>
        <rFont val="Arial"/>
        <family val="2"/>
      </rPr>
      <t>or More</t>
    </r>
  </si>
  <si>
    <t>2009-2011</t>
  </si>
  <si>
    <t>(Less than HS)</t>
  </si>
  <si>
    <t>2009-2011 ACS</t>
  </si>
  <si>
    <t>Table 7</t>
  </si>
  <si>
    <t>2012 ACS</t>
  </si>
  <si>
    <t>White incl Hispanic</t>
  </si>
  <si>
    <t>Black incl Hispanic</t>
  </si>
  <si>
    <t>2010-12 ACS</t>
  </si>
  <si>
    <t>C</t>
  </si>
  <si>
    <t>U.S. Bureau of the Census, 2010-2012 American Community Survey 3-Year Estimates, Tables B15002. SEX BY EDUCATIONAL ATTAINMENT FOR THE POPULATION 25 YEARS AND OVER - Universe: POPULATION 25 YEARS AND OVER.</t>
  </si>
  <si>
    <t>SC-EST2012-alldata6: Annual State Resident Population Estimates for 6 Race Groups 
(5 Race Alone Groups and Two or More Races) by Age, Sex, and Hispanic Origin: April 1, 2010 
to July 1, 2012
File: 7/1/2012 State Characteristics Population Estimates 
Source: U.S. Census Bureau, Population Division (June 2013)</t>
  </si>
  <si>
    <t>2013 ACS</t>
  </si>
  <si>
    <t>2011-13</t>
  </si>
  <si>
    <t>2011-13 ACS</t>
  </si>
  <si>
    <r>
      <t>2013</t>
    </r>
    <r>
      <rPr>
        <vertAlign val="superscript"/>
        <sz val="10"/>
        <rFont val="Arial"/>
        <family val="2"/>
      </rPr>
      <t>2</t>
    </r>
  </si>
  <si>
    <r>
      <t>Change (in percentage points), 2000 to 2013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</si>
  <si>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2013 figures are based on the 2011-2013 American Community Surveys.</t>
    </r>
  </si>
  <si>
    <t xml:space="preserve"> April 2015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</si>
  <si>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2013 figures are based on the 2011-2013 samples.</t>
    </r>
  </si>
  <si>
    <t>U.S. Bureau of the Census, 2011-2013 American Community Survey 3-Year Estimates, Tables B15002. SEX BY EDUCATIONAL ATTAINMENT FOR THE POPULATION 25 YEARS AND OVER - Universe: POPULATION 25 YEARS AND OVER. (2015)</t>
  </si>
  <si>
    <t>U.S. Census Bureau: "Educational Attainment of Persons 25 Years and Over, 1990 and 2000" (2002) and "2011-2013 American Community Survey 3-Year Estimates: Sex by Educational Attainment for the Population 25 Years and Over" (2015) — www.census.gov.</t>
  </si>
  <si>
    <t>U.S. Census Bureau:  "A Half-Century of Learning: Historical Statistics on Educational Attainment in the United States, 1940 to 2000" (2006) and "2011-2013 American Community Survey 3-Year Estimates: Sex by Educational Attainment for the Population 25 Years and Over" (2015) — www.census.gov.</t>
  </si>
  <si>
    <r>
      <t xml:space="preserve">1 </t>
    </r>
    <r>
      <rPr>
        <sz val="10"/>
        <rFont val="ARIAL"/>
        <family val="2"/>
      </rPr>
      <t>Population ages 25 and older. People of Hispanic origin are also counted in race categories (i.e., white, black) because questions regarding race and ethnicity are separate in the census survey.</t>
    </r>
  </si>
  <si>
    <r>
      <t xml:space="preserve">3 </t>
    </r>
    <r>
      <rPr>
        <sz val="10"/>
        <rFont val="ARIAL"/>
        <family val="2"/>
      </rPr>
      <t>Percentages of nation may not calculate from the figures shown, due to rounding.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</si>
</sst>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  <numFmt numFmtId="168" formatCode="0.00_)"/>
    <numFmt numFmtId="169" formatCode="#,##0.0_);\(#,##0.0\)"/>
  </numFmts>
  <fonts count="30" x14ac:knownFonts="1">
    <font>
      <sz val="12"/>
      <name val="Arial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rgb="FFC0000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2"/>
      <name val="Arial"/>
    </font>
    <font>
      <sz val="11"/>
      <color rgb="FF9C0006"/>
      <name val="Calibri"/>
      <family val="2"/>
      <scheme val="minor"/>
    </font>
    <font>
      <sz val="11"/>
      <color theme="4" tint="-0.249977111117893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indexed="8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ck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/>
      <bottom style="thin">
        <color indexed="64"/>
      </bottom>
      <diagonal/>
    </border>
    <border>
      <left style="thick">
        <color indexed="64"/>
      </left>
      <right style="thin">
        <color rgb="FFB2B2B2"/>
      </right>
      <top/>
      <bottom style="thin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4" fillId="8" borderId="35" applyNumberFormat="0" applyFont="0" applyAlignment="0" applyProtection="0"/>
    <xf numFmtId="0" fontId="25" fillId="9" borderId="0" applyNumberFormat="0" applyBorder="0" applyAlignment="0" applyProtection="0"/>
  </cellStyleXfs>
  <cellXfs count="758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Fill="1" applyBorder="1"/>
    <xf numFmtId="0" fontId="4" fillId="0" borderId="0" xfId="0" applyFont="1" applyBorder="1" applyAlignment="1">
      <alignment horizontal="left" vertical="top"/>
    </xf>
    <xf numFmtId="167" fontId="4" fillId="0" borderId="0" xfId="1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67" fontId="4" fillId="0" borderId="0" xfId="1" applyNumberFormat="1" applyFont="1" applyFill="1" applyBorder="1" applyAlignment="1">
      <alignment horizontal="left" vertical="top" wrapText="1"/>
    </xf>
    <xf numFmtId="3" fontId="4" fillId="0" borderId="6" xfId="0" applyNumberFormat="1" applyFont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167" fontId="4" fillId="0" borderId="7" xfId="1" applyNumberFormat="1" applyFont="1" applyBorder="1" applyAlignment="1">
      <alignment horizontal="left" vertical="top" wrapText="1"/>
    </xf>
    <xf numFmtId="167" fontId="4" fillId="2" borderId="7" xfId="1" applyNumberFormat="1" applyFont="1" applyFill="1" applyBorder="1" applyAlignment="1">
      <alignment horizontal="left" vertical="top" wrapText="1"/>
    </xf>
    <xf numFmtId="167" fontId="4" fillId="0" borderId="5" xfId="1" applyNumberFormat="1" applyFont="1" applyBorder="1" applyAlignment="1">
      <alignment horizontal="left" vertical="top" wrapText="1"/>
    </xf>
    <xf numFmtId="167" fontId="4" fillId="2" borderId="0" xfId="1" applyNumberFormat="1" applyFont="1" applyFill="1" applyBorder="1" applyAlignment="1">
      <alignment horizontal="left" vertical="top" wrapText="1"/>
    </xf>
    <xf numFmtId="167" fontId="4" fillId="2" borderId="5" xfId="1" applyNumberFormat="1" applyFont="1" applyFill="1" applyBorder="1" applyAlignment="1">
      <alignment horizontal="left" vertical="top" wrapText="1"/>
    </xf>
    <xf numFmtId="166" fontId="4" fillId="0" borderId="0" xfId="0" applyNumberFormat="1" applyFont="1" applyBorder="1" applyAlignment="1">
      <alignment horizontal="right"/>
    </xf>
    <xf numFmtId="0" fontId="4" fillId="0" borderId="11" xfId="0" applyFont="1" applyBorder="1" applyAlignment="1">
      <alignment horizontal="centerContinuous" wrapText="1"/>
    </xf>
    <xf numFmtId="0" fontId="4" fillId="0" borderId="12" xfId="0" applyFont="1" applyBorder="1" applyAlignment="1">
      <alignment horizontal="centerContinuous" wrapText="1"/>
    </xf>
    <xf numFmtId="0" fontId="4" fillId="0" borderId="13" xfId="0" applyFont="1" applyBorder="1" applyAlignment="1">
      <alignment horizontal="centerContinuous" wrapText="1"/>
    </xf>
    <xf numFmtId="0" fontId="4" fillId="0" borderId="14" xfId="0" applyFont="1" applyBorder="1" applyAlignment="1">
      <alignment horizontal="centerContinuous" wrapText="1"/>
    </xf>
    <xf numFmtId="0" fontId="4" fillId="0" borderId="0" xfId="0" applyFont="1" applyAlignment="1">
      <alignment horizontal="right"/>
    </xf>
    <xf numFmtId="0" fontId="4" fillId="0" borderId="15" xfId="0" applyFont="1" applyBorder="1" applyAlignment="1">
      <alignment horizontal="centerContinuous" wrapText="1"/>
    </xf>
    <xf numFmtId="0" fontId="4" fillId="0" borderId="0" xfId="0" applyFont="1" applyAlignment="1">
      <alignment horizontal="left"/>
    </xf>
    <xf numFmtId="167" fontId="4" fillId="0" borderId="6" xfId="1" applyNumberFormat="1" applyFont="1" applyBorder="1" applyAlignment="1">
      <alignment horizontal="left" vertical="top" wrapText="1"/>
    </xf>
    <xf numFmtId="3" fontId="4" fillId="0" borderId="0" xfId="0" applyNumberFormat="1" applyFont="1" applyBorder="1" applyAlignment="1">
      <alignment horizontal="left"/>
    </xf>
    <xf numFmtId="3" fontId="9" fillId="0" borderId="14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9" fillId="2" borderId="14" xfId="0" applyNumberFormat="1" applyFont="1" applyFill="1" applyBorder="1" applyAlignment="1">
      <alignment horizontal="right" wrapText="1"/>
    </xf>
    <xf numFmtId="3" fontId="9" fillId="0" borderId="14" xfId="0" applyNumberFormat="1" applyFont="1" applyBorder="1" applyAlignment="1">
      <alignment horizontal="right" wrapText="1"/>
    </xf>
    <xf numFmtId="3" fontId="9" fillId="2" borderId="0" xfId="0" applyNumberFormat="1" applyFont="1" applyFill="1"/>
    <xf numFmtId="3" fontId="9" fillId="0" borderId="0" xfId="0" applyNumberFormat="1" applyFont="1"/>
    <xf numFmtId="3" fontId="9" fillId="0" borderId="0" xfId="0" applyNumberFormat="1" applyFont="1" applyBorder="1"/>
    <xf numFmtId="3" fontId="9" fillId="0" borderId="0" xfId="0" applyNumberFormat="1" applyFont="1" applyFill="1" applyBorder="1"/>
    <xf numFmtId="3" fontId="4" fillId="0" borderId="14" xfId="0" quotePrefix="1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/>
    </xf>
    <xf numFmtId="0" fontId="4" fillId="0" borderId="14" xfId="0" applyFont="1" applyBorder="1" applyAlignment="1">
      <alignment horizontal="left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centerContinuous" wrapText="1"/>
    </xf>
    <xf numFmtId="0" fontId="4" fillId="0" borderId="22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4" fillId="0" borderId="23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0" fontId="4" fillId="0" borderId="21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3" fontId="4" fillId="0" borderId="14" xfId="0" applyNumberFormat="1" applyFont="1" applyFill="1" applyBorder="1" applyAlignment="1">
      <alignment horizontal="right" wrapText="1"/>
    </xf>
    <xf numFmtId="3" fontId="4" fillId="0" borderId="14" xfId="0" applyNumberFormat="1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4" fillId="0" borderId="14" xfId="0" applyFont="1" applyFill="1" applyBorder="1" applyAlignment="1">
      <alignment horizontal="right" wrapText="1"/>
    </xf>
    <xf numFmtId="0" fontId="4" fillId="0" borderId="21" xfId="0" applyFont="1" applyFill="1" applyBorder="1" applyAlignment="1">
      <alignment horizontal="right" wrapText="1"/>
    </xf>
    <xf numFmtId="0" fontId="4" fillId="0" borderId="20" xfId="0" applyFont="1" applyFill="1" applyBorder="1" applyAlignment="1">
      <alignment horizontal="right" wrapText="1"/>
    </xf>
    <xf numFmtId="3" fontId="4" fillId="0" borderId="0" xfId="0" applyNumberFormat="1" applyFont="1" applyFill="1"/>
    <xf numFmtId="3" fontId="4" fillId="0" borderId="0" xfId="0" applyNumberFormat="1" applyFont="1"/>
    <xf numFmtId="3" fontId="4" fillId="0" borderId="0" xfId="0" applyNumberFormat="1" applyFont="1" applyBorder="1"/>
    <xf numFmtId="37" fontId="4" fillId="0" borderId="0" xfId="0" applyNumberFormat="1" applyFont="1" applyBorder="1" applyProtection="1"/>
    <xf numFmtId="37" fontId="4" fillId="0" borderId="0" xfId="0" applyNumberFormat="1" applyFont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/>
    <xf numFmtId="167" fontId="4" fillId="0" borderId="0" xfId="1" applyNumberFormat="1" applyFont="1"/>
    <xf numFmtId="167" fontId="4" fillId="0" borderId="5" xfId="1" applyNumberFormat="1" applyFont="1" applyBorder="1"/>
    <xf numFmtId="3" fontId="4" fillId="0" borderId="0" xfId="0" applyNumberFormat="1" applyFont="1" applyFill="1" applyBorder="1"/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11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3" borderId="0" xfId="0" applyFont="1" applyFill="1" applyAlignment="1">
      <alignment horizontal="right"/>
    </xf>
    <xf numFmtId="0" fontId="4" fillId="0" borderId="0" xfId="0" applyFont="1" applyFill="1"/>
    <xf numFmtId="0" fontId="4" fillId="3" borderId="0" xfId="0" applyFont="1" applyFill="1" applyAlignment="1">
      <alignment horizontal="left"/>
    </xf>
    <xf numFmtId="0" fontId="4" fillId="0" borderId="7" xfId="0" applyFont="1" applyBorder="1"/>
    <xf numFmtId="0" fontId="4" fillId="0" borderId="5" xfId="0" applyFont="1" applyBorder="1"/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37" fontId="12" fillId="0" borderId="0" xfId="0" applyNumberFormat="1" applyFont="1" applyBorder="1" applyProtection="1"/>
    <xf numFmtId="0" fontId="4" fillId="0" borderId="0" xfId="0" applyFont="1" applyBorder="1" applyAlignment="1">
      <alignment horizontal="right" wrapText="1"/>
    </xf>
    <xf numFmtId="37" fontId="12" fillId="0" borderId="0" xfId="0" applyNumberFormat="1" applyFont="1" applyProtection="1"/>
    <xf numFmtId="3" fontId="9" fillId="2" borderId="14" xfId="0" applyNumberFormat="1" applyFont="1" applyFill="1" applyBorder="1" applyAlignment="1">
      <alignment horizontal="right"/>
    </xf>
    <xf numFmtId="3" fontId="9" fillId="2" borderId="0" xfId="0" applyNumberFormat="1" applyFont="1" applyFill="1" applyBorder="1" applyAlignment="1">
      <alignment horizontal="right"/>
    </xf>
    <xf numFmtId="167" fontId="12" fillId="0" borderId="0" xfId="1" applyNumberFormat="1" applyFont="1" applyAlignment="1">
      <alignment horizontal="left" vertical="top" wrapText="1"/>
    </xf>
    <xf numFmtId="0" fontId="12" fillId="0" borderId="2" xfId="0" applyFont="1" applyBorder="1" applyAlignment="1">
      <alignment horizontal="centerContinuous"/>
    </xf>
    <xf numFmtId="167" fontId="12" fillId="0" borderId="23" xfId="0" applyNumberFormat="1" applyFont="1" applyBorder="1" applyAlignment="1">
      <alignment horizontal="right" wrapText="1"/>
    </xf>
    <xf numFmtId="0" fontId="12" fillId="0" borderId="21" xfId="0" applyFont="1" applyBorder="1" applyAlignment="1">
      <alignment horizontal="right" wrapText="1"/>
    </xf>
    <xf numFmtId="37" fontId="12" fillId="0" borderId="7" xfId="0" applyNumberFormat="1" applyFont="1" applyFill="1" applyBorder="1" applyProtection="1"/>
    <xf numFmtId="0" fontId="12" fillId="0" borderId="0" xfId="0" applyFont="1" applyAlignment="1">
      <alignment vertical="top" wrapText="1"/>
    </xf>
    <xf numFmtId="0" fontId="12" fillId="0" borderId="7" xfId="0" applyFont="1" applyBorder="1" applyAlignment="1">
      <alignment horizontal="right"/>
    </xf>
    <xf numFmtId="0" fontId="12" fillId="0" borderId="7" xfId="0" applyFont="1" applyBorder="1"/>
    <xf numFmtId="0" fontId="11" fillId="0" borderId="0" xfId="0" applyFont="1" applyFill="1" applyAlignment="1">
      <alignment horizontal="center" vertical="top" wrapText="1"/>
    </xf>
    <xf numFmtId="3" fontId="9" fillId="0" borderId="20" xfId="0" applyNumberFormat="1" applyFont="1" applyFill="1" applyBorder="1" applyAlignment="1">
      <alignment horizontal="right" wrapText="1"/>
    </xf>
    <xf numFmtId="3" fontId="9" fillId="0" borderId="5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3" fontId="9" fillId="0" borderId="2" xfId="0" applyNumberFormat="1" applyFont="1" applyFill="1" applyBorder="1"/>
    <xf numFmtId="3" fontId="4" fillId="0" borderId="20" xfId="0" quotePrefix="1" applyNumberFormat="1" applyFont="1" applyFill="1" applyBorder="1" applyAlignment="1">
      <alignment horizontal="right"/>
    </xf>
    <xf numFmtId="3" fontId="4" fillId="0" borderId="20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/>
    <xf numFmtId="3" fontId="9" fillId="0" borderId="20" xfId="0" applyNumberFormat="1" applyFont="1" applyBorder="1" applyAlignment="1">
      <alignment horizontal="right" wrapText="1"/>
    </xf>
    <xf numFmtId="0" fontId="9" fillId="0" borderId="10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3" fontId="15" fillId="0" borderId="14" xfId="0" applyNumberFormat="1" applyFont="1" applyBorder="1" applyAlignment="1">
      <alignment horizontal="left"/>
    </xf>
    <xf numFmtId="3" fontId="15" fillId="0" borderId="2" xfId="0" applyNumberFormat="1" applyFont="1" applyBorder="1" applyAlignment="1">
      <alignment horizontal="left" wrapText="1"/>
    </xf>
    <xf numFmtId="3" fontId="15" fillId="0" borderId="2" xfId="0" applyNumberFormat="1" applyFont="1" applyBorder="1" applyAlignment="1">
      <alignment horizontal="left"/>
    </xf>
    <xf numFmtId="3" fontId="14" fillId="0" borderId="14" xfId="0" applyNumberFormat="1" applyFont="1" applyBorder="1" applyAlignment="1">
      <alignment horizontal="right"/>
    </xf>
    <xf numFmtId="3" fontId="14" fillId="0" borderId="14" xfId="0" applyNumberFormat="1" applyFont="1" applyBorder="1" applyAlignment="1">
      <alignment horizontal="left"/>
    </xf>
    <xf numFmtId="3" fontId="14" fillId="0" borderId="2" xfId="0" applyNumberFormat="1" applyFont="1" applyBorder="1" applyAlignment="1">
      <alignment horizontal="left"/>
    </xf>
    <xf numFmtId="3" fontId="14" fillId="0" borderId="2" xfId="0" applyNumberFormat="1" applyFont="1" applyBorder="1" applyAlignment="1">
      <alignment horizontal="left" wrapText="1"/>
    </xf>
    <xf numFmtId="3" fontId="14" fillId="0" borderId="0" xfId="0" applyNumberFormat="1" applyFont="1" applyBorder="1"/>
    <xf numFmtId="3" fontId="9" fillId="0" borderId="14" xfId="0" applyNumberFormat="1" applyFont="1" applyBorder="1" applyAlignment="1">
      <alignment horizontal="left"/>
    </xf>
    <xf numFmtId="3" fontId="9" fillId="0" borderId="2" xfId="0" applyNumberFormat="1" applyFont="1" applyBorder="1" applyAlignment="1">
      <alignment horizontal="left"/>
    </xf>
    <xf numFmtId="3" fontId="9" fillId="0" borderId="2" xfId="0" applyNumberFormat="1" applyFont="1" applyBorder="1" applyAlignment="1">
      <alignment horizontal="left" wrapText="1"/>
    </xf>
    <xf numFmtId="3" fontId="14" fillId="2" borderId="0" xfId="0" applyNumberFormat="1" applyFont="1" applyFill="1"/>
    <xf numFmtId="3" fontId="14" fillId="2" borderId="14" xfId="0" applyNumberFormat="1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14" fillId="2" borderId="14" xfId="0" applyNumberFormat="1" applyFont="1" applyFill="1" applyBorder="1" applyAlignment="1">
      <alignment horizontal="right" wrapText="1"/>
    </xf>
    <xf numFmtId="3" fontId="15" fillId="2" borderId="14" xfId="0" applyNumberFormat="1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centerContinuous" wrapText="1"/>
    </xf>
    <xf numFmtId="0" fontId="4" fillId="0" borderId="19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right" wrapText="1"/>
    </xf>
    <xf numFmtId="3" fontId="9" fillId="0" borderId="10" xfId="0" applyNumberFormat="1" applyFont="1" applyFill="1" applyBorder="1" applyAlignment="1">
      <alignment horizontal="left"/>
    </xf>
    <xf numFmtId="167" fontId="4" fillId="0" borderId="0" xfId="1" applyNumberFormat="1" applyFont="1" applyFill="1" applyBorder="1"/>
    <xf numFmtId="0" fontId="4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Continuous" wrapText="1"/>
    </xf>
    <xf numFmtId="0" fontId="12" fillId="0" borderId="0" xfId="0" applyFont="1" applyFill="1" applyBorder="1" applyAlignment="1">
      <alignment horizontal="right" wrapText="1"/>
    </xf>
    <xf numFmtId="3" fontId="12" fillId="0" borderId="14" xfId="0" applyNumberFormat="1" applyFont="1" applyBorder="1" applyAlignment="1">
      <alignment horizontal="right" wrapText="1"/>
    </xf>
    <xf numFmtId="167" fontId="12" fillId="0" borderId="0" xfId="1" applyNumberFormat="1" applyFont="1" applyFill="1" applyBorder="1" applyAlignment="1">
      <alignment horizontal="left" vertical="top" wrapText="1"/>
    </xf>
    <xf numFmtId="167" fontId="12" fillId="0" borderId="0" xfId="1" applyNumberFormat="1" applyFont="1" applyFill="1" applyBorder="1"/>
    <xf numFmtId="0" fontId="12" fillId="0" borderId="0" xfId="0" applyFont="1" applyFill="1" applyBorder="1"/>
    <xf numFmtId="0" fontId="12" fillId="0" borderId="14" xfId="0" applyFont="1" applyFill="1" applyBorder="1" applyAlignment="1">
      <alignment horizontal="right" wrapText="1"/>
    </xf>
    <xf numFmtId="3" fontId="9" fillId="0" borderId="0" xfId="0" applyNumberFormat="1" applyFont="1" applyBorder="1" applyAlignment="1">
      <alignment horizontal="left"/>
    </xf>
    <xf numFmtId="0" fontId="4" fillId="0" borderId="14" xfId="0" applyNumberFormat="1" applyFont="1" applyFill="1" applyBorder="1" applyAlignment="1"/>
    <xf numFmtId="0" fontId="4" fillId="0" borderId="14" xfId="0" applyFont="1" applyFill="1" applyBorder="1"/>
    <xf numFmtId="0" fontId="4" fillId="0" borderId="0" xfId="0" applyNumberFormat="1" applyFont="1" applyFill="1" applyBorder="1" applyAlignment="1"/>
    <xf numFmtId="0" fontId="4" fillId="0" borderId="2" xfId="0" applyFont="1" applyBorder="1" applyAlignment="1">
      <alignment horizontal="right"/>
    </xf>
    <xf numFmtId="0" fontId="4" fillId="0" borderId="0" xfId="0" applyFont="1" applyBorder="1" applyAlignment="1"/>
    <xf numFmtId="0" fontId="4" fillId="0" borderId="9" xfId="0" applyFont="1" applyBorder="1"/>
    <xf numFmtId="167" fontId="12" fillId="0" borderId="0" xfId="1" applyNumberFormat="1" applyFont="1" applyBorder="1" applyAlignment="1">
      <alignment horizontal="left" vertical="top" wrapText="1"/>
    </xf>
    <xf numFmtId="3" fontId="4" fillId="0" borderId="0" xfId="0" quotePrefix="1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3" fontId="9" fillId="0" borderId="2" xfId="0" applyNumberFormat="1" applyFont="1" applyBorder="1"/>
    <xf numFmtId="0" fontId="2" fillId="0" borderId="14" xfId="0" applyFont="1" applyBorder="1" applyAlignment="1" applyProtection="1">
      <alignment horizontal="centerContinuous"/>
      <protection locked="0"/>
    </xf>
    <xf numFmtId="0" fontId="5" fillId="0" borderId="14" xfId="0" applyFont="1" applyBorder="1" applyAlignment="1" applyProtection="1">
      <alignment horizontal="centerContinuous"/>
      <protection locked="0"/>
    </xf>
    <xf numFmtId="0" fontId="2" fillId="0" borderId="20" xfId="0" applyFont="1" applyBorder="1" applyAlignment="1" applyProtection="1">
      <alignment horizontal="centerContinuous"/>
      <protection locked="0"/>
    </xf>
    <xf numFmtId="0" fontId="0" fillId="0" borderId="14" xfId="0" applyBorder="1" applyAlignment="1" applyProtection="1">
      <alignment horizontal="centerContinuous"/>
      <protection locked="0"/>
    </xf>
    <xf numFmtId="0" fontId="4" fillId="0" borderId="0" xfId="0" applyFont="1" applyAlignment="1" applyProtection="1">
      <protection locked="0"/>
    </xf>
    <xf numFmtId="0" fontId="2" fillId="0" borderId="2" xfId="0" applyFont="1" applyBorder="1" applyAlignment="1" applyProtection="1">
      <alignment horizontal="centerContinuous"/>
      <protection locked="0"/>
    </xf>
    <xf numFmtId="0" fontId="2" fillId="0" borderId="19" xfId="0" applyFont="1" applyBorder="1" applyAlignment="1" applyProtection="1">
      <alignment horizontal="centerContinuous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165" fontId="4" fillId="0" borderId="0" xfId="0" applyNumberFormat="1" applyFont="1" applyBorder="1" applyAlignment="1" applyProtection="1">
      <alignment horizontal="right"/>
      <protection locked="0"/>
    </xf>
    <xf numFmtId="165" fontId="4" fillId="0" borderId="0" xfId="0" applyNumberFormat="1" applyFont="1" applyBorder="1" applyAlignment="1" applyProtection="1">
      <protection locked="0"/>
    </xf>
    <xf numFmtId="165" fontId="4" fillId="0" borderId="5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protection locked="0"/>
    </xf>
    <xf numFmtId="0" fontId="4" fillId="0" borderId="5" xfId="0" applyFont="1" applyBorder="1" applyAlignment="1" applyProtection="1">
      <protection locked="0"/>
    </xf>
    <xf numFmtId="165" fontId="4" fillId="0" borderId="0" xfId="0" quotePrefix="1" applyNumberFormat="1" applyFont="1" applyBorder="1" applyAlignment="1" applyProtection="1">
      <alignment horizontal="right"/>
      <protection locked="0"/>
    </xf>
    <xf numFmtId="165" fontId="4" fillId="0" borderId="5" xfId="0" quotePrefix="1" applyNumberFormat="1" applyFont="1" applyBorder="1" applyAlignment="1" applyProtection="1">
      <alignment horizontal="right"/>
      <protection locked="0"/>
    </xf>
    <xf numFmtId="165" fontId="4" fillId="0" borderId="2" xfId="0" applyNumberFormat="1" applyFont="1" applyBorder="1" applyAlignment="1" applyProtection="1">
      <alignment horizontal="right"/>
      <protection locked="0"/>
    </xf>
    <xf numFmtId="165" fontId="4" fillId="0" borderId="2" xfId="0" applyNumberFormat="1" applyFont="1" applyBorder="1" applyAlignment="1" applyProtection="1">
      <protection locked="0"/>
    </xf>
    <xf numFmtId="165" fontId="4" fillId="0" borderId="19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4" fillId="0" borderId="0" xfId="0" applyNumberFormat="1" applyFont="1" applyBorder="1" applyAlignment="1" applyProtection="1">
      <alignment vertical="center"/>
      <protection locked="0"/>
    </xf>
    <xf numFmtId="165" fontId="4" fillId="0" borderId="0" xfId="0" applyNumberFormat="1" applyFont="1" applyBorder="1" applyAlignment="1" applyProtection="1">
      <alignment horizontal="right" vertical="center"/>
      <protection locked="0"/>
    </xf>
    <xf numFmtId="164" fontId="4" fillId="0" borderId="2" xfId="2" applyNumberFormat="1" applyFont="1" applyFill="1" applyBorder="1" applyAlignment="1">
      <alignment horizontal="right" wrapText="1"/>
    </xf>
    <xf numFmtId="166" fontId="4" fillId="0" borderId="5" xfId="0" applyNumberFormat="1" applyFont="1" applyFill="1" applyBorder="1" applyAlignment="1">
      <alignment horizontal="right"/>
    </xf>
    <xf numFmtId="0" fontId="6" fillId="0" borderId="0" xfId="0" applyFont="1" applyBorder="1"/>
    <xf numFmtId="0" fontId="0" fillId="0" borderId="0" xfId="0" applyBorder="1"/>
    <xf numFmtId="0" fontId="9" fillId="0" borderId="14" xfId="0" applyNumberFormat="1" applyFont="1" applyBorder="1" applyAlignment="1">
      <alignment horizontal="left"/>
    </xf>
    <xf numFmtId="0" fontId="4" fillId="4" borderId="2" xfId="0" applyFont="1" applyFill="1" applyBorder="1" applyAlignment="1">
      <alignment horizontal="right" wrapText="1"/>
    </xf>
    <xf numFmtId="0" fontId="4" fillId="4" borderId="23" xfId="0" applyFont="1" applyFill="1" applyBorder="1" applyAlignment="1">
      <alignment horizontal="right" wrapText="1"/>
    </xf>
    <xf numFmtId="0" fontId="4" fillId="4" borderId="19" xfId="0" applyFont="1" applyFill="1" applyBorder="1" applyAlignment="1">
      <alignment horizontal="right" wrapText="1"/>
    </xf>
    <xf numFmtId="0" fontId="16" fillId="0" borderId="2" xfId="0" applyFont="1" applyBorder="1" applyAlignment="1">
      <alignment horizontal="right" wrapText="1"/>
    </xf>
    <xf numFmtId="0" fontId="4" fillId="0" borderId="2" xfId="0" applyFont="1" applyFill="1" applyBorder="1"/>
    <xf numFmtId="3" fontId="4" fillId="0" borderId="2" xfId="0" applyNumberFormat="1" applyFont="1" applyFill="1" applyBorder="1" applyAlignment="1">
      <alignment horizontal="right"/>
    </xf>
    <xf numFmtId="3" fontId="4" fillId="0" borderId="0" xfId="0" quotePrefix="1" applyNumberFormat="1" applyFont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4" fillId="0" borderId="14" xfId="0" applyFont="1" applyBorder="1"/>
    <xf numFmtId="3" fontId="4" fillId="0" borderId="14" xfId="0" applyNumberFormat="1" applyFont="1" applyBorder="1" applyAlignment="1">
      <alignment horizontal="right"/>
    </xf>
    <xf numFmtId="3" fontId="4" fillId="0" borderId="14" xfId="0" applyNumberFormat="1" applyFont="1" applyFill="1" applyBorder="1" applyAlignment="1">
      <alignment horizontal="right"/>
    </xf>
    <xf numFmtId="3" fontId="12" fillId="0" borderId="14" xfId="0" applyNumberFormat="1" applyFont="1" applyFill="1" applyBorder="1" applyAlignment="1">
      <alignment horizontal="right" wrapText="1"/>
    </xf>
    <xf numFmtId="3" fontId="12" fillId="0" borderId="0" xfId="0" applyNumberFormat="1" applyFont="1" applyFill="1"/>
    <xf numFmtId="3" fontId="4" fillId="0" borderId="0" xfId="0" applyNumberFormat="1" applyFont="1" applyBorder="1" applyAlignment="1">
      <alignment horizontal="right" wrapText="1"/>
    </xf>
    <xf numFmtId="0" fontId="4" fillId="0" borderId="20" xfId="0" applyFont="1" applyBorder="1"/>
    <xf numFmtId="3" fontId="4" fillId="0" borderId="20" xfId="0" applyNumberFormat="1" applyFont="1" applyBorder="1" applyAlignment="1">
      <alignment horizontal="right" wrapText="1"/>
    </xf>
    <xf numFmtId="3" fontId="4" fillId="0" borderId="5" xfId="0" applyNumberFormat="1" applyFont="1" applyBorder="1"/>
    <xf numFmtId="3" fontId="4" fillId="0" borderId="0" xfId="0" applyNumberFormat="1" applyFont="1" applyAlignment="1">
      <alignment vertical="top" wrapText="1"/>
    </xf>
    <xf numFmtId="167" fontId="4" fillId="0" borderId="5" xfId="1" applyNumberFormat="1" applyFont="1" applyBorder="1" applyProtection="1"/>
    <xf numFmtId="0" fontId="4" fillId="0" borderId="20" xfId="1" applyNumberFormat="1" applyFont="1" applyBorder="1" applyAlignment="1">
      <alignment horizontal="right"/>
    </xf>
    <xf numFmtId="3" fontId="9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19" fillId="0" borderId="0" xfId="0" applyFont="1" applyBorder="1"/>
    <xf numFmtId="0" fontId="19" fillId="0" borderId="5" xfId="0" applyFont="1" applyBorder="1"/>
    <xf numFmtId="0" fontId="19" fillId="0" borderId="5" xfId="0" applyFont="1" applyBorder="1" applyAlignment="1">
      <alignment vertical="top" wrapText="1"/>
    </xf>
    <xf numFmtId="0" fontId="19" fillId="0" borderId="0" xfId="0" applyFont="1" applyBorder="1" applyAlignment="1">
      <alignment vertical="top"/>
    </xf>
    <xf numFmtId="3" fontId="4" fillId="0" borderId="25" xfId="0" applyNumberFormat="1" applyFont="1" applyBorder="1" applyAlignment="1">
      <alignment horizontal="right" wrapText="1"/>
    </xf>
    <xf numFmtId="3" fontId="4" fillId="0" borderId="27" xfId="0" applyNumberFormat="1" applyFont="1" applyBorder="1"/>
    <xf numFmtId="3" fontId="4" fillId="0" borderId="27" xfId="0" applyNumberFormat="1" applyFont="1" applyFill="1" applyBorder="1"/>
    <xf numFmtId="0" fontId="4" fillId="0" borderId="25" xfId="0" applyFont="1" applyBorder="1"/>
    <xf numFmtId="0" fontId="4" fillId="0" borderId="27" xfId="0" applyFont="1" applyBorder="1" applyAlignment="1">
      <alignment horizontal="right"/>
    </xf>
    <xf numFmtId="167" fontId="4" fillId="0" borderId="27" xfId="1" applyNumberFormat="1" applyFont="1" applyBorder="1" applyAlignment="1">
      <alignment horizontal="left" vertical="top" wrapText="1"/>
    </xf>
    <xf numFmtId="0" fontId="4" fillId="0" borderId="25" xfId="0" applyFont="1" applyFill="1" applyBorder="1" applyAlignment="1">
      <alignment horizontal="right" wrapText="1"/>
    </xf>
    <xf numFmtId="3" fontId="9" fillId="0" borderId="26" xfId="0" applyNumberFormat="1" applyFont="1" applyFill="1" applyBorder="1" applyAlignment="1">
      <alignment horizontal="left"/>
    </xf>
    <xf numFmtId="3" fontId="9" fillId="0" borderId="25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horizontal="left"/>
    </xf>
    <xf numFmtId="167" fontId="4" fillId="0" borderId="2" xfId="0" applyNumberFormat="1" applyFont="1" applyBorder="1" applyAlignment="1">
      <alignment horizontal="right" wrapText="1"/>
    </xf>
    <xf numFmtId="167" fontId="19" fillId="0" borderId="0" xfId="1" applyNumberFormat="1" applyFont="1" applyBorder="1"/>
    <xf numFmtId="3" fontId="4" fillId="0" borderId="2" xfId="0" applyNumberFormat="1" applyFont="1" applyBorder="1" applyAlignment="1">
      <alignment horizontal="centerContinuous"/>
    </xf>
    <xf numFmtId="3" fontId="4" fillId="0" borderId="14" xfId="0" applyNumberFormat="1" applyFont="1" applyBorder="1" applyAlignment="1">
      <alignment horizontal="left"/>
    </xf>
    <xf numFmtId="0" fontId="9" fillId="0" borderId="5" xfId="0" applyNumberFormat="1" applyFont="1" applyBorder="1" applyAlignment="1">
      <alignment horizontal="left"/>
    </xf>
    <xf numFmtId="0" fontId="9" fillId="0" borderId="20" xfId="0" applyNumberFormat="1" applyFont="1" applyBorder="1" applyAlignment="1">
      <alignment horizontal="left"/>
    </xf>
    <xf numFmtId="167" fontId="4" fillId="0" borderId="14" xfId="0" applyNumberFormat="1" applyFont="1" applyBorder="1"/>
    <xf numFmtId="3" fontId="4" fillId="0" borderId="20" xfId="0" applyNumberFormat="1" applyFont="1" applyBorder="1"/>
    <xf numFmtId="0" fontId="4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13" xfId="0" quotePrefix="1" applyFont="1" applyBorder="1" applyAlignment="1">
      <alignment horizontal="centerContinuous" wrapText="1"/>
    </xf>
    <xf numFmtId="3" fontId="4" fillId="0" borderId="2" xfId="0" applyNumberFormat="1" applyFont="1" applyBorder="1" applyAlignment="1">
      <alignment horizontal="left"/>
    </xf>
    <xf numFmtId="3" fontId="9" fillId="0" borderId="14" xfId="0" applyNumberFormat="1" applyFont="1" applyFill="1" applyBorder="1" applyAlignment="1">
      <alignment horizontal="right" wrapText="1"/>
    </xf>
    <xf numFmtId="0" fontId="4" fillId="0" borderId="8" xfId="0" applyFont="1" applyBorder="1"/>
    <xf numFmtId="0" fontId="4" fillId="0" borderId="23" xfId="0" applyFont="1" applyBorder="1"/>
    <xf numFmtId="0" fontId="0" fillId="0" borderId="9" xfId="0" applyBorder="1"/>
    <xf numFmtId="0" fontId="0" fillId="0" borderId="8" xfId="0" applyBorder="1"/>
    <xf numFmtId="0" fontId="4" fillId="0" borderId="0" xfId="0" applyFont="1" applyBorder="1" applyAlignment="1">
      <alignment vertical="top" wrapText="1"/>
    </xf>
    <xf numFmtId="166" fontId="4" fillId="0" borderId="5" xfId="0" applyNumberFormat="1" applyFont="1" applyBorder="1" applyAlignment="1">
      <alignment horizontal="right"/>
    </xf>
    <xf numFmtId="37" fontId="12" fillId="0" borderId="0" xfId="0" applyNumberFormat="1" applyFont="1" applyFill="1" applyBorder="1" applyProtection="1"/>
    <xf numFmtId="37" fontId="4" fillId="0" borderId="29" xfId="0" applyNumberFormat="1" applyFont="1" applyBorder="1" applyAlignment="1" applyProtection="1"/>
    <xf numFmtId="37" fontId="4" fillId="0" borderId="29" xfId="0" applyNumberFormat="1" applyFont="1" applyBorder="1" applyAlignment="1"/>
    <xf numFmtId="37" fontId="4" fillId="0" borderId="0" xfId="0" applyNumberFormat="1" applyFont="1" applyBorder="1" applyAlignment="1"/>
    <xf numFmtId="37" fontId="4" fillId="0" borderId="18" xfId="0" applyNumberFormat="1" applyFont="1" applyBorder="1" applyAlignment="1"/>
    <xf numFmtId="37" fontId="4" fillId="0" borderId="18" xfId="0" applyNumberFormat="1" applyFont="1" applyBorder="1" applyAlignment="1" applyProtection="1"/>
    <xf numFmtId="37" fontId="4" fillId="0" borderId="0" xfId="0" applyNumberFormat="1" applyFont="1" applyBorder="1" applyAlignment="1" applyProtection="1"/>
    <xf numFmtId="37" fontId="4" fillId="0" borderId="2" xfId="0" applyNumberFormat="1" applyFont="1" applyBorder="1" applyAlignment="1"/>
    <xf numFmtId="37" fontId="4" fillId="0" borderId="0" xfId="0" applyNumberFormat="1" applyFont="1" applyFill="1" applyBorder="1" applyAlignment="1" applyProtection="1">
      <alignment horizontal="left"/>
    </xf>
    <xf numFmtId="37" fontId="4" fillId="0" borderId="29" xfId="0" applyNumberFormat="1" applyFont="1" applyFill="1" applyBorder="1" applyAlignment="1" applyProtection="1">
      <alignment horizontal="left"/>
    </xf>
    <xf numFmtId="0" fontId="4" fillId="0" borderId="0" xfId="0" applyNumberFormat="1" applyFont="1" applyBorder="1" applyAlignment="1"/>
    <xf numFmtId="167" fontId="4" fillId="0" borderId="5" xfId="1" applyNumberFormat="1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167" fontId="4" fillId="0" borderId="0" xfId="1" applyNumberFormat="1" applyFont="1" applyBorder="1" applyAlignment="1">
      <alignment vertical="top" wrapText="1"/>
    </xf>
    <xf numFmtId="0" fontId="19" fillId="0" borderId="0" xfId="0" applyFont="1" applyBorder="1" applyAlignment="1">
      <alignment horizontal="right"/>
    </xf>
    <xf numFmtId="0" fontId="19" fillId="0" borderId="0" xfId="0" applyFont="1" applyBorder="1" applyAlignment="1">
      <alignment horizontal="left"/>
    </xf>
    <xf numFmtId="3" fontId="14" fillId="2" borderId="0" xfId="0" applyNumberFormat="1" applyFont="1" applyFill="1" applyBorder="1"/>
    <xf numFmtId="3" fontId="9" fillId="2" borderId="0" xfId="0" applyNumberFormat="1" applyFont="1" applyFill="1" applyBorder="1"/>
    <xf numFmtId="0" fontId="12" fillId="0" borderId="0" xfId="0" applyFont="1" applyFill="1" applyBorder="1" applyAlignment="1">
      <alignment vertical="top" wrapText="1"/>
    </xf>
    <xf numFmtId="167" fontId="4" fillId="0" borderId="14" xfId="1" applyNumberFormat="1" applyFont="1" applyBorder="1" applyAlignment="1">
      <alignment horizontal="left" vertical="top" wrapText="1"/>
    </xf>
    <xf numFmtId="167" fontId="4" fillId="0" borderId="14" xfId="1" applyNumberFormat="1" applyFont="1" applyBorder="1"/>
    <xf numFmtId="167" fontId="4" fillId="0" borderId="20" xfId="1" applyNumberFormat="1" applyFont="1" applyBorder="1" applyAlignment="1">
      <alignment horizontal="left" vertical="top" wrapText="1"/>
    </xf>
    <xf numFmtId="167" fontId="4" fillId="2" borderId="14" xfId="1" applyNumberFormat="1" applyFont="1" applyFill="1" applyBorder="1" applyAlignment="1">
      <alignment horizontal="left" vertical="top" wrapText="1"/>
    </xf>
    <xf numFmtId="167" fontId="12" fillId="0" borderId="14" xfId="1" applyNumberFormat="1" applyFont="1" applyBorder="1" applyAlignment="1">
      <alignment horizontal="left" vertical="top" wrapText="1"/>
    </xf>
    <xf numFmtId="167" fontId="4" fillId="0" borderId="14" xfId="1" applyNumberFormat="1" applyFont="1" applyFill="1" applyBorder="1" applyAlignment="1">
      <alignment horizontal="left" vertical="top" wrapText="1"/>
    </xf>
    <xf numFmtId="167" fontId="12" fillId="0" borderId="14" xfId="1" applyNumberFormat="1" applyFont="1" applyFill="1" applyBorder="1" applyAlignment="1">
      <alignment horizontal="left" vertical="top" wrapText="1"/>
    </xf>
    <xf numFmtId="167" fontId="4" fillId="0" borderId="19" xfId="1" applyNumberFormat="1" applyFont="1" applyBorder="1" applyAlignment="1">
      <alignment horizontal="left" vertical="top" wrapText="1"/>
    </xf>
    <xf numFmtId="167" fontId="4" fillId="0" borderId="2" xfId="1" applyNumberFormat="1" applyFont="1" applyBorder="1" applyAlignment="1">
      <alignment horizontal="left" vertical="top" wrapText="1"/>
    </xf>
    <xf numFmtId="167" fontId="4" fillId="0" borderId="23" xfId="1" applyNumberFormat="1" applyFont="1" applyBorder="1" applyAlignment="1">
      <alignment horizontal="left" vertical="top" wrapText="1"/>
    </xf>
    <xf numFmtId="167" fontId="4" fillId="0" borderId="28" xfId="1" applyNumberFormat="1" applyFont="1" applyBorder="1" applyAlignment="1">
      <alignment horizontal="left" vertical="top" wrapText="1"/>
    </xf>
    <xf numFmtId="167" fontId="4" fillId="0" borderId="19" xfId="1" applyNumberFormat="1" applyFont="1" applyBorder="1"/>
    <xf numFmtId="167" fontId="4" fillId="0" borderId="2" xfId="1" applyNumberFormat="1" applyFont="1" applyBorder="1"/>
    <xf numFmtId="167" fontId="4" fillId="2" borderId="19" xfId="1" applyNumberFormat="1" applyFont="1" applyFill="1" applyBorder="1" applyAlignment="1">
      <alignment horizontal="left" vertical="top" wrapText="1"/>
    </xf>
    <xf numFmtId="167" fontId="4" fillId="2" borderId="2" xfId="1" applyNumberFormat="1" applyFont="1" applyFill="1" applyBorder="1" applyAlignment="1">
      <alignment horizontal="left" vertical="top" wrapText="1"/>
    </xf>
    <xf numFmtId="167" fontId="12" fillId="0" borderId="2" xfId="1" applyNumberFormat="1" applyFont="1" applyBorder="1" applyAlignment="1">
      <alignment horizontal="left" vertical="top" wrapText="1"/>
    </xf>
    <xf numFmtId="167" fontId="4" fillId="2" borderId="23" xfId="1" applyNumberFormat="1" applyFont="1" applyFill="1" applyBorder="1" applyAlignment="1">
      <alignment horizontal="left" vertical="top" wrapText="1"/>
    </xf>
    <xf numFmtId="167" fontId="4" fillId="0" borderId="2" xfId="1" applyNumberFormat="1" applyFont="1" applyFill="1" applyBorder="1" applyAlignment="1">
      <alignment horizontal="left" vertical="top" wrapText="1"/>
    </xf>
    <xf numFmtId="167" fontId="12" fillId="0" borderId="2" xfId="1" applyNumberFormat="1" applyFont="1" applyFill="1" applyBorder="1" applyAlignment="1">
      <alignment horizontal="left" vertical="top" wrapText="1"/>
    </xf>
    <xf numFmtId="37" fontId="4" fillId="0" borderId="30" xfId="0" applyNumberFormat="1" applyFont="1" applyFill="1" applyBorder="1" applyAlignment="1"/>
    <xf numFmtId="167" fontId="4" fillId="0" borderId="25" xfId="1" applyNumberFormat="1" applyFont="1" applyBorder="1" applyAlignment="1">
      <alignment horizontal="left" vertical="top" wrapText="1"/>
    </xf>
    <xf numFmtId="167" fontId="4" fillId="2" borderId="20" xfId="1" applyNumberFormat="1" applyFont="1" applyFill="1" applyBorder="1" applyAlignment="1">
      <alignment horizontal="left" vertical="top" wrapText="1"/>
    </xf>
    <xf numFmtId="167" fontId="20" fillId="0" borderId="16" xfId="1" applyNumberFormat="1" applyFont="1" applyBorder="1"/>
    <xf numFmtId="167" fontId="20" fillId="0" borderId="0" xfId="1" applyNumberFormat="1" applyFont="1" applyBorder="1"/>
    <xf numFmtId="167" fontId="4" fillId="0" borderId="5" xfId="1" applyNumberFormat="1" applyFont="1" applyBorder="1" applyAlignment="1">
      <alignment horizontal="right" vertical="top" wrapText="1"/>
    </xf>
    <xf numFmtId="167" fontId="4" fillId="0" borderId="0" xfId="1" applyNumberFormat="1" applyFont="1" applyBorder="1" applyAlignment="1">
      <alignment horizontal="right" vertical="top" wrapText="1"/>
    </xf>
    <xf numFmtId="167" fontId="4" fillId="0" borderId="7" xfId="1" applyNumberFormat="1" applyFont="1" applyBorder="1" applyAlignment="1">
      <alignment horizontal="right" vertical="top" wrapText="1"/>
    </xf>
    <xf numFmtId="167" fontId="4" fillId="0" borderId="19" xfId="1" applyNumberFormat="1" applyFont="1" applyBorder="1" applyAlignment="1">
      <alignment horizontal="right" vertical="top" wrapText="1"/>
    </xf>
    <xf numFmtId="167" fontId="4" fillId="0" borderId="2" xfId="1" applyNumberFormat="1" applyFont="1" applyBorder="1" applyAlignment="1">
      <alignment horizontal="right" vertical="top" wrapText="1"/>
    </xf>
    <xf numFmtId="167" fontId="4" fillId="0" borderId="23" xfId="1" applyNumberFormat="1" applyFont="1" applyBorder="1" applyAlignment="1">
      <alignment horizontal="right" vertical="top" wrapText="1"/>
    </xf>
    <xf numFmtId="167" fontId="4" fillId="0" borderId="14" xfId="1" applyNumberFormat="1" applyFont="1" applyBorder="1" applyAlignment="1">
      <alignment horizontal="right" vertical="top" wrapText="1"/>
    </xf>
    <xf numFmtId="167" fontId="20" fillId="0" borderId="0" xfId="1" applyNumberFormat="1" applyFont="1" applyBorder="1" applyAlignment="1">
      <alignment vertical="top" wrapText="1"/>
    </xf>
    <xf numFmtId="167" fontId="20" fillId="0" borderId="7" xfId="1" applyNumberFormat="1" applyFont="1" applyBorder="1" applyAlignment="1">
      <alignment vertical="top" wrapText="1"/>
    </xf>
    <xf numFmtId="3" fontId="4" fillId="0" borderId="0" xfId="0" applyNumberFormat="1" applyFont="1" applyBorder="1" applyAlignment="1">
      <alignment vertical="top" wrapText="1"/>
    </xf>
    <xf numFmtId="3" fontId="14" fillId="0" borderId="0" xfId="0" applyNumberFormat="1" applyFont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14" fillId="2" borderId="0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vertical="top"/>
    </xf>
    <xf numFmtId="167" fontId="20" fillId="0" borderId="14" xfId="1" applyNumberFormat="1" applyFont="1" applyBorder="1" applyAlignment="1">
      <alignment horizontal="left" vertical="top" wrapText="1"/>
    </xf>
    <xf numFmtId="167" fontId="20" fillId="0" borderId="14" xfId="1" applyNumberFormat="1" applyFont="1" applyBorder="1" applyAlignment="1">
      <alignment horizontal="right" vertical="top" wrapText="1"/>
    </xf>
    <xf numFmtId="167" fontId="20" fillId="0" borderId="21" xfId="1" applyNumberFormat="1" applyFont="1" applyBorder="1" applyAlignment="1">
      <alignment horizontal="right" vertical="top" wrapText="1"/>
    </xf>
    <xf numFmtId="167" fontId="4" fillId="0" borderId="0" xfId="1" applyNumberFormat="1" applyFont="1" applyFill="1" applyBorder="1" applyAlignment="1">
      <alignment horizontal="right" vertical="top" wrapText="1"/>
    </xf>
    <xf numFmtId="167" fontId="4" fillId="0" borderId="20" xfId="1" applyNumberFormat="1" applyFont="1" applyBorder="1" applyAlignment="1">
      <alignment horizontal="right" vertical="top" wrapText="1"/>
    </xf>
    <xf numFmtId="167" fontId="20" fillId="0" borderId="5" xfId="1" applyNumberFormat="1" applyFont="1" applyBorder="1" applyAlignment="1"/>
    <xf numFmtId="167" fontId="20" fillId="0" borderId="0" xfId="1" applyNumberFormat="1" applyFont="1" applyAlignment="1"/>
    <xf numFmtId="167" fontId="20" fillId="2" borderId="20" xfId="1" applyNumberFormat="1" applyFont="1" applyFill="1" applyBorder="1" applyAlignment="1">
      <alignment horizontal="left" vertical="top" wrapText="1"/>
    </xf>
    <xf numFmtId="167" fontId="20" fillId="2" borderId="14" xfId="1" applyNumberFormat="1" applyFont="1" applyFill="1" applyBorder="1" applyAlignment="1">
      <alignment horizontal="left" vertical="top" wrapText="1"/>
    </xf>
    <xf numFmtId="167" fontId="20" fillId="2" borderId="21" xfId="1" applyNumberFormat="1" applyFont="1" applyFill="1" applyBorder="1" applyAlignment="1">
      <alignment horizontal="left" vertical="top" wrapText="1"/>
    </xf>
    <xf numFmtId="167" fontId="20" fillId="0" borderId="14" xfId="1" applyNumberFormat="1" applyFont="1" applyFill="1" applyBorder="1" applyAlignment="1">
      <alignment horizontal="left" vertical="top" wrapText="1"/>
    </xf>
    <xf numFmtId="167" fontId="20" fillId="0" borderId="20" xfId="1" applyNumberFormat="1" applyFont="1" applyBorder="1" applyAlignment="1">
      <alignment horizontal="left" vertical="top" wrapText="1"/>
    </xf>
    <xf numFmtId="167" fontId="20" fillId="0" borderId="5" xfId="1" applyNumberFormat="1" applyFont="1" applyBorder="1"/>
    <xf numFmtId="167" fontId="20" fillId="0" borderId="0" xfId="1" applyNumberFormat="1" applyFont="1" applyAlignment="1">
      <alignment horizontal="left" vertical="top" wrapText="1"/>
    </xf>
    <xf numFmtId="167" fontId="20" fillId="2" borderId="0" xfId="1" applyNumberFormat="1" applyFont="1" applyFill="1" applyBorder="1" applyAlignment="1">
      <alignment horizontal="left" vertical="top" wrapText="1"/>
    </xf>
    <xf numFmtId="167" fontId="20" fillId="0" borderId="7" xfId="1" applyNumberFormat="1" applyFont="1" applyBorder="1"/>
    <xf numFmtId="167" fontId="20" fillId="0" borderId="0" xfId="1" applyNumberFormat="1" applyFont="1" applyFill="1" applyBorder="1"/>
    <xf numFmtId="167" fontId="20" fillId="0" borderId="0" xfId="1" applyNumberFormat="1" applyFont="1" applyFill="1" applyBorder="1" applyAlignment="1">
      <alignment horizontal="left" vertical="top" wrapText="1"/>
    </xf>
    <xf numFmtId="167" fontId="20" fillId="0" borderId="0" xfId="1" applyNumberFormat="1" applyFont="1" applyBorder="1" applyAlignment="1">
      <alignment horizontal="left" vertical="top" wrapText="1"/>
    </xf>
    <xf numFmtId="167" fontId="4" fillId="0" borderId="31" xfId="1" applyNumberFormat="1" applyFont="1" applyBorder="1" applyProtection="1"/>
    <xf numFmtId="167" fontId="4" fillId="0" borderId="14" xfId="1" applyNumberFormat="1" applyFont="1" applyBorder="1" applyProtection="1"/>
    <xf numFmtId="167" fontId="4" fillId="0" borderId="21" xfId="1" applyNumberFormat="1" applyFont="1" applyBorder="1" applyProtection="1"/>
    <xf numFmtId="167" fontId="4" fillId="0" borderId="0" xfId="1" applyNumberFormat="1" applyFont="1" applyAlignment="1">
      <alignment horizontal="center"/>
    </xf>
    <xf numFmtId="167" fontId="4" fillId="0" borderId="0" xfId="1" applyNumberFormat="1" applyFont="1" applyProtection="1"/>
    <xf numFmtId="167" fontId="4" fillId="0" borderId="7" xfId="1" applyNumberFormat="1" applyFont="1" applyBorder="1" applyProtection="1"/>
    <xf numFmtId="167" fontId="4" fillId="0" borderId="20" xfId="1" applyNumberFormat="1" applyFont="1" applyBorder="1" applyAlignment="1">
      <alignment horizontal="center"/>
    </xf>
    <xf numFmtId="167" fontId="4" fillId="0" borderId="21" xfId="1" applyNumberFormat="1" applyFont="1" applyBorder="1" applyAlignment="1">
      <alignment horizontal="center"/>
    </xf>
    <xf numFmtId="167" fontId="20" fillId="0" borderId="20" xfId="1" applyNumberFormat="1" applyFont="1" applyBorder="1"/>
    <xf numFmtId="167" fontId="20" fillId="0" borderId="14" xfId="1" applyNumberFormat="1" applyFont="1" applyBorder="1"/>
    <xf numFmtId="167" fontId="20" fillId="0" borderId="14" xfId="1" applyNumberFormat="1" applyFont="1" applyBorder="1" applyAlignment="1">
      <alignment horizontal="center"/>
    </xf>
    <xf numFmtId="167" fontId="20" fillId="2" borderId="14" xfId="1" applyNumberFormat="1" applyFont="1" applyFill="1" applyBorder="1"/>
    <xf numFmtId="167" fontId="20" fillId="0" borderId="20" xfId="1" applyNumberFormat="1" applyFont="1" applyFill="1" applyBorder="1"/>
    <xf numFmtId="167" fontId="20" fillId="0" borderId="25" xfId="1" applyNumberFormat="1" applyFont="1" applyFill="1" applyBorder="1"/>
    <xf numFmtId="167" fontId="20" fillId="0" borderId="14" xfId="1" applyNumberFormat="1" applyFont="1" applyBorder="1" applyProtection="1"/>
    <xf numFmtId="167" fontId="20" fillId="0" borderId="0" xfId="1" applyNumberFormat="1" applyFont="1"/>
    <xf numFmtId="167" fontId="20" fillId="0" borderId="0" xfId="1" applyNumberFormat="1" applyFont="1" applyProtection="1"/>
    <xf numFmtId="167" fontId="20" fillId="2" borderId="0" xfId="1" applyNumberFormat="1" applyFont="1" applyFill="1"/>
    <xf numFmtId="167" fontId="20" fillId="0" borderId="5" xfId="1" applyNumberFormat="1" applyFont="1" applyFill="1" applyBorder="1"/>
    <xf numFmtId="167" fontId="20" fillId="0" borderId="27" xfId="1" applyNumberFormat="1" applyFont="1" applyFill="1" applyBorder="1"/>
    <xf numFmtId="167" fontId="4" fillId="0" borderId="0" xfId="1" applyNumberFormat="1" applyFont="1" applyAlignment="1">
      <alignment vertical="top" wrapText="1"/>
    </xf>
    <xf numFmtId="167" fontId="4" fillId="0" borderId="7" xfId="1" applyNumberFormat="1" applyFont="1" applyBorder="1" applyAlignment="1">
      <alignment vertical="top" wrapText="1"/>
    </xf>
    <xf numFmtId="167" fontId="4" fillId="0" borderId="27" xfId="1" applyNumberFormat="1" applyFont="1" applyBorder="1" applyAlignment="1">
      <alignment vertical="top" wrapText="1"/>
    </xf>
    <xf numFmtId="167" fontId="19" fillId="0" borderId="5" xfId="1" applyNumberFormat="1" applyFont="1" applyBorder="1" applyAlignment="1">
      <alignment vertical="top" wrapText="1"/>
    </xf>
    <xf numFmtId="167" fontId="19" fillId="0" borderId="0" xfId="1" applyNumberFormat="1" applyFont="1" applyBorder="1" applyAlignment="1">
      <alignment vertical="top" wrapText="1"/>
    </xf>
    <xf numFmtId="167" fontId="9" fillId="0" borderId="5" xfId="1" applyNumberFormat="1" applyFont="1" applyBorder="1"/>
    <xf numFmtId="167" fontId="9" fillId="0" borderId="0" xfId="1" applyNumberFormat="1" applyFont="1"/>
    <xf numFmtId="167" fontId="9" fillId="0" borderId="0" xfId="1" applyNumberFormat="1" applyFont="1" applyBorder="1"/>
    <xf numFmtId="167" fontId="14" fillId="0" borderId="0" xfId="1" applyNumberFormat="1" applyFont="1"/>
    <xf numFmtId="167" fontId="9" fillId="2" borderId="0" xfId="1" applyNumberFormat="1" applyFont="1" applyFill="1"/>
    <xf numFmtId="167" fontId="14" fillId="2" borderId="0" xfId="1" applyNumberFormat="1" applyFont="1" applyFill="1"/>
    <xf numFmtId="167" fontId="9" fillId="0" borderId="0" xfId="1" applyNumberFormat="1" applyFont="1" applyFill="1"/>
    <xf numFmtId="167" fontId="4" fillId="0" borderId="0" xfId="1" applyNumberFormat="1" applyFont="1" applyFill="1" applyAlignment="1">
      <alignment vertical="top" wrapText="1"/>
    </xf>
    <xf numFmtId="167" fontId="12" fillId="0" borderId="0" xfId="1" applyNumberFormat="1" applyFont="1" applyFill="1" applyAlignment="1">
      <alignment vertical="top" wrapText="1"/>
    </xf>
    <xf numFmtId="167" fontId="4" fillId="0" borderId="0" xfId="1" applyNumberFormat="1" applyFont="1" applyFill="1" applyBorder="1" applyAlignment="1">
      <alignment vertical="top" wrapText="1"/>
    </xf>
    <xf numFmtId="167" fontId="9" fillId="0" borderId="27" xfId="1" applyNumberFormat="1" applyFont="1" applyFill="1" applyBorder="1"/>
    <xf numFmtId="167" fontId="4" fillId="0" borderId="5" xfId="1" applyNumberFormat="1" applyFont="1" applyFill="1" applyBorder="1" applyAlignment="1"/>
    <xf numFmtId="167" fontId="4" fillId="0" borderId="0" xfId="1" applyNumberFormat="1" applyFont="1" applyFill="1" applyBorder="1" applyAlignment="1">
      <alignment horizontal="center"/>
    </xf>
    <xf numFmtId="167" fontId="4" fillId="0" borderId="27" xfId="1" applyNumberFormat="1" applyFont="1" applyBorder="1" applyProtection="1"/>
    <xf numFmtId="167" fontId="4" fillId="0" borderId="5" xfId="1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7" fontId="13" fillId="0" borderId="0" xfId="1" applyNumberFormat="1" applyFont="1" applyBorder="1"/>
    <xf numFmtId="167" fontId="15" fillId="0" borderId="0" xfId="1" applyNumberFormat="1" applyFont="1" applyBorder="1"/>
    <xf numFmtId="167" fontId="14" fillId="0" borderId="0" xfId="1" applyNumberFormat="1" applyFont="1" applyBorder="1"/>
    <xf numFmtId="167" fontId="15" fillId="2" borderId="0" xfId="1" applyNumberFormat="1" applyFont="1" applyFill="1" applyBorder="1"/>
    <xf numFmtId="167" fontId="14" fillId="2" borderId="0" xfId="1" applyNumberFormat="1" applyFont="1" applyFill="1" applyBorder="1"/>
    <xf numFmtId="167" fontId="13" fillId="2" borderId="0" xfId="1" applyNumberFormat="1" applyFont="1" applyFill="1" applyBorder="1"/>
    <xf numFmtId="167" fontId="9" fillId="0" borderId="5" xfId="1" applyNumberFormat="1" applyFont="1" applyFill="1" applyBorder="1"/>
    <xf numFmtId="167" fontId="4" fillId="0" borderId="5" xfId="1" applyNumberFormat="1" applyFont="1" applyBorder="1" applyAlignment="1" applyProtection="1">
      <alignment horizontal="right"/>
    </xf>
    <xf numFmtId="167" fontId="4" fillId="0" borderId="0" xfId="1" applyNumberFormat="1" applyFont="1" applyBorder="1" applyAlignment="1" applyProtection="1">
      <alignment horizontal="right"/>
    </xf>
    <xf numFmtId="167" fontId="4" fillId="0" borderId="7" xfId="1" applyNumberFormat="1" applyFont="1" applyBorder="1" applyAlignment="1" applyProtection="1">
      <alignment horizontal="right"/>
    </xf>
    <xf numFmtId="167" fontId="12" fillId="0" borderId="0" xfId="1" applyNumberFormat="1" applyFont="1" applyBorder="1" applyProtection="1"/>
    <xf numFmtId="167" fontId="4" fillId="0" borderId="19" xfId="1" applyNumberFormat="1" applyFont="1" applyBorder="1" applyProtection="1"/>
    <xf numFmtId="167" fontId="4" fillId="0" borderId="2" xfId="1" applyNumberFormat="1" applyFont="1" applyBorder="1" applyProtection="1"/>
    <xf numFmtId="167" fontId="4" fillId="0" borderId="23" xfId="1" applyNumberFormat="1" applyFont="1" applyBorder="1" applyProtection="1"/>
    <xf numFmtId="167" fontId="4" fillId="0" borderId="2" xfId="1" applyNumberFormat="1" applyFont="1" applyFill="1" applyBorder="1" applyAlignment="1">
      <alignment horizontal="center"/>
    </xf>
    <xf numFmtId="167" fontId="4" fillId="0" borderId="28" xfId="1" applyNumberFormat="1" applyFont="1" applyBorder="1" applyProtection="1"/>
    <xf numFmtId="167" fontId="4" fillId="0" borderId="2" xfId="1" applyNumberFormat="1" applyFont="1" applyBorder="1" applyAlignment="1">
      <alignment horizontal="center"/>
    </xf>
    <xf numFmtId="167" fontId="9" fillId="0" borderId="19" xfId="1" applyNumberFormat="1" applyFont="1" applyBorder="1"/>
    <xf numFmtId="167" fontId="13" fillId="0" borderId="2" xfId="1" applyNumberFormat="1" applyFont="1" applyBorder="1"/>
    <xf numFmtId="167" fontId="9" fillId="0" borderId="2" xfId="1" applyNumberFormat="1" applyFont="1" applyBorder="1"/>
    <xf numFmtId="167" fontId="15" fillId="0" borderId="2" xfId="1" applyNumberFormat="1" applyFont="1" applyBorder="1"/>
    <xf numFmtId="167" fontId="14" fillId="0" borderId="2" xfId="1" applyNumberFormat="1" applyFont="1" applyBorder="1"/>
    <xf numFmtId="167" fontId="15" fillId="2" borderId="2" xfId="1" applyNumberFormat="1" applyFont="1" applyFill="1" applyBorder="1"/>
    <xf numFmtId="167" fontId="14" fillId="2" borderId="2" xfId="1" applyNumberFormat="1" applyFont="1" applyFill="1" applyBorder="1"/>
    <xf numFmtId="167" fontId="13" fillId="2" borderId="2" xfId="1" applyNumberFormat="1" applyFont="1" applyFill="1" applyBorder="1"/>
    <xf numFmtId="167" fontId="9" fillId="0" borderId="19" xfId="1" applyNumberFormat="1" applyFont="1" applyFill="1" applyBorder="1"/>
    <xf numFmtId="167" fontId="9" fillId="0" borderId="28" xfId="1" applyNumberFormat="1" applyFont="1" applyFill="1" applyBorder="1"/>
    <xf numFmtId="167" fontId="20" fillId="0" borderId="10" xfId="1" applyNumberFormat="1" applyFont="1" applyBorder="1"/>
    <xf numFmtId="167" fontId="20" fillId="0" borderId="5" xfId="1" applyNumberFormat="1" applyFont="1" applyBorder="1" applyAlignment="1">
      <alignment vertical="top" wrapText="1"/>
    </xf>
    <xf numFmtId="167" fontId="20" fillId="2" borderId="0" xfId="1" applyNumberFormat="1" applyFont="1" applyFill="1" applyBorder="1"/>
    <xf numFmtId="167" fontId="20" fillId="0" borderId="0" xfId="1" applyNumberFormat="1" applyFont="1" applyFill="1" applyBorder="1" applyAlignment="1">
      <alignment vertical="top" wrapText="1"/>
    </xf>
    <xf numFmtId="167" fontId="9" fillId="2" borderId="0" xfId="1" applyNumberFormat="1" applyFont="1" applyFill="1" applyBorder="1"/>
    <xf numFmtId="167" fontId="12" fillId="0" borderId="0" xfId="1" applyNumberFormat="1" applyFont="1" applyFill="1" applyBorder="1" applyAlignment="1">
      <alignment vertical="top" wrapText="1"/>
    </xf>
    <xf numFmtId="167" fontId="12" fillId="0" borderId="2" xfId="1" applyNumberFormat="1" applyFont="1" applyBorder="1" applyProtection="1"/>
    <xf numFmtId="167" fontId="4" fillId="0" borderId="10" xfId="1" applyNumberFormat="1" applyFont="1" applyBorder="1" applyAlignment="1">
      <alignment horizontal="right" vertical="top" wrapText="1"/>
    </xf>
    <xf numFmtId="167" fontId="9" fillId="2" borderId="5" xfId="1" applyNumberFormat="1" applyFont="1" applyFill="1" applyBorder="1"/>
    <xf numFmtId="167" fontId="15" fillId="2" borderId="5" xfId="1" applyNumberFormat="1" applyFont="1" applyFill="1" applyBorder="1"/>
    <xf numFmtId="167" fontId="13" fillId="0" borderId="14" xfId="1" applyNumberFormat="1" applyFont="1" applyBorder="1"/>
    <xf numFmtId="167" fontId="9" fillId="0" borderId="14" xfId="1" applyNumberFormat="1" applyFont="1" applyFill="1" applyBorder="1"/>
    <xf numFmtId="167" fontId="12" fillId="0" borderId="14" xfId="1" applyNumberFormat="1" applyFont="1" applyBorder="1" applyProtection="1"/>
    <xf numFmtId="167" fontId="15" fillId="0" borderId="14" xfId="1" applyNumberFormat="1" applyFont="1" applyBorder="1"/>
    <xf numFmtId="167" fontId="14" fillId="0" borderId="14" xfId="1" applyNumberFormat="1" applyFont="1" applyBorder="1"/>
    <xf numFmtId="167" fontId="9" fillId="0" borderId="14" xfId="1" applyNumberFormat="1" applyFont="1" applyBorder="1"/>
    <xf numFmtId="167" fontId="15" fillId="2" borderId="20" xfId="1" applyNumberFormat="1" applyFont="1" applyFill="1" applyBorder="1"/>
    <xf numFmtId="167" fontId="15" fillId="2" borderId="14" xfId="1" applyNumberFormat="1" applyFont="1" applyFill="1" applyBorder="1"/>
    <xf numFmtId="167" fontId="14" fillId="2" borderId="14" xfId="1" applyNumberFormat="1" applyFont="1" applyFill="1" applyBorder="1"/>
    <xf numFmtId="167" fontId="13" fillId="2" borderId="14" xfId="1" applyNumberFormat="1" applyFont="1" applyFill="1" applyBorder="1"/>
    <xf numFmtId="167" fontId="9" fillId="0" borderId="20" xfId="1" applyNumberFormat="1" applyFont="1" applyFill="1" applyBorder="1"/>
    <xf numFmtId="167" fontId="9" fillId="0" borderId="25" xfId="1" applyNumberFormat="1" applyFont="1" applyFill="1" applyBorder="1"/>
    <xf numFmtId="0" fontId="4" fillId="0" borderId="20" xfId="0" applyFont="1" applyFill="1" applyBorder="1"/>
    <xf numFmtId="0" fontId="4" fillId="0" borderId="2" xfId="0" applyFont="1" applyFill="1" applyBorder="1" applyAlignment="1">
      <alignment horizontal="centerContinuous" wrapText="1"/>
    </xf>
    <xf numFmtId="167" fontId="4" fillId="0" borderId="32" xfId="1" applyNumberFormat="1" applyFont="1" applyBorder="1" applyAlignment="1">
      <alignment horizontal="left" vertical="top" wrapText="1"/>
    </xf>
    <xf numFmtId="3" fontId="4" fillId="0" borderId="2" xfId="0" applyNumberFormat="1" applyFont="1" applyFill="1" applyBorder="1"/>
    <xf numFmtId="3" fontId="4" fillId="0" borderId="2" xfId="0" applyNumberFormat="1" applyFont="1" applyBorder="1"/>
    <xf numFmtId="3" fontId="4" fillId="0" borderId="19" xfId="0" applyNumberFormat="1" applyFont="1" applyFill="1" applyBorder="1"/>
    <xf numFmtId="3" fontId="12" fillId="0" borderId="2" xfId="0" applyNumberFormat="1" applyFont="1" applyFill="1" applyBorder="1"/>
    <xf numFmtId="37" fontId="12" fillId="0" borderId="23" xfId="0" applyNumberFormat="1" applyFont="1" applyFill="1" applyBorder="1" applyProtection="1"/>
    <xf numFmtId="3" fontId="4" fillId="0" borderId="2" xfId="0" applyNumberFormat="1" applyFont="1" applyBorder="1" applyAlignment="1">
      <alignment horizontal="right" wrapText="1"/>
    </xf>
    <xf numFmtId="3" fontId="4" fillId="0" borderId="28" xfId="0" applyNumberFormat="1" applyFont="1" applyBorder="1"/>
    <xf numFmtId="3" fontId="4" fillId="0" borderId="19" xfId="0" applyNumberFormat="1" applyFont="1" applyBorder="1"/>
    <xf numFmtId="3" fontId="4" fillId="0" borderId="32" xfId="0" applyNumberFormat="1" applyFont="1" applyBorder="1" applyAlignment="1">
      <alignment horizontal="center"/>
    </xf>
    <xf numFmtId="3" fontId="4" fillId="0" borderId="19" xfId="0" applyNumberFormat="1" applyFont="1" applyFill="1" applyBorder="1" applyAlignment="1">
      <alignment horizontal="center"/>
    </xf>
    <xf numFmtId="37" fontId="4" fillId="0" borderId="2" xfId="0" applyNumberFormat="1" applyFont="1" applyBorder="1" applyProtection="1"/>
    <xf numFmtId="168" fontId="4" fillId="0" borderId="2" xfId="0" applyNumberFormat="1" applyFont="1" applyBorder="1" applyProtection="1"/>
    <xf numFmtId="37" fontId="12" fillId="0" borderId="2" xfId="0" applyNumberFormat="1" applyFont="1" applyFill="1" applyBorder="1" applyProtection="1"/>
    <xf numFmtId="3" fontId="4" fillId="0" borderId="14" xfId="0" applyNumberFormat="1" applyFont="1" applyFill="1" applyBorder="1"/>
    <xf numFmtId="3" fontId="4" fillId="0" borderId="20" xfId="0" applyNumberFormat="1" applyFont="1" applyFill="1" applyBorder="1"/>
    <xf numFmtId="3" fontId="12" fillId="0" borderId="14" xfId="0" applyNumberFormat="1" applyFont="1" applyFill="1" applyBorder="1"/>
    <xf numFmtId="37" fontId="12" fillId="0" borderId="14" xfId="0" applyNumberFormat="1" applyFont="1" applyFill="1" applyBorder="1" applyProtection="1"/>
    <xf numFmtId="3" fontId="4" fillId="0" borderId="25" xfId="0" applyNumberFormat="1" applyFont="1" applyBorder="1"/>
    <xf numFmtId="3" fontId="4" fillId="0" borderId="14" xfId="0" applyNumberFormat="1" applyFont="1" applyBorder="1"/>
    <xf numFmtId="167" fontId="4" fillId="0" borderId="20" xfId="1" applyNumberFormat="1" applyFont="1" applyBorder="1"/>
    <xf numFmtId="3" fontId="4" fillId="0" borderId="2" xfId="0" applyNumberFormat="1" applyFont="1" applyFill="1" applyBorder="1" applyAlignment="1"/>
    <xf numFmtId="3" fontId="4" fillId="0" borderId="0" xfId="0" applyNumberFormat="1" applyFont="1" applyFill="1" applyAlignment="1"/>
    <xf numFmtId="3" fontId="4" fillId="5" borderId="0" xfId="0" applyNumberFormat="1" applyFont="1" applyFill="1" applyAlignment="1"/>
    <xf numFmtId="3" fontId="4" fillId="0" borderId="0" xfId="0" applyNumberFormat="1" applyFont="1" applyAlignment="1"/>
    <xf numFmtId="3" fontId="4" fillId="0" borderId="0" xfId="0" applyNumberFormat="1" applyFont="1" applyBorder="1" applyAlignment="1"/>
    <xf numFmtId="3" fontId="4" fillId="0" borderId="2" xfId="0" applyNumberFormat="1" applyFont="1" applyBorder="1" applyAlignment="1"/>
    <xf numFmtId="3" fontId="4" fillId="5" borderId="2" xfId="0" applyNumberFormat="1" applyFont="1" applyFill="1" applyBorder="1" applyAlignment="1"/>
    <xf numFmtId="3" fontId="4" fillId="0" borderId="9" xfId="0" applyNumberFormat="1" applyFont="1" applyFill="1" applyBorder="1" applyAlignment="1"/>
    <xf numFmtId="3" fontId="4" fillId="5" borderId="14" xfId="0" applyNumberFormat="1" applyFont="1" applyFill="1" applyBorder="1" applyAlignment="1"/>
    <xf numFmtId="0" fontId="6" fillId="0" borderId="2" xfId="0" applyFont="1" applyBorder="1"/>
    <xf numFmtId="166" fontId="4" fillId="0" borderId="2" xfId="0" applyNumberFormat="1" applyFont="1" applyFill="1" applyBorder="1" applyAlignment="1">
      <alignment horizontal="right"/>
    </xf>
    <xf numFmtId="166" fontId="4" fillId="0" borderId="19" xfId="0" applyNumberFormat="1" applyFont="1" applyFill="1" applyBorder="1" applyAlignment="1">
      <alignment horizontal="right"/>
    </xf>
    <xf numFmtId="166" fontId="4" fillId="0" borderId="0" xfId="0" applyNumberFormat="1" applyFont="1" applyFill="1" applyAlignment="1">
      <alignment horizontal="right"/>
    </xf>
    <xf numFmtId="166" fontId="4" fillId="5" borderId="0" xfId="0" applyNumberFormat="1" applyFont="1" applyFill="1" applyAlignment="1">
      <alignment horizontal="right"/>
    </xf>
    <xf numFmtId="166" fontId="4" fillId="5" borderId="5" xfId="0" applyNumberFormat="1" applyFont="1" applyFill="1" applyBorder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" xfId="0" applyNumberFormat="1" applyFont="1" applyBorder="1" applyAlignment="1">
      <alignment horizontal="right"/>
    </xf>
    <xf numFmtId="166" fontId="4" fillId="0" borderId="19" xfId="0" applyNumberFormat="1" applyFont="1" applyBorder="1" applyAlignment="1">
      <alignment horizontal="right"/>
    </xf>
    <xf numFmtId="166" fontId="4" fillId="5" borderId="2" xfId="0" applyNumberFormat="1" applyFont="1" applyFill="1" applyBorder="1" applyAlignment="1">
      <alignment horizontal="right"/>
    </xf>
    <xf numFmtId="166" fontId="4" fillId="5" borderId="19" xfId="0" applyNumberFormat="1" applyFont="1" applyFill="1" applyBorder="1" applyAlignment="1">
      <alignment horizontal="right"/>
    </xf>
    <xf numFmtId="166" fontId="4" fillId="0" borderId="9" xfId="0" applyNumberFormat="1" applyFont="1" applyFill="1" applyBorder="1" applyAlignment="1">
      <alignment horizontal="right"/>
    </xf>
    <xf numFmtId="166" fontId="4" fillId="0" borderId="10" xfId="0" applyNumberFormat="1" applyFont="1" applyFill="1" applyBorder="1" applyAlignment="1">
      <alignment horizontal="right"/>
    </xf>
    <xf numFmtId="166" fontId="4" fillId="5" borderId="14" xfId="0" applyNumberFormat="1" applyFont="1" applyFill="1" applyBorder="1" applyAlignment="1">
      <alignment horizontal="right"/>
    </xf>
    <xf numFmtId="166" fontId="4" fillId="5" borderId="20" xfId="0" applyNumberFormat="1" applyFont="1" applyFill="1" applyBorder="1" applyAlignment="1">
      <alignment horizontal="right"/>
    </xf>
    <xf numFmtId="169" fontId="4" fillId="0" borderId="0" xfId="0" applyNumberFormat="1" applyFont="1" applyBorder="1" applyAlignment="1" applyProtection="1"/>
    <xf numFmtId="169" fontId="4" fillId="0" borderId="0" xfId="0" applyNumberFormat="1" applyFont="1" applyBorder="1" applyAlignment="1"/>
    <xf numFmtId="169" fontId="4" fillId="0" borderId="2" xfId="0" applyNumberFormat="1" applyFont="1" applyBorder="1" applyAlignment="1"/>
    <xf numFmtId="169" fontId="4" fillId="0" borderId="0" xfId="0" applyNumberFormat="1" applyFont="1" applyFill="1" applyBorder="1" applyAlignment="1" applyProtection="1">
      <alignment horizontal="left"/>
    </xf>
    <xf numFmtId="169" fontId="4" fillId="0" borderId="14" xfId="0" applyNumberFormat="1" applyFont="1" applyFill="1" applyBorder="1" applyAlignment="1"/>
    <xf numFmtId="169" fontId="4" fillId="0" borderId="0" xfId="0" applyNumberFormat="1" applyFont="1" applyBorder="1"/>
    <xf numFmtId="169" fontId="4" fillId="0" borderId="0" xfId="0" applyNumberFormat="1" applyFont="1" applyFill="1" applyBorder="1" applyAlignment="1"/>
    <xf numFmtId="169" fontId="4" fillId="0" borderId="2" xfId="0" applyNumberFormat="1" applyFont="1" applyBorder="1"/>
    <xf numFmtId="169" fontId="4" fillId="0" borderId="14" xfId="0" applyNumberFormat="1" applyFont="1" applyBorder="1"/>
    <xf numFmtId="165" fontId="4" fillId="0" borderId="14" xfId="0" applyNumberFormat="1" applyFont="1" applyBorder="1" applyAlignment="1" applyProtection="1">
      <alignment horizontal="right"/>
      <protection locked="0"/>
    </xf>
    <xf numFmtId="165" fontId="4" fillId="0" borderId="14" xfId="0" applyNumberFormat="1" applyFont="1" applyBorder="1" applyAlignment="1" applyProtection="1">
      <protection locked="0"/>
    </xf>
    <xf numFmtId="37" fontId="4" fillId="0" borderId="9" xfId="0" applyNumberFormat="1" applyFont="1" applyBorder="1" applyAlignment="1"/>
    <xf numFmtId="169" fontId="4" fillId="0" borderId="9" xfId="0" applyNumberFormat="1" applyFont="1" applyBorder="1" applyAlignment="1"/>
    <xf numFmtId="165" fontId="4" fillId="0" borderId="10" xfId="0" applyNumberFormat="1" applyFont="1" applyBorder="1" applyAlignment="1" applyProtection="1">
      <alignment horizontal="right"/>
      <protection locked="0"/>
    </xf>
    <xf numFmtId="165" fontId="4" fillId="0" borderId="9" xfId="0" applyNumberFormat="1" applyFont="1" applyBorder="1" applyAlignment="1" applyProtection="1">
      <alignment horizontal="right"/>
      <protection locked="0"/>
    </xf>
    <xf numFmtId="167" fontId="20" fillId="0" borderId="6" xfId="1" applyNumberFormat="1" applyFont="1" applyBorder="1"/>
    <xf numFmtId="3" fontId="20" fillId="0" borderId="0" xfId="0" applyNumberFormat="1" applyFont="1" applyFill="1"/>
    <xf numFmtId="3" fontId="20" fillId="0" borderId="0" xfId="0" applyNumberFormat="1" applyFont="1"/>
    <xf numFmtId="3" fontId="20" fillId="0" borderId="5" xfId="0" applyNumberFormat="1" applyFont="1" applyFill="1" applyBorder="1"/>
    <xf numFmtId="3" fontId="20" fillId="0" borderId="0" xfId="0" applyNumberFormat="1" applyFont="1" applyFill="1" applyBorder="1"/>
    <xf numFmtId="37" fontId="20" fillId="0" borderId="7" xfId="0" applyNumberFormat="1" applyFont="1" applyFill="1" applyBorder="1" applyProtection="1"/>
    <xf numFmtId="167" fontId="20" fillId="0" borderId="6" xfId="1" applyNumberFormat="1" applyFont="1" applyBorder="1" applyAlignment="1">
      <alignment horizontal="left" vertical="top" wrapText="1"/>
    </xf>
    <xf numFmtId="3" fontId="20" fillId="0" borderId="0" xfId="0" applyNumberFormat="1" applyFont="1" applyBorder="1" applyAlignment="1">
      <alignment horizontal="right" wrapText="1"/>
    </xf>
    <xf numFmtId="3" fontId="20" fillId="0" borderId="27" xfId="0" applyNumberFormat="1" applyFont="1" applyFill="1" applyBorder="1"/>
    <xf numFmtId="167" fontId="20" fillId="0" borderId="0" xfId="1" applyNumberFormat="1" applyFont="1" applyFill="1"/>
    <xf numFmtId="167" fontId="20" fillId="0" borderId="7" xfId="1" applyNumberFormat="1" applyFont="1" applyFill="1" applyBorder="1" applyProtection="1"/>
    <xf numFmtId="167" fontId="20" fillId="0" borderId="27" xfId="1" applyNumberFormat="1" applyFont="1" applyBorder="1"/>
    <xf numFmtId="167" fontId="20" fillId="0" borderId="2" xfId="1" applyNumberFormat="1" applyFont="1" applyBorder="1"/>
    <xf numFmtId="167" fontId="20" fillId="0" borderId="19" xfId="1" applyNumberFormat="1" applyFont="1" applyFill="1" applyBorder="1"/>
    <xf numFmtId="167" fontId="20" fillId="0" borderId="2" xfId="1" applyNumberFormat="1" applyFont="1" applyFill="1" applyBorder="1"/>
    <xf numFmtId="167" fontId="20" fillId="0" borderId="19" xfId="1" applyNumberFormat="1" applyFont="1" applyFill="1" applyBorder="1" applyAlignment="1">
      <alignment horizontal="left" vertical="top" wrapText="1"/>
    </xf>
    <xf numFmtId="167" fontId="20" fillId="0" borderId="2" xfId="1" applyNumberFormat="1" applyFont="1" applyBorder="1" applyAlignment="1">
      <alignment horizontal="left" vertical="top" wrapText="1"/>
    </xf>
    <xf numFmtId="167" fontId="20" fillId="0" borderId="23" xfId="1" applyNumberFormat="1" applyFont="1" applyFill="1" applyBorder="1" applyProtection="1"/>
    <xf numFmtId="167" fontId="20" fillId="0" borderId="2" xfId="1" applyNumberFormat="1" applyFont="1" applyBorder="1" applyAlignment="1">
      <alignment horizontal="right" wrapText="1"/>
    </xf>
    <xf numFmtId="167" fontId="20" fillId="0" borderId="28" xfId="1" applyNumberFormat="1" applyFont="1" applyBorder="1"/>
    <xf numFmtId="167" fontId="20" fillId="0" borderId="19" xfId="1" applyNumberFormat="1" applyFont="1" applyBorder="1"/>
    <xf numFmtId="3" fontId="20" fillId="0" borderId="2" xfId="0" applyNumberFormat="1" applyFont="1" applyFill="1" applyBorder="1"/>
    <xf numFmtId="3" fontId="4" fillId="0" borderId="2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3" fontId="4" fillId="0" borderId="2" xfId="0" applyNumberFormat="1" applyFont="1" applyFill="1" applyBorder="1" applyAlignment="1">
      <alignment horizontal="left"/>
    </xf>
    <xf numFmtId="3" fontId="4" fillId="5" borderId="2" xfId="0" applyNumberFormat="1" applyFont="1" applyFill="1" applyBorder="1" applyAlignment="1">
      <alignment horizontal="left"/>
    </xf>
    <xf numFmtId="3" fontId="4" fillId="0" borderId="9" xfId="0" applyNumberFormat="1" applyFont="1" applyFill="1" applyBorder="1" applyAlignment="1">
      <alignment horizontal="left"/>
    </xf>
    <xf numFmtId="3" fontId="4" fillId="5" borderId="14" xfId="0" applyNumberFormat="1" applyFont="1" applyFill="1" applyBorder="1" applyAlignment="1">
      <alignment horizontal="left"/>
    </xf>
    <xf numFmtId="0" fontId="1" fillId="0" borderId="10" xfId="0" applyFont="1" applyBorder="1"/>
    <xf numFmtId="3" fontId="4" fillId="0" borderId="0" xfId="0" applyNumberFormat="1" applyFont="1" applyFill="1" applyBorder="1" applyAlignment="1">
      <alignment horizontal="left"/>
    </xf>
    <xf numFmtId="3" fontId="4" fillId="5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24" xfId="0" applyFont="1" applyBorder="1" applyAlignment="1">
      <alignment horizontal="centerContinuous" wrapText="1"/>
    </xf>
    <xf numFmtId="37" fontId="4" fillId="0" borderId="14" xfId="0" applyNumberFormat="1" applyFont="1" applyFill="1" applyBorder="1" applyAlignment="1"/>
    <xf numFmtId="37" fontId="4" fillId="0" borderId="2" xfId="0" applyNumberFormat="1" applyFont="1" applyBorder="1" applyAlignment="1" applyProtection="1"/>
    <xf numFmtId="167" fontId="20" fillId="0" borderId="25" xfId="1" applyNumberFormat="1" applyFont="1" applyBorder="1" applyAlignment="1">
      <alignment horizontal="right" vertical="top" wrapText="1"/>
    </xf>
    <xf numFmtId="166" fontId="4" fillId="0" borderId="19" xfId="0" applyNumberFormat="1" applyFont="1" applyFill="1" applyBorder="1" applyAlignment="1"/>
    <xf numFmtId="166" fontId="4" fillId="0" borderId="2" xfId="0" applyNumberFormat="1" applyFont="1" applyFill="1" applyBorder="1" applyAlignment="1"/>
    <xf numFmtId="166" fontId="4" fillId="0" borderId="5" xfId="0" applyNumberFormat="1" applyFont="1" applyFill="1" applyBorder="1" applyAlignment="1"/>
    <xf numFmtId="166" fontId="4" fillId="0" borderId="0" xfId="0" applyNumberFormat="1" applyFont="1" applyFill="1" applyAlignment="1"/>
    <xf numFmtId="166" fontId="4" fillId="5" borderId="0" xfId="0" applyNumberFormat="1" applyFont="1" applyFill="1" applyAlignment="1"/>
    <xf numFmtId="166" fontId="4" fillId="0" borderId="9" xfId="0" applyNumberFormat="1" applyFont="1" applyFill="1" applyBorder="1" applyAlignment="1"/>
    <xf numFmtId="17" fontId="4" fillId="0" borderId="0" xfId="0" applyNumberFormat="1" applyFont="1" applyBorder="1" applyAlignment="1">
      <alignment horizontal="left"/>
    </xf>
    <xf numFmtId="17" fontId="4" fillId="0" borderId="0" xfId="0" applyNumberFormat="1" applyFont="1" applyBorder="1" applyAlignment="1">
      <alignment horizontal="right"/>
    </xf>
    <xf numFmtId="167" fontId="20" fillId="0" borderId="20" xfId="1" applyNumberFormat="1" applyFont="1" applyBorder="1" applyAlignment="1">
      <alignment horizontal="right" vertical="top" wrapText="1"/>
    </xf>
    <xf numFmtId="167" fontId="19" fillId="0" borderId="5" xfId="1" applyNumberFormat="1" applyFont="1" applyBorder="1"/>
    <xf numFmtId="0" fontId="4" fillId="0" borderId="20" xfId="0" applyFont="1" applyBorder="1" applyAlignment="1">
      <alignment horizontal="centerContinuous" wrapText="1"/>
    </xf>
    <xf numFmtId="0" fontId="4" fillId="0" borderId="20" xfId="0" applyFont="1" applyBorder="1" applyAlignment="1">
      <alignment horizontal="right"/>
    </xf>
    <xf numFmtId="0" fontId="20" fillId="0" borderId="0" xfId="0" applyFont="1" applyBorder="1"/>
    <xf numFmtId="0" fontId="20" fillId="0" borderId="2" xfId="0" applyFont="1" applyBorder="1"/>
    <xf numFmtId="0" fontId="20" fillId="0" borderId="18" xfId="0" applyFont="1" applyBorder="1" applyAlignment="1">
      <alignment horizontal="centerContinuous" wrapText="1"/>
    </xf>
    <xf numFmtId="0" fontId="20" fillId="0" borderId="2" xfId="0" applyFont="1" applyBorder="1" applyAlignment="1">
      <alignment horizontal="centerContinuous"/>
    </xf>
    <xf numFmtId="0" fontId="20" fillId="0" borderId="34" xfId="0" applyFont="1" applyBorder="1" applyAlignment="1">
      <alignment horizontal="centerContinuous" wrapText="1"/>
    </xf>
    <xf numFmtId="0" fontId="20" fillId="0" borderId="0" xfId="0" applyFont="1" applyBorder="1" applyAlignment="1">
      <alignment horizontal="centerContinuous" wrapText="1"/>
    </xf>
    <xf numFmtId="0" fontId="20" fillId="0" borderId="0" xfId="0" applyFont="1" applyBorder="1" applyAlignment="1">
      <alignment horizontal="centerContinuous"/>
    </xf>
    <xf numFmtId="0" fontId="20" fillId="0" borderId="10" xfId="0" applyFont="1" applyBorder="1" applyAlignment="1">
      <alignment horizontal="centerContinuous" wrapText="1"/>
    </xf>
    <xf numFmtId="0" fontId="20" fillId="0" borderId="5" xfId="0" applyFont="1" applyBorder="1" applyAlignment="1">
      <alignment horizontal="centerContinuous" wrapText="1"/>
    </xf>
    <xf numFmtId="0" fontId="20" fillId="0" borderId="5" xfId="0" applyFont="1" applyBorder="1"/>
    <xf numFmtId="0" fontId="20" fillId="0" borderId="19" xfId="0" applyFont="1" applyBorder="1"/>
    <xf numFmtId="169" fontId="20" fillId="0" borderId="14" xfId="0" applyNumberFormat="1" applyFont="1" applyFill="1" applyBorder="1" applyAlignment="1">
      <alignment horizontal="right"/>
    </xf>
    <xf numFmtId="169" fontId="20" fillId="0" borderId="20" xfId="0" applyNumberFormat="1" applyFont="1" applyFill="1" applyBorder="1" applyAlignment="1">
      <alignment horizontal="right"/>
    </xf>
    <xf numFmtId="169" fontId="20" fillId="0" borderId="0" xfId="0" applyNumberFormat="1" applyFont="1" applyBorder="1" applyAlignment="1" applyProtection="1">
      <alignment horizontal="right"/>
    </xf>
    <xf numFmtId="169" fontId="20" fillId="0" borderId="5" xfId="0" applyNumberFormat="1" applyFont="1" applyBorder="1" applyAlignment="1" applyProtection="1">
      <alignment horizontal="right"/>
    </xf>
    <xf numFmtId="169" fontId="20" fillId="0" borderId="0" xfId="0" applyNumberFormat="1" applyFont="1" applyFill="1" applyBorder="1" applyAlignment="1" applyProtection="1">
      <alignment horizontal="right"/>
    </xf>
    <xf numFmtId="169" fontId="20" fillId="0" borderId="5" xfId="0" applyNumberFormat="1" applyFont="1" applyFill="1" applyBorder="1" applyAlignment="1" applyProtection="1">
      <alignment horizontal="right"/>
    </xf>
    <xf numFmtId="169" fontId="20" fillId="0" borderId="2" xfId="0" applyNumberFormat="1" applyFont="1" applyBorder="1" applyAlignment="1" applyProtection="1">
      <alignment horizontal="right"/>
    </xf>
    <xf numFmtId="169" fontId="20" fillId="0" borderId="19" xfId="0" applyNumberFormat="1" applyFont="1" applyBorder="1" applyAlignment="1" applyProtection="1">
      <alignment horizontal="right"/>
    </xf>
    <xf numFmtId="169" fontId="20" fillId="0" borderId="0" xfId="0" applyNumberFormat="1" applyFont="1" applyBorder="1" applyAlignment="1">
      <alignment horizontal="right"/>
    </xf>
    <xf numFmtId="169" fontId="20" fillId="0" borderId="5" xfId="0" applyNumberFormat="1" applyFont="1" applyBorder="1" applyAlignment="1">
      <alignment horizontal="right"/>
    </xf>
    <xf numFmtId="169" fontId="20" fillId="0" borderId="2" xfId="0" applyNumberFormat="1" applyFont="1" applyBorder="1" applyAlignment="1">
      <alignment horizontal="right"/>
    </xf>
    <xf numFmtId="169" fontId="20" fillId="0" borderId="19" xfId="0" applyNumberFormat="1" applyFont="1" applyBorder="1" applyAlignment="1">
      <alignment horizontal="right"/>
    </xf>
    <xf numFmtId="0" fontId="20" fillId="0" borderId="0" xfId="0" applyFont="1" applyBorder="1" applyAlignment="1">
      <alignment vertical="top"/>
    </xf>
    <xf numFmtId="0" fontId="4" fillId="6" borderId="0" xfId="0" applyFont="1" applyFill="1" applyBorder="1" applyAlignment="1">
      <alignment horizontal="right" wrapText="1"/>
    </xf>
    <xf numFmtId="167" fontId="21" fillId="0" borderId="0" xfId="1" applyNumberFormat="1" applyFont="1"/>
    <xf numFmtId="167" fontId="4" fillId="0" borderId="0" xfId="0" applyNumberFormat="1" applyFont="1"/>
    <xf numFmtId="0" fontId="4" fillId="0" borderId="0" xfId="0" applyFont="1" applyBorder="1" applyAlignment="1">
      <alignment vertical="top" wrapText="1"/>
    </xf>
    <xf numFmtId="3" fontId="4" fillId="0" borderId="19" xfId="0" applyNumberFormat="1" applyFont="1" applyBorder="1" applyAlignment="1">
      <alignment horizontal="right"/>
    </xf>
    <xf numFmtId="3" fontId="20" fillId="0" borderId="10" xfId="0" applyNumberFormat="1" applyFont="1" applyFill="1" applyBorder="1"/>
    <xf numFmtId="167" fontId="20" fillId="0" borderId="14" xfId="1" applyNumberFormat="1" applyFont="1" applyFill="1" applyBorder="1"/>
    <xf numFmtId="3" fontId="20" fillId="0" borderId="9" xfId="0" applyNumberFormat="1" applyFont="1" applyFill="1" applyBorder="1"/>
    <xf numFmtId="167" fontId="4" fillId="0" borderId="2" xfId="0" applyNumberFormat="1" applyFont="1" applyBorder="1"/>
    <xf numFmtId="0" fontId="4" fillId="0" borderId="0" xfId="0" applyFont="1" applyFill="1" applyBorder="1" applyAlignment="1">
      <alignment horizontal="right" wrapText="1"/>
    </xf>
    <xf numFmtId="167" fontId="20" fillId="0" borderId="9" xfId="1" applyNumberFormat="1" applyFont="1" applyBorder="1"/>
    <xf numFmtId="0" fontId="4" fillId="0" borderId="0" xfId="0" applyFont="1" applyBorder="1" applyAlignment="1">
      <alignment vertical="top" wrapText="1"/>
    </xf>
    <xf numFmtId="0" fontId="11" fillId="0" borderId="19" xfId="0" applyFont="1" applyBorder="1" applyAlignment="1">
      <alignment horizontal="right" wrapText="1"/>
    </xf>
    <xf numFmtId="0" fontId="19" fillId="0" borderId="19" xfId="0" applyFont="1" applyBorder="1"/>
    <xf numFmtId="0" fontId="19" fillId="0" borderId="2" xfId="0" applyFont="1" applyBorder="1"/>
    <xf numFmtId="167" fontId="4" fillId="0" borderId="19" xfId="1" applyNumberFormat="1" applyFont="1" applyBorder="1" applyAlignment="1">
      <alignment horizontal="center"/>
    </xf>
    <xf numFmtId="167" fontId="20" fillId="0" borderId="8" xfId="1" applyNumberFormat="1" applyFont="1" applyBorder="1" applyAlignment="1">
      <alignment vertical="top" wrapText="1"/>
    </xf>
    <xf numFmtId="167" fontId="20" fillId="0" borderId="9" xfId="1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3" fontId="4" fillId="0" borderId="28" xfId="0" applyNumberFormat="1" applyFont="1" applyBorder="1" applyAlignment="1">
      <alignment horizontal="right"/>
    </xf>
    <xf numFmtId="3" fontId="4" fillId="0" borderId="20" xfId="0" applyNumberFormat="1" applyFont="1" applyFill="1" applyBorder="1" applyAlignment="1">
      <alignment horizontal="right"/>
    </xf>
    <xf numFmtId="0" fontId="4" fillId="0" borderId="25" xfId="1" applyNumberFormat="1" applyFont="1" applyFill="1" applyBorder="1" applyAlignment="1">
      <alignment horizontal="right"/>
    </xf>
    <xf numFmtId="0" fontId="4" fillId="0" borderId="20" xfId="1" applyNumberFormat="1" applyFont="1" applyFill="1" applyBorder="1" applyAlignment="1">
      <alignment horizontal="right"/>
    </xf>
    <xf numFmtId="0" fontId="4" fillId="0" borderId="0" xfId="0" applyFont="1" applyBorder="1" applyAlignment="1">
      <alignment vertical="top" wrapText="1"/>
    </xf>
    <xf numFmtId="37" fontId="4" fillId="0" borderId="2" xfId="0" applyNumberFormat="1" applyFont="1" applyFill="1" applyBorder="1" applyAlignment="1"/>
    <xf numFmtId="0" fontId="4" fillId="0" borderId="7" xfId="0" applyFont="1" applyBorder="1" applyAlignment="1">
      <alignment horizontal="right" wrapText="1"/>
    </xf>
    <xf numFmtId="3" fontId="4" fillId="0" borderId="21" xfId="0" applyNumberFormat="1" applyFont="1" applyBorder="1" applyAlignment="1"/>
    <xf numFmtId="3" fontId="4" fillId="0" borderId="7" xfId="0" applyNumberFormat="1" applyFont="1" applyBorder="1" applyAlignment="1"/>
    <xf numFmtId="3" fontId="4" fillId="0" borderId="23" xfId="0" applyNumberFormat="1" applyFont="1" applyBorder="1" applyAlignment="1"/>
    <xf numFmtId="167" fontId="20" fillId="0" borderId="7" xfId="1" applyNumberFormat="1" applyFont="1" applyBorder="1" applyAlignment="1">
      <alignment horizontal="left" vertical="top" wrapText="1"/>
    </xf>
    <xf numFmtId="0" fontId="0" fillId="0" borderId="0" xfId="0" applyFill="1"/>
    <xf numFmtId="0" fontId="22" fillId="0" borderId="0" xfId="0" applyFont="1"/>
    <xf numFmtId="169" fontId="4" fillId="0" borderId="2" xfId="0" applyNumberFormat="1" applyFont="1" applyFill="1" applyBorder="1" applyAlignment="1"/>
    <xf numFmtId="0" fontId="4" fillId="0" borderId="0" xfId="0" applyFont="1" applyBorder="1" applyAlignment="1">
      <alignment vertical="top" wrapText="1"/>
    </xf>
    <xf numFmtId="167" fontId="4" fillId="0" borderId="20" xfId="0" applyNumberFormat="1" applyFont="1" applyBorder="1"/>
    <xf numFmtId="0" fontId="4" fillId="0" borderId="19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19" fillId="0" borderId="23" xfId="0" applyFont="1" applyBorder="1"/>
    <xf numFmtId="37" fontId="4" fillId="0" borderId="0" xfId="0" applyNumberFormat="1" applyFont="1" applyFill="1" applyBorder="1" applyAlignment="1" applyProtection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167" fontId="20" fillId="0" borderId="10" xfId="1" applyNumberFormat="1" applyFont="1" applyBorder="1" applyAlignment="1">
      <alignment vertical="top" wrapText="1"/>
    </xf>
    <xf numFmtId="167" fontId="4" fillId="0" borderId="5" xfId="1" applyNumberFormat="1" applyFont="1" applyBorder="1" applyAlignment="1"/>
    <xf numFmtId="167" fontId="4" fillId="0" borderId="19" xfId="1" applyNumberFormat="1" applyFont="1" applyFill="1" applyBorder="1" applyAlignment="1"/>
    <xf numFmtId="167" fontId="4" fillId="0" borderId="5" xfId="1" applyNumberFormat="1" applyFont="1" applyFill="1" applyBorder="1" applyAlignment="1">
      <alignment horizontal="right" vertical="top" wrapText="1"/>
    </xf>
    <xf numFmtId="167" fontId="20" fillId="0" borderId="0" xfId="1" applyNumberFormat="1" applyFont="1" applyAlignment="1">
      <alignment vertical="top" wrapText="1"/>
    </xf>
    <xf numFmtId="167" fontId="20" fillId="0" borderId="0" xfId="1" applyNumberFormat="1" applyFont="1" applyBorder="1" applyProtection="1"/>
    <xf numFmtId="167" fontId="20" fillId="0" borderId="2" xfId="1" applyNumberFormat="1" applyFont="1" applyBorder="1" applyProtection="1"/>
    <xf numFmtId="0" fontId="20" fillId="0" borderId="2" xfId="0" applyFont="1" applyBorder="1" applyAlignment="1">
      <alignment horizontal="right" wrapText="1"/>
    </xf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>
      <alignment horizontal="left"/>
    </xf>
    <xf numFmtId="0" fontId="19" fillId="0" borderId="19" xfId="0" applyFont="1" applyFill="1" applyBorder="1"/>
    <xf numFmtId="0" fontId="19" fillId="0" borderId="2" xfId="0" applyFont="1" applyFill="1" applyBorder="1"/>
    <xf numFmtId="0" fontId="4" fillId="0" borderId="19" xfId="0" applyFont="1" applyFill="1" applyBorder="1" applyAlignment="1">
      <alignment horizontal="left"/>
    </xf>
    <xf numFmtId="167" fontId="4" fillId="0" borderId="2" xfId="0" applyNumberFormat="1" applyFont="1" applyFill="1" applyBorder="1" applyAlignment="1">
      <alignment horizontal="right" wrapText="1"/>
    </xf>
    <xf numFmtId="167" fontId="20" fillId="0" borderId="14" xfId="1" applyNumberFormat="1" applyFont="1" applyFill="1" applyBorder="1" applyAlignment="1">
      <alignment horizontal="right" vertical="top" wrapText="1"/>
    </xf>
    <xf numFmtId="167" fontId="20" fillId="0" borderId="21" xfId="1" applyNumberFormat="1" applyFont="1" applyFill="1" applyBorder="1" applyAlignment="1">
      <alignment horizontal="right" vertical="top" wrapText="1"/>
    </xf>
    <xf numFmtId="167" fontId="20" fillId="0" borderId="16" xfId="1" applyNumberFormat="1" applyFont="1" applyFill="1" applyBorder="1"/>
    <xf numFmtId="167" fontId="19" fillId="0" borderId="5" xfId="1" applyNumberFormat="1" applyFont="1" applyFill="1" applyBorder="1"/>
    <xf numFmtId="167" fontId="19" fillId="0" borderId="0" xfId="1" applyNumberFormat="1" applyFont="1" applyFill="1" applyBorder="1"/>
    <xf numFmtId="167" fontId="4" fillId="0" borderId="5" xfId="1" applyNumberFormat="1" applyFont="1" applyFill="1" applyBorder="1" applyProtection="1"/>
    <xf numFmtId="167" fontId="4" fillId="0" borderId="0" xfId="1" applyNumberFormat="1" applyFont="1" applyFill="1" applyBorder="1" applyProtection="1"/>
    <xf numFmtId="167" fontId="4" fillId="0" borderId="19" xfId="1" applyNumberFormat="1" applyFont="1" applyFill="1" applyBorder="1" applyProtection="1"/>
    <xf numFmtId="167" fontId="4" fillId="0" borderId="2" xfId="1" applyNumberFormat="1" applyFont="1" applyFill="1" applyBorder="1" applyProtection="1"/>
    <xf numFmtId="167" fontId="20" fillId="0" borderId="7" xfId="1" applyNumberFormat="1" applyFont="1" applyFill="1" applyBorder="1" applyAlignment="1">
      <alignment vertical="top" wrapText="1"/>
    </xf>
    <xf numFmtId="167" fontId="4" fillId="0" borderId="5" xfId="1" applyNumberFormat="1" applyFont="1" applyFill="1" applyBorder="1" applyAlignment="1">
      <alignment vertical="top" wrapText="1"/>
    </xf>
    <xf numFmtId="167" fontId="4" fillId="0" borderId="5" xfId="1" applyNumberFormat="1" applyFont="1" applyFill="1" applyBorder="1" applyAlignment="1">
      <alignment horizontal="left" vertical="top" wrapText="1"/>
    </xf>
    <xf numFmtId="167" fontId="4" fillId="0" borderId="19" xfId="1" applyNumberFormat="1" applyFont="1" applyFill="1" applyBorder="1" applyAlignment="1">
      <alignment horizontal="left" vertical="top" wrapText="1"/>
    </xf>
    <xf numFmtId="167" fontId="4" fillId="0" borderId="20" xfId="1" applyNumberFormat="1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right" wrapText="1"/>
    </xf>
    <xf numFmtId="167" fontId="20" fillId="0" borderId="5" xfId="1" applyNumberFormat="1" applyFont="1" applyBorder="1" applyProtection="1"/>
    <xf numFmtId="167" fontId="20" fillId="0" borderId="20" xfId="1" applyNumberFormat="1" applyFont="1" applyBorder="1" applyProtection="1"/>
    <xf numFmtId="167" fontId="20" fillId="0" borderId="21" xfId="1" applyNumberFormat="1" applyFont="1" applyBorder="1" applyProtection="1"/>
    <xf numFmtId="0" fontId="4" fillId="0" borderId="0" xfId="0" applyFont="1" applyBorder="1" applyAlignment="1">
      <alignment vertical="top" wrapText="1"/>
    </xf>
    <xf numFmtId="0" fontId="4" fillId="0" borderId="2" xfId="0" applyFont="1" applyFill="1" applyBorder="1" applyAlignment="1">
      <alignment horizontal="left"/>
    </xf>
    <xf numFmtId="167" fontId="4" fillId="0" borderId="7" xfId="1" applyNumberFormat="1" applyFont="1" applyFill="1" applyBorder="1" applyAlignment="1">
      <alignment vertical="top" wrapText="1"/>
    </xf>
    <xf numFmtId="167" fontId="4" fillId="0" borderId="7" xfId="1" applyNumberFormat="1" applyFont="1" applyFill="1" applyBorder="1" applyProtection="1"/>
    <xf numFmtId="167" fontId="4" fillId="0" borderId="23" xfId="1" applyNumberFormat="1" applyFont="1" applyFill="1" applyBorder="1" applyProtection="1"/>
    <xf numFmtId="167" fontId="4" fillId="0" borderId="7" xfId="1" applyNumberFormat="1" applyFont="1" applyFill="1" applyBorder="1" applyAlignment="1">
      <alignment horizontal="left" vertical="top" wrapText="1"/>
    </xf>
    <xf numFmtId="167" fontId="4" fillId="0" borderId="23" xfId="1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/>
    </xf>
    <xf numFmtId="167" fontId="20" fillId="0" borderId="7" xfId="1" applyNumberFormat="1" applyFont="1" applyBorder="1" applyProtection="1"/>
    <xf numFmtId="167" fontId="20" fillId="0" borderId="23" xfId="1" applyNumberFormat="1" applyFont="1" applyBorder="1" applyProtection="1"/>
    <xf numFmtId="167" fontId="20" fillId="0" borderId="23" xfId="1" applyNumberFormat="1" applyFont="1" applyBorder="1" applyAlignment="1">
      <alignment horizontal="left" vertical="top" wrapText="1"/>
    </xf>
    <xf numFmtId="167" fontId="20" fillId="0" borderId="21" xfId="1" applyNumberFormat="1" applyFont="1" applyBorder="1" applyAlignment="1">
      <alignment horizontal="left" vertical="top" wrapText="1"/>
    </xf>
    <xf numFmtId="0" fontId="4" fillId="7" borderId="2" xfId="0" applyFont="1" applyFill="1" applyBorder="1" applyAlignment="1">
      <alignment horizontal="right" wrapText="1"/>
    </xf>
    <xf numFmtId="0" fontId="4" fillId="0" borderId="22" xfId="0" applyFont="1" applyBorder="1"/>
    <xf numFmtId="167" fontId="20" fillId="0" borderId="8" xfId="1" applyNumberFormat="1" applyFont="1" applyBorder="1"/>
    <xf numFmtId="167" fontId="4" fillId="0" borderId="21" xfId="1" applyNumberFormat="1" applyFont="1" applyBorder="1" applyAlignment="1">
      <alignment horizontal="left" vertical="top" wrapText="1"/>
    </xf>
    <xf numFmtId="0" fontId="4" fillId="0" borderId="21" xfId="0" applyFont="1" applyBorder="1"/>
    <xf numFmtId="0" fontId="4" fillId="7" borderId="22" xfId="0" applyFont="1" applyFill="1" applyBorder="1"/>
    <xf numFmtId="3" fontId="4" fillId="0" borderId="21" xfId="0" applyNumberFormat="1" applyFont="1" applyFill="1" applyBorder="1" applyAlignment="1">
      <alignment horizontal="right" wrapText="1"/>
    </xf>
    <xf numFmtId="167" fontId="20" fillId="0" borderId="21" xfId="1" applyNumberFormat="1" applyFont="1" applyBorder="1"/>
    <xf numFmtId="167" fontId="4" fillId="0" borderId="7" xfId="1" applyNumberFormat="1" applyFont="1" applyBorder="1"/>
    <xf numFmtId="167" fontId="21" fillId="0" borderId="7" xfId="1" applyNumberFormat="1" applyFont="1" applyBorder="1"/>
    <xf numFmtId="167" fontId="4" fillId="0" borderId="21" xfId="1" applyNumberFormat="1" applyFont="1" applyBorder="1"/>
    <xf numFmtId="3" fontId="4" fillId="0" borderId="7" xfId="0" applyNumberFormat="1" applyFont="1" applyBorder="1"/>
    <xf numFmtId="3" fontId="4" fillId="0" borderId="23" xfId="0" applyNumberFormat="1" applyFont="1" applyBorder="1"/>
    <xf numFmtId="3" fontId="20" fillId="0" borderId="8" xfId="1" applyNumberFormat="1" applyFont="1" applyBorder="1"/>
    <xf numFmtId="3" fontId="4" fillId="0" borderId="0" xfId="1" applyNumberFormat="1" applyFont="1" applyBorder="1"/>
    <xf numFmtId="3" fontId="4" fillId="0" borderId="7" xfId="1" applyNumberFormat="1" applyFont="1" applyBorder="1"/>
    <xf numFmtId="3" fontId="20" fillId="0" borderId="9" xfId="1" applyNumberFormat="1" applyFont="1" applyBorder="1"/>
    <xf numFmtId="0" fontId="4" fillId="0" borderId="9" xfId="0" applyFont="1" applyFill="1" applyBorder="1" applyAlignment="1">
      <alignment horizontal="right" wrapText="1"/>
    </xf>
    <xf numFmtId="3" fontId="4" fillId="0" borderId="9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20" fillId="7" borderId="5" xfId="0" applyFont="1" applyFill="1" applyBorder="1"/>
    <xf numFmtId="0" fontId="20" fillId="7" borderId="0" xfId="0" applyFont="1" applyFill="1" applyBorder="1"/>
    <xf numFmtId="0" fontId="20" fillId="7" borderId="19" xfId="0" applyFont="1" applyFill="1" applyBorder="1"/>
    <xf numFmtId="169" fontId="20" fillId="0" borderId="23" xfId="0" applyNumberFormat="1" applyFont="1" applyBorder="1" applyAlignment="1" applyProtection="1">
      <alignment horizontal="right"/>
    </xf>
    <xf numFmtId="0" fontId="4" fillId="7" borderId="20" xfId="0" applyFont="1" applyFill="1" applyBorder="1"/>
    <xf numFmtId="0" fontId="20" fillId="0" borderId="36" xfId="0" applyFont="1" applyBorder="1" applyAlignment="1">
      <alignment horizontal="centerContinuous"/>
    </xf>
    <xf numFmtId="0" fontId="20" fillId="0" borderId="37" xfId="0" applyFont="1" applyBorder="1" applyAlignment="1">
      <alignment horizontal="centerContinuous"/>
    </xf>
    <xf numFmtId="0" fontId="20" fillId="0" borderId="38" xfId="0" applyFont="1" applyBorder="1"/>
    <xf numFmtId="169" fontId="20" fillId="0" borderId="36" xfId="0" applyNumberFormat="1" applyFont="1" applyFill="1" applyBorder="1" applyAlignment="1">
      <alignment horizontal="right"/>
    </xf>
    <xf numFmtId="169" fontId="20" fillId="0" borderId="37" xfId="0" applyNumberFormat="1" applyFont="1" applyFill="1" applyBorder="1" applyAlignment="1" applyProtection="1">
      <alignment horizontal="right"/>
    </xf>
    <xf numFmtId="169" fontId="20" fillId="0" borderId="39" xfId="0" applyNumberFormat="1" applyFont="1" applyFill="1" applyBorder="1" applyAlignment="1" applyProtection="1">
      <alignment horizontal="right"/>
    </xf>
    <xf numFmtId="169" fontId="20" fillId="0" borderId="39" xfId="0" applyNumberFormat="1" applyFont="1" applyBorder="1" applyAlignment="1" applyProtection="1">
      <alignment horizontal="right"/>
    </xf>
    <xf numFmtId="169" fontId="20" fillId="0" borderId="38" xfId="0" applyNumberFormat="1" applyFont="1" applyBorder="1" applyAlignment="1" applyProtection="1">
      <alignment horizontal="right"/>
    </xf>
    <xf numFmtId="169" fontId="20" fillId="0" borderId="39" xfId="0" applyNumberFormat="1" applyFont="1" applyBorder="1" applyAlignment="1">
      <alignment horizontal="right"/>
    </xf>
    <xf numFmtId="169" fontId="20" fillId="0" borderId="38" xfId="0" applyNumberFormat="1" applyFont="1" applyBorder="1" applyAlignment="1">
      <alignment horizontal="right"/>
    </xf>
    <xf numFmtId="0" fontId="26" fillId="0" borderId="0" xfId="0" applyFont="1"/>
    <xf numFmtId="0" fontId="26" fillId="0" borderId="23" xfId="0" applyFont="1" applyBorder="1"/>
    <xf numFmtId="167" fontId="19" fillId="0" borderId="7" xfId="1" applyNumberFormat="1" applyFont="1" applyBorder="1"/>
    <xf numFmtId="0" fontId="4" fillId="0" borderId="0" xfId="0" applyFont="1" applyBorder="1" applyAlignment="1">
      <alignment vertical="top" wrapText="1"/>
    </xf>
    <xf numFmtId="0" fontId="0" fillId="0" borderId="35" xfId="3" applyFont="1" applyFill="1"/>
    <xf numFmtId="0" fontId="20" fillId="0" borderId="35" xfId="3" applyFont="1" applyFill="1" applyAlignment="1">
      <alignment horizontal="centerContinuous"/>
    </xf>
    <xf numFmtId="0" fontId="20" fillId="0" borderId="35" xfId="3" applyFont="1" applyFill="1"/>
    <xf numFmtId="169" fontId="20" fillId="0" borderId="35" xfId="3" applyNumberFormat="1" applyFont="1" applyFill="1" applyAlignment="1">
      <alignment horizontal="right"/>
    </xf>
    <xf numFmtId="169" fontId="20" fillId="0" borderId="35" xfId="3" applyNumberFormat="1" applyFont="1" applyFill="1" applyAlignment="1" applyProtection="1">
      <alignment horizontal="right"/>
    </xf>
    <xf numFmtId="0" fontId="20" fillId="0" borderId="35" xfId="3" applyFont="1" applyFill="1" applyAlignment="1">
      <alignment vertical="top"/>
    </xf>
    <xf numFmtId="169" fontId="20" fillId="0" borderId="41" xfId="3" applyNumberFormat="1" applyFont="1" applyFill="1" applyBorder="1" applyAlignment="1" applyProtection="1">
      <alignment horizontal="right"/>
    </xf>
    <xf numFmtId="0" fontId="20" fillId="0" borderId="40" xfId="3" applyFont="1" applyFill="1" applyBorder="1"/>
    <xf numFmtId="169" fontId="20" fillId="0" borderId="40" xfId="3" applyNumberFormat="1" applyFont="1" applyFill="1" applyBorder="1" applyAlignment="1">
      <alignment horizontal="right"/>
    </xf>
    <xf numFmtId="169" fontId="20" fillId="0" borderId="40" xfId="3" applyNumberFormat="1" applyFont="1" applyFill="1" applyBorder="1" applyAlignment="1" applyProtection="1">
      <alignment horizontal="right"/>
    </xf>
    <xf numFmtId="0" fontId="20" fillId="7" borderId="40" xfId="3" applyFont="1" applyFill="1" applyBorder="1"/>
    <xf numFmtId="0" fontId="20" fillId="0" borderId="7" xfId="0" applyFont="1" applyBorder="1" applyAlignment="1">
      <alignment horizontal="centerContinuous"/>
    </xf>
    <xf numFmtId="169" fontId="20" fillId="0" borderId="21" xfId="0" applyNumberFormat="1" applyFont="1" applyFill="1" applyBorder="1" applyAlignment="1">
      <alignment horizontal="right"/>
    </xf>
    <xf numFmtId="169" fontId="20" fillId="0" borderId="7" xfId="0" applyNumberFormat="1" applyFont="1" applyFill="1" applyBorder="1" applyAlignment="1" applyProtection="1">
      <alignment horizontal="right"/>
    </xf>
    <xf numFmtId="169" fontId="20" fillId="0" borderId="7" xfId="0" applyNumberFormat="1" applyFont="1" applyBorder="1" applyAlignment="1" applyProtection="1">
      <alignment horizontal="right"/>
    </xf>
    <xf numFmtId="0" fontId="27" fillId="0" borderId="14" xfId="4" applyNumberFormat="1" applyFont="1" applyFill="1" applyBorder="1" applyAlignment="1"/>
    <xf numFmtId="37" fontId="27" fillId="0" borderId="0" xfId="4" applyNumberFormat="1" applyFont="1" applyFill="1" applyBorder="1" applyAlignment="1"/>
    <xf numFmtId="169" fontId="28" fillId="0" borderId="0" xfId="4" applyNumberFormat="1" applyFont="1" applyFill="1" applyBorder="1" applyAlignment="1">
      <alignment horizontal="right"/>
    </xf>
    <xf numFmtId="169" fontId="28" fillId="0" borderId="35" xfId="4" applyNumberFormat="1" applyFont="1" applyFill="1" applyBorder="1" applyAlignment="1">
      <alignment horizontal="right"/>
    </xf>
    <xf numFmtId="169" fontId="28" fillId="0" borderId="5" xfId="4" applyNumberFormat="1" applyFont="1" applyFill="1" applyBorder="1" applyAlignment="1">
      <alignment horizontal="right"/>
    </xf>
    <xf numFmtId="169" fontId="28" fillId="0" borderId="39" xfId="4" applyNumberFormat="1" applyFont="1" applyFill="1" applyBorder="1" applyAlignment="1">
      <alignment horizontal="right"/>
    </xf>
    <xf numFmtId="169" fontId="28" fillId="0" borderId="0" xfId="4" applyNumberFormat="1" applyFont="1" applyFill="1" applyBorder="1" applyAlignment="1" applyProtection="1">
      <alignment horizontal="right"/>
    </xf>
    <xf numFmtId="169" fontId="28" fillId="0" borderId="35" xfId="4" applyNumberFormat="1" applyFont="1" applyFill="1" applyBorder="1" applyAlignment="1" applyProtection="1">
      <alignment horizontal="right"/>
    </xf>
    <xf numFmtId="169" fontId="28" fillId="0" borderId="5" xfId="4" applyNumberFormat="1" applyFont="1" applyFill="1" applyBorder="1" applyAlignment="1" applyProtection="1">
      <alignment horizontal="right"/>
    </xf>
    <xf numFmtId="169" fontId="29" fillId="0" borderId="0" xfId="0" applyNumberFormat="1" applyFont="1" applyFill="1" applyBorder="1" applyAlignment="1" applyProtection="1">
      <alignment horizontal="right"/>
    </xf>
    <xf numFmtId="169" fontId="29" fillId="0" borderId="7" xfId="0" applyNumberFormat="1" applyFont="1" applyFill="1" applyBorder="1" applyAlignment="1" applyProtection="1">
      <alignment horizontal="right"/>
    </xf>
    <xf numFmtId="0" fontId="28" fillId="0" borderId="0" xfId="4" applyFont="1" applyFill="1"/>
    <xf numFmtId="169" fontId="28" fillId="0" borderId="38" xfId="4" applyNumberFormat="1" applyFont="1" applyFill="1" applyBorder="1" applyAlignment="1">
      <alignment horizontal="right"/>
    </xf>
    <xf numFmtId="169" fontId="28" fillId="0" borderId="2" xfId="4" applyNumberFormat="1" applyFont="1" applyFill="1" applyBorder="1" applyAlignment="1" applyProtection="1">
      <alignment horizontal="right"/>
    </xf>
    <xf numFmtId="169" fontId="28" fillId="0" borderId="19" xfId="4" applyNumberFormat="1" applyFont="1" applyFill="1" applyBorder="1" applyAlignment="1" applyProtection="1">
      <alignment horizontal="right"/>
    </xf>
    <xf numFmtId="169" fontId="28" fillId="0" borderId="23" xfId="4" applyNumberFormat="1" applyFont="1" applyFill="1" applyBorder="1" applyAlignment="1" applyProtection="1">
      <alignment horizontal="right"/>
    </xf>
    <xf numFmtId="169" fontId="29" fillId="0" borderId="23" xfId="0" applyNumberFormat="1" applyFont="1" applyFill="1" applyBorder="1" applyAlignment="1" applyProtection="1">
      <alignment horizontal="right"/>
    </xf>
    <xf numFmtId="169" fontId="28" fillId="0" borderId="14" xfId="4" applyNumberFormat="1" applyFont="1" applyFill="1" applyBorder="1" applyAlignment="1">
      <alignment horizontal="right"/>
    </xf>
    <xf numFmtId="169" fontId="28" fillId="0" borderId="20" xfId="4" applyNumberFormat="1" applyFont="1" applyFill="1" applyBorder="1" applyAlignment="1">
      <alignment horizontal="right"/>
    </xf>
    <xf numFmtId="169" fontId="28" fillId="0" borderId="36" xfId="4" applyNumberFormat="1" applyFont="1" applyFill="1" applyBorder="1" applyAlignment="1">
      <alignment horizontal="right"/>
    </xf>
    <xf numFmtId="0" fontId="0" fillId="0" borderId="41" xfId="3" applyFont="1" applyFill="1" applyBorder="1"/>
    <xf numFmtId="169" fontId="28" fillId="0" borderId="40" xfId="4" applyNumberFormat="1" applyFont="1" applyFill="1" applyBorder="1" applyAlignment="1" applyProtection="1">
      <alignment horizontal="right"/>
    </xf>
    <xf numFmtId="0" fontId="20" fillId="0" borderId="41" xfId="3" applyFont="1" applyFill="1" applyBorder="1"/>
    <xf numFmtId="169" fontId="28" fillId="0" borderId="40" xfId="4" applyNumberFormat="1" applyFont="1" applyFill="1" applyBorder="1" applyAlignment="1">
      <alignment horizontal="right"/>
    </xf>
    <xf numFmtId="0" fontId="0" fillId="0" borderId="42" xfId="3" applyFont="1" applyFill="1" applyBorder="1"/>
    <xf numFmtId="0" fontId="20" fillId="0" borderId="43" xfId="0" applyFont="1" applyFill="1" applyBorder="1" applyAlignment="1">
      <alignment horizontal="centerContinuous" wrapText="1"/>
    </xf>
    <xf numFmtId="0" fontId="20" fillId="0" borderId="44" xfId="3" applyFont="1" applyFill="1" applyBorder="1" applyAlignment="1">
      <alignment horizontal="centerContinuous"/>
    </xf>
    <xf numFmtId="0" fontId="20" fillId="0" borderId="14" xfId="0" applyFont="1" applyBorder="1" applyAlignment="1">
      <alignment horizontal="centerContinuous"/>
    </xf>
    <xf numFmtId="0" fontId="20" fillId="0" borderId="21" xfId="0" applyFont="1" applyBorder="1" applyAlignment="1">
      <alignment horizontal="centerContinuous"/>
    </xf>
    <xf numFmtId="0" fontId="20" fillId="0" borderId="42" xfId="3" applyFont="1" applyFill="1" applyBorder="1"/>
    <xf numFmtId="0" fontId="20" fillId="0" borderId="45" xfId="3" applyFont="1" applyFill="1" applyBorder="1" applyAlignment="1">
      <alignment horizontal="centerContinuous"/>
    </xf>
    <xf numFmtId="166" fontId="4" fillId="0" borderId="8" xfId="0" applyNumberFormat="1" applyFont="1" applyFill="1" applyBorder="1" applyAlignment="1"/>
    <xf numFmtId="166" fontId="4" fillId="0" borderId="8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centerContinuous" wrapText="1"/>
    </xf>
    <xf numFmtId="0" fontId="4" fillId="0" borderId="13" xfId="0" applyFont="1" applyFill="1" applyBorder="1" applyAlignment="1">
      <alignment horizontal="centerContinuous" wrapText="1"/>
    </xf>
    <xf numFmtId="0" fontId="4" fillId="0" borderId="11" xfId="0" applyFont="1" applyFill="1" applyBorder="1" applyAlignment="1">
      <alignment horizontal="centerContinuous" wrapText="1"/>
    </xf>
    <xf numFmtId="0" fontId="4" fillId="10" borderId="14" xfId="0" applyFont="1" applyFill="1" applyBorder="1" applyAlignment="1">
      <alignment horizontal="right" wrapText="1"/>
    </xf>
    <xf numFmtId="0" fontId="4" fillId="10" borderId="2" xfId="0" applyFont="1" applyFill="1" applyBorder="1" applyAlignment="1">
      <alignment horizontal="right" wrapText="1"/>
    </xf>
    <xf numFmtId="0" fontId="26" fillId="0" borderId="2" xfId="0" applyFont="1" applyBorder="1"/>
    <xf numFmtId="0" fontId="26" fillId="0" borderId="0" xfId="0" applyFont="1" applyBorder="1"/>
    <xf numFmtId="0" fontId="26" fillId="0" borderId="19" xfId="0" applyFont="1" applyBorder="1"/>
    <xf numFmtId="167" fontId="20" fillId="0" borderId="7" xfId="1" applyNumberFormat="1" applyFont="1" applyFill="1" applyBorder="1"/>
    <xf numFmtId="167" fontId="19" fillId="0" borderId="7" xfId="1" applyNumberFormat="1" applyFont="1" applyFill="1" applyBorder="1"/>
    <xf numFmtId="167" fontId="4" fillId="0" borderId="21" xfId="1" applyNumberFormat="1" applyFont="1" applyFill="1" applyBorder="1" applyAlignment="1">
      <alignment horizontal="left" vertical="top" wrapText="1"/>
    </xf>
    <xf numFmtId="0" fontId="4" fillId="10" borderId="0" xfId="0" applyFont="1" applyFill="1" applyBorder="1"/>
    <xf numFmtId="0" fontId="23" fillId="0" borderId="2" xfId="0" applyFont="1" applyBorder="1"/>
    <xf numFmtId="167" fontId="20" fillId="0" borderId="0" xfId="1" applyNumberFormat="1" applyFont="1" applyFill="1" applyBorder="1" applyProtection="1"/>
    <xf numFmtId="0" fontId="20" fillId="11" borderId="0" xfId="0" applyFont="1" applyFill="1" applyBorder="1"/>
    <xf numFmtId="0" fontId="20" fillId="11" borderId="40" xfId="3" applyFont="1" applyFill="1" applyBorder="1"/>
    <xf numFmtId="0" fontId="20" fillId="11" borderId="5" xfId="0" applyFont="1" applyFill="1" applyBorder="1"/>
    <xf numFmtId="0" fontId="20" fillId="11" borderId="19" xfId="0" applyFont="1" applyFill="1" applyBorder="1"/>
    <xf numFmtId="0" fontId="20" fillId="11" borderId="7" xfId="0" applyFont="1" applyFill="1" applyBorder="1"/>
    <xf numFmtId="0" fontId="4" fillId="11" borderId="0" xfId="0" applyFont="1" applyFill="1"/>
    <xf numFmtId="169" fontId="20" fillId="0" borderId="46" xfId="3" applyNumberFormat="1" applyFont="1" applyFill="1" applyBorder="1" applyAlignment="1" applyProtection="1">
      <alignment horizontal="right"/>
    </xf>
    <xf numFmtId="0" fontId="20" fillId="7" borderId="38" xfId="0" applyFont="1" applyFill="1" applyBorder="1"/>
    <xf numFmtId="169" fontId="20" fillId="0" borderId="37" xfId="0" applyNumberFormat="1" applyFont="1" applyBorder="1" applyAlignment="1" applyProtection="1">
      <alignment horizontal="right"/>
    </xf>
    <xf numFmtId="169" fontId="29" fillId="0" borderId="39" xfId="0" applyNumberFormat="1" applyFont="1" applyFill="1" applyBorder="1" applyAlignment="1" applyProtection="1">
      <alignment horizontal="right"/>
    </xf>
    <xf numFmtId="169" fontId="29" fillId="0" borderId="38" xfId="0" applyNumberFormat="1" applyFont="1" applyFill="1" applyBorder="1" applyAlignment="1" applyProtection="1">
      <alignment horizontal="right"/>
    </xf>
    <xf numFmtId="169" fontId="20" fillId="0" borderId="47" xfId="3" applyNumberFormat="1" applyFont="1" applyFill="1" applyBorder="1" applyAlignment="1" applyProtection="1">
      <alignment horizontal="right"/>
    </xf>
    <xf numFmtId="169" fontId="20" fillId="0" borderId="48" xfId="0" applyNumberFormat="1" applyFont="1" applyFill="1" applyBorder="1" applyAlignment="1">
      <alignment horizontal="right"/>
    </xf>
    <xf numFmtId="166" fontId="4" fillId="0" borderId="23" xfId="0" applyNumberFormat="1" applyFont="1" applyFill="1" applyBorder="1" applyAlignment="1">
      <alignment horizontal="right"/>
    </xf>
    <xf numFmtId="0" fontId="0" fillId="6" borderId="0" xfId="0" applyFill="1"/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wrapText="1"/>
    </xf>
    <xf numFmtId="0" fontId="20" fillId="11" borderId="10" xfId="0" applyFont="1" applyFill="1" applyBorder="1" applyAlignment="1">
      <alignment horizontal="centerContinuous" wrapText="1"/>
    </xf>
    <xf numFmtId="169" fontId="20" fillId="0" borderId="49" xfId="0" applyNumberFormat="1" applyFont="1" applyBorder="1" applyAlignment="1" applyProtection="1">
      <alignment horizontal="right"/>
    </xf>
    <xf numFmtId="169" fontId="28" fillId="0" borderId="49" xfId="4" applyNumberFormat="1" applyFont="1" applyFill="1" applyBorder="1" applyAlignment="1" applyProtection="1">
      <alignment horizontal="right"/>
    </xf>
    <xf numFmtId="169" fontId="20" fillId="0" borderId="50" xfId="0" applyNumberFormat="1" applyFont="1" applyBorder="1" applyAlignment="1" applyProtection="1">
      <alignment horizontal="right"/>
    </xf>
    <xf numFmtId="0" fontId="20" fillId="11" borderId="0" xfId="0" applyFont="1" applyFill="1" applyBorder="1" applyAlignment="1">
      <alignment horizontal="centerContinuous" wrapText="1"/>
    </xf>
    <xf numFmtId="0" fontId="20" fillId="11" borderId="5" xfId="0" applyFont="1" applyFill="1" applyBorder="1" applyAlignment="1">
      <alignment horizontal="centerContinuous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vertical="center" wrapText="1"/>
    </xf>
  </cellXfs>
  <cellStyles count="5">
    <cellStyle name="Bad" xfId="4" builtinId="27"/>
    <cellStyle name="Comma" xfId="1" builtinId="3"/>
    <cellStyle name="Normal" xfId="0" builtinId="0"/>
    <cellStyle name="Note" xfId="3" builtinId="1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  <color rgb="FF0000FF"/>
      <color rgb="FFA50021"/>
      <color rgb="FF0033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461195821231E-2"/>
          <c:y val="0.16292984505158961"/>
          <c:w val="0.81063291065919696"/>
          <c:h val="0.62374114687020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2'!$A$6</c:f>
              <c:strCache>
                <c:ptCount val="1"/>
                <c:pt idx="0">
                  <c:v>50 states and D.C.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2'!$C$5:$E$5</c:f>
              <c:numCache>
                <c:formatCode>General</c:formatCode>
                <c:ptCount val="3"/>
                <c:pt idx="0">
                  <c:v>1990</c:v>
                </c:pt>
                <c:pt idx="1">
                  <c:v>2000</c:v>
                </c:pt>
                <c:pt idx="2">
                  <c:v>2013</c:v>
                </c:pt>
              </c:numCache>
            </c:numRef>
          </c:cat>
          <c:val>
            <c:numRef>
              <c:f>'Table 2'!$C$6:$E$6</c:f>
              <c:numCache>
                <c:formatCode>#,##0.0</c:formatCode>
                <c:ptCount val="3"/>
                <c:pt idx="0">
                  <c:v>75.235031582988583</c:v>
                </c:pt>
                <c:pt idx="1">
                  <c:v>80.398823480205891</c:v>
                </c:pt>
                <c:pt idx="2">
                  <c:v>86.2867241740921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C-404B-8C4E-C9F68B7B7BF8}"/>
            </c:ext>
          </c:extLst>
        </c:ser>
        <c:ser>
          <c:idx val="1"/>
          <c:order val="1"/>
          <c:tx>
            <c:strRef>
              <c:f>'Table 2'!$A$7</c:f>
              <c:strCache>
                <c:ptCount val="1"/>
                <c:pt idx="0">
                  <c:v>SREB states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2'!$C$7:$E$7</c:f>
              <c:numCache>
                <c:formatCode>#,##0.0</c:formatCode>
                <c:ptCount val="3"/>
                <c:pt idx="0">
                  <c:v>71.253446406841434</c:v>
                </c:pt>
                <c:pt idx="1">
                  <c:v>77.731477376744422</c:v>
                </c:pt>
                <c:pt idx="2">
                  <c:v>84.70306455871517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C-404B-8C4E-C9F68B7B7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09911776"/>
        <c:axId val="209912168"/>
      </c:barChart>
      <c:catAx>
        <c:axId val="20991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912168"/>
        <c:crosses val="autoZero"/>
        <c:auto val="1"/>
        <c:lblAlgn val="ctr"/>
        <c:lblOffset val="100"/>
        <c:noMultiLvlLbl val="0"/>
      </c:catAx>
      <c:valAx>
        <c:axId val="209912168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0991177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Pecentage Point Change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2000 to 2009</a:t>
            </a:r>
          </a:p>
        </c:rich>
      </c:tx>
      <c:layout>
        <c:manualLayout>
          <c:xMode val="edge"/>
          <c:yMode val="edge"/>
          <c:x val="0.20783387370696321"/>
          <c:y val="4.46776845202043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495E-2"/>
          <c:y val="0.14747103127298059"/>
          <c:w val="0.8106329106591984"/>
          <c:h val="0.639200042933553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7'!$L$6:$N$6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7'!$L$16:$N$16</c:f>
              <c:numCache>
                <c:formatCode>#,##0.0</c:formatCode>
                <c:ptCount val="3"/>
                <c:pt idx="0">
                  <c:v>3.9277892011478386</c:v>
                </c:pt>
                <c:pt idx="1">
                  <c:v>2.564321165553709</c:v>
                </c:pt>
                <c:pt idx="2">
                  <c:v>-2.1151916825408925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D-4C2C-9D78-3EA5C59F3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78136"/>
        <c:axId val="210983624"/>
      </c:barChart>
      <c:catAx>
        <c:axId val="210978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83624"/>
        <c:crosses val="autoZero"/>
        <c:auto val="1"/>
        <c:lblAlgn val="ctr"/>
        <c:lblOffset val="150"/>
        <c:noMultiLvlLbl val="0"/>
      </c:catAx>
      <c:valAx>
        <c:axId val="210983624"/>
        <c:scaling>
          <c:orientation val="minMax"/>
          <c:max val="100"/>
          <c:min val="-5"/>
        </c:scaling>
        <c:delete val="1"/>
        <c:axPos val="l"/>
        <c:numFmt formatCode="#,##0.0" sourceLinked="1"/>
        <c:majorTickMark val="out"/>
        <c:minorTickMark val="none"/>
        <c:tickLblPos val="none"/>
        <c:crossAx val="2109781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46222476102847"/>
          <c:y val="0.13297843204382145"/>
          <c:w val="0.8106329106591974"/>
          <c:h val="0.63920004293355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2'!$A$6</c:f>
              <c:strCache>
                <c:ptCount val="1"/>
                <c:pt idx="0">
                  <c:v>50 states and D.C.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2'!$G$5:$I$5</c:f>
              <c:numCache>
                <c:formatCode>General</c:formatCode>
                <c:ptCount val="3"/>
                <c:pt idx="0">
                  <c:v>1990</c:v>
                </c:pt>
                <c:pt idx="1">
                  <c:v>2000</c:v>
                </c:pt>
                <c:pt idx="2">
                  <c:v>2013</c:v>
                </c:pt>
              </c:numCache>
            </c:numRef>
          </c:cat>
          <c:val>
            <c:numRef>
              <c:f>'Table 2'!$G$6:$I$6</c:f>
              <c:numCache>
                <c:formatCode>#,##0.0</c:formatCode>
                <c:ptCount val="3"/>
                <c:pt idx="0">
                  <c:v>20.337742230936296</c:v>
                </c:pt>
                <c:pt idx="1">
                  <c:v>24.401627274753839</c:v>
                </c:pt>
                <c:pt idx="2">
                  <c:v>29.111974152042041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D-476E-88AB-670F482B536D}"/>
            </c:ext>
          </c:extLst>
        </c:ser>
        <c:ser>
          <c:idx val="1"/>
          <c:order val="1"/>
          <c:tx>
            <c:strRef>
              <c:f>'Table 2'!$A$7</c:f>
              <c:strCache>
                <c:ptCount val="1"/>
                <c:pt idx="0">
                  <c:v>SREB states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2'!$G$7:$I$7</c:f>
              <c:numCache>
                <c:formatCode>#,##0.0</c:formatCode>
                <c:ptCount val="3"/>
                <c:pt idx="0">
                  <c:v>18.618574475525502</c:v>
                </c:pt>
                <c:pt idx="1">
                  <c:v>22.445458340036208</c:v>
                </c:pt>
                <c:pt idx="2">
                  <c:v>26.839901791672776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0D-476E-88AB-670F482B5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09912952"/>
        <c:axId val="209913344"/>
      </c:barChart>
      <c:catAx>
        <c:axId val="209912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913344"/>
        <c:crosses val="autoZero"/>
        <c:auto val="1"/>
        <c:lblAlgn val="ctr"/>
        <c:lblOffset val="100"/>
        <c:noMultiLvlLbl val="0"/>
      </c:catAx>
      <c:valAx>
        <c:axId val="209913344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0991295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0890461195821356E-2"/>
          <c:y val="0.14747103127298047"/>
          <c:w val="0.81063291065919774"/>
          <c:h val="0.6392000429335524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2'!$G$5:$I$5</c:f>
              <c:numCache>
                <c:formatCode>General</c:formatCode>
                <c:ptCount val="3"/>
                <c:pt idx="0">
                  <c:v>1990</c:v>
                </c:pt>
                <c:pt idx="1">
                  <c:v>2000</c:v>
                </c:pt>
                <c:pt idx="2">
                  <c:v>2013</c:v>
                </c:pt>
              </c:numCache>
            </c:numRef>
          </c:cat>
          <c:val>
            <c:numRef>
              <c:f>'Table 2'!$G$13:$I$13</c:f>
              <c:numCache>
                <c:formatCode>#,##0.0</c:formatCode>
                <c:ptCount val="3"/>
                <c:pt idx="0">
                  <c:v>19.315855665080949</c:v>
                </c:pt>
                <c:pt idx="1">
                  <c:v>24.299778344049759</c:v>
                </c:pt>
                <c:pt idx="2">
                  <c:v>28.126707928661599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2-4001-AB18-0E42A1FC8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914128"/>
        <c:axId val="209914520"/>
      </c:barChart>
      <c:catAx>
        <c:axId val="20991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914520"/>
        <c:crosses val="autoZero"/>
        <c:auto val="1"/>
        <c:lblAlgn val="ctr"/>
        <c:lblOffset val="100"/>
        <c:noMultiLvlLbl val="0"/>
      </c:catAx>
      <c:valAx>
        <c:axId val="209914520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099141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layout>
        <c:manualLayout>
          <c:xMode val="edge"/>
          <c:yMode val="edge"/>
          <c:x val="0.42097648113396408"/>
          <c:y val="4.46774069559299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3E-2"/>
          <c:y val="0.14747103127298042"/>
          <c:w val="0.8106329106591974"/>
          <c:h val="0.6392000429335521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2'!$C$5:$E$5</c:f>
              <c:numCache>
                <c:formatCode>General</c:formatCode>
                <c:ptCount val="3"/>
                <c:pt idx="0">
                  <c:v>1990</c:v>
                </c:pt>
                <c:pt idx="1">
                  <c:v>2000</c:v>
                </c:pt>
                <c:pt idx="2">
                  <c:v>2013</c:v>
                </c:pt>
              </c:numCache>
            </c:numRef>
          </c:cat>
          <c:val>
            <c:numRef>
              <c:f>'Table 2'!$C$13:$E$13</c:f>
              <c:numCache>
                <c:formatCode>#,##0.0</c:formatCode>
                <c:ptCount val="3"/>
                <c:pt idx="0">
                  <c:v>70.924859945021907</c:v>
                </c:pt>
                <c:pt idx="1">
                  <c:v>78.570063623645751</c:v>
                </c:pt>
                <c:pt idx="2">
                  <c:v>84.962123412465672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0-458F-8C82-A09E033C8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915304"/>
        <c:axId val="209915696"/>
      </c:barChart>
      <c:catAx>
        <c:axId val="209915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915696"/>
        <c:crosses val="autoZero"/>
        <c:auto val="1"/>
        <c:lblAlgn val="ctr"/>
        <c:lblOffset val="100"/>
        <c:noMultiLvlLbl val="0"/>
      </c:catAx>
      <c:valAx>
        <c:axId val="209915696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099153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539089117947E-2"/>
          <c:y val="0.1617314413238452"/>
          <c:w val="0.8106329106591974"/>
          <c:h val="0.63920004293355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7'!$A$7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7'!$C$6:$E$6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7'!$C$7:$E$7</c:f>
              <c:numCache>
                <c:formatCode>#,##0.0</c:formatCode>
                <c:ptCount val="3"/>
                <c:pt idx="0">
                  <c:v>91.414942229378866</c:v>
                </c:pt>
                <c:pt idx="1">
                  <c:v>83.099172972670502</c:v>
                </c:pt>
                <c:pt idx="2">
                  <c:v>63.951114133610368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9-4B31-A100-059457C562F2}"/>
            </c:ext>
          </c:extLst>
        </c:ser>
        <c:ser>
          <c:idx val="1"/>
          <c:order val="1"/>
          <c:tx>
            <c:strRef>
              <c:f>'Table 7'!$A$8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7'!$C$6:$E$6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7'!$C$8:$E$8</c:f>
              <c:numCache>
                <c:formatCode>#,##0.0</c:formatCode>
                <c:ptCount val="3"/>
                <c:pt idx="0">
                  <c:v>89.432906795313315</c:v>
                </c:pt>
                <c:pt idx="1">
                  <c:v>82.346952851777885</c:v>
                </c:pt>
                <c:pt idx="2">
                  <c:v>65.150385358892763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69-4B31-A100-059457C5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0978528"/>
        <c:axId val="210978920"/>
      </c:barChart>
      <c:catAx>
        <c:axId val="21097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78920"/>
        <c:crosses val="autoZero"/>
        <c:auto val="1"/>
        <c:lblAlgn val="ctr"/>
        <c:lblOffset val="100"/>
        <c:noMultiLvlLbl val="0"/>
      </c:catAx>
      <c:valAx>
        <c:axId val="210978920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097852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layout>
        <c:manualLayout>
          <c:xMode val="edge"/>
          <c:yMode val="edge"/>
          <c:x val="0.42097644657162958"/>
          <c:y val="4.46769014208421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356E-2"/>
          <c:y val="0.14747103127298047"/>
          <c:w val="0.81063291065919774"/>
          <c:h val="0.63920004293355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7'!$C$6:$E$6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7'!$C$16:$E$16</c:f>
              <c:numCache>
                <c:formatCode>#,##0.0</c:formatCode>
                <c:ptCount val="3"/>
                <c:pt idx="0">
                  <c:v>87.087969547939409</c:v>
                </c:pt>
                <c:pt idx="1">
                  <c:v>75.954247247418564</c:v>
                </c:pt>
                <c:pt idx="2">
                  <c:v>70.409921046335427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D-4697-91FF-B74A7BAFC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79704"/>
        <c:axId val="210980096"/>
      </c:barChart>
      <c:catAx>
        <c:axId val="210979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80096"/>
        <c:crosses val="autoZero"/>
        <c:auto val="1"/>
        <c:lblAlgn val="ctr"/>
        <c:lblOffset val="100"/>
        <c:noMultiLvlLbl val="0"/>
      </c:catAx>
      <c:valAx>
        <c:axId val="210980096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09797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Pecentage Point Change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2000 to 2009</a:t>
            </a:r>
          </a:p>
        </c:rich>
      </c:tx>
      <c:layout>
        <c:manualLayout>
          <c:xMode val="edge"/>
          <c:yMode val="edge"/>
          <c:x val="0.19916216355308528"/>
          <c:y val="8.07135646505725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425E-2"/>
          <c:y val="0.14747103127298053"/>
          <c:w val="0.81063291065919796"/>
          <c:h val="0.639200042933552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7'!$I$6:$K$6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7'!$I$16:$K$16</c:f>
              <c:numCache>
                <c:formatCode>#,##0.0</c:formatCode>
                <c:ptCount val="3"/>
                <c:pt idx="0">
                  <c:v>7.0997263766534928</c:v>
                </c:pt>
                <c:pt idx="1">
                  <c:v>12.814768221578824</c:v>
                </c:pt>
                <c:pt idx="2">
                  <c:v>1.3610616257023764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9-4E71-B40C-6F2C184F3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80880"/>
        <c:axId val="210981272"/>
      </c:barChart>
      <c:catAx>
        <c:axId val="21098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81272"/>
        <c:crosses val="autoZero"/>
        <c:auto val="1"/>
        <c:lblAlgn val="ctr"/>
        <c:lblOffset val="100"/>
        <c:noMultiLvlLbl val="0"/>
      </c:catAx>
      <c:valAx>
        <c:axId val="210981272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09808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539089117947E-2"/>
          <c:y val="0.1617314413238452"/>
          <c:w val="0.81063291065919774"/>
          <c:h val="0.63920004293355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7'!$A$7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7'!$F$6:$H$6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7'!$F$7:$H$7</c:f>
              <c:numCache>
                <c:formatCode>#,##0.0</c:formatCode>
                <c:ptCount val="3"/>
                <c:pt idx="0">
                  <c:v>32.505406289937127</c:v>
                </c:pt>
                <c:pt idx="1">
                  <c:v>18.846162426351494</c:v>
                </c:pt>
                <c:pt idx="2">
                  <c:v>13.699008840326703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5-435A-A42A-8298D2D3B82A}"/>
            </c:ext>
          </c:extLst>
        </c:ser>
        <c:ser>
          <c:idx val="1"/>
          <c:order val="1"/>
          <c:tx>
            <c:strRef>
              <c:f>'Table 7'!$A$8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7'!$F$6:$H$6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7'!$F$8:$H$8</c:f>
              <c:numCache>
                <c:formatCode>#,##0.0</c:formatCode>
                <c:ptCount val="3"/>
                <c:pt idx="0">
                  <c:v>30.409869263448808</c:v>
                </c:pt>
                <c:pt idx="1">
                  <c:v>18.526861306189204</c:v>
                </c:pt>
                <c:pt idx="2">
                  <c:v>15.326762470760622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E5-435A-A42A-8298D2D3B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0982056"/>
        <c:axId val="210982448"/>
      </c:barChart>
      <c:catAx>
        <c:axId val="210982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82448"/>
        <c:crosses val="autoZero"/>
        <c:auto val="1"/>
        <c:lblAlgn val="ctr"/>
        <c:lblOffset val="100"/>
        <c:noMultiLvlLbl val="0"/>
      </c:catAx>
      <c:valAx>
        <c:axId val="210982448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098205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layout>
        <c:manualLayout>
          <c:xMode val="edge"/>
          <c:yMode val="edge"/>
          <c:x val="0.42097637795275933"/>
          <c:y val="4.467748793970624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425E-2"/>
          <c:y val="0.14747103127298053"/>
          <c:w val="0.81063291065919796"/>
          <c:h val="0.639200042933552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7'!$F$6:$H$6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7'!$F$16:$H$16</c:f>
              <c:numCache>
                <c:formatCode>#,##0.0</c:formatCode>
                <c:ptCount val="3"/>
                <c:pt idx="0">
                  <c:v>25.696638349963983</c:v>
                </c:pt>
                <c:pt idx="1">
                  <c:v>13.455644931256774</c:v>
                </c:pt>
                <c:pt idx="2">
                  <c:v>17.404896722226653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9-4FD1-B3B7-1F77B2424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77744"/>
        <c:axId val="210977352"/>
      </c:barChart>
      <c:catAx>
        <c:axId val="21097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77352"/>
        <c:crosses val="autoZero"/>
        <c:auto val="1"/>
        <c:lblAlgn val="ctr"/>
        <c:lblOffset val="100"/>
        <c:noMultiLvlLbl val="0"/>
      </c:catAx>
      <c:valAx>
        <c:axId val="210977352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09777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3</xdr:row>
      <xdr:rowOff>47625</xdr:rowOff>
    </xdr:from>
    <xdr:to>
      <xdr:col>14</xdr:col>
      <xdr:colOff>962025</xdr:colOff>
      <xdr:row>11</xdr:row>
      <xdr:rowOff>142875</xdr:rowOff>
    </xdr:to>
    <xdr:graphicFrame macro="">
      <xdr:nvGraphicFramePr>
        <xdr:cNvPr id="175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95250</xdr:rowOff>
    </xdr:from>
    <xdr:to>
      <xdr:col>19</xdr:col>
      <xdr:colOff>962025</xdr:colOff>
      <xdr:row>11</xdr:row>
      <xdr:rowOff>142875</xdr:rowOff>
    </xdr:to>
    <xdr:graphicFrame macro="">
      <xdr:nvGraphicFramePr>
        <xdr:cNvPr id="1750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9525</xdr:colOff>
      <xdr:row>12</xdr:row>
      <xdr:rowOff>133350</xdr:rowOff>
    </xdr:from>
    <xdr:to>
      <xdr:col>20</xdr:col>
      <xdr:colOff>0</xdr:colOff>
      <xdr:row>24</xdr:row>
      <xdr:rowOff>190500</xdr:rowOff>
    </xdr:to>
    <xdr:graphicFrame macro="">
      <xdr:nvGraphicFramePr>
        <xdr:cNvPr id="1750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12</xdr:row>
      <xdr:rowOff>190500</xdr:rowOff>
    </xdr:from>
    <xdr:to>
      <xdr:col>14</xdr:col>
      <xdr:colOff>962025</xdr:colOff>
      <xdr:row>24</xdr:row>
      <xdr:rowOff>180975</xdr:rowOff>
    </xdr:to>
    <xdr:graphicFrame macro="">
      <xdr:nvGraphicFramePr>
        <xdr:cNvPr id="1750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452437</xdr:colOff>
      <xdr:row>3</xdr:row>
      <xdr:rowOff>1071562</xdr:rowOff>
    </xdr:from>
    <xdr:to>
      <xdr:col>22</xdr:col>
      <xdr:colOff>625737</xdr:colOff>
      <xdr:row>16</xdr:row>
      <xdr:rowOff>35718</xdr:rowOff>
    </xdr:to>
    <xdr:sp macro="" textlink="">
      <xdr:nvSpPr>
        <xdr:cNvPr id="8" name="Oval Callout 7"/>
        <xdr:cNvSpPr/>
      </xdr:nvSpPr>
      <xdr:spPr>
        <a:xfrm>
          <a:off x="15966281" y="1607343"/>
          <a:ext cx="1792550" cy="2190750"/>
        </a:xfrm>
        <a:prstGeom prst="wedgeEllipseCallout">
          <a:avLst>
            <a:gd name="adj1" fmla="val -166660"/>
            <a:gd name="adj2" fmla="val 6643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631031</xdr:colOff>
      <xdr:row>32</xdr:row>
      <xdr:rowOff>11905</xdr:rowOff>
    </xdr:from>
    <xdr:to>
      <xdr:col>14</xdr:col>
      <xdr:colOff>700088</xdr:colOff>
      <xdr:row>39</xdr:row>
      <xdr:rowOff>69848</xdr:rowOff>
    </xdr:to>
    <xdr:sp macro="" textlink="">
      <xdr:nvSpPr>
        <xdr:cNvPr id="9" name="Oval Callout 8"/>
        <xdr:cNvSpPr/>
      </xdr:nvSpPr>
      <xdr:spPr>
        <a:xfrm>
          <a:off x="8179594" y="6441280"/>
          <a:ext cx="2997994" cy="1224756"/>
        </a:xfrm>
        <a:prstGeom prst="wedgeEllipseCallout">
          <a:avLst>
            <a:gd name="adj1" fmla="val -72883"/>
            <a:gd name="adj2" fmla="val 17607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47625</xdr:rowOff>
    </xdr:from>
    <xdr:to>
      <xdr:col>18</xdr:col>
      <xdr:colOff>0</xdr:colOff>
      <xdr:row>9</xdr:row>
      <xdr:rowOff>161925</xdr:rowOff>
    </xdr:to>
    <xdr:graphicFrame macro="">
      <xdr:nvGraphicFramePr>
        <xdr:cNvPr id="185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10</xdr:row>
      <xdr:rowOff>76200</xdr:rowOff>
    </xdr:from>
    <xdr:to>
      <xdr:col>18</xdr:col>
      <xdr:colOff>0</xdr:colOff>
      <xdr:row>21</xdr:row>
      <xdr:rowOff>0</xdr:rowOff>
    </xdr:to>
    <xdr:graphicFrame macro="">
      <xdr:nvGraphicFramePr>
        <xdr:cNvPr id="1850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133350</xdr:rowOff>
    </xdr:from>
    <xdr:to>
      <xdr:col>18</xdr:col>
      <xdr:colOff>19050</xdr:colOff>
      <xdr:row>36</xdr:row>
      <xdr:rowOff>148166</xdr:rowOff>
    </xdr:to>
    <xdr:graphicFrame macro="">
      <xdr:nvGraphicFramePr>
        <xdr:cNvPr id="1850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3</xdr:row>
      <xdr:rowOff>57150</xdr:rowOff>
    </xdr:from>
    <xdr:to>
      <xdr:col>21</xdr:col>
      <xdr:colOff>962025</xdr:colOff>
      <xdr:row>9</xdr:row>
      <xdr:rowOff>171450</xdr:rowOff>
    </xdr:to>
    <xdr:graphicFrame macro="">
      <xdr:nvGraphicFramePr>
        <xdr:cNvPr id="1851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10</xdr:row>
      <xdr:rowOff>95250</xdr:rowOff>
    </xdr:from>
    <xdr:to>
      <xdr:col>21</xdr:col>
      <xdr:colOff>962025</xdr:colOff>
      <xdr:row>21</xdr:row>
      <xdr:rowOff>19050</xdr:rowOff>
    </xdr:to>
    <xdr:graphicFrame macro="">
      <xdr:nvGraphicFramePr>
        <xdr:cNvPr id="1851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21</xdr:row>
      <xdr:rowOff>142875</xdr:rowOff>
    </xdr:from>
    <xdr:to>
      <xdr:col>21</xdr:col>
      <xdr:colOff>933450</xdr:colOff>
      <xdr:row>37</xdr:row>
      <xdr:rowOff>21166</xdr:rowOff>
    </xdr:to>
    <xdr:graphicFrame macro="">
      <xdr:nvGraphicFramePr>
        <xdr:cNvPr id="1851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491066</xdr:colOff>
      <xdr:row>36</xdr:row>
      <xdr:rowOff>148167</xdr:rowOff>
    </xdr:from>
    <xdr:to>
      <xdr:col>17</xdr:col>
      <xdr:colOff>476249</xdr:colOff>
      <xdr:row>45</xdr:row>
      <xdr:rowOff>128323</xdr:rowOff>
    </xdr:to>
    <xdr:sp macro="" textlink="">
      <xdr:nvSpPr>
        <xdr:cNvPr id="9" name="Oval Callout 8"/>
        <xdr:cNvSpPr/>
      </xdr:nvSpPr>
      <xdr:spPr>
        <a:xfrm>
          <a:off x="8703733" y="6519334"/>
          <a:ext cx="1932516" cy="1430072"/>
        </a:xfrm>
        <a:prstGeom prst="wedgeEllipseCallout">
          <a:avLst>
            <a:gd name="adj1" fmla="val -68354"/>
            <a:gd name="adj2" fmla="val 5795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22</xdr:col>
      <xdr:colOff>190501</xdr:colOff>
      <xdr:row>4</xdr:row>
      <xdr:rowOff>476250</xdr:rowOff>
    </xdr:from>
    <xdr:to>
      <xdr:col>24</xdr:col>
      <xdr:colOff>257967</xdr:colOff>
      <xdr:row>16</xdr:row>
      <xdr:rowOff>74083</xdr:rowOff>
    </xdr:to>
    <xdr:sp macro="" textlink="">
      <xdr:nvSpPr>
        <xdr:cNvPr id="10" name="Oval Callout 9"/>
        <xdr:cNvSpPr/>
      </xdr:nvSpPr>
      <xdr:spPr>
        <a:xfrm>
          <a:off x="14425084" y="1195917"/>
          <a:ext cx="1792550" cy="2053166"/>
        </a:xfrm>
        <a:prstGeom prst="wedgeEllipseCallout">
          <a:avLst>
            <a:gd name="adj1" fmla="val -126143"/>
            <a:gd name="adj2" fmla="val 5150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T89"/>
  <sheetViews>
    <sheetView showGridLines="0" view="pageBreakPreview" zoomScaleNormal="100" zoomScaleSheetLayoutView="100" workbookViewId="0">
      <selection activeCell="D66" sqref="D66"/>
    </sheetView>
  </sheetViews>
  <sheetFormatPr defaultRowHeight="15" x14ac:dyDescent="0.2"/>
  <cols>
    <col min="1" max="1" width="6.5546875" customWidth="1"/>
    <col min="2" max="2" width="10.88671875" customWidth="1"/>
    <col min="6" max="6" width="1.33203125" customWidth="1"/>
    <col min="10" max="10" width="1.33203125" style="497" customWidth="1"/>
    <col min="11" max="11" width="3.44140625" customWidth="1"/>
    <col min="12" max="15" width="11.33203125" customWidth="1"/>
    <col min="16" max="16" width="1.77734375" customWidth="1"/>
    <col min="17" max="20" width="11.44140625" customWidth="1"/>
    <col min="21" max="21" width="10" customWidth="1"/>
  </cols>
  <sheetData>
    <row r="1" spans="1:20" x14ac:dyDescent="0.2">
      <c r="A1" s="1" t="s">
        <v>166</v>
      </c>
      <c r="B1" s="2"/>
      <c r="C1" s="2"/>
      <c r="D1" s="2"/>
      <c r="E1" s="2"/>
      <c r="F1" s="2"/>
      <c r="G1" s="2"/>
      <c r="H1" s="2"/>
      <c r="I1" s="2"/>
      <c r="J1" s="75"/>
    </row>
    <row r="2" spans="1:20" s="1" customFormat="1" ht="14.25" x14ac:dyDescent="0.2">
      <c r="A2" s="1" t="s">
        <v>147</v>
      </c>
      <c r="B2" s="2"/>
      <c r="C2" s="2"/>
      <c r="D2" s="2"/>
      <c r="E2" s="2"/>
      <c r="F2" s="2"/>
      <c r="G2" s="2"/>
      <c r="H2" s="2"/>
      <c r="I2" s="2"/>
      <c r="J2" s="75"/>
    </row>
    <row r="3" spans="1:20" s="1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218"/>
      <c r="L3" s="494" t="s">
        <v>132</v>
      </c>
      <c r="M3" s="150"/>
      <c r="N3" s="150"/>
      <c r="O3" s="232"/>
      <c r="Q3" s="494" t="s">
        <v>65</v>
      </c>
      <c r="R3" s="150"/>
      <c r="S3" s="150"/>
      <c r="T3" s="232"/>
    </row>
    <row r="4" spans="1:20" s="1" customFormat="1" ht="33" customHeight="1" x14ac:dyDescent="0.2">
      <c r="A4" s="150"/>
      <c r="B4" s="150"/>
      <c r="C4" s="21" t="s">
        <v>132</v>
      </c>
      <c r="D4" s="21"/>
      <c r="E4" s="21"/>
      <c r="F4" s="43" t="s">
        <v>64</v>
      </c>
      <c r="G4" s="512" t="s">
        <v>65</v>
      </c>
      <c r="H4" s="21"/>
      <c r="I4" s="21"/>
      <c r="J4" s="38"/>
      <c r="L4" s="80"/>
      <c r="M4" s="2"/>
      <c r="N4" s="2"/>
      <c r="O4" s="79"/>
      <c r="Q4" s="80"/>
      <c r="R4" s="2"/>
      <c r="S4" s="2"/>
      <c r="T4" s="79"/>
    </row>
    <row r="5" spans="1:20" s="1" customFormat="1" ht="14.25" x14ac:dyDescent="0.2">
      <c r="A5" s="4"/>
      <c r="B5" s="4"/>
      <c r="C5" s="4">
        <v>1990</v>
      </c>
      <c r="D5" s="4">
        <v>2000</v>
      </c>
      <c r="E5" s="187">
        <v>2013</v>
      </c>
      <c r="F5" s="436">
        <v>2</v>
      </c>
      <c r="G5" s="41">
        <v>1990</v>
      </c>
      <c r="H5" s="4">
        <v>2000</v>
      </c>
      <c r="I5" s="742">
        <v>2013</v>
      </c>
      <c r="J5" s="489">
        <v>2</v>
      </c>
      <c r="L5" s="80"/>
      <c r="M5" s="2"/>
      <c r="N5" s="2"/>
      <c r="O5" s="79"/>
      <c r="Q5" s="80"/>
      <c r="R5" s="2"/>
      <c r="S5" s="2"/>
      <c r="T5" s="79"/>
    </row>
    <row r="6" spans="1:20" s="1" customFormat="1" ht="12.75" x14ac:dyDescent="0.2">
      <c r="A6" s="427" t="s">
        <v>181</v>
      </c>
      <c r="B6" s="427"/>
      <c r="C6" s="437">
        <f>('Attainment 25+ by race &amp; gender'!BS5/'Pop 25+ by race &amp; gender'!AF4)*100</f>
        <v>75.235031582988583</v>
      </c>
      <c r="D6" s="437">
        <f>('Attainment 25+ by race &amp; gender'!BX5/'Pop 25+ by race &amp; gender'!AS4)*100</f>
        <v>80.398823480205891</v>
      </c>
      <c r="E6" s="437">
        <f>('Attainment 25+ by race &amp; gender'!DG5/'Pop 25+ by race &amp; gender'!DE4)*100</f>
        <v>86.2867241740921</v>
      </c>
      <c r="F6" s="437"/>
      <c r="G6" s="438">
        <f>('Attainment 25+ by race &amp; gender'!JV5/'Pop 25+ by race &amp; gender'!AF4)*100</f>
        <v>20.337742230936296</v>
      </c>
      <c r="H6" s="437">
        <f>('Attainment 25+ by race &amp; gender'!KY5/'Pop 25+ by race &amp; gender'!AS4)*100</f>
        <v>24.401627274753839</v>
      </c>
      <c r="I6" s="437">
        <f>('Attainment 25+ by race &amp; gender'!MU5/'Pop 25+ by race &amp; gender'!DE4)*100</f>
        <v>29.111974152042041</v>
      </c>
      <c r="J6" s="490"/>
      <c r="L6" s="80"/>
      <c r="M6" s="2"/>
      <c r="N6" s="2"/>
      <c r="O6" s="79"/>
      <c r="Q6" s="80"/>
      <c r="R6" s="2"/>
      <c r="S6" s="2"/>
      <c r="T6" s="79"/>
    </row>
    <row r="7" spans="1:20" s="1" customFormat="1" ht="12.75" x14ac:dyDescent="0.2">
      <c r="A7" s="428" t="s">
        <v>63</v>
      </c>
      <c r="B7" s="428"/>
      <c r="C7" s="439">
        <f>('Attainment 25+ by race &amp; gender'!BS6/'Pop 25+ by race &amp; gender'!AF5)*100</f>
        <v>71.253446406841434</v>
      </c>
      <c r="D7" s="439">
        <f>('Attainment 25+ by race &amp; gender'!BX6/'Pop 25+ by race &amp; gender'!AS5)*100</f>
        <v>77.731477376744422</v>
      </c>
      <c r="E7" s="439">
        <f>('Attainment 25+ by race &amp; gender'!DG6/'Pop 25+ by race &amp; gender'!DE5)*100</f>
        <v>84.70306455871517</v>
      </c>
      <c r="F7" s="439"/>
      <c r="G7" s="179">
        <f>('Attainment 25+ by race &amp; gender'!JV6/'Pop 25+ by race &amp; gender'!AF5)*100</f>
        <v>18.618574475525502</v>
      </c>
      <c r="H7" s="439">
        <f>('Attainment 25+ by race &amp; gender'!KY6/'Pop 25+ by race &amp; gender'!AS5)*100</f>
        <v>22.445458340036208</v>
      </c>
      <c r="I7" s="439">
        <f>('Attainment 25+ by race &amp; gender'!MU6/'Pop 25+ by race &amp; gender'!DE5)*100</f>
        <v>26.839901791672776</v>
      </c>
      <c r="J7" s="495"/>
      <c r="L7" s="80"/>
      <c r="M7" s="2"/>
      <c r="N7" s="2"/>
      <c r="O7" s="79"/>
      <c r="Q7" s="80"/>
      <c r="R7" s="2"/>
      <c r="S7" s="2"/>
      <c r="T7" s="79"/>
    </row>
    <row r="8" spans="1:20" s="1" customFormat="1" ht="12.75" x14ac:dyDescent="0.2">
      <c r="A8" s="428" t="s">
        <v>189</v>
      </c>
      <c r="B8" s="428"/>
      <c r="C8" s="439">
        <f>(C7/C$6)*100</f>
        <v>94.707804207199359</v>
      </c>
      <c r="D8" s="439">
        <f>(D7/D$6)*100</f>
        <v>96.682356795783008</v>
      </c>
      <c r="E8" s="439">
        <f>(E7/E$6)*100</f>
        <v>98.164654376979541</v>
      </c>
      <c r="F8" s="439"/>
      <c r="G8" s="179">
        <f t="shared" ref="G8:I8" si="0">(G7/G$6)*100</f>
        <v>91.546909505049584</v>
      </c>
      <c r="H8" s="439">
        <f t="shared" si="0"/>
        <v>91.983448838506348</v>
      </c>
      <c r="I8" s="439">
        <f t="shared" si="0"/>
        <v>92.195402659733773</v>
      </c>
      <c r="J8" s="495"/>
      <c r="L8" s="80"/>
      <c r="M8" s="2"/>
      <c r="N8" s="2"/>
      <c r="O8" s="79"/>
      <c r="Q8" s="80"/>
      <c r="R8" s="2"/>
      <c r="S8" s="2"/>
      <c r="T8" s="79"/>
    </row>
    <row r="9" spans="1:20" s="1" customFormat="1" ht="12.75" x14ac:dyDescent="0.2">
      <c r="A9" s="429" t="s">
        <v>0</v>
      </c>
      <c r="B9" s="429"/>
      <c r="C9" s="440">
        <f>('Attainment 25+ by race &amp; gender'!BS8/'Pop 25+ by race &amp; gender'!AF7)*100</f>
        <v>66.863775639059227</v>
      </c>
      <c r="D9" s="440">
        <f>('Attainment 25+ by race &amp; gender'!BX8/'Pop 25+ by race &amp; gender'!AS7)*100</f>
        <v>75.269065595345296</v>
      </c>
      <c r="E9" s="440">
        <f>('Attainment 25+ by race &amp; gender'!DG8/'Pop 25+ by race &amp; gender'!DE7)*100</f>
        <v>83.764205235070264</v>
      </c>
      <c r="F9" s="440"/>
      <c r="G9" s="441">
        <f>('Attainment 25+ by race &amp; gender'!JV8/'Pop 25+ by race &amp; gender'!AF7)*100</f>
        <v>15.680787943608113</v>
      </c>
      <c r="H9" s="440">
        <f>('Attainment 25+ by race &amp; gender'!KY8/'Pop 25+ by race &amp; gender'!AS7)*100</f>
        <v>19.034702500519497</v>
      </c>
      <c r="I9" s="440">
        <f>('Attainment 25+ by race &amp; gender'!MU8/'Pop 25+ by race &amp; gender'!DE7)*100</f>
        <v>23.011391574641515</v>
      </c>
      <c r="J9" s="496"/>
      <c r="L9" s="80"/>
      <c r="M9" s="2"/>
      <c r="N9" s="2"/>
      <c r="O9" s="79"/>
      <c r="Q9" s="80"/>
      <c r="R9" s="2"/>
      <c r="S9" s="2"/>
      <c r="T9" s="79"/>
    </row>
    <row r="10" spans="1:20" s="1" customFormat="1" ht="12.75" x14ac:dyDescent="0.2">
      <c r="A10" s="429" t="s">
        <v>1</v>
      </c>
      <c r="B10" s="429"/>
      <c r="C10" s="440">
        <f>('Attainment 25+ by race &amp; gender'!BS9/'Pop 25+ by race &amp; gender'!AF8)*100</f>
        <v>66.348227116265079</v>
      </c>
      <c r="D10" s="440">
        <f>('Attainment 25+ by race &amp; gender'!BX9/'Pop 25+ by race &amp; gender'!AS8)*100</f>
        <v>75.309091959334566</v>
      </c>
      <c r="E10" s="440">
        <f>('Attainment 25+ by race &amp; gender'!DG9/'Pop 25+ by race &amp; gender'!DE8)*100</f>
        <v>84.202622372066855</v>
      </c>
      <c r="F10" s="440"/>
      <c r="G10" s="441">
        <f>('Attainment 25+ by race &amp; gender'!JV9/'Pop 25+ by race &amp; gender'!AF8)*100</f>
        <v>13.321124218828325</v>
      </c>
      <c r="H10" s="440">
        <f>('Attainment 25+ by race &amp; gender'!KY9/'Pop 25+ by race &amp; gender'!AS8)*100</f>
        <v>16.660582255083177</v>
      </c>
      <c r="I10" s="440">
        <f>('Attainment 25+ by race &amp; gender'!MU9/'Pop 25+ by race &amp; gender'!DE8)*100</f>
        <v>20.688723759109159</v>
      </c>
      <c r="J10" s="496"/>
      <c r="L10" s="80"/>
      <c r="M10" s="2"/>
      <c r="N10" s="2"/>
      <c r="O10" s="79"/>
      <c r="Q10" s="80"/>
      <c r="R10" s="2"/>
      <c r="S10" s="2"/>
      <c r="T10" s="79"/>
    </row>
    <row r="11" spans="1:20" s="1" customFormat="1" ht="12.75" x14ac:dyDescent="0.2">
      <c r="A11" s="429" t="s">
        <v>2</v>
      </c>
      <c r="B11" s="429"/>
      <c r="C11" s="440">
        <f>('Attainment 25+ by race &amp; gender'!BS10/'Pop 25+ by race &amp; gender'!AF9)*100</f>
        <v>77.486061811112748</v>
      </c>
      <c r="D11" s="440">
        <f>('Attainment 25+ by race &amp; gender'!BX10/'Pop 25+ by race &amp; gender'!AS9)*100</f>
        <v>82.602815850525985</v>
      </c>
      <c r="E11" s="440">
        <f>('Attainment 25+ by race &amp; gender'!DG10/'Pop 25+ by race &amp; gender'!DE9)*100</f>
        <v>87.807080924855498</v>
      </c>
      <c r="F11" s="440"/>
      <c r="G11" s="441">
        <f>('Attainment 25+ by race &amp; gender'!JV10/'Pop 25+ by race &amp; gender'!AF9)*100</f>
        <v>21.405417515560128</v>
      </c>
      <c r="H11" s="440">
        <f>('Attainment 25+ by race &amp; gender'!KY10/'Pop 25+ by race &amp; gender'!AS9)*100</f>
        <v>25.049061706997655</v>
      </c>
      <c r="I11" s="440">
        <f>('Attainment 25+ by race &amp; gender'!MU10/'Pop 25+ by race &amp; gender'!DE9)*100</f>
        <v>29.330905501651529</v>
      </c>
      <c r="J11" s="496"/>
      <c r="L11" s="80"/>
      <c r="M11" s="2"/>
      <c r="N11" s="2"/>
      <c r="O11" s="79"/>
      <c r="Q11" s="80"/>
      <c r="R11" s="2"/>
      <c r="S11" s="2"/>
      <c r="T11" s="79"/>
    </row>
    <row r="12" spans="1:20" s="1" customFormat="1" ht="12.75" x14ac:dyDescent="0.2">
      <c r="A12" s="429" t="s">
        <v>3</v>
      </c>
      <c r="B12" s="429"/>
      <c r="C12" s="440">
        <f>('Attainment 25+ by race &amp; gender'!BS11/'Pop 25+ by race &amp; gender'!AF10)*100</f>
        <v>74.445470143019691</v>
      </c>
      <c r="D12" s="440">
        <f>('Attainment 25+ by race &amp; gender'!BX11/'Pop 25+ by race &amp; gender'!AS10)*100</f>
        <v>79.863768856049333</v>
      </c>
      <c r="E12" s="440">
        <f>('Attainment 25+ by race &amp; gender'!DG11/'Pop 25+ by race &amp; gender'!DE10)*100</f>
        <v>86.389134314160188</v>
      </c>
      <c r="F12" s="440"/>
      <c r="G12" s="441">
        <f>('Attainment 25+ by race &amp; gender'!JV11/'Pop 25+ by race &amp; gender'!AF10)*100</f>
        <v>18.278094889170543</v>
      </c>
      <c r="H12" s="440">
        <f>('Attainment 25+ by race &amp; gender'!KY11/'Pop 25+ by race &amp; gender'!AS10)*100</f>
        <v>22.334759985468917</v>
      </c>
      <c r="I12" s="440">
        <f>('Attainment 25+ by race &amp; gender'!MU11/'Pop 25+ by race &amp; gender'!DE10)*100</f>
        <v>26.620711421390443</v>
      </c>
      <c r="J12" s="496"/>
      <c r="L12" s="80"/>
      <c r="M12" s="2"/>
      <c r="N12" s="2"/>
      <c r="O12" s="79"/>
      <c r="Q12" s="80"/>
      <c r="R12" s="2"/>
      <c r="S12" s="2"/>
      <c r="T12" s="79"/>
    </row>
    <row r="13" spans="1:20" s="1" customFormat="1" ht="12.75" x14ac:dyDescent="0.2">
      <c r="A13" s="430" t="s">
        <v>4</v>
      </c>
      <c r="B13" s="430"/>
      <c r="C13" s="442">
        <f>('Attainment 25+ by race &amp; gender'!BS12/'Pop 25+ by race &amp; gender'!AF11)*100</f>
        <v>70.924859945021907</v>
      </c>
      <c r="D13" s="442">
        <f>('Attainment 25+ by race &amp; gender'!BX12/'Pop 25+ by race &amp; gender'!AS11)*100</f>
        <v>78.570063623645751</v>
      </c>
      <c r="E13" s="439">
        <f>('Attainment 25+ by race &amp; gender'!DG12/'Pop 25+ by race &amp; gender'!DE11)*100</f>
        <v>84.962123412465672</v>
      </c>
      <c r="F13" s="442"/>
      <c r="G13" s="237">
        <f>('Attainment 25+ by race &amp; gender'!JV12/'Pop 25+ by race &amp; gender'!AF11)*100</f>
        <v>19.315855665080949</v>
      </c>
      <c r="H13" s="442">
        <f>('Attainment 25+ by race &amp; gender'!KY12/'Pop 25+ by race &amp; gender'!AS11)*100</f>
        <v>24.299778344049759</v>
      </c>
      <c r="I13" s="439">
        <f>('Attainment 25+ by race &amp; gender'!MU12/'Pop 25+ by race &amp; gender'!DE11)*100</f>
        <v>28.126707928661599</v>
      </c>
      <c r="J13" s="26"/>
      <c r="L13" s="80"/>
      <c r="M13" s="2"/>
      <c r="N13" s="2"/>
      <c r="O13" s="79"/>
      <c r="Q13" s="80"/>
      <c r="R13" s="2"/>
      <c r="S13" s="2"/>
      <c r="T13" s="79"/>
    </row>
    <row r="14" spans="1:20" s="1" customFormat="1" ht="12.75" x14ac:dyDescent="0.2">
      <c r="A14" s="430" t="s">
        <v>5</v>
      </c>
      <c r="B14" s="430"/>
      <c r="C14" s="442">
        <f>('Attainment 25+ by race &amp; gender'!BS13/'Pop 25+ by race &amp; gender'!AF12)*100</f>
        <v>64.613706293466592</v>
      </c>
      <c r="D14" s="442">
        <f>('Attainment 25+ by race &amp; gender'!BX13/'Pop 25+ by race &amp; gender'!AS12)*100</f>
        <v>74.115750584662848</v>
      </c>
      <c r="E14" s="439">
        <f>('Attainment 25+ by race &amp; gender'!DG13/'Pop 25+ by race &amp; gender'!DE12)*100</f>
        <v>83.590547256398068</v>
      </c>
      <c r="F14" s="442"/>
      <c r="G14" s="237">
        <f>('Attainment 25+ by race &amp; gender'!JV13/'Pop 25+ by race &amp; gender'!AF12)*100</f>
        <v>13.631095284024179</v>
      </c>
      <c r="H14" s="442">
        <f>('Attainment 25+ by race &amp; gender'!KY13/'Pop 25+ by race &amp; gender'!AS12)*100</f>
        <v>17.13533532572777</v>
      </c>
      <c r="I14" s="439">
        <f>('Attainment 25+ by race &amp; gender'!MU13/'Pop 25+ by race &amp; gender'!DE12)*100</f>
        <v>21.803914572452001</v>
      </c>
      <c r="J14" s="26"/>
      <c r="L14" s="80"/>
      <c r="M14" s="2"/>
      <c r="N14" s="2"/>
      <c r="O14" s="79"/>
      <c r="Q14" s="80"/>
      <c r="R14" s="2"/>
      <c r="S14" s="2"/>
      <c r="T14" s="79"/>
    </row>
    <row r="15" spans="1:20" s="1" customFormat="1" ht="12.75" x14ac:dyDescent="0.2">
      <c r="A15" s="430" t="s">
        <v>6</v>
      </c>
      <c r="B15" s="430"/>
      <c r="C15" s="442">
        <f>('Attainment 25+ by race &amp; gender'!BS14/'Pop 25+ by race &amp; gender'!AF13)*100</f>
        <v>68.31399680093844</v>
      </c>
      <c r="D15" s="442">
        <f>('Attainment 25+ by race &amp; gender'!BX14/'Pop 25+ by race &amp; gender'!AS13)*100</f>
        <v>74.813184659307908</v>
      </c>
      <c r="E15" s="439">
        <f>('Attainment 25+ by race &amp; gender'!DG14/'Pop 25+ by race &amp; gender'!DE13)*100</f>
        <v>82.846874511063632</v>
      </c>
      <c r="F15" s="442"/>
      <c r="G15" s="237">
        <f>('Attainment 25+ by race &amp; gender'!JV14/'Pop 25+ by race &amp; gender'!AF13)*100</f>
        <v>16.126289616766929</v>
      </c>
      <c r="H15" s="442">
        <f>('Attainment 25+ by race &amp; gender'!KY14/'Pop 25+ by race &amp; gender'!AS13)*100</f>
        <v>18.727580357618969</v>
      </c>
      <c r="I15" s="439">
        <f>('Attainment 25+ by race &amp; gender'!MU14/'Pop 25+ by race &amp; gender'!DE13)*100</f>
        <v>21.922154851195589</v>
      </c>
      <c r="J15" s="26"/>
      <c r="L15" s="80"/>
      <c r="M15" s="2"/>
      <c r="N15" s="2"/>
      <c r="O15" s="79"/>
      <c r="Q15" s="80"/>
      <c r="R15" s="2"/>
      <c r="S15" s="2"/>
      <c r="T15" s="79"/>
    </row>
    <row r="16" spans="1:20" s="1" customFormat="1" ht="12.75" x14ac:dyDescent="0.2">
      <c r="A16" s="430" t="s">
        <v>7</v>
      </c>
      <c r="B16" s="430"/>
      <c r="C16" s="442">
        <f>('Attainment 25+ by race &amp; gender'!BS15/'Pop 25+ by race &amp; gender'!AF14)*100</f>
        <v>78.4180499669353</v>
      </c>
      <c r="D16" s="442">
        <f>('Attainment 25+ by race &amp; gender'!BX15/'Pop 25+ by race &amp; gender'!AS14)*100</f>
        <v>83.834340076582109</v>
      </c>
      <c r="E16" s="439">
        <f>('Attainment 25+ by race &amp; gender'!DG15/'Pop 25+ by race &amp; gender'!DE14)*100</f>
        <v>89.006517077927398</v>
      </c>
      <c r="F16" s="442"/>
      <c r="G16" s="237">
        <f>('Attainment 25+ by race &amp; gender'!JV15/'Pop 25+ by race &amp; gender'!AF14)*100</f>
        <v>26.457016682865437</v>
      </c>
      <c r="H16" s="442">
        <f>('Attainment 25+ by race &amp; gender'!KY15/'Pop 25+ by race &amp; gender'!AS14)*100</f>
        <v>31.449867619103472</v>
      </c>
      <c r="I16" s="439">
        <f>('Attainment 25+ by race &amp; gender'!MU15/'Pop 25+ by race &amp; gender'!DE14)*100</f>
        <v>37.093627024089365</v>
      </c>
      <c r="J16" s="26"/>
      <c r="L16" s="80"/>
      <c r="M16" s="2"/>
      <c r="N16" s="2"/>
      <c r="O16" s="79"/>
      <c r="Q16" s="80"/>
      <c r="R16" s="2"/>
      <c r="S16" s="2"/>
      <c r="T16" s="79"/>
    </row>
    <row r="17" spans="1:20" s="1" customFormat="1" ht="12.75" x14ac:dyDescent="0.2">
      <c r="A17" s="429" t="s">
        <v>8</v>
      </c>
      <c r="B17" s="429"/>
      <c r="C17" s="440">
        <f>('Attainment 25+ by race &amp; gender'!BS16/'Pop 25+ by race &amp; gender'!AF15)*100</f>
        <v>64.282906334450303</v>
      </c>
      <c r="D17" s="440">
        <f>('Attainment 25+ by race &amp; gender'!BX16/'Pop 25+ by race &amp; gender'!AS15)*100</f>
        <v>72.857730536888127</v>
      </c>
      <c r="E17" s="440">
        <f>('Attainment 25+ by race &amp; gender'!DG16/'Pop 25+ by race &amp; gender'!DE15)*100</f>
        <v>81.844552738256766</v>
      </c>
      <c r="F17" s="440"/>
      <c r="G17" s="441">
        <f>('Attainment 25+ by race &amp; gender'!JV16/'Pop 25+ by race &amp; gender'!AF15)*100</f>
        <v>14.746422507646214</v>
      </c>
      <c r="H17" s="440">
        <f>('Attainment 25+ by race &amp; gender'!KY16/'Pop 25+ by race &amp; gender'!AS15)*100</f>
        <v>16.904018567103478</v>
      </c>
      <c r="I17" s="440">
        <f>('Attainment 25+ by race &amp; gender'!MU16/'Pop 25+ by race &amp; gender'!DE15)*100</f>
        <v>20.224336233615894</v>
      </c>
      <c r="J17" s="496"/>
      <c r="L17" s="80"/>
      <c r="M17" s="2"/>
      <c r="N17" s="2"/>
      <c r="O17" s="79"/>
      <c r="Q17" s="80"/>
      <c r="R17" s="2"/>
      <c r="S17" s="2"/>
      <c r="T17" s="79"/>
    </row>
    <row r="18" spans="1:20" s="1" customFormat="1" ht="12.75" x14ac:dyDescent="0.2">
      <c r="A18" s="429" t="s">
        <v>9</v>
      </c>
      <c r="B18" s="429"/>
      <c r="C18" s="440">
        <f>('Attainment 25+ by race &amp; gender'!BS17/'Pop 25+ by race &amp; gender'!AF16)*100</f>
        <v>69.96006106979344</v>
      </c>
      <c r="D18" s="440">
        <f>('Attainment 25+ by race &amp; gender'!BX17/'Pop 25+ by race &amp; gender'!AS16)*100</f>
        <v>78.142621399910723</v>
      </c>
      <c r="E18" s="440">
        <f>('Attainment 25+ by race &amp; gender'!DG17/'Pop 25+ by race &amp; gender'!DE16)*100</f>
        <v>85.197165956090686</v>
      </c>
      <c r="F18" s="440"/>
      <c r="G18" s="441">
        <f>('Attainment 25+ by race &amp; gender'!JV17/'Pop 25+ by race &amp; gender'!AF16)*100</f>
        <v>17.375103855794787</v>
      </c>
      <c r="H18" s="440">
        <f>('Attainment 25+ by race &amp; gender'!KY17/'Pop 25+ by race &amp; gender'!AS16)*100</f>
        <v>22.462887521734835</v>
      </c>
      <c r="I18" s="440">
        <f>('Attainment 25+ by race &amp; gender'!MU17/'Pop 25+ by race &amp; gender'!DE16)*100</f>
        <v>27.597270007467905</v>
      </c>
      <c r="J18" s="496"/>
      <c r="L18" s="80"/>
      <c r="M18" s="2"/>
      <c r="N18" s="2"/>
      <c r="O18" s="79"/>
      <c r="Q18" s="80"/>
      <c r="R18" s="2"/>
      <c r="S18" s="2"/>
      <c r="T18" s="79"/>
    </row>
    <row r="19" spans="1:20" s="1" customFormat="1" ht="12.75" x14ac:dyDescent="0.2">
      <c r="A19" s="429" t="s">
        <v>10</v>
      </c>
      <c r="B19" s="429"/>
      <c r="C19" s="440">
        <f>('Attainment 25+ by race &amp; gender'!BS18/'Pop 25+ by race &amp; gender'!AF17)*100</f>
        <v>74.593820661673917</v>
      </c>
      <c r="D19" s="440">
        <f>('Attainment 25+ by race &amp; gender'!BX18/'Pop 25+ by race &amp; gender'!AS17)*100</f>
        <v>80.608286321591621</v>
      </c>
      <c r="E19" s="440">
        <f>('Attainment 25+ by race &amp; gender'!DG18/'Pop 25+ by race &amp; gender'!DE17)*100</f>
        <v>86.565095449635749</v>
      </c>
      <c r="F19" s="440"/>
      <c r="G19" s="441">
        <f>('Attainment 25+ by race &amp; gender'!JV18/'Pop 25+ by race &amp; gender'!AF17)*100</f>
        <v>17.789151578812323</v>
      </c>
      <c r="H19" s="440">
        <f>('Attainment 25+ by race &amp; gender'!KY18/'Pop 25+ by race &amp; gender'!AS17)*100</f>
        <v>20.278525562904047</v>
      </c>
      <c r="I19" s="440">
        <f>('Attainment 25+ by race &amp; gender'!MU18/'Pop 25+ by race &amp; gender'!DE17)*100</f>
        <v>23.79405116561956</v>
      </c>
      <c r="J19" s="496"/>
      <c r="L19" s="80"/>
      <c r="M19" s="2"/>
      <c r="N19" s="2"/>
      <c r="O19" s="79"/>
      <c r="Q19" s="80"/>
      <c r="R19" s="2"/>
      <c r="S19" s="2"/>
      <c r="T19" s="79"/>
    </row>
    <row r="20" spans="1:20" s="1" customFormat="1" ht="12.75" x14ac:dyDescent="0.2">
      <c r="A20" s="429" t="s">
        <v>11</v>
      </c>
      <c r="B20" s="429"/>
      <c r="C20" s="440">
        <f>('Attainment 25+ by race &amp; gender'!BS19/'Pop 25+ by race &amp; gender'!AF18)*100</f>
        <v>68.293819403115904</v>
      </c>
      <c r="D20" s="440">
        <f>('Attainment 25+ by race &amp; gender'!BX19/'Pop 25+ by race &amp; gender'!AS18)*100</f>
        <v>76.337571889168373</v>
      </c>
      <c r="E20" s="440">
        <f>('Attainment 25+ by race &amp; gender'!DG19/'Pop 25+ by race &amp; gender'!DE18)*100</f>
        <v>84.883069686817336</v>
      </c>
      <c r="F20" s="440"/>
      <c r="G20" s="441">
        <f>('Attainment 25+ by race &amp; gender'!JV19/'Pop 25+ by race &amp; gender'!AF18)*100</f>
        <v>16.646736698360854</v>
      </c>
      <c r="H20" s="440">
        <f>('Attainment 25+ by race &amp; gender'!KY19/'Pop 25+ by race &amp; gender'!AS18)*100</f>
        <v>20.41806464535961</v>
      </c>
      <c r="I20" s="440">
        <f>('Attainment 25+ by race &amp; gender'!MU19/'Pop 25+ by race &amp; gender'!DE18)*100</f>
        <v>25.023125034845943</v>
      </c>
      <c r="J20" s="496"/>
      <c r="L20" s="80"/>
      <c r="M20" s="2"/>
      <c r="N20" s="2"/>
      <c r="O20" s="79"/>
      <c r="Q20" s="80"/>
      <c r="R20" s="2"/>
      <c r="S20" s="2"/>
      <c r="T20" s="79"/>
    </row>
    <row r="21" spans="1:20" s="1" customFormat="1" ht="12.75" x14ac:dyDescent="0.2">
      <c r="A21" s="431" t="s">
        <v>12</v>
      </c>
      <c r="B21" s="431"/>
      <c r="C21" s="17">
        <f>('Attainment 25+ by race &amp; gender'!BS20/'Pop 25+ by race &amp; gender'!AF19)*100</f>
        <v>67.063005365290181</v>
      </c>
      <c r="D21" s="17">
        <f>('Attainment 25+ by race &amp; gender'!BX20/'Pop 25+ by race &amp; gender'!AS19)*100</f>
        <v>75.922527749532165</v>
      </c>
      <c r="E21" s="439">
        <f>('Attainment 25+ by race &amp; gender'!DG20/'Pop 25+ by race &amp; gender'!DE19)*100</f>
        <v>84.98735438390203</v>
      </c>
      <c r="F21" s="17"/>
      <c r="G21" s="237">
        <f>('Attainment 25+ by race &amp; gender'!JV20/'Pop 25+ by race &amp; gender'!AF19)*100</f>
        <v>15.959874688840566</v>
      </c>
      <c r="H21" s="17">
        <f>('Attainment 25+ by race &amp; gender'!KY20/'Pop 25+ by race &amp; gender'!AS19)*100</f>
        <v>19.564808722624306</v>
      </c>
      <c r="I21" s="439">
        <f>('Attainment 25+ by race &amp; gender'!MU20/'Pop 25+ by race &amp; gender'!DE19)*100</f>
        <v>24.248087121268931</v>
      </c>
      <c r="J21" s="26"/>
      <c r="L21" s="80"/>
      <c r="M21" s="2"/>
      <c r="N21" s="2"/>
      <c r="O21" s="79"/>
      <c r="Q21" s="80"/>
      <c r="R21" s="2"/>
      <c r="S21" s="2"/>
      <c r="T21" s="79"/>
    </row>
    <row r="22" spans="1:20" s="1" customFormat="1" ht="12.75" x14ac:dyDescent="0.2">
      <c r="A22" s="431" t="s">
        <v>13</v>
      </c>
      <c r="B22" s="431"/>
      <c r="C22" s="17">
        <f>('Attainment 25+ by race &amp; gender'!BS21/'Pop 25+ by race &amp; gender'!AF20)*100</f>
        <v>72.139762894611906</v>
      </c>
      <c r="D22" s="17">
        <f>('Attainment 25+ by race &amp; gender'!BX21/'Pop 25+ by race &amp; gender'!AS20)*100</f>
        <v>75.650167662257829</v>
      </c>
      <c r="E22" s="439">
        <f>('Attainment 25+ by race &amp; gender'!DG21/'Pop 25+ by race &amp; gender'!DE20)*100</f>
        <v>81.510310539751003</v>
      </c>
      <c r="F22" s="17"/>
      <c r="G22" s="237">
        <f>('Attainment 25+ by race &amp; gender'!JV21/'Pop 25+ by race &amp; gender'!AF20)*100</f>
        <v>20.31796388281774</v>
      </c>
      <c r="H22" s="17">
        <f>('Attainment 25+ by race &amp; gender'!KY21/'Pop 25+ by race &amp; gender'!AS20)*100</f>
        <v>23.237572232056042</v>
      </c>
      <c r="I22" s="439">
        <f>('Attainment 25+ by race &amp; gender'!MU21/'Pop 25+ by race &amp; gender'!DE20)*100</f>
        <v>26.931242116286263</v>
      </c>
      <c r="J22" s="26"/>
      <c r="L22" s="80"/>
      <c r="M22" s="2"/>
      <c r="N22" s="2"/>
      <c r="O22" s="79"/>
      <c r="Q22" s="80"/>
      <c r="R22" s="2"/>
      <c r="S22" s="2"/>
      <c r="T22" s="79"/>
    </row>
    <row r="23" spans="1:20" s="1" customFormat="1" ht="12.75" x14ac:dyDescent="0.2">
      <c r="A23" s="431" t="s">
        <v>14</v>
      </c>
      <c r="B23" s="431"/>
      <c r="C23" s="17">
        <f>('Attainment 25+ by race &amp; gender'!BS22/'Pop 25+ by race &amp; gender'!AF21)*100</f>
        <v>75.163542243737695</v>
      </c>
      <c r="D23" s="17">
        <f>('Attainment 25+ by race &amp; gender'!BX22/'Pop 25+ by race &amp; gender'!AS21)*100</f>
        <v>81.472274949459717</v>
      </c>
      <c r="E23" s="439">
        <f>('Attainment 25+ by race &amp; gender'!DG22/'Pop 25+ by race &amp; gender'!DE21)*100</f>
        <v>87.956496843419075</v>
      </c>
      <c r="F23" s="17"/>
      <c r="G23" s="237">
        <f>('Attainment 25+ by race &amp; gender'!JV22/'Pop 25+ by race &amp; gender'!AF21)*100</f>
        <v>24.476466068600946</v>
      </c>
      <c r="H23" s="17">
        <f>('Attainment 25+ by race &amp; gender'!KY22/'Pop 25+ by race &amp; gender'!AS21)*100</f>
        <v>29.46461365447114</v>
      </c>
      <c r="I23" s="439">
        <f>('Attainment 25+ by race &amp; gender'!MU22/'Pop 25+ by race &amp; gender'!DE21)*100</f>
        <v>35.501811722344527</v>
      </c>
      <c r="J23" s="26"/>
      <c r="L23" s="80"/>
      <c r="M23" s="2"/>
      <c r="N23" s="2"/>
      <c r="O23" s="79"/>
      <c r="Q23" s="80"/>
      <c r="R23" s="2"/>
      <c r="S23" s="2"/>
      <c r="T23" s="79"/>
    </row>
    <row r="24" spans="1:20" s="1" customFormat="1" ht="12.75" x14ac:dyDescent="0.2">
      <c r="A24" s="432" t="s">
        <v>15</v>
      </c>
      <c r="B24" s="432"/>
      <c r="C24" s="443">
        <f>('Attainment 25+ by race &amp; gender'!BS23/'Pop 25+ by race &amp; gender'!AF22)*100</f>
        <v>65.989199208715732</v>
      </c>
      <c r="D24" s="443">
        <f>('Attainment 25+ by race &amp; gender'!BX23/'Pop 25+ by race &amp; gender'!AS22)*100</f>
        <v>75.20924852117534</v>
      </c>
      <c r="E24" s="437">
        <f>('Attainment 25+ by race &amp; gender'!DG23/'Pop 25+ by race &amp; gender'!DE22)*100</f>
        <v>84.453020131643896</v>
      </c>
      <c r="F24" s="443"/>
      <c r="G24" s="444">
        <f>('Attainment 25+ by race &amp; gender'!JV23/'Pop 25+ by race &amp; gender'!AF22)*100</f>
        <v>12.333349832645766</v>
      </c>
      <c r="H24" s="443">
        <f>('Attainment 25+ by race &amp; gender'!KY23/'Pop 25+ by race &amp; gender'!AS22)*100</f>
        <v>14.831616245710658</v>
      </c>
      <c r="I24" s="437">
        <f>('Attainment 25+ by race &amp; gender'!MU23/'Pop 25+ by race &amp; gender'!DE22)*100</f>
        <v>18.842621079812677</v>
      </c>
      <c r="J24" s="230"/>
      <c r="L24" s="80"/>
      <c r="M24" s="2"/>
      <c r="N24" s="2"/>
      <c r="O24" s="79"/>
      <c r="Q24" s="80"/>
      <c r="R24" s="2"/>
      <c r="S24" s="2"/>
      <c r="T24" s="79"/>
    </row>
    <row r="25" spans="1:20" s="1" customFormat="1" ht="12.75" x14ac:dyDescent="0.2">
      <c r="A25" s="428" t="s">
        <v>183</v>
      </c>
      <c r="B25" s="428"/>
      <c r="C25" s="439">
        <f>('Attainment 25+ by race &amp; gender'!BS24/'Pop 25+ by race &amp; gender'!AF23)*100</f>
        <v>78.559427830414037</v>
      </c>
      <c r="D25" s="439">
        <f>('Attainment 25+ by race &amp; gender'!BX24/'Pop 25+ by race &amp; gender'!AS23)*100</f>
        <v>80.470912496939249</v>
      </c>
      <c r="E25" s="439">
        <f>('Attainment 25+ by race &amp; gender'!DG24/'Pop 25+ by race &amp; gender'!DE23)*100</f>
        <v>84.975609182814182</v>
      </c>
      <c r="F25" s="439"/>
      <c r="G25" s="179">
        <f>('Attainment 25+ by race &amp; gender'!JV24/'Pop 25+ by race &amp; gender'!AF23)*100</f>
        <v>22.664637831000775</v>
      </c>
      <c r="H25" s="439">
        <f>('Attainment 25+ by race &amp; gender'!KY24/'Pop 25+ by race &amp; gender'!AS23)*100</f>
        <v>26.232987063315257</v>
      </c>
      <c r="I25" s="439">
        <f>('Attainment 25+ by race &amp; gender'!MU24/'Pop 25+ by race &amp; gender'!DE23)*100</f>
        <v>30.343696073823441</v>
      </c>
      <c r="J25" s="495"/>
      <c r="L25" s="80"/>
      <c r="M25" s="2"/>
      <c r="N25" s="2"/>
      <c r="O25" s="79"/>
      <c r="Q25" s="80"/>
      <c r="R25" s="2"/>
      <c r="S25" s="2"/>
      <c r="T25" s="79"/>
    </row>
    <row r="26" spans="1:20" s="1" customFormat="1" ht="12.75" x14ac:dyDescent="0.2">
      <c r="A26" s="428" t="s">
        <v>189</v>
      </c>
      <c r="B26" s="428"/>
      <c r="C26" s="439">
        <f>(C25/C$6)*100</f>
        <v>104.41868126785918</v>
      </c>
      <c r="D26" s="439">
        <f>(D25/D$6)*100</f>
        <v>100.08966426822292</v>
      </c>
      <c r="E26" s="439">
        <f>(E25/E$6)*100</f>
        <v>98.480513655110357</v>
      </c>
      <c r="F26" s="439"/>
      <c r="G26" s="179">
        <f t="shared" ref="G26:I26" si="1">(G25/G$6)*100</f>
        <v>111.44126803084843</v>
      </c>
      <c r="H26" s="439">
        <f t="shared" si="1"/>
        <v>107.50507237874321</v>
      </c>
      <c r="I26" s="439">
        <f t="shared" si="1"/>
        <v>104.23098040465592</v>
      </c>
      <c r="J26" s="495"/>
      <c r="L26" s="41"/>
      <c r="M26" s="4"/>
      <c r="N26" s="4"/>
      <c r="O26" s="233"/>
      <c r="Q26" s="41"/>
      <c r="R26" s="4"/>
      <c r="S26" s="4"/>
      <c r="T26" s="233"/>
    </row>
    <row r="27" spans="1:20" s="1" customFormat="1" ht="12.75" x14ac:dyDescent="0.2">
      <c r="A27" s="429" t="s">
        <v>17</v>
      </c>
      <c r="B27" s="429"/>
      <c r="C27" s="440">
        <f>('Attainment 25+ by race &amp; gender'!BS26/'Pop 25+ by race &amp; gender'!AF25)*100</f>
        <v>86.629523017416503</v>
      </c>
      <c r="D27" s="440">
        <f>('Attainment 25+ by race &amp; gender'!BX26/'Pop 25+ by race &amp; gender'!AS25)*100</f>
        <v>88.33321038265764</v>
      </c>
      <c r="E27" s="440">
        <f>('Attainment 25+ by race &amp; gender'!DG26/'Pop 25+ by race &amp; gender'!DE25)*100</f>
        <v>91.771429066771276</v>
      </c>
      <c r="F27" s="440"/>
      <c r="G27" s="441">
        <f>('Attainment 25+ by race &amp; gender'!JV26/'Pop 25+ by race &amp; gender'!AF25)*100</f>
        <v>23.033494213567739</v>
      </c>
      <c r="H27" s="440">
        <f>('Attainment 25+ by race &amp; gender'!KY26/'Pop 25+ by race &amp; gender'!AS25)*100</f>
        <v>24.714930076194292</v>
      </c>
      <c r="I27" s="440">
        <f>('Attainment 25+ by race &amp; gender'!MU26/'Pop 25+ by race &amp; gender'!DE25)*100</f>
        <v>27.426474890614401</v>
      </c>
      <c r="J27" s="496"/>
      <c r="L27" s="2"/>
      <c r="M27" s="2"/>
      <c r="N27" s="2"/>
      <c r="O27" s="2"/>
      <c r="Q27" s="2"/>
      <c r="R27" s="2"/>
      <c r="S27" s="2"/>
      <c r="T27" s="2"/>
    </row>
    <row r="28" spans="1:20" s="1" customFormat="1" ht="12.75" x14ac:dyDescent="0.2">
      <c r="A28" s="429" t="s">
        <v>18</v>
      </c>
      <c r="B28" s="429"/>
      <c r="C28" s="440">
        <f>('Attainment 25+ by race &amp; gender'!BS27/'Pop 25+ by race &amp; gender'!AF26)*100</f>
        <v>78.659616361540202</v>
      </c>
      <c r="D28" s="440">
        <f>('Attainment 25+ by race &amp; gender'!BX27/'Pop 25+ by race &amp; gender'!AS26)*100</f>
        <v>80.973218958142411</v>
      </c>
      <c r="E28" s="440">
        <f>('Attainment 25+ by race &amp; gender'!DG27/'Pop 25+ by race &amp; gender'!DE26)*100</f>
        <v>85.78072963777349</v>
      </c>
      <c r="F28" s="440"/>
      <c r="G28" s="441">
        <f>('Attainment 25+ by race &amp; gender'!JV27/'Pop 25+ by race &amp; gender'!AF26)*100</f>
        <v>20.288443696421439</v>
      </c>
      <c r="H28" s="440">
        <f>('Attainment 25+ by race &amp; gender'!KY27/'Pop 25+ by race &amp; gender'!AS26)*100</f>
        <v>23.530979821779113</v>
      </c>
      <c r="I28" s="440">
        <f>('Attainment 25+ by race &amp; gender'!MU27/'Pop 25+ by race &amp; gender'!DE26)*100</f>
        <v>27.151733267572375</v>
      </c>
      <c r="J28" s="496"/>
      <c r="L28" s="2"/>
      <c r="M28" s="2"/>
      <c r="N28" s="2"/>
      <c r="O28" s="2"/>
      <c r="Q28" s="2"/>
      <c r="R28" s="2"/>
      <c r="S28" s="2"/>
      <c r="T28" s="2"/>
    </row>
    <row r="29" spans="1:20" s="1" customFormat="1" ht="12.75" x14ac:dyDescent="0.2">
      <c r="A29" s="429" t="s">
        <v>19</v>
      </c>
      <c r="B29" s="429"/>
      <c r="C29" s="440">
        <f>('Attainment 25+ by race &amp; gender'!BS28/'Pop 25+ by race &amp; gender'!AF27)*100</f>
        <v>76.194655194814544</v>
      </c>
      <c r="D29" s="440">
        <f>('Attainment 25+ by race &amp; gender'!BX28/'Pop 25+ by race &amp; gender'!AS27)*100</f>
        <v>76.793435341731268</v>
      </c>
      <c r="E29" s="440">
        <f>('Attainment 25+ by race &amp; gender'!DG28/'Pop 25+ by race &amp; gender'!DE27)*100</f>
        <v>81.452724883638624</v>
      </c>
      <c r="F29" s="440"/>
      <c r="G29" s="441">
        <f>('Attainment 25+ by race &amp; gender'!JV28/'Pop 25+ by race &amp; gender'!AF27)*100</f>
        <v>23.356819735060295</v>
      </c>
      <c r="H29" s="440">
        <f>('Attainment 25+ by race &amp; gender'!KY28/'Pop 25+ by race &amp; gender'!AS27)*100</f>
        <v>26.620933475437695</v>
      </c>
      <c r="I29" s="440">
        <f>('Attainment 25+ by race &amp; gender'!MU28/'Pop 25+ by race &amp; gender'!DE27)*100</f>
        <v>30.799787133653979</v>
      </c>
      <c r="J29" s="496"/>
      <c r="L29" s="2"/>
      <c r="M29" s="2"/>
      <c r="N29" s="2"/>
      <c r="O29" s="2"/>
      <c r="Q29" s="2"/>
      <c r="R29" s="2"/>
      <c r="S29" s="2"/>
      <c r="T29" s="2"/>
    </row>
    <row r="30" spans="1:20" s="1" customFormat="1" ht="12.75" x14ac:dyDescent="0.2">
      <c r="A30" s="429" t="s">
        <v>20</v>
      </c>
      <c r="B30" s="429"/>
      <c r="C30" s="440">
        <f>('Attainment 25+ by race &amp; gender'!BS29/'Pop 25+ by race &amp; gender'!AF28)*100</f>
        <v>84.430717127843764</v>
      </c>
      <c r="D30" s="440">
        <f>('Attainment 25+ by race &amp; gender'!BX29/'Pop 25+ by race &amp; gender'!AS28)*100</f>
        <v>86.925202907695365</v>
      </c>
      <c r="E30" s="440">
        <f>('Attainment 25+ by race &amp; gender'!DG29/'Pop 25+ by race &amp; gender'!DE28)*100</f>
        <v>90.429129877147943</v>
      </c>
      <c r="F30" s="440"/>
      <c r="G30" s="441">
        <f>('Attainment 25+ by race &amp; gender'!JV29/'Pop 25+ by race &amp; gender'!AF28)*100</f>
        <v>26.968988245299641</v>
      </c>
      <c r="H30" s="440">
        <f>('Attainment 25+ by race &amp; gender'!KY29/'Pop 25+ by race &amp; gender'!AS28)*100</f>
        <v>32.692665070488275</v>
      </c>
      <c r="I30" s="440">
        <f>('Attainment 25+ by race &amp; gender'!MU29/'Pop 25+ by race &amp; gender'!DE28)*100</f>
        <v>37.340056915037955</v>
      </c>
      <c r="J30" s="496"/>
      <c r="L30" s="2"/>
      <c r="M30" s="2"/>
      <c r="N30" s="2"/>
      <c r="O30" s="2"/>
      <c r="Q30" s="2"/>
      <c r="R30" s="2"/>
      <c r="S30" s="2"/>
      <c r="T30" s="2"/>
    </row>
    <row r="31" spans="1:20" s="1" customFormat="1" ht="12.75" x14ac:dyDescent="0.2">
      <c r="A31" s="430" t="s">
        <v>22</v>
      </c>
      <c r="B31" s="430"/>
      <c r="C31" s="442">
        <f>('Attainment 25+ by race &amp; gender'!BS30/'Pop 25+ by race &amp; gender'!AF29)*100</f>
        <v>80.064523400298668</v>
      </c>
      <c r="D31" s="442">
        <f>('Attainment 25+ by race &amp; gender'!BX30/'Pop 25+ by race &amp; gender'!AS29)*100</f>
        <v>84.571395815705614</v>
      </c>
      <c r="E31" s="439">
        <f>('Attainment 25+ by race &amp; gender'!DG30/'Pop 25+ by race &amp; gender'!DE29)*100</f>
        <v>90.636644915440002</v>
      </c>
      <c r="F31" s="442"/>
      <c r="G31" s="237">
        <f>('Attainment 25+ by race &amp; gender'!JV30/'Pop 25+ by race &amp; gender'!AF29)*100</f>
        <v>22.88242089543828</v>
      </c>
      <c r="H31" s="442">
        <f>('Attainment 25+ by race &amp; gender'!KY30/'Pop 25+ by race &amp; gender'!AS29)*100</f>
        <v>26.174083493981758</v>
      </c>
      <c r="I31" s="439">
        <f>('Attainment 25+ by race &amp; gender'!MU30/'Pop 25+ by race &amp; gender'!DE29)*100</f>
        <v>30.254860303168265</v>
      </c>
      <c r="J31" s="26"/>
      <c r="L31" s="2"/>
      <c r="M31" s="2"/>
      <c r="N31" s="2"/>
      <c r="O31" s="2"/>
      <c r="Q31" s="2"/>
      <c r="R31" s="2"/>
      <c r="S31" s="2"/>
      <c r="T31" s="2"/>
    </row>
    <row r="32" spans="1:20" s="1" customFormat="1" ht="12.75" x14ac:dyDescent="0.2">
      <c r="A32" s="430" t="s">
        <v>23</v>
      </c>
      <c r="B32" s="430"/>
      <c r="C32" s="442">
        <f>('Attainment 25+ by race &amp; gender'!BS31/'Pop 25+ by race &amp; gender'!AF30)*100</f>
        <v>79.745780752113788</v>
      </c>
      <c r="D32" s="442">
        <f>('Attainment 25+ by race &amp; gender'!BX31/'Pop 25+ by race &amp; gender'!AS30)*100</f>
        <v>84.716160532314078</v>
      </c>
      <c r="E32" s="439">
        <f>('Attainment 25+ by race &amp; gender'!DG31/'Pop 25+ by race &amp; gender'!DE30)*100</f>
        <v>89.10360645973708</v>
      </c>
      <c r="F32" s="442"/>
      <c r="G32" s="237">
        <f>('Attainment 25+ by race &amp; gender'!JV31/'Pop 25+ by race &amp; gender'!AF30)*100</f>
        <v>17.651157840117612</v>
      </c>
      <c r="H32" s="442">
        <f>('Attainment 25+ by race &amp; gender'!KY31/'Pop 25+ by race &amp; gender'!AS30)*100</f>
        <v>21.665259268195122</v>
      </c>
      <c r="I32" s="439">
        <f>('Attainment 25+ by race &amp; gender'!MU31/'Pop 25+ by race &amp; gender'!DE30)*100</f>
        <v>25.605834550343804</v>
      </c>
      <c r="J32" s="26"/>
      <c r="L32" s="2"/>
      <c r="M32" s="2"/>
      <c r="N32" s="2"/>
      <c r="O32" s="2"/>
      <c r="Q32" s="2"/>
      <c r="R32" s="2"/>
      <c r="S32" s="2"/>
      <c r="T32" s="2"/>
    </row>
    <row r="33" spans="1:20" s="1" customFormat="1" ht="12.75" x14ac:dyDescent="0.2">
      <c r="A33" s="430" t="s">
        <v>33</v>
      </c>
      <c r="B33" s="430"/>
      <c r="C33" s="442">
        <f>('Attainment 25+ by race &amp; gender'!BS32/'Pop 25+ by race &amp; gender'!AF31)*100</f>
        <v>81.004467845883937</v>
      </c>
      <c r="D33" s="442">
        <f>('Attainment 25+ by race &amp; gender'!BX32/'Pop 25+ by race &amp; gender'!AS31)*100</f>
        <v>87.153886410476261</v>
      </c>
      <c r="E33" s="439">
        <f>('Attainment 25+ by race &amp; gender'!DG32/'Pop 25+ by race &amp; gender'!DE31)*100</f>
        <v>92.51408753425018</v>
      </c>
      <c r="F33" s="442"/>
      <c r="G33" s="237">
        <f>('Attainment 25+ by race &amp; gender'!JV32/'Pop 25+ by race &amp; gender'!AF31)*100</f>
        <v>19.793403970849717</v>
      </c>
      <c r="H33" s="442">
        <f>('Attainment 25+ by race &amp; gender'!KY32/'Pop 25+ by race &amp; gender'!AS31)*100</f>
        <v>24.370249275085616</v>
      </c>
      <c r="I33" s="439">
        <f>('Attainment 25+ by race &amp; gender'!MU32/'Pop 25+ by race &amp; gender'!DE31)*100</f>
        <v>28.881126651831014</v>
      </c>
      <c r="J33" s="26"/>
      <c r="L33" s="2"/>
      <c r="M33" s="2"/>
      <c r="N33" s="2"/>
      <c r="O33" s="2"/>
      <c r="Q33" s="2"/>
      <c r="R33" s="2"/>
      <c r="S33" s="2"/>
      <c r="T33" s="2"/>
    </row>
    <row r="34" spans="1:20" s="1" customFormat="1" ht="12.75" x14ac:dyDescent="0.2">
      <c r="A34" s="430" t="s">
        <v>35</v>
      </c>
      <c r="B34" s="430"/>
      <c r="C34" s="442">
        <f>('Attainment 25+ by race &amp; gender'!BS33/'Pop 25+ by race &amp; gender'!AF32)*100</f>
        <v>78.771538350484647</v>
      </c>
      <c r="D34" s="442">
        <f>('Attainment 25+ by race &amp; gender'!BX33/'Pop 25+ by race &amp; gender'!AS32)*100</f>
        <v>80.661071489631937</v>
      </c>
      <c r="E34" s="439">
        <f>('Attainment 25+ by race &amp; gender'!DG33/'Pop 25+ by race &amp; gender'!DE32)*100</f>
        <v>84.6679760187547</v>
      </c>
      <c r="F34" s="442"/>
      <c r="G34" s="237">
        <f>('Attainment 25+ by race &amp; gender'!JV33/'Pop 25+ by race &amp; gender'!AF32)*100</f>
        <v>15.277886829154625</v>
      </c>
      <c r="H34" s="442">
        <f>('Attainment 25+ by race &amp; gender'!KY33/'Pop 25+ by race &amp; gender'!AS32)*100</f>
        <v>18.155957672862272</v>
      </c>
      <c r="I34" s="439">
        <f>('Attainment 25+ by race &amp; gender'!MU33/'Pop 25+ by race &amp; gender'!DE32)*100</f>
        <v>22.489235876247214</v>
      </c>
      <c r="J34" s="26"/>
      <c r="L34" s="2"/>
      <c r="M34" s="2"/>
      <c r="N34" s="2"/>
      <c r="O34" s="2"/>
      <c r="Q34" s="2"/>
      <c r="R34" s="2"/>
      <c r="S34" s="2"/>
      <c r="T34" s="2"/>
    </row>
    <row r="35" spans="1:20" s="1" customFormat="1" ht="12.75" x14ac:dyDescent="0.2">
      <c r="A35" s="429" t="s">
        <v>38</v>
      </c>
      <c r="B35" s="429"/>
      <c r="C35" s="440">
        <f>('Attainment 25+ by race &amp; gender'!BS34/'Pop 25+ by race &amp; gender'!AF33)*100</f>
        <v>75.073001008031738</v>
      </c>
      <c r="D35" s="440">
        <f>('Attainment 25+ by race &amp; gender'!BX34/'Pop 25+ by race &amp; gender'!AS33)*100</f>
        <v>78.852591776003024</v>
      </c>
      <c r="E35" s="440">
        <f>('Attainment 25+ by race &amp; gender'!DG34/'Pop 25+ by race &amp; gender'!DE33)*100</f>
        <v>83.851902433855585</v>
      </c>
      <c r="F35" s="440"/>
      <c r="G35" s="441">
        <f>('Attainment 25+ by race &amp; gender'!JV34/'Pop 25+ by race &amp; gender'!AF33)*100</f>
        <v>20.413834964610501</v>
      </c>
      <c r="H35" s="440">
        <f>('Attainment 25+ by race &amp; gender'!KY34/'Pop 25+ by race &amp; gender'!AS33)*100</f>
        <v>23.453363188788167</v>
      </c>
      <c r="I35" s="440">
        <f>('Attainment 25+ by race &amp; gender'!MU34/'Pop 25+ by race &amp; gender'!DE33)*100</f>
        <v>25.957839463839484</v>
      </c>
      <c r="J35" s="496"/>
      <c r="L35" s="2"/>
      <c r="M35" s="2"/>
      <c r="N35" s="2"/>
      <c r="O35" s="2"/>
      <c r="Q35" s="2"/>
      <c r="R35" s="2"/>
      <c r="S35" s="2"/>
      <c r="T35" s="2"/>
    </row>
    <row r="36" spans="1:20" s="1" customFormat="1" ht="12.75" x14ac:dyDescent="0.2">
      <c r="A36" s="429" t="s">
        <v>42</v>
      </c>
      <c r="B36" s="429"/>
      <c r="C36" s="440">
        <f>('Attainment 25+ by race &amp; gender'!BS35/'Pop 25+ by race &amp; gender'!AF34)*100</f>
        <v>81.480287748690429</v>
      </c>
      <c r="D36" s="440">
        <f>('Attainment 25+ by race &amp; gender'!BX35/'Pop 25+ by race &amp; gender'!AS34)*100</f>
        <v>85.126108508314985</v>
      </c>
      <c r="E36" s="440">
        <f>('Attainment 25+ by race &amp; gender'!DG35/'Pop 25+ by race &amp; gender'!DE34)*100</f>
        <v>89.577163752960189</v>
      </c>
      <c r="F36" s="440"/>
      <c r="G36" s="441">
        <f>('Attainment 25+ by race &amp; gender'!JV35/'Pop 25+ by race &amp; gender'!AF34)*100</f>
        <v>20.598112828229855</v>
      </c>
      <c r="H36" s="440">
        <f>('Attainment 25+ by race &amp; gender'!KY35/'Pop 25+ by race &amp; gender'!AS34)*100</f>
        <v>25.080697539491371</v>
      </c>
      <c r="I36" s="440">
        <f>('Attainment 25+ by race &amp; gender'!MU35/'Pop 25+ by race &amp; gender'!DE34)*100</f>
        <v>30.012691708196193</v>
      </c>
      <c r="J36" s="496"/>
      <c r="L36" s="2"/>
      <c r="M36" s="2"/>
      <c r="N36" s="2"/>
      <c r="O36" s="2"/>
      <c r="Q36" s="2"/>
      <c r="R36" s="2"/>
      <c r="S36" s="2"/>
      <c r="T36" s="2"/>
    </row>
    <row r="37" spans="1:20" s="1" customFormat="1" ht="12.75" x14ac:dyDescent="0.2">
      <c r="A37" s="429" t="s">
        <v>46</v>
      </c>
      <c r="B37" s="429"/>
      <c r="C37" s="440">
        <f>('Attainment 25+ by race &amp; gender'!BS36/'Pop 25+ by race &amp; gender'!AF35)*100</f>
        <v>85.14299787924277</v>
      </c>
      <c r="D37" s="440">
        <f>('Attainment 25+ by race &amp; gender'!BX36/'Pop 25+ by race &amp; gender'!AS35)*100</f>
        <v>87.727524685030033</v>
      </c>
      <c r="E37" s="440">
        <f>('Attainment 25+ by race &amp; gender'!DG36/'Pop 25+ by race &amp; gender'!DE35)*100</f>
        <v>90.977432617633625</v>
      </c>
      <c r="F37" s="440"/>
      <c r="G37" s="441">
        <f>('Attainment 25+ by race &amp; gender'!JV36/'Pop 25+ by race &amp; gender'!AF35)*100</f>
        <v>22.261041477910357</v>
      </c>
      <c r="H37" s="440">
        <f>('Attainment 25+ by race &amp; gender'!KY36/'Pop 25+ by race &amp; gender'!AS35)*100</f>
        <v>26.126144927923384</v>
      </c>
      <c r="I37" s="440">
        <f>('Attainment 25+ by race &amp; gender'!MU36/'Pop 25+ by race &amp; gender'!DE35)*100</f>
        <v>30.751271509060452</v>
      </c>
      <c r="J37" s="496"/>
      <c r="L37" s="2"/>
      <c r="M37" s="2"/>
      <c r="N37" s="2"/>
      <c r="O37" s="2"/>
      <c r="Q37" s="2"/>
      <c r="R37" s="2"/>
      <c r="S37" s="2"/>
      <c r="T37" s="2"/>
    </row>
    <row r="38" spans="1:20" s="1" customFormat="1" ht="12.75" x14ac:dyDescent="0.2">
      <c r="A38" s="429" t="s">
        <v>48</v>
      </c>
      <c r="B38" s="429"/>
      <c r="C38" s="440">
        <f>('Attainment 25+ by race &amp; gender'!BS37/'Pop 25+ by race &amp; gender'!AF36)*100</f>
        <v>83.822139912167074</v>
      </c>
      <c r="D38" s="440">
        <f>('Attainment 25+ by race &amp; gender'!BX37/'Pop 25+ by race &amp; gender'!AS36)*100</f>
        <v>87.084648048978096</v>
      </c>
      <c r="E38" s="440">
        <f>('Attainment 25+ by race &amp; gender'!DG37/'Pop 25+ by race &amp; gender'!DE36)*100</f>
        <v>90.23014725864364</v>
      </c>
      <c r="F38" s="440"/>
      <c r="G38" s="441">
        <f>('Attainment 25+ by race &amp; gender'!JV37/'Pop 25+ by race &amp; gender'!AF36)*100</f>
        <v>22.932807487229681</v>
      </c>
      <c r="H38" s="440">
        <f>('Attainment 25+ by race &amp; gender'!KY37/'Pop 25+ by race &amp; gender'!AS36)*100</f>
        <v>27.731497290534019</v>
      </c>
      <c r="I38" s="440">
        <f>('Attainment 25+ by race &amp; gender'!MU37/'Pop 25+ by race &amp; gender'!DE36)*100</f>
        <v>32.067670315285774</v>
      </c>
      <c r="J38" s="496"/>
      <c r="L38" s="2"/>
      <c r="M38" s="2"/>
      <c r="N38" s="2"/>
      <c r="O38" s="2"/>
      <c r="Q38" s="2"/>
      <c r="R38" s="2"/>
      <c r="S38" s="2"/>
      <c r="T38" s="2"/>
    </row>
    <row r="39" spans="1:20" s="1" customFormat="1" ht="12.75" x14ac:dyDescent="0.2">
      <c r="A39" s="433" t="s">
        <v>50</v>
      </c>
      <c r="B39" s="433"/>
      <c r="C39" s="445">
        <f>('Attainment 25+ by race &amp; gender'!BS38/'Pop 25+ by race &amp; gender'!AF37)*100</f>
        <v>83.038784025575211</v>
      </c>
      <c r="D39" s="445">
        <f>('Attainment 25+ by race &amp; gender'!BX38/'Pop 25+ by race &amp; gender'!AS37)*100</f>
        <v>87.861421832777367</v>
      </c>
      <c r="E39" s="445">
        <f>('Attainment 25+ by race &amp; gender'!DG38/'Pop 25+ by race &amp; gender'!DE37)*100</f>
        <v>92.317182328128155</v>
      </c>
      <c r="F39" s="445"/>
      <c r="G39" s="446">
        <f>('Attainment 25+ by race &amp; gender'!JV38/'Pop 25+ by race &amp; gender'!AF37)*100</f>
        <v>18.790793789083736</v>
      </c>
      <c r="H39" s="445">
        <f>('Attainment 25+ by race &amp; gender'!KY38/'Pop 25+ by race &amp; gender'!AS37)*100</f>
        <v>21.910074985031507</v>
      </c>
      <c r="I39" s="445">
        <f>('Attainment 25+ by race &amp; gender'!MU38/'Pop 25+ by race &amp; gender'!DE37)*100</f>
        <v>25.279617394682479</v>
      </c>
      <c r="J39" s="491"/>
      <c r="L39" s="2"/>
      <c r="M39" s="2"/>
      <c r="N39" s="2"/>
      <c r="O39" s="2"/>
      <c r="Q39" s="2"/>
      <c r="R39" s="2"/>
      <c r="S39" s="2"/>
      <c r="T39" s="2"/>
    </row>
    <row r="40" spans="1:20" s="1" customFormat="1" ht="12.75" x14ac:dyDescent="0.2">
      <c r="A40" s="428" t="s">
        <v>184</v>
      </c>
      <c r="B40" s="428"/>
      <c r="C40" s="439">
        <f>('Attainment 25+ by race &amp; gender'!BS39/'Pop 25+ by race &amp; gender'!AF38)*100</f>
        <v>77.144813907826588</v>
      </c>
      <c r="D40" s="439">
        <f>('Attainment 25+ by race &amp; gender'!BX39/'Pop 25+ by race &amp; gender'!AS38)*100</f>
        <v>83.467056256605105</v>
      </c>
      <c r="E40" s="439">
        <f>('Attainment 25+ by race &amp; gender'!DG39/'Pop 25+ by race &amp; gender'!DE38)*100</f>
        <v>89.115933208113034</v>
      </c>
      <c r="F40" s="439"/>
      <c r="G40" s="179">
        <f>('Attainment 25+ by race &amp; gender'!JV39/'Pop 25+ by race &amp; gender'!AF38)*100</f>
        <v>18.405182836556463</v>
      </c>
      <c r="H40" s="439">
        <f>('Attainment 25+ by race &amp; gender'!KY39/'Pop 25+ by race &amp; gender'!AS38)*100</f>
        <v>22.910526509529198</v>
      </c>
      <c r="I40" s="439">
        <f>('Attainment 25+ by race &amp; gender'!MU39/'Pop 25+ by race &amp; gender'!DE38)*100</f>
        <v>27.754111411297654</v>
      </c>
      <c r="J40" s="495"/>
      <c r="L40" s="2"/>
      <c r="M40" s="2"/>
      <c r="N40" s="2"/>
      <c r="O40" s="2"/>
      <c r="Q40" s="2"/>
      <c r="R40" s="2"/>
      <c r="S40" s="2"/>
      <c r="T40" s="2"/>
    </row>
    <row r="41" spans="1:20" s="1" customFormat="1" ht="12.75" x14ac:dyDescent="0.2">
      <c r="A41" s="428" t="s">
        <v>189</v>
      </c>
      <c r="B41" s="428"/>
      <c r="C41" s="439">
        <f>(C40/C$6)*100</f>
        <v>102.53842164302331</v>
      </c>
      <c r="D41" s="439">
        <f>(D40/D$6)*100</f>
        <v>103.81626576557382</v>
      </c>
      <c r="E41" s="439">
        <f>(E40/E$6)*100</f>
        <v>103.27884626644619</v>
      </c>
      <c r="F41" s="439"/>
      <c r="G41" s="179">
        <f t="shared" ref="G41:I41" si="2">(G40/G$6)*100</f>
        <v>90.497669935848819</v>
      </c>
      <c r="H41" s="439">
        <f t="shared" si="2"/>
        <v>93.889338819762443</v>
      </c>
      <c r="I41" s="439">
        <f t="shared" si="2"/>
        <v>95.335724284266234</v>
      </c>
      <c r="J41" s="495"/>
      <c r="L41" s="2"/>
      <c r="M41" s="2"/>
      <c r="N41" s="2"/>
      <c r="O41" s="2"/>
      <c r="Q41" s="2"/>
      <c r="R41" s="2"/>
      <c r="S41" s="2"/>
      <c r="T41" s="2"/>
    </row>
    <row r="42" spans="1:20" s="1" customFormat="1" ht="12.75" x14ac:dyDescent="0.2">
      <c r="A42" s="429" t="s">
        <v>24</v>
      </c>
      <c r="B42" s="429"/>
      <c r="C42" s="440">
        <f>('Attainment 25+ by race &amp; gender'!BS41/'Pop 25+ by race &amp; gender'!AF40)*100</f>
        <v>76.20228052641032</v>
      </c>
      <c r="D42" s="440">
        <f>('Attainment 25+ by race &amp; gender'!BX41/'Pop 25+ by race &amp; gender'!AS40)*100</f>
        <v>81.433357358235625</v>
      </c>
      <c r="E42" s="440">
        <f>('Attainment 25+ by race &amp; gender'!DG41/'Pop 25+ by race &amp; gender'!DE40)*100</f>
        <v>87.553355301077929</v>
      </c>
      <c r="F42" s="440"/>
      <c r="G42" s="441">
        <f>('Attainment 25+ by race &amp; gender'!JV41/'Pop 25+ by race &amp; gender'!AF40)*100</f>
        <v>21.044841395516546</v>
      </c>
      <c r="H42" s="440">
        <f>('Attainment 25+ by race &amp; gender'!KY41/'Pop 25+ by race &amp; gender'!AS40)*100</f>
        <v>26.061383771665525</v>
      </c>
      <c r="I42" s="440">
        <f>('Attainment 25+ by race &amp; gender'!MU41/'Pop 25+ by race &amp; gender'!DE40)*100</f>
        <v>31.658433047540736</v>
      </c>
      <c r="J42" s="496"/>
      <c r="L42" s="2"/>
      <c r="M42" s="2"/>
      <c r="N42" s="2"/>
      <c r="O42" s="2"/>
      <c r="Q42" s="2"/>
      <c r="R42" s="2"/>
      <c r="S42" s="2"/>
      <c r="T42" s="2"/>
    </row>
    <row r="43" spans="1:20" s="1" customFormat="1" ht="12.75" x14ac:dyDescent="0.2">
      <c r="A43" s="429" t="s">
        <v>25</v>
      </c>
      <c r="B43" s="429"/>
      <c r="C43" s="440">
        <f>('Attainment 25+ by race &amp; gender'!BS42/'Pop 25+ by race &amp; gender'!AF41)*100</f>
        <v>75.640598715564252</v>
      </c>
      <c r="D43" s="440">
        <f>('Attainment 25+ by race &amp; gender'!BX42/'Pop 25+ by race &amp; gender'!AS41)*100</f>
        <v>82.134848834324174</v>
      </c>
      <c r="E43" s="440">
        <f>('Attainment 25+ by race &amp; gender'!DG42/'Pop 25+ by race &amp; gender'!DE41)*100</f>
        <v>87.472204864233319</v>
      </c>
      <c r="F43" s="440"/>
      <c r="G43" s="441">
        <f>('Attainment 25+ by race &amp; gender'!JV42/'Pop 25+ by race &amp; gender'!AF41)*100</f>
        <v>15.559411601188719</v>
      </c>
      <c r="H43" s="440">
        <f>('Attainment 25+ by race &amp; gender'!KY42/'Pop 25+ by race &amp; gender'!AS41)*100</f>
        <v>19.408143985608014</v>
      </c>
      <c r="I43" s="440">
        <f>('Attainment 25+ by race &amp; gender'!MU42/'Pop 25+ by race &amp; gender'!DE41)*100</f>
        <v>23.471865246336105</v>
      </c>
      <c r="J43" s="496"/>
      <c r="L43" s="2"/>
      <c r="M43" s="2"/>
      <c r="N43" s="2"/>
      <c r="O43" s="2"/>
      <c r="Q43" s="2"/>
      <c r="R43" s="2"/>
      <c r="S43" s="2"/>
      <c r="T43" s="2"/>
    </row>
    <row r="44" spans="1:20" s="1" customFormat="1" ht="12.75" x14ac:dyDescent="0.2">
      <c r="A44" s="429" t="s">
        <v>26</v>
      </c>
      <c r="B44" s="429"/>
      <c r="C44" s="440">
        <f>('Attainment 25+ by race &amp; gender'!BS43/'Pop 25+ by race &amp; gender'!AF42)*100</f>
        <v>80.087775875479366</v>
      </c>
      <c r="D44" s="440">
        <f>('Attainment 25+ by race &amp; gender'!BX43/'Pop 25+ by race &amp; gender'!AS42)*100</f>
        <v>86.104640858799399</v>
      </c>
      <c r="E44" s="440">
        <f>('Attainment 25+ by race &amp; gender'!DG43/'Pop 25+ by race &amp; gender'!DE42)*100</f>
        <v>91.202730023141029</v>
      </c>
      <c r="F44" s="440"/>
      <c r="G44" s="441">
        <f>('Attainment 25+ by race &amp; gender'!JV43/'Pop 25+ by race &amp; gender'!AF42)*100</f>
        <v>16.850086503924473</v>
      </c>
      <c r="H44" s="440">
        <f>('Attainment 25+ by race &amp; gender'!KY43/'Pop 25+ by race &amp; gender'!AS42)*100</f>
        <v>21.208889282730333</v>
      </c>
      <c r="I44" s="440">
        <f>('Attainment 25+ by race &amp; gender'!MU43/'Pop 25+ by race &amp; gender'!DE42)*100</f>
        <v>26.108201107649197</v>
      </c>
      <c r="J44" s="496"/>
      <c r="L44" s="2"/>
      <c r="M44" s="2"/>
      <c r="N44" s="2"/>
      <c r="O44" s="2"/>
      <c r="Q44" s="2"/>
      <c r="R44" s="2"/>
      <c r="S44" s="2"/>
      <c r="T44" s="2"/>
    </row>
    <row r="45" spans="1:20" s="1" customFormat="1" ht="12.75" x14ac:dyDescent="0.2">
      <c r="A45" s="429" t="s">
        <v>27</v>
      </c>
      <c r="B45" s="429"/>
      <c r="C45" s="440">
        <f>('Attainment 25+ by race &amp; gender'!BS44/'Pop 25+ by race &amp; gender'!AF43)*100</f>
        <v>81.271776113455459</v>
      </c>
      <c r="D45" s="440">
        <f>('Attainment 25+ by race &amp; gender'!BX44/'Pop 25+ by race &amp; gender'!AS43)*100</f>
        <v>86.021748088269092</v>
      </c>
      <c r="E45" s="440">
        <f>('Attainment 25+ by race &amp; gender'!DG44/'Pop 25+ by race &amp; gender'!DE43)*100</f>
        <v>90.069241375456329</v>
      </c>
      <c r="F45" s="440"/>
      <c r="G45" s="441">
        <f>('Attainment 25+ by race &amp; gender'!JV44/'Pop 25+ by race &amp; gender'!AF43)*100</f>
        <v>21.097733240694382</v>
      </c>
      <c r="H45" s="440">
        <f>('Attainment 25+ by race &amp; gender'!KY44/'Pop 25+ by race &amp; gender'!AS43)*100</f>
        <v>25.803914514812131</v>
      </c>
      <c r="I45" s="440">
        <f>('Attainment 25+ by race &amp; gender'!MU44/'Pop 25+ by race &amp; gender'!DE43)*100</f>
        <v>30.496564798127483</v>
      </c>
      <c r="J45" s="496"/>
      <c r="L45" s="2"/>
      <c r="M45" s="2"/>
      <c r="N45" s="2"/>
      <c r="O45" s="2"/>
      <c r="Q45" s="2"/>
      <c r="R45" s="2"/>
      <c r="S45" s="2"/>
      <c r="T45" s="2"/>
    </row>
    <row r="46" spans="1:20" s="1" customFormat="1" ht="12.75" x14ac:dyDescent="0.2">
      <c r="A46" s="430" t="s">
        <v>30</v>
      </c>
      <c r="B46" s="430"/>
      <c r="C46" s="442">
        <f>('Attainment 25+ by race &amp; gender'!BS45/'Pop 25+ by race &amp; gender'!AF44)*100</f>
        <v>76.778330762008011</v>
      </c>
      <c r="D46" s="442">
        <f>('Attainment 25+ by race &amp; gender'!BX45/'Pop 25+ by race &amp; gender'!AS44)*100</f>
        <v>83.414233391485354</v>
      </c>
      <c r="E46" s="439">
        <f>('Attainment 25+ by race &amp; gender'!DG45/'Pop 25+ by race &amp; gender'!DE44)*100</f>
        <v>89.15923793668253</v>
      </c>
      <c r="F46" s="442"/>
      <c r="G46" s="237">
        <f>('Attainment 25+ by race &amp; gender'!JV45/'Pop 25+ by race &amp; gender'!AF44)*100</f>
        <v>17.355966701365581</v>
      </c>
      <c r="H46" s="442">
        <f>('Attainment 25+ by race &amp; gender'!KY45/'Pop 25+ by race &amp; gender'!AS44)*100</f>
        <v>21.762341642480816</v>
      </c>
      <c r="I46" s="439">
        <f>('Attainment 25+ by race &amp; gender'!MU45/'Pop 25+ by race &amp; gender'!DE44)*100</f>
        <v>26.196175900477535</v>
      </c>
      <c r="J46" s="26"/>
      <c r="L46" s="2"/>
      <c r="M46" s="2"/>
      <c r="N46" s="2"/>
      <c r="O46" s="2"/>
      <c r="Q46" s="2"/>
      <c r="R46" s="2"/>
      <c r="S46" s="2"/>
      <c r="T46" s="2"/>
    </row>
    <row r="47" spans="1:20" s="1" customFormat="1" ht="12.75" x14ac:dyDescent="0.2">
      <c r="A47" s="430" t="s">
        <v>31</v>
      </c>
      <c r="B47" s="430"/>
      <c r="C47" s="442">
        <f>('Attainment 25+ by race &amp; gender'!BS46/'Pop 25+ by race &amp; gender'!AF45)*100</f>
        <v>82.358633374744912</v>
      </c>
      <c r="D47" s="442">
        <f>('Attainment 25+ by race &amp; gender'!BX46/'Pop 25+ by race &amp; gender'!AS45)*100</f>
        <v>87.948690803310001</v>
      </c>
      <c r="E47" s="439">
        <f>('Attainment 25+ by race &amp; gender'!DG46/'Pop 25+ by race &amp; gender'!DE45)*100</f>
        <v>92.306766250018427</v>
      </c>
      <c r="F47" s="442"/>
      <c r="G47" s="237">
        <f>('Attainment 25+ by race &amp; gender'!JV46/'Pop 25+ by race &amp; gender'!AF45)*100</f>
        <v>21.821709819163043</v>
      </c>
      <c r="H47" s="442">
        <f>('Attainment 25+ by race &amp; gender'!KY46/'Pop 25+ by race &amp; gender'!AS45)*100</f>
        <v>27.433228677656828</v>
      </c>
      <c r="I47" s="439">
        <f>('Attainment 25+ by race &amp; gender'!MU46/'Pop 25+ by race &amp; gender'!DE45)*100</f>
        <v>33.067164824385777</v>
      </c>
      <c r="J47" s="26"/>
      <c r="L47" s="2"/>
      <c r="M47" s="2"/>
      <c r="N47" s="2"/>
      <c r="O47" s="2"/>
      <c r="Q47" s="2"/>
      <c r="R47" s="2"/>
      <c r="S47" s="2"/>
      <c r="T47" s="2"/>
    </row>
    <row r="48" spans="1:20" s="1" customFormat="1" ht="12.75" x14ac:dyDescent="0.2">
      <c r="A48" s="430" t="s">
        <v>32</v>
      </c>
      <c r="B48" s="430"/>
      <c r="C48" s="442">
        <f>('Attainment 25+ by race &amp; gender'!BS47/'Pop 25+ by race &amp; gender'!AF46)*100</f>
        <v>73.922302943359412</v>
      </c>
      <c r="D48" s="442">
        <f>('Attainment 25+ by race &amp; gender'!BX47/'Pop 25+ by race &amp; gender'!AS46)*100</f>
        <v>81.31739857922048</v>
      </c>
      <c r="E48" s="439">
        <f>('Attainment 25+ by race &amp; gender'!DG47/'Pop 25+ by race &amp; gender'!DE46)*100</f>
        <v>88.062563706544523</v>
      </c>
      <c r="F48" s="442"/>
      <c r="G48" s="237">
        <f>('Attainment 25+ by race &amp; gender'!JV47/'Pop 25+ by race &amp; gender'!AF46)*100</f>
        <v>17.795744838571398</v>
      </c>
      <c r="H48" s="442">
        <f>('Attainment 25+ by race &amp; gender'!KY47/'Pop 25+ by race &amp; gender'!AS46)*100</f>
        <v>21.581741040896244</v>
      </c>
      <c r="I48" s="439">
        <f>('Attainment 25+ by race &amp; gender'!MU47/'Pop 25+ by race &amp; gender'!DE46)*100</f>
        <v>26.464750804207831</v>
      </c>
      <c r="J48" s="26"/>
      <c r="L48" s="2"/>
      <c r="M48" s="2"/>
      <c r="N48" s="2"/>
      <c r="O48" s="2"/>
      <c r="Q48" s="2"/>
      <c r="R48" s="2"/>
      <c r="S48" s="2"/>
      <c r="T48" s="2"/>
    </row>
    <row r="49" spans="1:20" s="1" customFormat="1" ht="12.75" x14ac:dyDescent="0.2">
      <c r="A49" s="430" t="s">
        <v>34</v>
      </c>
      <c r="B49" s="430"/>
      <c r="C49" s="442">
        <f>('Attainment 25+ by race &amp; gender'!BS48/'Pop 25+ by race &amp; gender'!AF47)*100</f>
        <v>81.820974670924826</v>
      </c>
      <c r="D49" s="442">
        <f>('Attainment 25+ by race &amp; gender'!BX48/'Pop 25+ by race &amp; gender'!AS47)*100</f>
        <v>86.584299157224578</v>
      </c>
      <c r="E49" s="439">
        <f>('Attainment 25+ by race &amp; gender'!DG48/'Pop 25+ by race &amp; gender'!DE47)*100</f>
        <v>90.556131461317108</v>
      </c>
      <c r="F49" s="442"/>
      <c r="G49" s="237">
        <f>('Attainment 25+ by race &amp; gender'!JV48/'Pop 25+ by race &amp; gender'!AF47)*100</f>
        <v>18.941036033367837</v>
      </c>
      <c r="H49" s="442">
        <f>('Attainment 25+ by race &amp; gender'!KY48/'Pop 25+ by race &amp; gender'!AS47)*100</f>
        <v>23.742666069436307</v>
      </c>
      <c r="I49" s="439">
        <f>('Attainment 25+ by race &amp; gender'!MU48/'Pop 25+ by race &amp; gender'!DE47)*100</f>
        <v>28.655283083021654</v>
      </c>
      <c r="J49" s="26"/>
      <c r="L49" s="2"/>
      <c r="M49" s="2"/>
      <c r="N49" s="2"/>
      <c r="O49" s="2"/>
      <c r="Q49" s="2"/>
      <c r="R49" s="2"/>
      <c r="S49" s="2"/>
      <c r="T49" s="2"/>
    </row>
    <row r="50" spans="1:20" s="1" customFormat="1" ht="12.75" x14ac:dyDescent="0.2">
      <c r="A50" s="429" t="s">
        <v>40</v>
      </c>
      <c r="B50" s="429"/>
      <c r="C50" s="440">
        <f>('Attainment 25+ by race &amp; gender'!BS49/'Pop 25+ by race &amp; gender'!AF48)*100</f>
        <v>76.692220400958263</v>
      </c>
      <c r="D50" s="440">
        <f>('Attainment 25+ by race &amp; gender'!BX49/'Pop 25+ by race &amp; gender'!AS48)*100</f>
        <v>83.857459280198725</v>
      </c>
      <c r="E50" s="440">
        <f>('Attainment 25+ by race &amp; gender'!DG49/'Pop 25+ by race &amp; gender'!DE48)*100</f>
        <v>91.262661898634917</v>
      </c>
      <c r="F50" s="440"/>
      <c r="G50" s="441">
        <f>('Attainment 25+ by race &amp; gender'!JV49/'Pop 25+ by race &amp; gender'!AF48)*100</f>
        <v>18.065565502458707</v>
      </c>
      <c r="H50" s="440">
        <f>('Attainment 25+ by race &amp; gender'!KY49/'Pop 25+ by race &amp; gender'!AS48)*100</f>
        <v>21.988815056842519</v>
      </c>
      <c r="I50" s="440">
        <f>('Attainment 25+ by race &amp; gender'!MU49/'Pop 25+ by race &amp; gender'!DE48)*100</f>
        <v>27.184989874850089</v>
      </c>
      <c r="J50" s="496"/>
      <c r="L50" s="2"/>
      <c r="M50" s="2"/>
      <c r="N50" s="2"/>
      <c r="O50" s="2"/>
      <c r="Q50" s="2"/>
      <c r="R50" s="2"/>
      <c r="S50" s="2"/>
      <c r="T50" s="2"/>
    </row>
    <row r="51" spans="1:20" s="1" customFormat="1" ht="12.75" x14ac:dyDescent="0.2">
      <c r="A51" s="429" t="s">
        <v>41</v>
      </c>
      <c r="B51" s="429"/>
      <c r="C51" s="440">
        <f>('Attainment 25+ by race &amp; gender'!BS50/'Pop 25+ by race &amp; gender'!AF49)*100</f>
        <v>75.668658166545455</v>
      </c>
      <c r="D51" s="440">
        <f>('Attainment 25+ by race &amp; gender'!BX50/'Pop 25+ by race &amp; gender'!AS49)*100</f>
        <v>82.971812286993341</v>
      </c>
      <c r="E51" s="440">
        <f>('Attainment 25+ by race &amp; gender'!DG50/'Pop 25+ by race &amp; gender'!DE49)*100</f>
        <v>88.741462368323667</v>
      </c>
      <c r="F51" s="440"/>
      <c r="G51" s="441">
        <f>('Attainment 25+ by race &amp; gender'!JV50/'Pop 25+ by race &amp; gender'!AF49)*100</f>
        <v>16.972939438802538</v>
      </c>
      <c r="H51" s="440">
        <f>('Attainment 25+ by race &amp; gender'!KY50/'Pop 25+ by race &amp; gender'!AS49)*100</f>
        <v>21.095343333684127</v>
      </c>
      <c r="I51" s="440">
        <f>('Attainment 25+ by race &amp; gender'!MU50/'Pop 25+ by race &amp; gender'!DE49)*100</f>
        <v>25.398787159288798</v>
      </c>
      <c r="J51" s="496"/>
      <c r="L51" s="2"/>
      <c r="M51" s="2"/>
      <c r="N51" s="2"/>
      <c r="O51" s="2"/>
      <c r="Q51" s="2"/>
      <c r="R51" s="2"/>
      <c r="S51" s="2"/>
      <c r="T51" s="2"/>
    </row>
    <row r="52" spans="1:20" s="1" customFormat="1" ht="12.75" x14ac:dyDescent="0.2">
      <c r="A52" s="429" t="s">
        <v>45</v>
      </c>
      <c r="B52" s="429"/>
      <c r="C52" s="440">
        <f>('Attainment 25+ by race &amp; gender'!BS51/'Pop 25+ by race &amp; gender'!AF50)*100</f>
        <v>77.068524970963992</v>
      </c>
      <c r="D52" s="440">
        <f>('Attainment 25+ by race &amp; gender'!BX51/'Pop 25+ by race &amp; gender'!AS50)*100</f>
        <v>84.572865698764019</v>
      </c>
      <c r="E52" s="440">
        <f>('Attainment 25+ by race &amp; gender'!DG51/'Pop 25+ by race &amp; gender'!DE50)*100</f>
        <v>90.829106071840187</v>
      </c>
      <c r="F52" s="440"/>
      <c r="G52" s="441">
        <f>('Attainment 25+ by race &amp; gender'!JV51/'Pop 25+ by race &amp; gender'!AF50)*100</f>
        <v>17.163995354239255</v>
      </c>
      <c r="H52" s="440">
        <f>('Attainment 25+ by race &amp; gender'!KY51/'Pop 25+ by race &amp; gender'!AS50)*100</f>
        <v>21.505231269987497</v>
      </c>
      <c r="I52" s="440">
        <f>('Attainment 25+ by race &amp; gender'!MU51/'Pop 25+ by race &amp; gender'!DE50)*100</f>
        <v>26.401603300567466</v>
      </c>
      <c r="J52" s="496"/>
      <c r="L52" s="2"/>
      <c r="M52" s="2"/>
      <c r="N52" s="2"/>
      <c r="O52" s="2"/>
      <c r="Q52" s="2"/>
      <c r="R52" s="2"/>
      <c r="S52" s="2"/>
      <c r="T52" s="2"/>
    </row>
    <row r="53" spans="1:20" s="1" customFormat="1" ht="12.75" x14ac:dyDescent="0.2">
      <c r="A53" s="429" t="s">
        <v>49</v>
      </c>
      <c r="B53" s="429"/>
      <c r="C53" s="440">
        <f>('Attainment 25+ by race &amp; gender'!BS52/'Pop 25+ by race &amp; gender'!AF51)*100</f>
        <v>78.602985043755695</v>
      </c>
      <c r="D53" s="440">
        <f>('Attainment 25+ by race &amp; gender'!BX52/'Pop 25+ by race &amp; gender'!AS51)*100</f>
        <v>85.085293557483894</v>
      </c>
      <c r="E53" s="445">
        <f>('Attainment 25+ by race &amp; gender'!DG52/'Pop 25+ by race &amp; gender'!DE51)*100</f>
        <v>90.706121082691311</v>
      </c>
      <c r="F53" s="440"/>
      <c r="G53" s="441">
        <f>('Attainment 25+ by race &amp; gender'!JV52/'Pop 25+ by race &amp; gender'!AF51)*100</f>
        <v>17.741755127130336</v>
      </c>
      <c r="H53" s="440">
        <f>('Attainment 25+ by race &amp; gender'!KY52/'Pop 25+ by race &amp; gender'!AS51)*100</f>
        <v>22.419457760024951</v>
      </c>
      <c r="I53" s="445">
        <f>('Attainment 25+ by race &amp; gender'!MU52/'Pop 25+ by race &amp; gender'!DE51)*100</f>
        <v>27.188438214405263</v>
      </c>
      <c r="J53" s="496"/>
      <c r="L53" s="2"/>
      <c r="M53" s="2"/>
      <c r="N53" s="2"/>
      <c r="O53" s="2"/>
      <c r="Q53" s="2"/>
      <c r="R53" s="2"/>
      <c r="S53" s="2"/>
      <c r="T53" s="2"/>
    </row>
    <row r="54" spans="1:20" s="1" customFormat="1" ht="12.75" x14ac:dyDescent="0.2">
      <c r="A54" s="434" t="s">
        <v>185</v>
      </c>
      <c r="B54" s="434"/>
      <c r="C54" s="447">
        <f>('Attainment 25+ by race &amp; gender'!BS53/'Pop 25+ by race &amp; gender'!AF52)*100</f>
        <v>76.223265913099411</v>
      </c>
      <c r="D54" s="447">
        <f>('Attainment 25+ by race &amp; gender'!BX53/'Pop 25+ by race &amp; gender'!AS52)*100</f>
        <v>81.59360114984328</v>
      </c>
      <c r="E54" s="439">
        <f>('Attainment 25+ by race &amp; gender'!DG53/'Pop 25+ by race &amp; gender'!DE52)*100</f>
        <v>87.795557599045168</v>
      </c>
      <c r="F54" s="447"/>
      <c r="G54" s="448">
        <f>('Attainment 25+ by race &amp; gender'!JV53/'Pop 25+ by race &amp; gender'!AF52)*100</f>
        <v>22.828069519805076</v>
      </c>
      <c r="H54" s="447">
        <f>('Attainment 25+ by race &amp; gender'!KY53/'Pop 25+ by race &amp; gender'!AS52)*100</f>
        <v>27.455754319915769</v>
      </c>
      <c r="I54" s="439">
        <f>('Attainment 25+ by race &amp; gender'!MU53/'Pop 25+ by race &amp; gender'!DE52)*100</f>
        <v>33.466427153518694</v>
      </c>
      <c r="J54" s="492"/>
      <c r="L54" s="2"/>
      <c r="M54" s="2"/>
      <c r="N54" s="2"/>
      <c r="O54" s="2"/>
      <c r="Q54" s="2"/>
      <c r="R54" s="2"/>
      <c r="S54" s="2"/>
      <c r="T54" s="2"/>
    </row>
    <row r="55" spans="1:20" s="1" customFormat="1" ht="12.75" x14ac:dyDescent="0.2">
      <c r="A55" s="430" t="s">
        <v>189</v>
      </c>
      <c r="B55" s="430"/>
      <c r="C55" s="439">
        <f>(C54/C$6)*100</f>
        <v>101.31352949459553</v>
      </c>
      <c r="D55" s="439">
        <f>(D54/D$6)*100</f>
        <v>101.48606362371899</v>
      </c>
      <c r="E55" s="439">
        <f>(E54/E$6)*100</f>
        <v>101.74862754310713</v>
      </c>
      <c r="F55" s="439"/>
      <c r="G55" s="179">
        <f t="shared" ref="G55:I55" si="3">(G54/G$6)*100</f>
        <v>112.24485619195563</v>
      </c>
      <c r="H55" s="439">
        <f t="shared" si="3"/>
        <v>112.51607940230184</v>
      </c>
      <c r="I55" s="439">
        <f t="shared" si="3"/>
        <v>114.95760122187116</v>
      </c>
      <c r="J55" s="26"/>
      <c r="L55" s="2"/>
      <c r="M55" s="2"/>
      <c r="N55" s="2"/>
      <c r="O55" s="2"/>
      <c r="Q55" s="2"/>
      <c r="R55" s="2"/>
      <c r="S55" s="2"/>
      <c r="T55" s="2"/>
    </row>
    <row r="56" spans="1:20" s="1" customFormat="1" ht="12.75" x14ac:dyDescent="0.2">
      <c r="A56" s="429" t="s">
        <v>21</v>
      </c>
      <c r="B56" s="429"/>
      <c r="C56" s="440">
        <f>('Attainment 25+ by race &amp; gender'!BS55/'Pop 25+ by race &amp; gender'!AF54)*100</f>
        <v>79.208017597385677</v>
      </c>
      <c r="D56" s="440">
        <f>('Attainment 25+ by race &amp; gender'!BX55/'Pop 25+ by race &amp; gender'!AS54)*100</f>
        <v>83.984436428202088</v>
      </c>
      <c r="E56" s="440">
        <f>('Attainment 25+ by race &amp; gender'!DG55/'Pop 25+ by race &amp; gender'!DE54)*100</f>
        <v>89.555486794480842</v>
      </c>
      <c r="F56" s="440"/>
      <c r="G56" s="441">
        <f>('Attainment 25+ by race &amp; gender'!JV55/'Pop 25+ by race &amp; gender'!AF54)*100</f>
        <v>27.180675618461976</v>
      </c>
      <c r="H56" s="440">
        <f>('Attainment 25+ by race &amp; gender'!KY55/'Pop 25+ by race &amp; gender'!AS54)*100</f>
        <v>31.407416829549529</v>
      </c>
      <c r="I56" s="440">
        <f>('Attainment 25+ by race &amp; gender'!MU55/'Pop 25+ by race &amp; gender'!DE54)*100</f>
        <v>36.858523636393251</v>
      </c>
      <c r="J56" s="496"/>
      <c r="L56" s="2"/>
      <c r="M56" s="2"/>
      <c r="N56" s="2"/>
      <c r="O56" s="2"/>
      <c r="Q56" s="2"/>
      <c r="R56" s="2"/>
      <c r="S56" s="2"/>
      <c r="T56" s="2"/>
    </row>
    <row r="57" spans="1:20" s="1" customFormat="1" ht="12.75" x14ac:dyDescent="0.2">
      <c r="A57" s="429" t="s">
        <v>28</v>
      </c>
      <c r="B57" s="429"/>
      <c r="C57" s="440">
        <f>('Attainment 25+ by race &amp; gender'!BS56/'Pop 25+ by race &amp; gender'!AF55)*100</f>
        <v>78.826389211840436</v>
      </c>
      <c r="D57" s="440">
        <f>('Attainment 25+ by race &amp; gender'!BX56/'Pop 25+ by race &amp; gender'!AS55)*100</f>
        <v>85.367395760168208</v>
      </c>
      <c r="E57" s="440">
        <f>('Attainment 25+ by race &amp; gender'!DG56/'Pop 25+ by race &amp; gender'!DE55)*100</f>
        <v>91.459578516982319</v>
      </c>
      <c r="F57" s="440"/>
      <c r="G57" s="441">
        <f>('Attainment 25+ by race &amp; gender'!JV56/'Pop 25+ by race &amp; gender'!AF55)*100</f>
        <v>18.771940629426616</v>
      </c>
      <c r="H57" s="440">
        <f>('Attainment 25+ by race &amp; gender'!KY56/'Pop 25+ by race &amp; gender'!AS55)*100</f>
        <v>22.871778483100798</v>
      </c>
      <c r="I57" s="440">
        <f>('Attainment 25+ by race &amp; gender'!MU56/'Pop 25+ by race &amp; gender'!DE55)*100</f>
        <v>28.230269223385157</v>
      </c>
      <c r="J57" s="496"/>
      <c r="L57" s="2"/>
      <c r="M57" s="2"/>
      <c r="N57" s="2"/>
      <c r="O57" s="2"/>
      <c r="Q57" s="2"/>
      <c r="R57" s="2"/>
      <c r="S57" s="2"/>
      <c r="T57" s="2"/>
    </row>
    <row r="58" spans="1:20" s="1" customFormat="1" ht="12.75" x14ac:dyDescent="0.2">
      <c r="A58" s="429" t="s">
        <v>29</v>
      </c>
      <c r="B58" s="429"/>
      <c r="C58" s="440">
        <f>('Attainment 25+ by race &amp; gender'!BS57/'Pop 25+ by race &amp; gender'!AF56)*100</f>
        <v>79.994639372897495</v>
      </c>
      <c r="D58" s="440">
        <f>('Attainment 25+ by race &amp; gender'!BX57/'Pop 25+ by race &amp; gender'!AS56)*100</f>
        <v>84.763606367481614</v>
      </c>
      <c r="E58" s="440">
        <f>('Attainment 25+ by race &amp; gender'!DG57/'Pop 25+ by race &amp; gender'!DE56)*100</f>
        <v>89.589399148271255</v>
      </c>
      <c r="F58" s="440"/>
      <c r="G58" s="441">
        <f>('Attainment 25+ by race &amp; gender'!JV57/'Pop 25+ by race &amp; gender'!AF56)*100</f>
        <v>27.232162349267064</v>
      </c>
      <c r="H58" s="440">
        <f>('Attainment 25+ by race &amp; gender'!KY57/'Pop 25+ by race &amp; gender'!AS56)*100</f>
        <v>33.18988363725714</v>
      </c>
      <c r="I58" s="440">
        <f>('Attainment 25+ by race &amp; gender'!MU57/'Pop 25+ by race &amp; gender'!DE56)*100</f>
        <v>39.607493720667648</v>
      </c>
      <c r="J58" s="496"/>
      <c r="L58" s="2"/>
      <c r="M58" s="2"/>
      <c r="N58" s="2"/>
      <c r="O58" s="2"/>
      <c r="Q58" s="2"/>
      <c r="R58" s="2"/>
      <c r="S58" s="2"/>
      <c r="T58" s="2"/>
    </row>
    <row r="59" spans="1:20" s="1" customFormat="1" ht="12.75" x14ac:dyDescent="0.2">
      <c r="A59" s="429" t="s">
        <v>36</v>
      </c>
      <c r="B59" s="429"/>
      <c r="C59" s="440">
        <f>('Attainment 25+ by race &amp; gender'!BS58/'Pop 25+ by race &amp; gender'!AF57)*100</f>
        <v>82.150991603795518</v>
      </c>
      <c r="D59" s="440">
        <f>('Attainment 25+ by race &amp; gender'!BX58/'Pop 25+ by race &amp; gender'!AS57)*100</f>
        <v>87.408296490114523</v>
      </c>
      <c r="E59" s="440">
        <f>('Attainment 25+ by race &amp; gender'!DG58/'Pop 25+ by race &amp; gender'!DE57)*100</f>
        <v>92.022539842716952</v>
      </c>
      <c r="F59" s="440"/>
      <c r="G59" s="441">
        <f>('Attainment 25+ by race &amp; gender'!JV58/'Pop 25+ by race &amp; gender'!AF57)*100</f>
        <v>24.365101821839097</v>
      </c>
      <c r="H59" s="440">
        <f>('Attainment 25+ by race &amp; gender'!KY58/'Pop 25+ by race &amp; gender'!AS57)*100</f>
        <v>28.653850121421819</v>
      </c>
      <c r="I59" s="440">
        <f>('Attainment 25+ by race &amp; gender'!MU58/'Pop 25+ by race &amp; gender'!DE57)*100</f>
        <v>34.201123077458419</v>
      </c>
      <c r="J59" s="496"/>
      <c r="L59" s="2"/>
      <c r="M59" s="2"/>
      <c r="N59" s="2"/>
      <c r="O59" s="2"/>
      <c r="Q59" s="2"/>
      <c r="R59" s="2"/>
      <c r="S59" s="2"/>
      <c r="T59" s="2"/>
    </row>
    <row r="60" spans="1:20" s="1" customFormat="1" ht="12.75" x14ac:dyDescent="0.2">
      <c r="A60" s="430" t="s">
        <v>37</v>
      </c>
      <c r="B60" s="430"/>
      <c r="C60" s="442">
        <f>('Attainment 25+ by race &amp; gender'!BS59/'Pop 25+ by race &amp; gender'!AF58)*100</f>
        <v>76.671474166960735</v>
      </c>
      <c r="D60" s="442">
        <f>('Attainment 25+ by race &amp; gender'!BX59/'Pop 25+ by race &amp; gender'!AS58)*100</f>
        <v>82.069405434869637</v>
      </c>
      <c r="E60" s="439">
        <f>('Attainment 25+ by race &amp; gender'!DG59/'Pop 25+ by race &amp; gender'!DE58)*100</f>
        <v>88.334916934522909</v>
      </c>
      <c r="F60" s="442"/>
      <c r="G60" s="237">
        <f>('Attainment 25+ by race &amp; gender'!JV59/'Pop 25+ by race &amp; gender'!AF58)*100</f>
        <v>24.854028070356097</v>
      </c>
      <c r="H60" s="442">
        <f>('Attainment 25+ by race &amp; gender'!KY59/'Pop 25+ by race &amp; gender'!AS58)*100</f>
        <v>29.779442500520076</v>
      </c>
      <c r="I60" s="439">
        <f>('Attainment 25+ by race &amp; gender'!MU59/'Pop 25+ by race &amp; gender'!DE58)*100</f>
        <v>36.128744957748772</v>
      </c>
      <c r="J60" s="26"/>
      <c r="L60" s="2"/>
      <c r="M60" s="2"/>
      <c r="N60" s="2"/>
      <c r="O60" s="2"/>
      <c r="Q60" s="2"/>
      <c r="R60" s="2"/>
      <c r="S60" s="2"/>
      <c r="T60" s="2"/>
    </row>
    <row r="61" spans="1:20" s="1" customFormat="1" ht="12.75" x14ac:dyDescent="0.2">
      <c r="A61" s="430" t="s">
        <v>39</v>
      </c>
      <c r="B61" s="430"/>
      <c r="C61" s="442">
        <f>('Attainment 25+ by race &amp; gender'!BS60/'Pop 25+ by race &amp; gender'!AF59)*100</f>
        <v>74.80571463431825</v>
      </c>
      <c r="D61" s="442">
        <f>('Attainment 25+ by race &amp; gender'!BX60/'Pop 25+ by race &amp; gender'!AS59)*100</f>
        <v>79.060662054308636</v>
      </c>
      <c r="E61" s="439">
        <f>('Attainment 25+ by race &amp; gender'!DG60/'Pop 25+ by race &amp; gender'!DE59)*100</f>
        <v>85.326645502550164</v>
      </c>
      <c r="F61" s="442"/>
      <c r="G61" s="237">
        <f>('Attainment 25+ by race &amp; gender'!JV60/'Pop 25+ by race &amp; gender'!AF59)*100</f>
        <v>23.131641402609741</v>
      </c>
      <c r="H61" s="442">
        <f>('Attainment 25+ by race &amp; gender'!KY60/'Pop 25+ by race &amp; gender'!AS59)*100</f>
        <v>27.372550495370312</v>
      </c>
      <c r="I61" s="439">
        <f>('Attainment 25+ by race &amp; gender'!MU60/'Pop 25+ by race &amp; gender'!DE59)*100</f>
        <v>33.541828785375664</v>
      </c>
      <c r="J61" s="26"/>
      <c r="L61" s="2"/>
      <c r="M61" s="2"/>
      <c r="N61" s="2"/>
      <c r="O61" s="2"/>
      <c r="Q61" s="2"/>
      <c r="R61" s="2"/>
      <c r="S61" s="2"/>
      <c r="T61" s="2"/>
    </row>
    <row r="62" spans="1:20" s="1" customFormat="1" ht="12.75" x14ac:dyDescent="0.2">
      <c r="A62" s="430" t="s">
        <v>43</v>
      </c>
      <c r="B62" s="430"/>
      <c r="C62" s="442">
        <f>('Attainment 25+ by race &amp; gender'!BS61/'Pop 25+ by race &amp; gender'!AF60)*100</f>
        <v>74.669182967666941</v>
      </c>
      <c r="D62" s="442">
        <f>('Attainment 25+ by race &amp; gender'!BX61/'Pop 25+ by race &amp; gender'!AS60)*100</f>
        <v>81.901117842067848</v>
      </c>
      <c r="E62" s="439">
        <f>('Attainment 25+ by race &amp; gender'!DG61/'Pop 25+ by race &amp; gender'!DE60)*100</f>
        <v>88.895237999610231</v>
      </c>
      <c r="F62" s="442"/>
      <c r="G62" s="237">
        <f>('Attainment 25+ by race &amp; gender'!JV61/'Pop 25+ by race &amp; gender'!AF60)*100</f>
        <v>17.944343987729095</v>
      </c>
      <c r="H62" s="442">
        <f>('Attainment 25+ by race &amp; gender'!KY61/'Pop 25+ by race &amp; gender'!AS60)*100</f>
        <v>22.351409653963014</v>
      </c>
      <c r="I62" s="439">
        <f>('Attainment 25+ by race &amp; gender'!MU61/'Pop 25+ by race &amp; gender'!DE60)*100</f>
        <v>27.887199782020627</v>
      </c>
      <c r="J62" s="26"/>
      <c r="L62" s="2"/>
      <c r="M62" s="2"/>
      <c r="N62" s="2"/>
      <c r="O62" s="2"/>
      <c r="Q62" s="2"/>
      <c r="R62" s="2"/>
      <c r="S62" s="2"/>
      <c r="T62" s="2"/>
    </row>
    <row r="63" spans="1:20" s="1" customFormat="1" ht="12.75" x14ac:dyDescent="0.2">
      <c r="A63" s="430" t="s">
        <v>44</v>
      </c>
      <c r="B63" s="430"/>
      <c r="C63" s="442">
        <f>('Attainment 25+ by race &amp; gender'!BS62/'Pop 25+ by race &amp; gender'!AF61)*100</f>
        <v>72.024839291242515</v>
      </c>
      <c r="D63" s="442">
        <f>('Attainment 25+ by race &amp; gender'!BX62/'Pop 25+ by race &amp; gender'!AS61)*100</f>
        <v>77.959696101057773</v>
      </c>
      <c r="E63" s="439">
        <f>('Attainment 25+ by race &amp; gender'!DG62/'Pop 25+ by race &amp; gender'!DE61)*100</f>
        <v>85.638990938035747</v>
      </c>
      <c r="F63" s="442"/>
      <c r="G63" s="237">
        <f>('Attainment 25+ by race &amp; gender'!JV62/'Pop 25+ by race &amp; gender'!AF61)*100</f>
        <v>21.2700089232058</v>
      </c>
      <c r="H63" s="442">
        <f>('Attainment 25+ by race &amp; gender'!KY62/'Pop 25+ by race &amp; gender'!AS61)*100</f>
        <v>25.600908759770391</v>
      </c>
      <c r="I63" s="439">
        <f>('Attainment 25+ by race &amp; gender'!MU62/'Pop 25+ by race &amp; gender'!DE61)*100</f>
        <v>31.780413561456911</v>
      </c>
      <c r="J63" s="26"/>
      <c r="L63" s="2"/>
      <c r="M63" s="2"/>
      <c r="N63" s="2"/>
      <c r="O63" s="2"/>
      <c r="Q63" s="2"/>
      <c r="R63" s="2"/>
      <c r="S63" s="2"/>
      <c r="T63" s="2"/>
    </row>
    <row r="64" spans="1:20" s="1" customFormat="1" ht="12.75" x14ac:dyDescent="0.2">
      <c r="A64" s="427" t="s">
        <v>47</v>
      </c>
      <c r="B64" s="427"/>
      <c r="C64" s="437">
        <f>('Attainment 25+ by race &amp; gender'!BS63/'Pop 25+ by race &amp; gender'!AF62)*100</f>
        <v>80.787134879424485</v>
      </c>
      <c r="D64" s="437">
        <f>('Attainment 25+ by race &amp; gender'!BX63/'Pop 25+ by race &amp; gender'!AS62)*100</f>
        <v>86.419377422858176</v>
      </c>
      <c r="E64" s="437">
        <f>('Attainment 25+ by race &amp; gender'!DG63/'Pop 25+ by race &amp; gender'!DE62)*100</f>
        <v>91.632195319250641</v>
      </c>
      <c r="F64" s="437"/>
      <c r="G64" s="438">
        <f>('Attainment 25+ by race &amp; gender'!JV63/'Pop 25+ by race &amp; gender'!AF62)*100</f>
        <v>24.31216672031799</v>
      </c>
      <c r="H64" s="437">
        <f>('Attainment 25+ by race &amp; gender'!KY63/'Pop 25+ by race &amp; gender'!AS62)*100</f>
        <v>29.445380396464326</v>
      </c>
      <c r="I64" s="437">
        <f>('Attainment 25+ by race &amp; gender'!MU63/'Pop 25+ by race &amp; gender'!DE62)*100</f>
        <v>35.698987002003932</v>
      </c>
      <c r="J64" s="490"/>
      <c r="L64" s="2"/>
      <c r="M64" s="2"/>
      <c r="N64" s="2"/>
      <c r="O64" s="2"/>
      <c r="Q64" s="2"/>
      <c r="R64" s="2"/>
      <c r="S64" s="2"/>
      <c r="T64" s="2"/>
    </row>
    <row r="65" spans="1:20" s="1" customFormat="1" ht="12.75" x14ac:dyDescent="0.2">
      <c r="A65" s="435" t="s">
        <v>62</v>
      </c>
      <c r="B65" s="435"/>
      <c r="C65" s="449">
        <f>('Attainment 25+ by race &amp; gender'!BS64/'Pop 25+ by race &amp; gender'!AF63)*100</f>
        <v>73.14649830983231</v>
      </c>
      <c r="D65" s="449">
        <f>('Attainment 25+ by race &amp; gender'!BX64/'Pop 25+ by race &amp; gender'!AS63)*100</f>
        <v>77.83062660095959</v>
      </c>
      <c r="E65" s="445">
        <f>('Attainment 25+ by race &amp; gender'!DG64/'Pop 25+ by race &amp; gender'!DE63)*100</f>
        <v>88.602828297422747</v>
      </c>
      <c r="F65" s="449"/>
      <c r="G65" s="450">
        <f>('Attainment 25+ by race &amp; gender'!JV64/'Pop 25+ by race &amp; gender'!AF63)*100</f>
        <v>33.310846648139588</v>
      </c>
      <c r="H65" s="449">
        <f>('Attainment 25+ by race &amp; gender'!KY64/'Pop 25+ by race &amp; gender'!AS63)*100</f>
        <v>39.069785585187304</v>
      </c>
      <c r="I65" s="445">
        <f>('Attainment 25+ by race &amp; gender'!MU64/'Pop 25+ by race &amp; gender'!DE63)*100</f>
        <v>53.487511062146687</v>
      </c>
      <c r="J65" s="493"/>
      <c r="L65" s="2"/>
      <c r="M65" s="2"/>
      <c r="N65" s="2"/>
      <c r="O65" s="2"/>
      <c r="Q65" s="2"/>
      <c r="R65" s="2"/>
      <c r="S65" s="2"/>
      <c r="T65" s="2"/>
    </row>
    <row r="66" spans="1:20" s="1" customFormat="1" ht="18" customHeight="1" x14ac:dyDescent="0.2">
      <c r="A66" s="227" t="s">
        <v>179</v>
      </c>
      <c r="B66" s="149"/>
      <c r="C66" s="149"/>
      <c r="D66" s="149"/>
      <c r="E66" s="149"/>
      <c r="F66" s="149"/>
      <c r="G66" s="149"/>
      <c r="H66" s="149"/>
      <c r="I66" s="149"/>
      <c r="J66" s="75"/>
      <c r="M66" s="24"/>
    </row>
    <row r="67" spans="1:20" s="1" customFormat="1" ht="18" customHeight="1" x14ac:dyDescent="0.2">
      <c r="A67" s="228" t="s">
        <v>229</v>
      </c>
      <c r="B67" s="149"/>
      <c r="C67" s="149"/>
      <c r="D67" s="149"/>
      <c r="E67" s="149"/>
      <c r="F67" s="149"/>
      <c r="G67" s="149"/>
      <c r="H67" s="149"/>
      <c r="I67" s="149"/>
      <c r="J67" s="75"/>
    </row>
    <row r="68" spans="1:20" s="741" customFormat="1" ht="64.5" customHeight="1" x14ac:dyDescent="0.2">
      <c r="A68" s="743" t="s">
        <v>171</v>
      </c>
      <c r="B68" s="753" t="s">
        <v>232</v>
      </c>
      <c r="C68" s="753"/>
      <c r="D68" s="753"/>
      <c r="E68" s="753"/>
      <c r="F68" s="753"/>
      <c r="G68" s="753"/>
      <c r="H68" s="753"/>
      <c r="I68" s="753"/>
      <c r="J68" s="753"/>
    </row>
    <row r="69" spans="1:20" x14ac:dyDescent="0.2">
      <c r="A69" s="1"/>
      <c r="B69" s="2"/>
      <c r="C69" s="2"/>
      <c r="D69" s="2"/>
      <c r="E69" s="2"/>
      <c r="F69" s="2"/>
      <c r="G69" s="2"/>
      <c r="H69" s="2"/>
      <c r="I69" s="509" t="s">
        <v>228</v>
      </c>
      <c r="J69" s="508"/>
    </row>
    <row r="70" spans="1:20" x14ac:dyDescent="0.2">
      <c r="A70" s="1"/>
      <c r="B70" s="2"/>
      <c r="C70" s="2"/>
      <c r="D70" s="2"/>
      <c r="E70" s="2"/>
      <c r="F70" s="2"/>
      <c r="G70" s="2"/>
      <c r="H70" s="2"/>
      <c r="I70" s="2"/>
      <c r="J70" s="75"/>
    </row>
    <row r="71" spans="1:20" x14ac:dyDescent="0.2">
      <c r="A71" s="1"/>
      <c r="B71" s="2"/>
      <c r="C71" s="2"/>
      <c r="D71" s="2"/>
      <c r="E71" s="2"/>
      <c r="F71" s="2"/>
      <c r="G71" s="2"/>
      <c r="H71" s="2"/>
      <c r="I71" s="2"/>
      <c r="J71" s="75"/>
    </row>
    <row r="72" spans="1:20" x14ac:dyDescent="0.2">
      <c r="A72" s="1"/>
      <c r="B72" s="2"/>
      <c r="C72" s="2"/>
      <c r="D72" s="2"/>
      <c r="E72" s="2"/>
      <c r="F72" s="2"/>
      <c r="G72" s="2"/>
      <c r="H72" s="2"/>
      <c r="I72" s="2"/>
      <c r="J72" s="75"/>
    </row>
    <row r="73" spans="1:20" x14ac:dyDescent="0.2">
      <c r="A73" s="1"/>
      <c r="B73" s="2"/>
      <c r="C73" s="2"/>
      <c r="D73" s="2"/>
      <c r="E73" s="2"/>
      <c r="F73" s="2"/>
      <c r="G73" s="2"/>
      <c r="H73" s="2"/>
      <c r="I73" s="2"/>
      <c r="J73" s="75"/>
    </row>
    <row r="74" spans="1:20" x14ac:dyDescent="0.2">
      <c r="A74" s="1"/>
      <c r="B74" s="2"/>
      <c r="C74" s="2"/>
      <c r="D74" s="2"/>
      <c r="E74" s="2"/>
      <c r="F74" s="2"/>
      <c r="G74" s="2"/>
      <c r="H74" s="2"/>
      <c r="I74" s="2"/>
      <c r="J74" s="75"/>
    </row>
    <row r="75" spans="1:20" x14ac:dyDescent="0.2">
      <c r="A75" s="1"/>
      <c r="B75" s="2"/>
      <c r="C75" s="2"/>
      <c r="D75" s="2"/>
      <c r="E75" s="2"/>
      <c r="F75" s="2"/>
      <c r="G75" s="2"/>
      <c r="H75" s="2"/>
      <c r="I75" s="2"/>
      <c r="J75" s="75"/>
    </row>
    <row r="76" spans="1:20" x14ac:dyDescent="0.2">
      <c r="A76" s="1"/>
      <c r="B76" s="2"/>
      <c r="C76" s="2"/>
      <c r="D76" s="2"/>
      <c r="E76" s="2"/>
      <c r="F76" s="2"/>
      <c r="G76" s="2"/>
      <c r="H76" s="2"/>
      <c r="I76" s="2"/>
      <c r="J76" s="75"/>
    </row>
    <row r="77" spans="1:20" x14ac:dyDescent="0.2">
      <c r="A77" s="1"/>
      <c r="B77" s="2"/>
      <c r="C77" s="2"/>
      <c r="D77" s="2"/>
      <c r="E77" s="2"/>
      <c r="F77" s="2"/>
      <c r="G77" s="2"/>
      <c r="H77" s="2"/>
      <c r="I77" s="2"/>
      <c r="J77" s="75"/>
    </row>
    <row r="78" spans="1:20" x14ac:dyDescent="0.2">
      <c r="A78" s="1"/>
      <c r="B78" s="2"/>
      <c r="C78" s="2"/>
      <c r="D78" s="2"/>
      <c r="E78" s="2"/>
      <c r="F78" s="2"/>
      <c r="G78" s="2"/>
      <c r="H78" s="2"/>
      <c r="I78" s="2"/>
      <c r="J78" s="75"/>
    </row>
    <row r="79" spans="1:20" x14ac:dyDescent="0.2">
      <c r="A79" s="1"/>
      <c r="B79" s="2"/>
      <c r="C79" s="2"/>
      <c r="D79" s="2"/>
      <c r="E79" s="2"/>
      <c r="F79" s="2"/>
      <c r="G79" s="2"/>
      <c r="H79" s="2"/>
      <c r="I79" s="2"/>
      <c r="J79" s="75"/>
    </row>
    <row r="80" spans="1:20" x14ac:dyDescent="0.2">
      <c r="A80" s="1"/>
      <c r="B80" s="2"/>
      <c r="C80" s="2"/>
      <c r="D80" s="2"/>
      <c r="E80" s="2"/>
      <c r="F80" s="2"/>
      <c r="G80" s="2"/>
      <c r="H80" s="2"/>
      <c r="I80" s="2"/>
      <c r="J80" s="75"/>
    </row>
    <row r="81" spans="1:10" x14ac:dyDescent="0.2">
      <c r="A81" s="1"/>
      <c r="B81" s="2"/>
      <c r="C81" s="2"/>
      <c r="D81" s="2"/>
      <c r="E81" s="2"/>
      <c r="F81" s="2"/>
      <c r="G81" s="2"/>
      <c r="H81" s="2"/>
      <c r="I81" s="2"/>
      <c r="J81" s="75"/>
    </row>
    <row r="82" spans="1:10" x14ac:dyDescent="0.2">
      <c r="A82" s="1"/>
      <c r="B82" s="2"/>
      <c r="C82" s="2"/>
      <c r="D82" s="2"/>
      <c r="E82" s="2"/>
      <c r="F82" s="2"/>
      <c r="G82" s="2"/>
      <c r="H82" s="2"/>
      <c r="I82" s="2"/>
      <c r="J82" s="75"/>
    </row>
    <row r="83" spans="1:10" x14ac:dyDescent="0.2">
      <c r="A83" s="1"/>
      <c r="B83" s="2"/>
      <c r="C83" s="2"/>
      <c r="D83" s="2"/>
      <c r="E83" s="2"/>
      <c r="F83" s="2"/>
      <c r="G83" s="2"/>
      <c r="H83" s="2"/>
      <c r="I83" s="2"/>
      <c r="J83" s="75"/>
    </row>
    <row r="84" spans="1:10" x14ac:dyDescent="0.2">
      <c r="A84" s="1"/>
      <c r="B84" s="2"/>
      <c r="C84" s="2"/>
      <c r="D84" s="2"/>
      <c r="E84" s="2"/>
      <c r="F84" s="2"/>
      <c r="G84" s="2"/>
      <c r="H84" s="2"/>
      <c r="I84" s="2"/>
      <c r="J84" s="75"/>
    </row>
    <row r="85" spans="1:10" x14ac:dyDescent="0.2">
      <c r="A85" s="1"/>
      <c r="B85" s="2"/>
      <c r="C85" s="2"/>
      <c r="D85" s="2"/>
      <c r="E85" s="2"/>
      <c r="F85" s="2"/>
      <c r="G85" s="2"/>
      <c r="H85" s="2"/>
      <c r="I85" s="2"/>
      <c r="J85" s="75"/>
    </row>
    <row r="86" spans="1:10" x14ac:dyDescent="0.2">
      <c r="A86" s="1"/>
      <c r="B86" s="2"/>
      <c r="C86" s="2"/>
      <c r="D86" s="2"/>
      <c r="E86" s="2"/>
      <c r="F86" s="2"/>
      <c r="G86" s="2"/>
      <c r="H86" s="2"/>
      <c r="I86" s="2"/>
      <c r="J86" s="75"/>
    </row>
    <row r="87" spans="1:10" x14ac:dyDescent="0.2">
      <c r="A87" s="1"/>
      <c r="B87" s="2"/>
      <c r="C87" s="2"/>
      <c r="D87" s="2"/>
      <c r="E87" s="2"/>
      <c r="F87" s="2"/>
      <c r="G87" s="2"/>
      <c r="H87" s="2"/>
      <c r="I87" s="2"/>
      <c r="J87" s="75"/>
    </row>
    <row r="88" spans="1:10" x14ac:dyDescent="0.2">
      <c r="A88" s="1"/>
      <c r="B88" s="2"/>
      <c r="C88" s="2"/>
      <c r="D88" s="2"/>
      <c r="E88" s="2"/>
      <c r="F88" s="2"/>
      <c r="G88" s="2"/>
      <c r="H88" s="2"/>
      <c r="I88" s="2"/>
      <c r="J88" s="75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75"/>
    </row>
  </sheetData>
  <mergeCells count="1">
    <mergeCell ref="B68:J68"/>
  </mergeCells>
  <phoneticPr fontId="8" type="noConversion"/>
  <pageMargins left="0.75" right="0.75" top="1" bottom="1" header="0.5" footer="0.5"/>
  <pageSetup scale="68" orientation="portrait" r:id="rId1"/>
  <headerFooter alignWithMargins="0">
    <oddFooter>&amp;LSREB Fact Book&amp;R&amp;D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V75"/>
  <sheetViews>
    <sheetView showGridLines="0" tabSelected="1" view="pageBreakPreview" zoomScaleNormal="100" zoomScaleSheetLayoutView="100" workbookViewId="0">
      <selection activeCell="A69" sqref="A69"/>
    </sheetView>
  </sheetViews>
  <sheetFormatPr defaultColWidth="8.77734375" defaultRowHeight="12.75" x14ac:dyDescent="0.2"/>
  <cols>
    <col min="1" max="1" width="6.5546875" style="1" customWidth="1"/>
    <col min="2" max="2" width="9.33203125" style="1" customWidth="1"/>
    <col min="3" max="4" width="5.88671875" style="1" customWidth="1"/>
    <col min="5" max="5" width="7.109375" style="1" customWidth="1"/>
    <col min="6" max="7" width="5.88671875" style="1" customWidth="1"/>
    <col min="8" max="8" width="7.21875" style="1" customWidth="1"/>
    <col min="9" max="9" width="5.88671875" style="2" customWidth="1"/>
    <col min="10" max="10" width="5" style="1" customWidth="1"/>
    <col min="11" max="11" width="7.21875" style="1" customWidth="1"/>
    <col min="12" max="13" width="5.88671875" style="1" customWidth="1"/>
    <col min="14" max="14" width="7.5546875" style="1" customWidth="1"/>
    <col min="15" max="15" width="2.109375" style="1" customWidth="1"/>
    <col min="16" max="18" width="11.33203125" style="1" customWidth="1"/>
    <col min="19" max="19" width="2.109375" style="2" customWidth="1"/>
    <col min="20" max="23" width="11.33203125" style="1" customWidth="1"/>
    <col min="24" max="16384" width="8.77734375" style="1"/>
  </cols>
  <sheetData>
    <row r="1" spans="1:22" x14ac:dyDescent="0.2">
      <c r="A1" s="1" t="s">
        <v>214</v>
      </c>
    </row>
    <row r="2" spans="1:22" ht="14.25" x14ac:dyDescent="0.2">
      <c r="A2" s="1" t="s">
        <v>133</v>
      </c>
    </row>
    <row r="3" spans="1:22" ht="15" x14ac:dyDescent="0.2">
      <c r="A3" s="2"/>
      <c r="B3" s="2"/>
      <c r="C3" s="2"/>
      <c r="D3" s="2"/>
      <c r="E3" s="2"/>
      <c r="F3" s="2"/>
      <c r="G3" s="2"/>
      <c r="H3" s="2"/>
      <c r="J3" s="2"/>
      <c r="K3" s="2"/>
      <c r="L3" s="2"/>
      <c r="M3" s="2"/>
      <c r="N3" s="2"/>
      <c r="P3" s="494" t="s">
        <v>201</v>
      </c>
      <c r="Q3" s="234"/>
      <c r="R3" s="235"/>
      <c r="S3" s="181"/>
      <c r="T3" s="494" t="s">
        <v>202</v>
      </c>
      <c r="U3" s="150"/>
      <c r="V3" s="232"/>
    </row>
    <row r="4" spans="1:22" ht="15" customHeight="1" x14ac:dyDescent="0.2">
      <c r="A4" s="3"/>
      <c r="B4" s="3"/>
      <c r="C4" s="229" t="s">
        <v>225</v>
      </c>
      <c r="D4" s="20"/>
      <c r="E4" s="714"/>
      <c r="F4" s="715"/>
      <c r="G4" s="19"/>
      <c r="H4" s="20"/>
      <c r="I4" s="498" t="s">
        <v>226</v>
      </c>
      <c r="J4" s="19"/>
      <c r="K4" s="20"/>
      <c r="L4" s="18"/>
      <c r="M4" s="713"/>
      <c r="N4" s="714"/>
      <c r="O4" s="2"/>
      <c r="P4" s="80"/>
      <c r="Q4" s="2"/>
      <c r="R4" s="79"/>
      <c r="T4" s="80"/>
      <c r="U4" s="2"/>
      <c r="V4" s="79"/>
    </row>
    <row r="5" spans="1:22" ht="39.75" customHeight="1" x14ac:dyDescent="0.2">
      <c r="A5" s="2"/>
      <c r="B5" s="2"/>
      <c r="C5" s="18" t="s">
        <v>132</v>
      </c>
      <c r="D5" s="19"/>
      <c r="E5" s="20"/>
      <c r="F5" s="23" t="s">
        <v>65</v>
      </c>
      <c r="G5" s="19"/>
      <c r="H5" s="20"/>
      <c r="I5" s="498" t="s">
        <v>132</v>
      </c>
      <c r="J5" s="19"/>
      <c r="K5" s="20"/>
      <c r="L5" s="23" t="s">
        <v>65</v>
      </c>
      <c r="M5" s="19"/>
      <c r="N5" s="20"/>
      <c r="O5" s="2"/>
      <c r="P5" s="80"/>
      <c r="Q5" s="2"/>
      <c r="R5" s="79"/>
      <c r="T5" s="80"/>
      <c r="U5" s="2"/>
      <c r="V5" s="79"/>
    </row>
    <row r="6" spans="1:22" ht="27" customHeight="1" x14ac:dyDescent="0.2">
      <c r="A6" s="4"/>
      <c r="B6" s="4"/>
      <c r="C6" s="744" t="s">
        <v>58</v>
      </c>
      <c r="D6" s="744" t="s">
        <v>59</v>
      </c>
      <c r="E6" s="744" t="s">
        <v>60</v>
      </c>
      <c r="F6" s="745" t="s">
        <v>58</v>
      </c>
      <c r="G6" s="744" t="s">
        <v>59</v>
      </c>
      <c r="H6" s="744" t="s">
        <v>60</v>
      </c>
      <c r="I6" s="746" t="s">
        <v>58</v>
      </c>
      <c r="J6" s="744" t="s">
        <v>59</v>
      </c>
      <c r="K6" s="744" t="s">
        <v>60</v>
      </c>
      <c r="L6" s="745" t="s">
        <v>58</v>
      </c>
      <c r="M6" s="744" t="s">
        <v>59</v>
      </c>
      <c r="N6" s="744" t="s">
        <v>60</v>
      </c>
      <c r="O6" s="2"/>
      <c r="P6" s="80"/>
      <c r="Q6" s="2"/>
      <c r="R6" s="79"/>
      <c r="T6" s="80"/>
      <c r="U6" s="2"/>
      <c r="V6" s="79"/>
    </row>
    <row r="7" spans="1:22" x14ac:dyDescent="0.2">
      <c r="A7" s="427" t="s">
        <v>181</v>
      </c>
      <c r="B7" s="427"/>
      <c r="C7" s="503">
        <f>+'Attainment by Race Trends'!AA6</f>
        <v>91.414942229378866</v>
      </c>
      <c r="D7" s="503">
        <f>+'Attainment by Race Trends'!AC6</f>
        <v>83.099172972670502</v>
      </c>
      <c r="E7" s="503">
        <f>+'Attainment by Race Trends'!AE6</f>
        <v>63.951114133610368</v>
      </c>
      <c r="F7" s="502">
        <f>+'Attainment by Race Trends'!AG6</f>
        <v>32.505406289937127</v>
      </c>
      <c r="G7" s="503">
        <f>+'Attainment by Race Trends'!AI6</f>
        <v>18.846162426351494</v>
      </c>
      <c r="H7" s="503">
        <f>+'Attainment by Race Trends'!AK6</f>
        <v>13.699008840326703</v>
      </c>
      <c r="I7" s="502">
        <f>('Attainment by Race Trends'!AA6-'Attainment by Race Trends'!Z6)</f>
        <v>7.8374384908665462</v>
      </c>
      <c r="J7" s="503">
        <f>('Attainment by Race Trends'!AC6-'Attainment by Race Trends'!AB6)</f>
        <v>11.169715489462774</v>
      </c>
      <c r="K7" s="503">
        <f>('Attainment by Race Trends'!AE6-'Attainment by Race Trends'!AD6)</f>
        <v>12.281616563855785</v>
      </c>
      <c r="L7" s="502">
        <f>('Attainment by Race Trends'!AG6-'Attainment by Race Trends'!AF6)</f>
        <v>6.4430019507293821</v>
      </c>
      <c r="M7" s="503">
        <f>('Attainment by Race Trends'!AI6-'Attainment by Race Trends'!AH6)</f>
        <v>4.5886568599817092</v>
      </c>
      <c r="N7" s="503">
        <f>('Attainment by Race Trends'!AK6-'Attainment by Race Trends'!AJ6)</f>
        <v>3.2556611195872804</v>
      </c>
      <c r="O7" s="2"/>
      <c r="P7" s="80"/>
      <c r="Q7" s="2"/>
      <c r="R7" s="79"/>
      <c r="T7" s="80"/>
      <c r="U7" s="2"/>
      <c r="V7" s="79"/>
    </row>
    <row r="8" spans="1:22" x14ac:dyDescent="0.2">
      <c r="A8" s="428" t="s">
        <v>63</v>
      </c>
      <c r="B8" s="428"/>
      <c r="C8" s="505">
        <f>+'Attainment by Race Trends'!AA7</f>
        <v>89.432906795313315</v>
      </c>
      <c r="D8" s="505">
        <f>+'Attainment by Race Trends'!AC7</f>
        <v>82.346952851777885</v>
      </c>
      <c r="E8" s="505">
        <f>+'Attainment by Race Trends'!AE7</f>
        <v>65.150385358892763</v>
      </c>
      <c r="F8" s="179">
        <f>+'Attainment by Race Trends'!AG7</f>
        <v>30.409869263448808</v>
      </c>
      <c r="G8" s="439">
        <f>+'Attainment by Race Trends'!AI7</f>
        <v>18.526861306189204</v>
      </c>
      <c r="H8" s="439">
        <f>+'Attainment by Race Trends'!AK7</f>
        <v>15.326762470760622</v>
      </c>
      <c r="I8" s="179">
        <f>('Attainment by Race Trends'!AA7-'Attainment by Race Trends'!Z7)</f>
        <v>8.8633740962679184</v>
      </c>
      <c r="J8" s="439">
        <f>('Attainment by Race Trends'!AC7-'Attainment by Race Trends'!AB7)</f>
        <v>12.036586759363672</v>
      </c>
      <c r="K8" s="439">
        <f>('Attainment by Race Trends'!AE7-'Attainment by Race Trends'!AD7)</f>
        <v>11.110874165550989</v>
      </c>
      <c r="L8" s="179">
        <f>('Attainment by Race Trends'!AG7-'Attainment by Race Trends'!AF7)</f>
        <v>5.9839436048307029</v>
      </c>
      <c r="M8" s="439">
        <f>('Attainment by Race Trends'!AI7-'Attainment by Race Trends'!AH7)</f>
        <v>4.8675732923217687</v>
      </c>
      <c r="N8" s="439">
        <f>('Attainment by Race Trends'!AK7-'Attainment by Race Trends'!AJ7)</f>
        <v>2.9869747339442352</v>
      </c>
      <c r="O8" s="2"/>
      <c r="P8" s="80"/>
      <c r="Q8" s="2"/>
      <c r="R8" s="79"/>
      <c r="T8" s="80"/>
      <c r="U8" s="2"/>
      <c r="V8" s="79"/>
    </row>
    <row r="9" spans="1:22" ht="14.25" x14ac:dyDescent="0.2">
      <c r="A9" s="428" t="s">
        <v>191</v>
      </c>
      <c r="B9" s="428"/>
      <c r="C9" s="505">
        <f>(C8/C$7)*100</f>
        <v>97.831825535597645</v>
      </c>
      <c r="D9" s="505">
        <f>(D8/D$7)*100</f>
        <v>99.094792289762012</v>
      </c>
      <c r="E9" s="505">
        <f t="shared" ref="E9:H9" si="0">(E8/E$7)*100</f>
        <v>101.87529371697389</v>
      </c>
      <c r="F9" s="504">
        <f t="shared" si="0"/>
        <v>93.553266161952124</v>
      </c>
      <c r="G9" s="505">
        <f t="shared" si="0"/>
        <v>98.305749929673595</v>
      </c>
      <c r="H9" s="505">
        <f t="shared" si="0"/>
        <v>111.88227301264446</v>
      </c>
      <c r="I9" s="504"/>
      <c r="J9" s="505"/>
      <c r="K9" s="505"/>
      <c r="L9" s="504"/>
      <c r="M9" s="505"/>
      <c r="N9" s="505"/>
      <c r="O9" s="2"/>
      <c r="P9" s="80"/>
      <c r="Q9" s="2"/>
      <c r="R9" s="79"/>
      <c r="T9" s="80"/>
      <c r="U9" s="2"/>
      <c r="V9" s="79"/>
    </row>
    <row r="10" spans="1:22" x14ac:dyDescent="0.2">
      <c r="A10" s="429" t="s">
        <v>0</v>
      </c>
      <c r="B10" s="429"/>
      <c r="C10" s="506">
        <f>+'Attainment by Race Trends'!AA9</f>
        <v>86.107168322342517</v>
      </c>
      <c r="D10" s="506">
        <f>+'Attainment by Race Trends'!AC9</f>
        <v>79.728813472261109</v>
      </c>
      <c r="E10" s="506">
        <f>+'Attainment by Race Trends'!AE9</f>
        <v>59.936941560958232</v>
      </c>
      <c r="F10" s="441">
        <f>+'Attainment by Race Trends'!AG9</f>
        <v>25.586628620909242</v>
      </c>
      <c r="G10" s="440">
        <f>+'Attainment by Race Trends'!AI9</f>
        <v>15.501986578077526</v>
      </c>
      <c r="H10" s="440">
        <f>+'Attainment by Race Trends'!AK9</f>
        <v>13.047440476813977</v>
      </c>
      <c r="I10" s="441">
        <f>('Attainment by Race Trends'!AA9-'Attainment by Race Trends'!Z9)</f>
        <v>8.1525598866813738</v>
      </c>
      <c r="J10" s="440">
        <f>('Attainment by Race Trends'!AC9-'Attainment by Race Trends'!AB9)</f>
        <v>12.795777547406459</v>
      </c>
      <c r="K10" s="440">
        <f>('Attainment by Race Trends'!AE9-'Attainment by Race Trends'!AD9)</f>
        <v>3.0055158086148666</v>
      </c>
      <c r="L10" s="441">
        <f>('Attainment by Race Trends'!AG9-'Attainment by Race Trends'!AF9)</f>
        <v>4.3965922249861045</v>
      </c>
      <c r="M10" s="440">
        <f>('Attainment by Race Trends'!AI9-'Attainment by Race Trends'!AH9)</f>
        <v>3.9998252441213786</v>
      </c>
      <c r="N10" s="440">
        <f>('Attainment by Race Trends'!AK9-'Attainment by Race Trends'!AJ9)</f>
        <v>-1.533494676395474</v>
      </c>
      <c r="O10" s="2"/>
      <c r="P10" s="80"/>
      <c r="Q10" s="2"/>
      <c r="R10" s="79"/>
      <c r="T10" s="80"/>
      <c r="U10" s="2"/>
      <c r="V10" s="79"/>
    </row>
    <row r="11" spans="1:22" x14ac:dyDescent="0.2">
      <c r="A11" s="429" t="s">
        <v>1</v>
      </c>
      <c r="B11" s="429"/>
      <c r="C11" s="506">
        <f>+'Attainment by Race Trends'!AA10</f>
        <v>86.949968140724167</v>
      </c>
      <c r="D11" s="506">
        <f>+'Attainment by Race Trends'!AC10</f>
        <v>80.159896363468121</v>
      </c>
      <c r="E11" s="506">
        <f>+'Attainment by Race Trends'!AE10</f>
        <v>52.078371029278472</v>
      </c>
      <c r="F11" s="441">
        <f>+'Attainment by Race Trends'!AG10</f>
        <v>22.299261954118705</v>
      </c>
      <c r="G11" s="440">
        <f>+'Attainment by Race Trends'!AI10</f>
        <v>13.92949014527621</v>
      </c>
      <c r="H11" s="440">
        <f>+'Attainment by Race Trends'!AK10</f>
        <v>8.5558904744840962</v>
      </c>
      <c r="I11" s="441">
        <f>('Attainment by Race Trends'!AA10-'Attainment by Race Trends'!Z10)</f>
        <v>9.4978012335555917</v>
      </c>
      <c r="J11" s="440">
        <f>('Attainment by Race Trends'!AC10-'Attainment by Race Trends'!AB10)</f>
        <v>14.385176802435311</v>
      </c>
      <c r="K11" s="440">
        <f>('Attainment by Race Trends'!AE10-'Attainment by Race Trends'!AD10)</f>
        <v>10.837960224410786</v>
      </c>
      <c r="L11" s="441">
        <f>('Attainment by Race Trends'!AG10-'Attainment by Race Trends'!AF10)</f>
        <v>4.5272910138613192</v>
      </c>
      <c r="M11" s="440">
        <f>('Attainment by Race Trends'!AI10-'Attainment by Race Trends'!AH10)</f>
        <v>3.7084577758711603</v>
      </c>
      <c r="N11" s="440">
        <f>('Attainment by Race Trends'!AK10-'Attainment by Race Trends'!AJ10)</f>
        <v>1.4492661210519762</v>
      </c>
      <c r="O11" s="2"/>
      <c r="P11" s="80"/>
      <c r="Q11" s="2"/>
      <c r="R11" s="79"/>
      <c r="T11" s="80"/>
      <c r="U11" s="2"/>
      <c r="V11" s="79"/>
    </row>
    <row r="12" spans="1:22" x14ac:dyDescent="0.2">
      <c r="A12" s="429" t="s">
        <v>2</v>
      </c>
      <c r="B12" s="429"/>
      <c r="C12" s="506">
        <f>+'Attainment by Race Trends'!AA11</f>
        <v>90.646814526818062</v>
      </c>
      <c r="D12" s="506">
        <f>+'Attainment by Race Trends'!AC11</f>
        <v>85.518246252376997</v>
      </c>
      <c r="E12" s="506">
        <f>+'Attainment by Race Trends'!AE11</f>
        <v>63.808955817305304</v>
      </c>
      <c r="F12" s="441">
        <f>+'Attainment by Race Trends'!AG11</f>
        <v>31.629872153211519</v>
      </c>
      <c r="G12" s="440">
        <f>+'Attainment by Race Trends'!AI11</f>
        <v>19.593832577360324</v>
      </c>
      <c r="H12" s="440">
        <f>+'Attainment by Race Trends'!AK11</f>
        <v>15.058893693156403</v>
      </c>
      <c r="I12" s="441">
        <f>('Attainment by Race Trends'!AA11-'Attainment by Race Trends'!Z11)</f>
        <v>5.6160299243518068</v>
      </c>
      <c r="J12" s="440">
        <f>('Attainment by Race Trends'!AC11-'Attainment by Race Trends'!AB11)</f>
        <v>11.332239917795945</v>
      </c>
      <c r="K12" s="440">
        <f>('Attainment by Race Trends'!AE11-'Attainment by Race Trends'!AD11)</f>
        <v>6.6700016617946787</v>
      </c>
      <c r="L12" s="441">
        <f>('Attainment by Race Trends'!AG11-'Attainment by Race Trends'!AF11)</f>
        <v>4.8832726620108566</v>
      </c>
      <c r="M12" s="440">
        <f>('Attainment by Race Trends'!AI11-'Attainment by Race Trends'!AH11)</f>
        <v>5.1475325485667742</v>
      </c>
      <c r="N12" s="440">
        <f>('Attainment by Race Trends'!AK11-'Attainment by Race Trends'!AJ11)</f>
        <v>1.606076907188422</v>
      </c>
      <c r="O12" s="2"/>
      <c r="P12" s="80"/>
      <c r="Q12" s="2"/>
      <c r="R12" s="79"/>
      <c r="T12" s="80"/>
      <c r="U12" s="2"/>
      <c r="V12" s="79"/>
    </row>
    <row r="13" spans="1:22" x14ac:dyDescent="0.2">
      <c r="A13" s="429" t="s">
        <v>3</v>
      </c>
      <c r="B13" s="429"/>
      <c r="C13" s="506">
        <f>+'Attainment by Race Trends'!AA12</f>
        <v>91.274469236324222</v>
      </c>
      <c r="D13" s="506">
        <f>+'Attainment by Race Trends'!AC12</f>
        <v>80.092991060897262</v>
      </c>
      <c r="E13" s="506">
        <f>+'Attainment by Race Trends'!AE12</f>
        <v>76.091662445180248</v>
      </c>
      <c r="F13" s="441">
        <f>+'Attainment by Race Trends'!AG12</f>
        <v>29.855920563944888</v>
      </c>
      <c r="G13" s="440">
        <f>+'Attainment by Race Trends'!AI12</f>
        <v>16.628089783660982</v>
      </c>
      <c r="H13" s="440">
        <f>+'Attainment by Race Trends'!AK12</f>
        <v>21.135091168417958</v>
      </c>
      <c r="I13" s="441">
        <f>('Attainment by Race Trends'!AA12-'Attainment by Race Trends'!Z12)</f>
        <v>8.7395538698954311</v>
      </c>
      <c r="J13" s="440">
        <f>('Attainment by Race Trends'!AC12-'Attainment by Race Trends'!AB12)</f>
        <v>13.045005591478244</v>
      </c>
      <c r="K13" s="440">
        <f>('Attainment by Race Trends'!AE12-'Attainment by Race Trends'!AD12)</f>
        <v>12.777424790970301</v>
      </c>
      <c r="L13" s="441">
        <f>('Attainment by Race Trends'!AG12-'Attainment by Race Trends'!AF12)</f>
        <v>6.0384850739411107</v>
      </c>
      <c r="M13" s="440">
        <f>('Attainment by Race Trends'!AI12-'Attainment by Race Trends'!AH12)</f>
        <v>4.2023885850748197</v>
      </c>
      <c r="N13" s="440">
        <f>('Attainment by Race Trends'!AK12-'Attainment by Race Trends'!AJ12)</f>
        <v>3.6504244305823867</v>
      </c>
      <c r="O13" s="2"/>
      <c r="P13" s="80"/>
      <c r="Q13" s="2"/>
      <c r="R13" s="79"/>
      <c r="T13" s="80"/>
      <c r="U13" s="2"/>
      <c r="V13" s="79"/>
    </row>
    <row r="14" spans="1:22" x14ac:dyDescent="0.2">
      <c r="A14" s="430" t="s">
        <v>4</v>
      </c>
      <c r="B14" s="430"/>
      <c r="C14" s="505">
        <f>+'Attainment by Race Trends'!AA13</f>
        <v>88.61380893056193</v>
      </c>
      <c r="D14" s="505">
        <f>+'Attainment by Race Trends'!AC13</f>
        <v>83.866146083887287</v>
      </c>
      <c r="E14" s="505">
        <f>+'Attainment by Race Trends'!AE13</f>
        <v>57.359655230002105</v>
      </c>
      <c r="F14" s="179">
        <f>+'Attainment by Race Trends'!AG13</f>
        <v>31.820470788800737</v>
      </c>
      <c r="G14" s="439">
        <f>+'Attainment by Race Trends'!AI13</f>
        <v>21.02269676559294</v>
      </c>
      <c r="H14" s="439">
        <f>+'Attainment by Race Trends'!AK13</f>
        <v>13.438351975118259</v>
      </c>
      <c r="I14" s="179">
        <f>('Attainment by Race Trends'!AA13-'Attainment by Race Trends'!Z13)</f>
        <v>6.7974472017332914</v>
      </c>
      <c r="J14" s="439">
        <f>('Attainment by Race Trends'!AC13-'Attainment by Race Trends'!AB13)</f>
        <v>11.378127007421654</v>
      </c>
      <c r="K14" s="439">
        <f>('Attainment by Race Trends'!AE13-'Attainment by Race Trends'!AD13)</f>
        <v>8.833457941198688</v>
      </c>
      <c r="L14" s="179">
        <f>('Attainment by Race Trends'!AG13-'Attainment by Race Trends'!AF13)</f>
        <v>4.4261457867315279</v>
      </c>
      <c r="M14" s="439">
        <f>('Attainment by Race Trends'!AI13-'Attainment by Race Trends'!AH13)</f>
        <v>5.528769175451913</v>
      </c>
      <c r="N14" s="439">
        <f>('Attainment by Race Trends'!AK13-'Attainment by Race Trends'!AJ13)</f>
        <v>-0.16219214045939445</v>
      </c>
      <c r="O14" s="2"/>
      <c r="P14" s="80"/>
      <c r="Q14" s="2"/>
      <c r="R14" s="79"/>
      <c r="T14" s="80"/>
      <c r="U14" s="2"/>
      <c r="V14" s="79"/>
    </row>
    <row r="15" spans="1:22" x14ac:dyDescent="0.2">
      <c r="A15" s="430" t="s">
        <v>5</v>
      </c>
      <c r="B15" s="430"/>
      <c r="C15" s="505">
        <f>+'Attainment by Race Trends'!AA14</f>
        <v>83.98805679033174</v>
      </c>
      <c r="D15" s="505">
        <f>+'Attainment by Race Trends'!AC14</f>
        <v>83.662645788542406</v>
      </c>
      <c r="E15" s="505">
        <f>+'Attainment by Race Trends'!AE14</f>
        <v>66.795253531249543</v>
      </c>
      <c r="F15" s="179">
        <f>+'Attainment by Race Trends'!AG14</f>
        <v>22.042902036639248</v>
      </c>
      <c r="G15" s="439">
        <f>+'Attainment by Race Trends'!AI14</f>
        <v>15.444548031735764</v>
      </c>
      <c r="H15" s="439">
        <f>+'Attainment by Race Trends'!AK14</f>
        <v>15.335083679246667</v>
      </c>
      <c r="I15" s="179">
        <f>('Attainment by Race Trends'!AA14-'Attainment by Race Trends'!Z14)</f>
        <v>9.7978600206590016</v>
      </c>
      <c r="J15" s="439">
        <f>('Attainment by Race Trends'!AC14-'Attainment by Race Trends'!AB14)</f>
        <v>10.480830275481779</v>
      </c>
      <c r="K15" s="439">
        <f>('Attainment by Race Trends'!AE14-'Attainment by Race Trends'!AD14)</f>
        <v>7.735852870057272</v>
      </c>
      <c r="L15" s="179">
        <f>('Attainment by Race Trends'!AG14-'Attainment by Race Trends'!AF14)</f>
        <v>4.6878177283294278</v>
      </c>
      <c r="M15" s="439">
        <f>('Attainment by Race Trends'!AI14-'Attainment by Race Trends'!AH14)</f>
        <v>4.784676377623823</v>
      </c>
      <c r="N15" s="439">
        <f>('Attainment by Race Trends'!AK14-'Attainment by Race Trends'!AJ14)</f>
        <v>2.3742930923496495</v>
      </c>
      <c r="O15" s="2"/>
      <c r="P15" s="80"/>
      <c r="Q15" s="2"/>
      <c r="R15" s="79"/>
      <c r="T15" s="80"/>
      <c r="U15" s="2"/>
      <c r="V15" s="79"/>
    </row>
    <row r="16" spans="1:22" x14ac:dyDescent="0.2">
      <c r="A16" s="430" t="s">
        <v>6</v>
      </c>
      <c r="B16" s="430"/>
      <c r="C16" s="505">
        <f>+'Attainment by Race Trends'!AA15</f>
        <v>87.087969547939409</v>
      </c>
      <c r="D16" s="505">
        <f>+'Attainment by Race Trends'!AC15</f>
        <v>75.954247247418564</v>
      </c>
      <c r="E16" s="505">
        <f>+'Attainment by Race Trends'!AE15</f>
        <v>70.409921046335427</v>
      </c>
      <c r="F16" s="179">
        <f>+'Attainment by Race Trends'!AG15</f>
        <v>25.696638349963983</v>
      </c>
      <c r="G16" s="439">
        <f>+'Attainment by Race Trends'!AI15</f>
        <v>13.455644931256774</v>
      </c>
      <c r="H16" s="439">
        <f>+'Attainment by Race Trends'!AK15</f>
        <v>17.404896722226653</v>
      </c>
      <c r="I16" s="179">
        <f>('Attainment by Race Trends'!AA15-'Attainment by Race Trends'!Z15)</f>
        <v>7.0997263766534928</v>
      </c>
      <c r="J16" s="439">
        <f>('Attainment by Race Trends'!AC15-'Attainment by Race Trends'!AB15)</f>
        <v>12.814768221578824</v>
      </c>
      <c r="K16" s="439">
        <f>('Attainment by Race Trends'!AE15-'Attainment by Race Trends'!AD15)</f>
        <v>1.3610616257023764</v>
      </c>
      <c r="L16" s="179">
        <f>('Attainment by Race Trends'!AG15-'Attainment by Race Trends'!AF15)</f>
        <v>3.9277892011478386</v>
      </c>
      <c r="M16" s="439">
        <f>('Attainment by Race Trends'!AI15-'Attainment by Race Trends'!AH15)</f>
        <v>2.564321165553709</v>
      </c>
      <c r="N16" s="439">
        <f>('Attainment by Race Trends'!AK15-'Attainment by Race Trends'!AJ15)</f>
        <v>-2.1151916825408925</v>
      </c>
      <c r="O16" s="2"/>
      <c r="P16" s="80"/>
      <c r="Q16" s="2"/>
      <c r="R16" s="79"/>
      <c r="T16" s="80"/>
      <c r="U16" s="2"/>
      <c r="V16" s="79"/>
    </row>
    <row r="17" spans="1:22" x14ac:dyDescent="0.2">
      <c r="A17" s="430" t="s">
        <v>7</v>
      </c>
      <c r="B17" s="430"/>
      <c r="C17" s="505">
        <f>+'Attainment by Race Trends'!AA16</f>
        <v>92.599515826189688</v>
      </c>
      <c r="D17" s="505">
        <f>+'Attainment by Race Trends'!AC16</f>
        <v>88.059843540548272</v>
      </c>
      <c r="E17" s="505">
        <f>+'Attainment by Race Trends'!AE16</f>
        <v>62.919329142489829</v>
      </c>
      <c r="F17" s="179">
        <f>+'Attainment by Race Trends'!AG16</f>
        <v>41.897560495355165</v>
      </c>
      <c r="G17" s="439">
        <f>+'Attainment by Race Trends'!AI16</f>
        <v>26.285295630789452</v>
      </c>
      <c r="H17" s="439">
        <f>+'Attainment by Race Trends'!AK16</f>
        <v>20.909521324573802</v>
      </c>
      <c r="I17" s="179">
        <f>('Attainment by Race Trends'!AA16-'Attainment by Race Trends'!Z16)</f>
        <v>6.2862872947097088</v>
      </c>
      <c r="J17" s="439">
        <f>('Attainment by Race Trends'!AC16-'Attainment by Race Trends'!AB16)</f>
        <v>9.1126633061711857</v>
      </c>
      <c r="K17" s="439">
        <f>('Attainment by Race Trends'!AE16-'Attainment by Race Trends'!AD16)</f>
        <v>1.007716897755877</v>
      </c>
      <c r="L17" s="179">
        <f>('Attainment by Race Trends'!AG16-'Attainment by Race Trends'!AF16)</f>
        <v>7.1650319336610977</v>
      </c>
      <c r="M17" s="439">
        <f>('Attainment by Race Trends'!AI16-'Attainment by Race Trends'!AH16)</f>
        <v>5.9913856809364958</v>
      </c>
      <c r="N17" s="439">
        <f>('Attainment by Race Trends'!AK16-'Attainment by Race Trends'!AJ16)</f>
        <v>-0.51956674974970696</v>
      </c>
      <c r="O17" s="2"/>
      <c r="P17" s="80"/>
      <c r="Q17" s="2"/>
      <c r="R17" s="79"/>
      <c r="T17" s="80"/>
      <c r="U17" s="2"/>
      <c r="V17" s="79"/>
    </row>
    <row r="18" spans="1:22" x14ac:dyDescent="0.2">
      <c r="A18" s="429" t="s">
        <v>8</v>
      </c>
      <c r="B18" s="429"/>
      <c r="C18" s="506">
        <f>+'Attainment by Race Trends'!AA17</f>
        <v>86.130379480437384</v>
      </c>
      <c r="D18" s="506">
        <f>+'Attainment by Race Trends'!AC17</f>
        <v>75.579470955589883</v>
      </c>
      <c r="E18" s="506">
        <f>+'Attainment by Race Trends'!AE17</f>
        <v>61.152794487586128</v>
      </c>
      <c r="F18" s="441">
        <f>+'Attainment by Race Trends'!AG17</f>
        <v>23.781774642667592</v>
      </c>
      <c r="G18" s="440">
        <f>+'Attainment by Race Trends'!AI17</f>
        <v>13.954849268975103</v>
      </c>
      <c r="H18" s="440">
        <f>+'Attainment by Race Trends'!AK17</f>
        <v>12.118560647489883</v>
      </c>
      <c r="I18" s="441">
        <f>('Attainment by Race Trends'!AA17-'Attainment by Race Trends'!Z17)</f>
        <v>7.2348652305935701</v>
      </c>
      <c r="J18" s="440">
        <f>('Attainment by Race Trends'!AC17-'Attainment by Race Trends'!AB17)</f>
        <v>15.132000103263593</v>
      </c>
      <c r="K18" s="440">
        <f>('Attainment by Race Trends'!AE17-'Attainment by Race Trends'!AD17)</f>
        <v>2.0046332250032961</v>
      </c>
      <c r="L18" s="441">
        <f>('Attainment by Race Trends'!AG17-'Attainment by Race Trends'!AF17)</f>
        <v>3.7562721783124999</v>
      </c>
      <c r="M18" s="440">
        <f>('Attainment by Race Trends'!AI17-'Attainment by Race Trends'!AH17)</f>
        <v>3.8625068328936951</v>
      </c>
      <c r="N18" s="440">
        <f>('Attainment by Race Trends'!AK17-'Attainment by Race Trends'!AJ17)</f>
        <v>4.4100634337977951E-2</v>
      </c>
      <c r="O18" s="2"/>
      <c r="P18" s="80"/>
      <c r="Q18" s="2"/>
      <c r="R18" s="79"/>
      <c r="T18" s="80"/>
      <c r="U18" s="2"/>
      <c r="V18" s="79"/>
    </row>
    <row r="19" spans="1:22" x14ac:dyDescent="0.2">
      <c r="A19" s="429" t="s">
        <v>9</v>
      </c>
      <c r="B19" s="429"/>
      <c r="C19" s="506">
        <f>+'Attainment by Race Trends'!AA18</f>
        <v>89.164551605089514</v>
      </c>
      <c r="D19" s="506">
        <f>+'Attainment by Race Trends'!AC18</f>
        <v>82.179773372015347</v>
      </c>
      <c r="E19" s="506">
        <f>+'Attainment by Race Trends'!AE18</f>
        <v>53.654182104394231</v>
      </c>
      <c r="F19" s="441">
        <f>+'Attainment by Race Trends'!AG18</f>
        <v>31.30101066347412</v>
      </c>
      <c r="G19" s="440">
        <f>+'Attainment by Race Trends'!AI18</f>
        <v>17.723343049751172</v>
      </c>
      <c r="H19" s="440">
        <f>+'Attainment by Race Trends'!AK18</f>
        <v>11.75155017181471</v>
      </c>
      <c r="I19" s="441">
        <f>('Attainment by Race Trends'!AA18-'Attainment by Race Trends'!Z18)</f>
        <v>8.009804500266938</v>
      </c>
      <c r="J19" s="440">
        <f>('Attainment by Race Trends'!AC18-'Attainment by Race Trends'!AB18)</f>
        <v>11.454232151895113</v>
      </c>
      <c r="K19" s="440">
        <f>('Attainment by Race Trends'!AE18-'Attainment by Race Trends'!AD18)</f>
        <v>9.1479902070322154</v>
      </c>
      <c r="L19" s="441">
        <f>('Attainment by Race Trends'!AG18-'Attainment by Race Trends'!AF18)</f>
        <v>6.2794793887500724</v>
      </c>
      <c r="M19" s="440">
        <f>('Attainment by Race Trends'!AI18-'Attainment by Race Trends'!AH18)</f>
        <v>4.5781021585179822</v>
      </c>
      <c r="N19" s="440">
        <f>('Attainment by Race Trends'!AK18-'Attainment by Race Trends'!AJ18)</f>
        <v>1.2339006915224395</v>
      </c>
      <c r="O19" s="2"/>
      <c r="P19" s="80"/>
      <c r="Q19" s="2"/>
      <c r="R19" s="79"/>
      <c r="T19" s="80"/>
      <c r="U19" s="2"/>
      <c r="V19" s="79"/>
    </row>
    <row r="20" spans="1:22" x14ac:dyDescent="0.2">
      <c r="A20" s="429" t="s">
        <v>10</v>
      </c>
      <c r="B20" s="429"/>
      <c r="C20" s="506">
        <f>+'Attainment by Race Trends'!AA19</f>
        <v>89.438091966432737</v>
      </c>
      <c r="D20" s="506">
        <f>+'Attainment by Race Trends'!AC19</f>
        <v>87.651771147136287</v>
      </c>
      <c r="E20" s="506">
        <f>+'Attainment by Race Trends'!AE19</f>
        <v>56.84209284074749</v>
      </c>
      <c r="F20" s="441">
        <f>+'Attainment by Race Trends'!AG19</f>
        <v>26.116373034957714</v>
      </c>
      <c r="G20" s="440">
        <f>+'Attainment by Race Trends'!AI19</f>
        <v>17.814128847364209</v>
      </c>
      <c r="H20" s="440">
        <f>+'Attainment by Race Trends'!AK19</f>
        <v>9.6516849291627569</v>
      </c>
      <c r="I20" s="441">
        <f>('Attainment by Race Trends'!AA19-'Attainment by Race Trends'!Z19)</f>
        <v>7.3435111062001965</v>
      </c>
      <c r="J20" s="440">
        <f>('Attainment by Race Trends'!AC19-'Attainment by Race Trends'!AB19)</f>
        <v>9.1555677213902129</v>
      </c>
      <c r="K20" s="440">
        <f>('Attainment by Race Trends'!AE19-'Attainment by Race Trends'!AD19)</f>
        <v>5.9534176724425265</v>
      </c>
      <c r="L20" s="441">
        <f>('Attainment by Race Trends'!AG19-'Attainment by Race Trends'!AF19)</f>
        <v>4.5693976711069944</v>
      </c>
      <c r="M20" s="440">
        <f>('Attainment by Race Trends'!AI19-'Attainment by Race Trends'!AH19)</f>
        <v>4.1203269755648098</v>
      </c>
      <c r="N20" s="440">
        <f>('Attainment by Race Trends'!AK19-'Attainment by Race Trends'!AJ19)</f>
        <v>8.1721275539985427E-2</v>
      </c>
      <c r="O20" s="2"/>
      <c r="P20" s="80"/>
      <c r="Q20" s="2"/>
      <c r="R20" s="79"/>
      <c r="T20" s="80"/>
      <c r="U20" s="2"/>
      <c r="V20" s="79"/>
    </row>
    <row r="21" spans="1:22" x14ac:dyDescent="0.2">
      <c r="A21" s="429" t="s">
        <v>11</v>
      </c>
      <c r="B21" s="429"/>
      <c r="C21" s="506">
        <f>+'Attainment by Race Trends'!AA20</f>
        <v>88.457358699569369</v>
      </c>
      <c r="D21" s="506">
        <f>+'Attainment by Race Trends'!AC20</f>
        <v>79.157948525864199</v>
      </c>
      <c r="E21" s="506">
        <f>+'Attainment by Race Trends'!AE20</f>
        <v>62.790011720781493</v>
      </c>
      <c r="F21" s="441">
        <f>+'Attainment by Race Trends'!AG20</f>
        <v>29.414424851663277</v>
      </c>
      <c r="G21" s="440">
        <f>+'Attainment by Race Trends'!AI20</f>
        <v>14.335414111171332</v>
      </c>
      <c r="H21" s="440">
        <f>+'Attainment by Race Trends'!AK20</f>
        <v>14.356793007894062</v>
      </c>
      <c r="I21" s="441">
        <f>('Attainment by Race Trends'!AA20-'Attainment by Race Trends'!Z20)</f>
        <v>7.6023548235373397</v>
      </c>
      <c r="J21" s="440">
        <f>('Attainment by Race Trends'!AC20-'Attainment by Race Trends'!AB20)</f>
        <v>14.241002273776488</v>
      </c>
      <c r="K21" s="440">
        <f>('Attainment by Race Trends'!AE20-'Attainment by Race Trends'!AD20)</f>
        <v>6.3680841529999768</v>
      </c>
      <c r="L21" s="441">
        <f>('Attainment by Race Trends'!AG20-'Attainment by Race Trends'!AF20)</f>
        <v>5.1821773493999999</v>
      </c>
      <c r="M21" s="440">
        <f>('Attainment by Race Trends'!AI20-'Attainment by Race Trends'!AH20)</f>
        <v>4.470084758077693</v>
      </c>
      <c r="N21" s="440">
        <f>('Attainment by Race Trends'!AK20-'Attainment by Race Trends'!AJ20)</f>
        <v>0.25955704246098676</v>
      </c>
      <c r="O21" s="2"/>
      <c r="P21" s="80"/>
      <c r="Q21" s="2"/>
      <c r="R21" s="79"/>
      <c r="T21" s="80"/>
      <c r="U21" s="2"/>
      <c r="V21" s="79"/>
    </row>
    <row r="22" spans="1:22" x14ac:dyDescent="0.2">
      <c r="A22" s="431" t="s">
        <v>12</v>
      </c>
      <c r="B22" s="431"/>
      <c r="C22" s="505">
        <f>+'Attainment by Race Trends'!AA21</f>
        <v>86.614564120849451</v>
      </c>
      <c r="D22" s="505">
        <f>+'Attainment by Race Trends'!AC21</f>
        <v>82.42507837375797</v>
      </c>
      <c r="E22" s="505">
        <f>+'Attainment by Race Trends'!AE21</f>
        <v>59.972642892037129</v>
      </c>
      <c r="F22" s="179">
        <f>+'Attainment by Race Trends'!AG21</f>
        <v>25.524627264372967</v>
      </c>
      <c r="G22" s="439">
        <f>+'Attainment by Race Trends'!AI21</f>
        <v>17.689506287564491</v>
      </c>
      <c r="H22" s="439">
        <f>+'Attainment by Race Trends'!AK21</f>
        <v>12.947728382999513</v>
      </c>
      <c r="I22" s="179">
        <f>('Attainment by Race Trends'!AA21-'Attainment by Race Trends'!Z21)</f>
        <v>9.6226364352117599</v>
      </c>
      <c r="J22" s="439">
        <f>('Attainment by Race Trends'!AC21-'Attainment by Race Trends'!AB21)</f>
        <v>11.595155991852678</v>
      </c>
      <c r="K22" s="439">
        <f>('Attainment by Race Trends'!AE21-'Attainment by Race Trends'!AD21)</f>
        <v>4.579154644711231</v>
      </c>
      <c r="L22" s="179">
        <f>('Attainment by Race Trends'!AG21-'Attainment by Race Trends'!AF21)</f>
        <v>5.0425957881636236</v>
      </c>
      <c r="M22" s="439">
        <f>('Attainment by Race Trends'!AI21-'Attainment by Race Trends'!AH21)</f>
        <v>4.7532834993769946</v>
      </c>
      <c r="N22" s="439">
        <f>('Attainment by Race Trends'!AK21-'Attainment by Race Trends'!AJ21)</f>
        <v>-1.1236259408444997</v>
      </c>
      <c r="O22" s="2"/>
      <c r="P22" s="80"/>
      <c r="Q22" s="2"/>
      <c r="R22" s="79"/>
      <c r="T22" s="80"/>
      <c r="U22" s="2"/>
      <c r="V22" s="79"/>
    </row>
    <row r="23" spans="1:22" x14ac:dyDescent="0.2">
      <c r="A23" s="431" t="s">
        <v>13</v>
      </c>
      <c r="B23" s="431"/>
      <c r="C23" s="505">
        <f>+'Attainment by Race Trends'!AA22</f>
        <v>92.776175191971717</v>
      </c>
      <c r="D23" s="505">
        <f>+'Attainment by Race Trends'!AC22</f>
        <v>86.78109513515237</v>
      </c>
      <c r="E23" s="505">
        <f>+'Attainment by Race Trends'!AE22</f>
        <v>61.244655697199413</v>
      </c>
      <c r="F23" s="179">
        <f>+'Attainment by Race Trends'!AG22</f>
        <v>35.329503702387591</v>
      </c>
      <c r="G23" s="439">
        <f>+'Attainment by Race Trends'!AI22</f>
        <v>21.093435456713532</v>
      </c>
      <c r="H23" s="439">
        <f>+'Attainment by Race Trends'!AK22</f>
        <v>12.237748926473964</v>
      </c>
      <c r="I23" s="179">
        <f>('Attainment by Race Trends'!AA22-'Attainment by Race Trends'!Z22)</f>
        <v>13.243750779630716</v>
      </c>
      <c r="J23" s="439">
        <f>('Attainment by Race Trends'!AC22-'Attainment by Race Trends'!AB22)</f>
        <v>10.97009050808019</v>
      </c>
      <c r="K23" s="439">
        <f>('Attainment by Race Trends'!AE22-'Attainment by Race Trends'!AD22)</f>
        <v>11.990544662028626</v>
      </c>
      <c r="L23" s="179">
        <f>('Attainment by Race Trends'!AG22-'Attainment by Race Trends'!AF22)</f>
        <v>9.5387340386757593</v>
      </c>
      <c r="M23" s="439">
        <f>('Attainment by Race Trends'!AI22-'Attainment by Race Trends'!AH22)</f>
        <v>5.7462674840748704</v>
      </c>
      <c r="N23" s="439">
        <f>('Attainment by Race Trends'!AK22-'Attainment by Race Trends'!AJ22)</f>
        <v>3.3065711780563039</v>
      </c>
      <c r="O23" s="2"/>
      <c r="P23" s="80"/>
      <c r="Q23" s="2"/>
      <c r="R23" s="79"/>
      <c r="T23" s="80"/>
      <c r="U23" s="2"/>
      <c r="V23" s="79"/>
    </row>
    <row r="24" spans="1:22" x14ac:dyDescent="0.2">
      <c r="A24" s="431" t="s">
        <v>14</v>
      </c>
      <c r="B24" s="431"/>
      <c r="C24" s="505">
        <f>+'Attainment by Race Trends'!AA23</f>
        <v>90.878702170732367</v>
      </c>
      <c r="D24" s="505">
        <f>+'Attainment by Race Trends'!AC23</f>
        <v>82.766486666327992</v>
      </c>
      <c r="E24" s="505">
        <f>+'Attainment by Race Trends'!AE23</f>
        <v>70.766312315752415</v>
      </c>
      <c r="F24" s="179">
        <f>+'Attainment by Race Trends'!AG23</f>
        <v>38.751388773185873</v>
      </c>
      <c r="G24" s="439">
        <f>+'Attainment by Race Trends'!AI23</f>
        <v>20.76269540296866</v>
      </c>
      <c r="H24" s="439">
        <f>+'Attainment by Race Trends'!AK23</f>
        <v>22.565041697100909</v>
      </c>
      <c r="I24" s="179">
        <f>('Attainment by Race Trends'!AA23-'Attainment by Race Trends'!Z23)</f>
        <v>6.6027252580241935</v>
      </c>
      <c r="J24" s="439">
        <f>('Attainment by Race Trends'!AC23-'Attainment by Race Trends'!AB23)</f>
        <v>11.190672520880781</v>
      </c>
      <c r="K24" s="439">
        <f>('Attainment by Race Trends'!AE23-'Attainment by Race Trends'!AD23)</f>
        <v>7.8390570242940996</v>
      </c>
      <c r="L24" s="179">
        <f>('Attainment by Race Trends'!AG23-'Attainment by Race Trends'!AF23)</f>
        <v>6.4696697127021494</v>
      </c>
      <c r="M24" s="439">
        <f>('Attainment by Race Trends'!AI23-'Attainment by Race Trends'!AH23)</f>
        <v>5.6461763846461892</v>
      </c>
      <c r="N24" s="439">
        <f>('Attainment by Race Trends'!AK23-'Attainment by Race Trends'!AJ23)</f>
        <v>1.9020967465335197</v>
      </c>
      <c r="O24" s="2"/>
      <c r="P24" s="80"/>
      <c r="Q24" s="2"/>
      <c r="R24" s="79"/>
      <c r="T24" s="80"/>
      <c r="U24" s="2"/>
      <c r="V24" s="79"/>
    </row>
    <row r="25" spans="1:22" x14ac:dyDescent="0.2">
      <c r="A25" s="432" t="s">
        <v>15</v>
      </c>
      <c r="B25" s="432"/>
      <c r="C25" s="505">
        <f>+'Attainment by Race Trends'!AA24</f>
        <v>84.434277131890738</v>
      </c>
      <c r="D25" s="505">
        <f>+'Attainment by Race Trends'!AC24</f>
        <v>86.673941394086171</v>
      </c>
      <c r="E25" s="505">
        <f>+'Attainment by Race Trends'!AE24</f>
        <v>77.082996278919268</v>
      </c>
      <c r="F25" s="179">
        <f>+'Attainment by Race Trends'!AG24</f>
        <v>18.667316734782023</v>
      </c>
      <c r="G25" s="439">
        <f>+'Attainment by Race Trends'!AI24</f>
        <v>15.38870997790967</v>
      </c>
      <c r="H25" s="439">
        <f>+'Attainment by Race Trends'!AK24</f>
        <v>22.706681766704417</v>
      </c>
      <c r="I25" s="179">
        <f>('Attainment by Race Trends'!AA24-'Attainment by Race Trends'!Z24)</f>
        <v>9.3101558125179764</v>
      </c>
      <c r="J25" s="439">
        <f>('Attainment by Race Trends'!AC24-'Attainment by Race Trends'!AB24)</f>
        <v>10.05706868346347</v>
      </c>
      <c r="K25" s="439">
        <f>('Attainment by Race Trends'!AE24-'Attainment by Race Trends'!AD24)</f>
        <v>2.8531291952601663</v>
      </c>
      <c r="L25" s="179">
        <f>('Attainment by Race Trends'!AG24-'Attainment by Race Trends'!AF24)</f>
        <v>4.004474140447277</v>
      </c>
      <c r="M25" s="439">
        <f>('Attainment by Race Trends'!AI24-'Attainment by Race Trends'!AH24)</f>
        <v>3.8731422123419055</v>
      </c>
      <c r="N25" s="439">
        <f>('Attainment by Race Trends'!AK24-'Attainment by Race Trends'!AJ24)</f>
        <v>3.0507005313643099</v>
      </c>
      <c r="O25" s="2"/>
      <c r="P25" s="80"/>
      <c r="Q25" s="2"/>
      <c r="R25" s="79"/>
      <c r="T25" s="80"/>
      <c r="U25" s="2"/>
      <c r="V25" s="79"/>
    </row>
    <row r="26" spans="1:22" x14ac:dyDescent="0.2">
      <c r="A26" s="428" t="s">
        <v>183</v>
      </c>
      <c r="B26" s="428"/>
      <c r="C26" s="507">
        <f>+'Attainment by Race Trends'!AA25</f>
        <v>94.038840397099662</v>
      </c>
      <c r="D26" s="507">
        <f>+'Attainment by Race Trends'!AC25</f>
        <v>88.047372570243581</v>
      </c>
      <c r="E26" s="711">
        <f>+'Attainment by Race Trends'!AE25</f>
        <v>61.488964512694565</v>
      </c>
      <c r="F26" s="448">
        <f>+'Attainment by Race Trends'!AG25</f>
        <v>36.446485325866931</v>
      </c>
      <c r="G26" s="447">
        <f>+'Attainment by Race Trends'!AI25</f>
        <v>21.725360036780287</v>
      </c>
      <c r="H26" s="712">
        <f>+'Attainment by Race Trends'!AK25</f>
        <v>11.261139451894332</v>
      </c>
      <c r="I26" s="448">
        <f>('Attainment by Race Trends'!AA25-'Attainment by Race Trends'!Z25)</f>
        <v>8.4524304511866148</v>
      </c>
      <c r="J26" s="447">
        <f>('Attainment by Race Trends'!AC25-'Attainment by Race Trends'!AB25)</f>
        <v>6.970442104644448</v>
      </c>
      <c r="K26" s="712">
        <f>('Attainment by Race Trends'!AE25-'Attainment by Race Trends'!AD25)</f>
        <v>13.369433611551592</v>
      </c>
      <c r="L26" s="448">
        <f>('Attainment by Race Trends'!AG25-'Attainment by Race Trends'!AF25)</f>
        <v>7.8240214589843404</v>
      </c>
      <c r="M26" s="447">
        <f>('Attainment by Race Trends'!AI25-'Attainment by Race Trends'!AH25)</f>
        <v>4.3280220393022333</v>
      </c>
      <c r="N26" s="447">
        <f>('Attainment by Race Trends'!AK25-'Attainment by Race Trends'!AJ25)</f>
        <v>3.0327161975014256</v>
      </c>
      <c r="O26" s="2"/>
      <c r="P26" s="80"/>
      <c r="Q26" s="2"/>
      <c r="R26" s="79"/>
      <c r="T26" s="80"/>
      <c r="U26" s="2"/>
      <c r="V26" s="79"/>
    </row>
    <row r="27" spans="1:22" ht="14.25" x14ac:dyDescent="0.2">
      <c r="A27" s="428" t="s">
        <v>191</v>
      </c>
      <c r="B27" s="428"/>
      <c r="C27" s="505">
        <f>(C26/C$7)*100</f>
        <v>102.87031649720558</v>
      </c>
      <c r="D27" s="505">
        <f>(D26/D$7)*100</f>
        <v>105.95457141216127</v>
      </c>
      <c r="E27" s="505">
        <f t="shared" ref="E27:H27" si="1">(E26/E$7)*100</f>
        <v>96.149950389024127</v>
      </c>
      <c r="F27" s="504">
        <f t="shared" si="1"/>
        <v>112.12438017472147</v>
      </c>
      <c r="G27" s="505">
        <f t="shared" si="1"/>
        <v>115.27736812032872</v>
      </c>
      <c r="H27" s="505">
        <f t="shared" si="1"/>
        <v>82.204045439726642</v>
      </c>
      <c r="I27" s="504"/>
      <c r="J27" s="505"/>
      <c r="K27" s="505"/>
      <c r="L27" s="504"/>
      <c r="M27" s="505"/>
      <c r="N27" s="505"/>
      <c r="O27" s="2"/>
      <c r="P27" s="80"/>
      <c r="Q27" s="2"/>
      <c r="R27" s="79"/>
      <c r="T27" s="80"/>
      <c r="U27" s="2"/>
      <c r="V27" s="79"/>
    </row>
    <row r="28" spans="1:22" x14ac:dyDescent="0.2">
      <c r="A28" s="429" t="s">
        <v>17</v>
      </c>
      <c r="B28" s="429"/>
      <c r="C28" s="506">
        <f>+'Attainment by Race Trends'!AA27</f>
        <v>95.450704712005702</v>
      </c>
      <c r="D28" s="506">
        <f>+'Attainment by Race Trends'!AC27</f>
        <v>86.736686191341818</v>
      </c>
      <c r="E28" s="506">
        <f>+'Attainment by Race Trends'!AE27</f>
        <v>87.675979123722641</v>
      </c>
      <c r="F28" s="441">
        <f>+'Attainment by Race Trends'!AG27</f>
        <v>32.757878733622945</v>
      </c>
      <c r="G28" s="440">
        <f>+'Attainment by Race Trends'!AI27</f>
        <v>22.628425233959469</v>
      </c>
      <c r="H28" s="440">
        <f>+'Attainment by Race Trends'!AK27</f>
        <v>21.481513968685583</v>
      </c>
      <c r="I28" s="441">
        <f>('Attainment by Race Trends'!AA27-'Attainment by Race Trends'!Z27)</f>
        <v>2.9519570523722791</v>
      </c>
      <c r="J28" s="440">
        <f>('Attainment by Race Trends'!AC27-'Attainment by Race Trends'!AB27)</f>
        <v>-1.9674911317613351</v>
      </c>
      <c r="K28" s="440">
        <f>('Attainment by Race Trends'!AE27-'Attainment by Race Trends'!AD27)</f>
        <v>9.359090923445379</v>
      </c>
      <c r="L28" s="441">
        <f>('Attainment by Race Trends'!AG27-'Attainment by Race Trends'!AF27)</f>
        <v>3.4840229819167448</v>
      </c>
      <c r="M28" s="440">
        <f>('Attainment by Race Trends'!AI27-'Attainment by Race Trends'!AH27)</f>
        <v>7.7349895988358544</v>
      </c>
      <c r="N28" s="440">
        <f>('Attainment by Race Trends'!AK27-'Attainment by Race Trends'!AJ27)</f>
        <v>6.1916175322507776</v>
      </c>
      <c r="O28" s="2"/>
      <c r="P28" s="80"/>
      <c r="Q28" s="2"/>
      <c r="R28" s="79"/>
      <c r="T28" s="80"/>
      <c r="U28" s="2"/>
      <c r="V28" s="79"/>
    </row>
    <row r="29" spans="1:22" x14ac:dyDescent="0.2">
      <c r="A29" s="429" t="s">
        <v>18</v>
      </c>
      <c r="B29" s="429"/>
      <c r="C29" s="506">
        <f>+'Attainment by Race Trends'!AA28</f>
        <v>93.700561080554593</v>
      </c>
      <c r="D29" s="506">
        <f>+'Attainment by Race Trends'!AC28</f>
        <v>88.241088964752393</v>
      </c>
      <c r="E29" s="506">
        <f>+'Attainment by Race Trends'!AE28</f>
        <v>64.782860974668665</v>
      </c>
      <c r="F29" s="441">
        <f>+'Attainment by Race Trends'!AG28</f>
        <v>33.192692611806663</v>
      </c>
      <c r="G29" s="440">
        <f>+'Attainment by Race Trends'!AI28</f>
        <v>21.871611700051425</v>
      </c>
      <c r="H29" s="440">
        <f>+'Attainment by Race Trends'!AK28</f>
        <v>10.746744608219011</v>
      </c>
      <c r="I29" s="441">
        <f>('Attainment by Race Trends'!AA28-'Attainment by Race Trends'!Z28)</f>
        <v>8.3344802284164814</v>
      </c>
      <c r="J29" s="440">
        <f>('Attainment by Race Trends'!AC28-'Attainment by Race Trends'!AB28)</f>
        <v>6.5182139969540884</v>
      </c>
      <c r="K29" s="440">
        <f>('Attainment by Race Trends'!AE28-'Attainment by Race Trends'!AD28)</f>
        <v>12.26414848358128</v>
      </c>
      <c r="L29" s="441">
        <f>('Attainment by Race Trends'!AG28-'Attainment by Race Trends'!AF28)</f>
        <v>7.1782008500135746</v>
      </c>
      <c r="M29" s="440">
        <f>('Attainment by Race Trends'!AI28-'Attainment by Race Trends'!AH28)</f>
        <v>3.2775099314780434</v>
      </c>
      <c r="N29" s="440">
        <f>('Attainment by Race Trends'!AK28-'Attainment by Race Trends'!AJ28)</f>
        <v>2.6062914158248667</v>
      </c>
      <c r="O29" s="2"/>
      <c r="P29" s="80"/>
      <c r="Q29" s="2"/>
      <c r="R29" s="79"/>
      <c r="T29" s="80"/>
      <c r="U29" s="2"/>
      <c r="V29" s="79"/>
    </row>
    <row r="30" spans="1:22" x14ac:dyDescent="0.2">
      <c r="A30" s="429" t="s">
        <v>19</v>
      </c>
      <c r="B30" s="429"/>
      <c r="C30" s="506">
        <f>+'Attainment by Race Trends'!AA29</f>
        <v>94.10547889119367</v>
      </c>
      <c r="D30" s="506">
        <f>+'Attainment by Race Trends'!AC29</f>
        <v>88.109119014423072</v>
      </c>
      <c r="E30" s="506">
        <f>+'Attainment by Race Trends'!AE29</f>
        <v>59.476112077593704</v>
      </c>
      <c r="F30" s="441">
        <f>+'Attainment by Race Trends'!AG29</f>
        <v>40.114327267320434</v>
      </c>
      <c r="G30" s="440">
        <f>+'Attainment by Race Trends'!AI29</f>
        <v>21.992921172087115</v>
      </c>
      <c r="H30" s="440">
        <f>+'Attainment by Race Trends'!AK29</f>
        <v>10.918421410933099</v>
      </c>
      <c r="I30" s="441">
        <f>('Attainment by Race Trends'!AA29-'Attainment by Race Trends'!Z29)</f>
        <v>10.798727866332626</v>
      </c>
      <c r="J30" s="440">
        <f>('Attainment by Race Trends'!AC29-'Attainment by Race Trends'!AB29)</f>
        <v>7.5675377881184716</v>
      </c>
      <c r="K30" s="440">
        <f>('Attainment by Race Trends'!AE29-'Attainment by Race Trends'!AD29)</f>
        <v>12.795512808437238</v>
      </c>
      <c r="L30" s="441">
        <f>('Attainment by Race Trends'!AG29-'Attainment by Race Trends'!AF29)</f>
        <v>10.325875592247826</v>
      </c>
      <c r="M30" s="440">
        <f>('Attainment by Race Trends'!AI29-'Attainment by Race Trends'!AH29)</f>
        <v>4.814962872235899</v>
      </c>
      <c r="N30" s="440">
        <f>('Attainment by Race Trends'!AK29-'Attainment by Race Trends'!AJ29)</f>
        <v>3.1745558736362094</v>
      </c>
      <c r="O30" s="2"/>
      <c r="P30" s="80"/>
      <c r="Q30" s="2"/>
      <c r="R30" s="79"/>
      <c r="T30" s="80"/>
      <c r="U30" s="2"/>
      <c r="V30" s="79"/>
    </row>
    <row r="31" spans="1:22" x14ac:dyDescent="0.2">
      <c r="A31" s="429" t="s">
        <v>20</v>
      </c>
      <c r="B31" s="429"/>
      <c r="C31" s="506">
        <f>+'Attainment by Race Trends'!AA30</f>
        <v>95.67217297487008</v>
      </c>
      <c r="D31" s="506">
        <f>+'Attainment by Race Trends'!AC30</f>
        <v>88.452027885837538</v>
      </c>
      <c r="E31" s="506">
        <f>+'Attainment by Race Trends'!AE30</f>
        <v>67.983054885545698</v>
      </c>
      <c r="F31" s="441">
        <f>+'Attainment by Race Trends'!AG30</f>
        <v>43.225276450991608</v>
      </c>
      <c r="G31" s="440">
        <f>+'Attainment by Race Trends'!AI30</f>
        <v>23.350922466587065</v>
      </c>
      <c r="H31" s="440">
        <f>+'Attainment by Race Trends'!AK30</f>
        <v>12.786918315992299</v>
      </c>
      <c r="I31" s="441">
        <f>('Attainment by Race Trends'!AA30-'Attainment by Race Trends'!Z30)</f>
        <v>6.1286832586853279</v>
      </c>
      <c r="J31" s="440">
        <f>('Attainment by Race Trends'!AC30-'Attainment by Race Trends'!AB30)</f>
        <v>4.0728767693848766</v>
      </c>
      <c r="K31" s="440">
        <f>('Attainment by Race Trends'!AE30-'Attainment by Race Trends'!AD30)</f>
        <v>9.8920526723226203</v>
      </c>
      <c r="L31" s="441">
        <f>('Attainment by Race Trends'!AG30-'Attainment by Race Trends'!AF30)</f>
        <v>8.226336638130384</v>
      </c>
      <c r="M31" s="440">
        <f>('Attainment by Race Trends'!AI30-'Attainment by Race Trends'!AH30)</f>
        <v>2.8815695663403673</v>
      </c>
      <c r="N31" s="440">
        <f>('Attainment by Race Trends'!AK30-'Attainment by Race Trends'!AJ30)</f>
        <v>2.3484135419055843</v>
      </c>
      <c r="O31" s="2"/>
      <c r="P31" s="80"/>
      <c r="Q31" s="2"/>
      <c r="R31" s="79"/>
      <c r="T31" s="80"/>
      <c r="U31" s="2"/>
      <c r="V31" s="79"/>
    </row>
    <row r="32" spans="1:22" x14ac:dyDescent="0.2">
      <c r="A32" s="430" t="s">
        <v>22</v>
      </c>
      <c r="B32" s="430"/>
      <c r="C32" s="505">
        <f>+'Attainment by Race Trends'!AA31</f>
        <v>96.67552594298219</v>
      </c>
      <c r="D32" s="505">
        <f>+'Attainment by Race Trends'!AC31</f>
        <v>96.116622308250669</v>
      </c>
      <c r="E32" s="505">
        <f>+'Attainment by Race Trends'!AE31</f>
        <v>88.268420011262805</v>
      </c>
      <c r="F32" s="179">
        <f>+'Attainment by Race Trends'!AG31</f>
        <v>41.587974246859446</v>
      </c>
      <c r="G32" s="439">
        <f>+'Attainment by Race Trends'!AI31</f>
        <v>27.213888216791677</v>
      </c>
      <c r="H32" s="439">
        <f>+'Attainment by Race Trends'!AK31</f>
        <v>19.700774698263398</v>
      </c>
      <c r="I32" s="179">
        <f>('Attainment by Race Trends'!AA31-'Attainment by Race Trends'!Z31)</f>
        <v>4.0188985745805752</v>
      </c>
      <c r="J32" s="439">
        <f>('Attainment by Race Trends'!AC31-'Attainment by Race Trends'!AB31)</f>
        <v>3.1964143703019943</v>
      </c>
      <c r="K32" s="439">
        <f>('Attainment by Race Trends'!AE31-'Attainment by Race Trends'!AD31)</f>
        <v>6.7685787375454396</v>
      </c>
      <c r="L32" s="179">
        <f>('Attainment by Race Trends'!AG31-'Attainment by Race Trends'!AF31)</f>
        <v>5.0881520357201637</v>
      </c>
      <c r="M32" s="439">
        <f>('Attainment by Race Trends'!AI31-'Attainment by Race Trends'!AH31)</f>
        <v>6.213805701732678</v>
      </c>
      <c r="N32" s="439">
        <f>('Attainment by Race Trends'!AK31-'Attainment by Race Trends'!AJ31)</f>
        <v>6.3677669573046902</v>
      </c>
      <c r="O32" s="2"/>
      <c r="P32" s="80"/>
      <c r="Q32" s="2"/>
      <c r="R32" s="79"/>
      <c r="T32" s="80"/>
      <c r="U32" s="2"/>
      <c r="V32" s="79"/>
    </row>
    <row r="33" spans="1:22" x14ac:dyDescent="0.2">
      <c r="A33" s="430" t="s">
        <v>23</v>
      </c>
      <c r="B33" s="430"/>
      <c r="C33" s="505">
        <f>+'Attainment by Race Trends'!AA32</f>
        <v>92.412565144157071</v>
      </c>
      <c r="D33" s="505">
        <f>+'Attainment by Race Trends'!AC32</f>
        <v>90.718429272646134</v>
      </c>
      <c r="E33" s="505">
        <f>+'Attainment by Race Trends'!AE32</f>
        <v>57.564333904168627</v>
      </c>
      <c r="F33" s="179">
        <f>+'Attainment by Race Trends'!AG32</f>
        <v>27.239335702108935</v>
      </c>
      <c r="G33" s="439">
        <f>+'Attainment by Race Trends'!AI32</f>
        <v>30.566711289602853</v>
      </c>
      <c r="H33" s="439">
        <f>+'Attainment by Race Trends'!AK32</f>
        <v>9.045249232820348</v>
      </c>
      <c r="I33" s="179">
        <f>('Attainment by Race Trends'!AA32-'Attainment by Race Trends'!Z32)</f>
        <v>5.8334827260107147</v>
      </c>
      <c r="J33" s="439">
        <f>('Attainment by Race Trends'!AC32-'Attainment by Race Trends'!AB32)</f>
        <v>8.1733842276010904</v>
      </c>
      <c r="K33" s="439">
        <f>('Attainment by Race Trends'!AE32-'Attainment by Race Trends'!AD32)</f>
        <v>13.137868603916914</v>
      </c>
      <c r="L33" s="179">
        <f>('Attainment by Race Trends'!AG32-'Attainment by Race Trends'!AF32)</f>
        <v>4.9282063442793813</v>
      </c>
      <c r="M33" s="439">
        <f>('Attainment by Race Trends'!AI32-'Attainment by Race Trends'!AH32)</f>
        <v>8.1192638421554051</v>
      </c>
      <c r="N33" s="439">
        <f>('Attainment by Race Trends'!AK32-'Attainment by Race Trends'!AJ32)</f>
        <v>2.4244293838451592</v>
      </c>
      <c r="O33" s="2"/>
      <c r="P33" s="80"/>
      <c r="Q33" s="2"/>
      <c r="R33" s="79"/>
      <c r="T33" s="80"/>
      <c r="U33" s="2"/>
      <c r="V33" s="79"/>
    </row>
    <row r="34" spans="1:22" x14ac:dyDescent="0.2">
      <c r="A34" s="430" t="s">
        <v>33</v>
      </c>
      <c r="B34" s="430"/>
      <c r="C34" s="505">
        <f>+'Attainment by Race Trends'!AA33</f>
        <v>93.212922130531169</v>
      </c>
      <c r="D34" s="505">
        <f>+'Attainment by Race Trends'!AC33</f>
        <v>91.542288557213936</v>
      </c>
      <c r="E34" s="505">
        <f>+'Attainment by Race Trends'!AE33</f>
        <v>83.975632366573961</v>
      </c>
      <c r="F34" s="179">
        <f>+'Attainment by Race Trends'!AG33</f>
        <v>30.13029184273126</v>
      </c>
      <c r="G34" s="439">
        <f>+'Attainment by Race Trends'!AI33</f>
        <v>30.003827018752393</v>
      </c>
      <c r="H34" s="439">
        <f>+'Attainment by Race Trends'!AK33</f>
        <v>17.322208978943188</v>
      </c>
      <c r="I34" s="179">
        <f>('Attainment by Race Trends'!AA33-'Attainment by Race Trends'!Z33)</f>
        <v>5.3646318732122893</v>
      </c>
      <c r="J34" s="439">
        <f>('Attainment by Race Trends'!AC33-'Attainment by Race Trends'!AB33)</f>
        <v>0.39184607933783866</v>
      </c>
      <c r="K34" s="439">
        <f>('Attainment by Race Trends'!AE33-'Attainment by Race Trends'!AD33)</f>
        <v>5.9449774664346222</v>
      </c>
      <c r="L34" s="179">
        <f>('Attainment by Race Trends'!AG33-'Attainment by Race Trends'!AF33)</f>
        <v>5.0278980379003642</v>
      </c>
      <c r="M34" s="439">
        <f>('Attainment by Race Trends'!AI33-'Attainment by Race Trends'!AH33)</f>
        <v>-3.1820136892122086</v>
      </c>
      <c r="N34" s="439">
        <f>('Attainment by Race Trends'!AK33-'Attainment by Race Trends'!AJ33)</f>
        <v>1.9599237954782556</v>
      </c>
      <c r="O34" s="2"/>
      <c r="P34" s="80"/>
      <c r="Q34" s="2"/>
      <c r="R34" s="79"/>
      <c r="T34" s="80"/>
      <c r="U34" s="2"/>
      <c r="V34" s="79"/>
    </row>
    <row r="35" spans="1:22" x14ac:dyDescent="0.2">
      <c r="A35" s="430" t="s">
        <v>35</v>
      </c>
      <c r="B35" s="430"/>
      <c r="C35" s="505">
        <f>+'Attainment by Race Trends'!AA34</f>
        <v>92.406135935039018</v>
      </c>
      <c r="D35" s="505">
        <f>+'Attainment by Race Trends'!AC34</f>
        <v>86.755690695214142</v>
      </c>
      <c r="E35" s="505">
        <f>+'Attainment by Race Trends'!AE34</f>
        <v>60.65266051244739</v>
      </c>
      <c r="F35" s="179">
        <f>+'Attainment by Race Trends'!AG34</f>
        <v>26.659560911888946</v>
      </c>
      <c r="G35" s="439">
        <f>+'Attainment by Race Trends'!AI34</f>
        <v>16.685699873189801</v>
      </c>
      <c r="H35" s="439">
        <f>+'Attainment by Race Trends'!AK34</f>
        <v>8.5519900158150293</v>
      </c>
      <c r="I35" s="179">
        <f>('Attainment by Race Trends'!AA34-'Attainment by Race Trends'!Z34)</f>
        <v>8.5368219135830259</v>
      </c>
      <c r="J35" s="439">
        <f>('Attainment by Race Trends'!AC34-'Attainment by Race Trends'!AB34)</f>
        <v>7.8209923702008268</v>
      </c>
      <c r="K35" s="439">
        <f>('Attainment by Race Trends'!AE34-'Attainment by Race Trends'!AD34)</f>
        <v>60.65266051244739</v>
      </c>
      <c r="L35" s="179">
        <f>('Attainment by Race Trends'!AG34-'Attainment by Race Trends'!AF34)</f>
        <v>7.3307885812410802</v>
      </c>
      <c r="M35" s="439">
        <f>('Attainment by Race Trends'!AI34-'Attainment by Race Trends'!AH34)</f>
        <v>4.6668467702832821</v>
      </c>
      <c r="N35" s="439">
        <f>('Attainment by Race Trends'!AK34-'Attainment by Race Trends'!AJ34)</f>
        <v>2.1545231790411234</v>
      </c>
      <c r="O35" s="2"/>
      <c r="P35" s="80"/>
      <c r="Q35" s="2"/>
      <c r="R35" s="79"/>
      <c r="T35" s="80"/>
      <c r="U35" s="2"/>
      <c r="V35" s="79"/>
    </row>
    <row r="36" spans="1:22" x14ac:dyDescent="0.2">
      <c r="A36" s="429" t="s">
        <v>38</v>
      </c>
      <c r="B36" s="429"/>
      <c r="C36" s="506">
        <f>+'Attainment by Race Trends'!AA35</f>
        <v>94.102587691887962</v>
      </c>
      <c r="D36" s="506">
        <f>+'Attainment by Race Trends'!AC35</f>
        <v>88.761685945175088</v>
      </c>
      <c r="E36" s="506">
        <f>+'Attainment by Race Trends'!AE35</f>
        <v>72.727159938036806</v>
      </c>
      <c r="F36" s="441">
        <f>+'Attainment by Race Trends'!AG35</f>
        <v>38.542238351896913</v>
      </c>
      <c r="G36" s="440">
        <f>+'Attainment by Race Trends'!AI35</f>
        <v>26.984630011091742</v>
      </c>
      <c r="H36" s="440">
        <f>+'Attainment by Race Trends'!AK35</f>
        <v>13.881454645998092</v>
      </c>
      <c r="I36" s="441">
        <f>('Attainment by Race Trends'!AA35-'Attainment by Race Trends'!Z35)</f>
        <v>10.793893329471686</v>
      </c>
      <c r="J36" s="440">
        <f>('Attainment by Race Trends'!AC35-'Attainment by Race Trends'!AB35)</f>
        <v>9.3878846907040838</v>
      </c>
      <c r="K36" s="440">
        <f>('Attainment by Race Trends'!AE35-'Attainment by Race Trends'!AD35)</f>
        <v>8.3560938191335055</v>
      </c>
      <c r="L36" s="441">
        <f>('Attainment by Race Trends'!AG35-'Attainment by Race Trends'!AF35)</f>
        <v>10.541217797990061</v>
      </c>
      <c r="M36" s="440">
        <f>('Attainment by Race Trends'!AI35-'Attainment by Race Trends'!AH35)</f>
        <v>8.1883001163221607</v>
      </c>
      <c r="N36" s="440">
        <f>('Attainment by Race Trends'!AK35-'Attainment by Race Trends'!AJ35)</f>
        <v>3.111679208385377</v>
      </c>
      <c r="O36" s="2"/>
      <c r="P36" s="80"/>
      <c r="Q36" s="2"/>
      <c r="R36" s="79"/>
      <c r="T36" s="80"/>
      <c r="U36" s="2"/>
      <c r="V36" s="79"/>
    </row>
    <row r="37" spans="1:22" x14ac:dyDescent="0.2">
      <c r="A37" s="429" t="s">
        <v>42</v>
      </c>
      <c r="B37" s="429"/>
      <c r="C37" s="506">
        <f>+'Attainment by Race Trends'!AA36</f>
        <v>93.053755062684303</v>
      </c>
      <c r="D37" s="506">
        <f>+'Attainment by Race Trends'!AC36</f>
        <v>87.008185285089752</v>
      </c>
      <c r="E37" s="506">
        <f>+'Attainment by Race Trends'!AE36</f>
        <v>58.957552377669067</v>
      </c>
      <c r="F37" s="441">
        <f>+'Attainment by Race Trends'!AG36</f>
        <v>31.615538702188147</v>
      </c>
      <c r="G37" s="440">
        <f>+'Attainment by Race Trends'!AI36</f>
        <v>22.121198028090411</v>
      </c>
      <c r="H37" s="440">
        <f>+'Attainment by Race Trends'!AK36</f>
        <v>12.330189873141526</v>
      </c>
      <c r="I37" s="441">
        <f>('Attainment by Race Trends'!AA36-'Attainment by Race Trends'!Z36)</f>
        <v>5.9456887581828539</v>
      </c>
      <c r="J37" s="440">
        <f>('Attainment by Race Trends'!AC36-'Attainment by Race Trends'!AB36)</f>
        <v>7.2363670436629519</v>
      </c>
      <c r="K37" s="440">
        <f>('Attainment by Race Trends'!AE36-'Attainment by Race Trends'!AD36)</f>
        <v>10.137214098784732</v>
      </c>
      <c r="L37" s="441">
        <f>('Attainment by Race Trends'!AG36-'Attainment by Race Trends'!AF36)</f>
        <v>5.9073656989573244</v>
      </c>
      <c r="M37" s="440">
        <f>('Attainment by Race Trends'!AI36-'Attainment by Race Trends'!AH36)</f>
        <v>4.3223651646716199</v>
      </c>
      <c r="N37" s="440">
        <f>('Attainment by Race Trends'!AK36-'Attainment by Race Trends'!AJ36)</f>
        <v>2.7027440624786312</v>
      </c>
      <c r="O37" s="2"/>
      <c r="P37" s="80"/>
      <c r="Q37" s="2"/>
      <c r="R37" s="79"/>
      <c r="T37" s="80"/>
      <c r="U37" s="2"/>
      <c r="V37" s="79"/>
    </row>
    <row r="38" spans="1:22" x14ac:dyDescent="0.2">
      <c r="A38" s="429" t="s">
        <v>46</v>
      </c>
      <c r="B38" s="429"/>
      <c r="C38" s="506">
        <f>+'Attainment by Race Trends'!AA37</f>
        <v>94.83367462458574</v>
      </c>
      <c r="D38" s="506">
        <f>+'Attainment by Race Trends'!AC37</f>
        <v>85.464221595280847</v>
      </c>
      <c r="E38" s="506">
        <f>+'Attainment by Race Trends'!AE37</f>
        <v>64.487212849715689</v>
      </c>
      <c r="F38" s="441">
        <f>+'Attainment by Race Trends'!AG37</f>
        <v>33.106816702752319</v>
      </c>
      <c r="G38" s="440">
        <f>+'Attainment by Race Trends'!AI37</f>
        <v>22.473711208002051</v>
      </c>
      <c r="H38" s="440">
        <f>+'Attainment by Race Trends'!AK37</f>
        <v>12.758359125413179</v>
      </c>
      <c r="I38" s="441">
        <f>('Attainment by Race Trends'!AA37-'Attainment by Race Trends'!Z37)</f>
        <v>4.9696819736448532</v>
      </c>
      <c r="J38" s="440">
        <f>('Attainment by Race Trends'!AC37-'Attainment by Race Trends'!AB37)</f>
        <v>2.2851320505084516</v>
      </c>
      <c r="K38" s="440">
        <f>('Attainment by Race Trends'!AE37-'Attainment by Race Trends'!AD37)</f>
        <v>7.9923180072337985</v>
      </c>
      <c r="L38" s="441">
        <f>('Attainment by Race Trends'!AG37-'Attainment by Race Trends'!AF37)</f>
        <v>6.0058712577223794</v>
      </c>
      <c r="M38" s="440">
        <f>('Attainment by Race Trends'!AI37-'Attainment by Race Trends'!AH37)</f>
        <v>2.7013250149055033</v>
      </c>
      <c r="N38" s="440">
        <f>('Attainment by Race Trends'!AK37-'Attainment by Race Trends'!AJ37)</f>
        <v>2.9996541773374297</v>
      </c>
      <c r="O38" s="2"/>
      <c r="P38" s="80"/>
      <c r="Q38" s="2"/>
      <c r="R38" s="79"/>
      <c r="T38" s="80"/>
      <c r="U38" s="2"/>
      <c r="V38" s="79"/>
    </row>
    <row r="39" spans="1:22" x14ac:dyDescent="0.2">
      <c r="A39" s="429" t="s">
        <v>48</v>
      </c>
      <c r="B39" s="429"/>
      <c r="C39" s="506">
        <f>+'Attainment by Race Trends'!AA38</f>
        <v>93.954087705899269</v>
      </c>
      <c r="D39" s="506">
        <f>+'Attainment by Race Trends'!AC38</f>
        <v>87.638670819283931</v>
      </c>
      <c r="E39" s="506">
        <f>+'Attainment by Race Trends'!AE38</f>
        <v>61.761465628153864</v>
      </c>
      <c r="F39" s="441">
        <f>+'Attainment by Race Trends'!AG38</f>
        <v>33.727604839994171</v>
      </c>
      <c r="G39" s="440">
        <f>+'Attainment by Race Trends'!AI38</f>
        <v>20.359836297649998</v>
      </c>
      <c r="H39" s="440">
        <f>+'Attainment by Race Trends'!AK38</f>
        <v>13.173242116778761</v>
      </c>
      <c r="I39" s="441">
        <f>('Attainment by Race Trends'!AA38-'Attainment by Race Trends'!Z38)</f>
        <v>4.6954991850066534</v>
      </c>
      <c r="J39" s="440">
        <f>('Attainment by Race Trends'!AC38-'Attainment by Race Trends'!AB38)</f>
        <v>3.6870669089393573</v>
      </c>
      <c r="K39" s="440">
        <f>('Attainment by Race Trends'!AE38-'Attainment by Race Trends'!AD38)</f>
        <v>8.7485109694592964</v>
      </c>
      <c r="L39" s="441">
        <f>('Attainment by Race Trends'!AG38-'Attainment by Race Trends'!AF38)</f>
        <v>5.1794749840886816</v>
      </c>
      <c r="M39" s="440">
        <f>('Attainment by Race Trends'!AI38-'Attainment by Race Trends'!AH38)</f>
        <v>0.98653220516960616</v>
      </c>
      <c r="N39" s="440">
        <f>('Attainment by Race Trends'!AK38-'Attainment by Race Trends'!AJ38)</f>
        <v>2.0446920420403458</v>
      </c>
      <c r="O39" s="2"/>
      <c r="P39" s="80"/>
      <c r="Q39" s="2"/>
      <c r="R39" s="79"/>
      <c r="T39" s="80"/>
      <c r="U39" s="2"/>
      <c r="V39" s="79"/>
    </row>
    <row r="40" spans="1:22" x14ac:dyDescent="0.2">
      <c r="A40" s="433" t="s">
        <v>50</v>
      </c>
      <c r="B40" s="433"/>
      <c r="C40" s="506">
        <f>+'Attainment by Race Trends'!AA39</f>
        <v>93.969078177951531</v>
      </c>
      <c r="D40" s="506">
        <f>+'Attainment by Race Trends'!AC39</f>
        <v>89.983739837398375</v>
      </c>
      <c r="E40" s="506">
        <f>+'Attainment by Race Trends'!AE39</f>
        <v>75.422432376051745</v>
      </c>
      <c r="F40" s="441">
        <f>+'Attainment by Race Trends'!AG39</f>
        <v>26.655639538535624</v>
      </c>
      <c r="G40" s="440">
        <f>+'Attainment by Race Trends'!AI39</f>
        <v>15.186991869918698</v>
      </c>
      <c r="H40" s="440">
        <f>+'Attainment by Race Trends'!AK39</f>
        <v>11.442180655030944</v>
      </c>
      <c r="I40" s="441">
        <f>('Attainment by Race Trends'!AA39-'Attainment by Race Trends'!Z39)</f>
        <v>5.2039783257301053</v>
      </c>
      <c r="J40" s="440">
        <f>('Attainment by Race Trends'!AC39-'Attainment by Race Trends'!AB39)</f>
        <v>3.3283344319929711</v>
      </c>
      <c r="K40" s="440">
        <f>('Attainment by Race Trends'!AE39-'Attainment by Race Trends'!AD39)</f>
        <v>9.1280416118404304</v>
      </c>
      <c r="L40" s="441">
        <f>('Attainment by Race Trends'!AG39-'Attainment by Race Trends'!AF39)</f>
        <v>4.0678875353902448</v>
      </c>
      <c r="M40" s="440">
        <f>('Attainment by Race Trends'!AI39-'Attainment by Race Trends'!AH39)</f>
        <v>-3.4503955174686904</v>
      </c>
      <c r="N40" s="440">
        <f>('Attainment by Race Trends'!AK39-'Attainment by Race Trends'!AJ39)</f>
        <v>3.6871298330959448</v>
      </c>
      <c r="O40" s="2"/>
      <c r="P40" s="80"/>
      <c r="Q40" s="2"/>
      <c r="R40" s="79"/>
      <c r="T40" s="80"/>
      <c r="U40" s="2"/>
      <c r="V40" s="79"/>
    </row>
    <row r="41" spans="1:22" x14ac:dyDescent="0.2">
      <c r="A41" s="428" t="s">
        <v>184</v>
      </c>
      <c r="B41" s="428"/>
      <c r="C41" s="507">
        <f>+'Attainment by Race Trends'!AA40</f>
        <v>91.634894675643423</v>
      </c>
      <c r="D41" s="507">
        <f>+'Attainment by Race Trends'!AC40</f>
        <v>83.350571633930755</v>
      </c>
      <c r="E41" s="507">
        <f>+'Attainment by Race Trends'!AE40</f>
        <v>63.352905676222626</v>
      </c>
      <c r="F41" s="448">
        <f>+'Attainment by Race Trends'!AG40</f>
        <v>29.121108318562953</v>
      </c>
      <c r="G41" s="447">
        <f>+'Attainment by Race Trends'!AI40</f>
        <v>16.857275542392252</v>
      </c>
      <c r="H41" s="712">
        <f>+'Attainment by Race Trends'!AK40</f>
        <v>13.246897262830748</v>
      </c>
      <c r="I41" s="448">
        <f>('Attainment by Race Trends'!AA40-'Attainment by Race Trends'!Z40)</f>
        <v>6.3621258772828782</v>
      </c>
      <c r="J41" s="447">
        <f>('Attainment by Race Trends'!AC40-'Attainment by Race Trends'!AB40)</f>
        <v>11.289805361135805</v>
      </c>
      <c r="K41" s="712">
        <f>('Attainment by Race Trends'!AE40-'Attainment by Race Trends'!AD40)</f>
        <v>12.700663995101671</v>
      </c>
      <c r="L41" s="448">
        <f>('Attainment by Race Trends'!AG40-'Attainment by Race Trends'!AF40)</f>
        <v>5.4347755881624416</v>
      </c>
      <c r="M41" s="447">
        <f>('Attainment by Race Trends'!AI40-'Attainment by Race Trends'!AH40)</f>
        <v>3.5893771052283583</v>
      </c>
      <c r="N41" s="447">
        <f>('Attainment by Race Trends'!AK40-'Attainment by Race Trends'!AJ40)</f>
        <v>2.5018949847807583</v>
      </c>
      <c r="O41" s="2"/>
      <c r="P41" s="80"/>
      <c r="Q41" s="2"/>
      <c r="R41" s="79"/>
      <c r="T41" s="80"/>
      <c r="U41" s="2"/>
      <c r="V41" s="79"/>
    </row>
    <row r="42" spans="1:22" ht="14.25" x14ac:dyDescent="0.2">
      <c r="A42" s="428" t="s">
        <v>191</v>
      </c>
      <c r="B42" s="428"/>
      <c r="C42" s="505">
        <f>(C41/C$7)*100</f>
        <v>100.24060885551145</v>
      </c>
      <c r="D42" s="505">
        <f>(D41/D$7)*100</f>
        <v>100.3025284756359</v>
      </c>
      <c r="E42" s="505">
        <f t="shared" ref="E42:H42" si="2">(E41/E$7)*100</f>
        <v>99.064584776212143</v>
      </c>
      <c r="F42" s="504">
        <f t="shared" si="2"/>
        <v>89.588507397239113</v>
      </c>
      <c r="G42" s="505">
        <f t="shared" si="2"/>
        <v>89.446727461192324</v>
      </c>
      <c r="H42" s="505">
        <f t="shared" si="2"/>
        <v>96.699676722851336</v>
      </c>
      <c r="I42" s="179"/>
      <c r="J42" s="505"/>
      <c r="K42" s="439"/>
      <c r="L42" s="179"/>
      <c r="M42" s="505"/>
      <c r="N42" s="439"/>
      <c r="O42" s="2"/>
      <c r="P42" s="80"/>
      <c r="Q42" s="2"/>
      <c r="R42" s="79"/>
      <c r="T42" s="80"/>
      <c r="U42" s="2"/>
      <c r="V42" s="79"/>
    </row>
    <row r="43" spans="1:22" x14ac:dyDescent="0.2">
      <c r="A43" s="429" t="s">
        <v>24</v>
      </c>
      <c r="B43" s="429"/>
      <c r="C43" s="506">
        <f>+'Attainment by Race Trends'!AA42</f>
        <v>92.978301540833002</v>
      </c>
      <c r="D43" s="506">
        <f>+'Attainment by Race Trends'!AC42</f>
        <v>84.053822862735672</v>
      </c>
      <c r="E43" s="506">
        <f>+'Attainment by Race Trends'!AE42</f>
        <v>61.672491012971022</v>
      </c>
      <c r="F43" s="441">
        <f>+'Attainment by Race Trends'!AG42</f>
        <v>35.433996807973571</v>
      </c>
      <c r="G43" s="440">
        <f>+'Attainment by Race Trends'!AI42</f>
        <v>19.23813198652843</v>
      </c>
      <c r="H43" s="440">
        <f>+'Attainment by Race Trends'!AK42</f>
        <v>12.47313732752867</v>
      </c>
      <c r="I43" s="441">
        <f>('Attainment by Race Trends'!AA42-'Attainment by Race Trends'!Z42)</f>
        <v>8.0151404697208761</v>
      </c>
      <c r="J43" s="440">
        <f>('Attainment by Race Trends'!AC42-'Attainment by Race Trends'!AB42)</f>
        <v>11.036320072735322</v>
      </c>
      <c r="K43" s="440">
        <f>('Attainment by Race Trends'!AE42-'Attainment by Race Trends'!AD42)</f>
        <v>13.199825611353312</v>
      </c>
      <c r="L43" s="441">
        <f>('Attainment by Race Trends'!AG42-'Attainment by Race Trends'!AF42)</f>
        <v>7.6113933240141485</v>
      </c>
      <c r="M43" s="440">
        <f>('Attainment by Race Trends'!AI42-'Attainment by Race Trends'!AH42)</f>
        <v>4.5527726307272953</v>
      </c>
      <c r="N43" s="440">
        <f>('Attainment by Race Trends'!AK42-'Attainment by Race Trends'!AJ42)</f>
        <v>3.4216325199892612</v>
      </c>
      <c r="O43" s="2"/>
      <c r="P43" s="80"/>
      <c r="Q43" s="2"/>
      <c r="R43" s="79"/>
      <c r="T43" s="80"/>
      <c r="U43" s="2"/>
      <c r="V43" s="79"/>
    </row>
    <row r="44" spans="1:22" x14ac:dyDescent="0.2">
      <c r="A44" s="429" t="s">
        <v>25</v>
      </c>
      <c r="B44" s="429"/>
      <c r="C44" s="506">
        <f>+'Attainment by Race Trends'!AA43</f>
        <v>89.119058991062232</v>
      </c>
      <c r="D44" s="506">
        <f>+'Attainment by Race Trends'!AC43</f>
        <v>84.668147950053623</v>
      </c>
      <c r="E44" s="506">
        <f>+'Attainment by Race Trends'!AE43</f>
        <v>63.007879649042621</v>
      </c>
      <c r="F44" s="441">
        <f>+'Attainment by Race Trends'!AG43</f>
        <v>24.220957770023748</v>
      </c>
      <c r="G44" s="440">
        <f>+'Attainment by Race Trends'!AI43</f>
        <v>15.742666366996019</v>
      </c>
      <c r="H44" s="440">
        <f>+'Attainment by Race Trends'!AK43</f>
        <v>12.083287791015412</v>
      </c>
      <c r="I44" s="441">
        <f>('Attainment by Race Trends'!AA43-'Attainment by Race Trends'!Z43)</f>
        <v>5.9519898505491824</v>
      </c>
      <c r="J44" s="440">
        <f>('Attainment by Race Trends'!AC43-'Attainment by Race Trends'!AB43)</f>
        <v>9.7298409600433473</v>
      </c>
      <c r="K44" s="440">
        <f>('Attainment by Race Trends'!AE43-'Attainment by Race Trends'!AD43)</f>
        <v>5.0813333972773762</v>
      </c>
      <c r="L44" s="441">
        <f>('Attainment by Race Trends'!AG43-'Attainment by Race Trends'!AF43)</f>
        <v>4.4105923701460306</v>
      </c>
      <c r="M44" s="440">
        <f>('Attainment by Race Trends'!AI43-'Attainment by Race Trends'!AH43)</f>
        <v>3.6536326927490936</v>
      </c>
      <c r="N44" s="440">
        <f>('Attainment by Race Trends'!AK43-'Attainment by Race Trends'!AJ43)</f>
        <v>0.82722672110695683</v>
      </c>
      <c r="O44" s="2"/>
      <c r="P44" s="80"/>
      <c r="Q44" s="2"/>
      <c r="R44" s="79"/>
      <c r="T44" s="80"/>
      <c r="U44" s="2"/>
      <c r="V44" s="79"/>
    </row>
    <row r="45" spans="1:22" x14ac:dyDescent="0.2">
      <c r="A45" s="429" t="s">
        <v>26</v>
      </c>
      <c r="B45" s="429"/>
      <c r="C45" s="506">
        <f>+'Attainment by Race Trends'!AA44</f>
        <v>92.979080721514592</v>
      </c>
      <c r="D45" s="506">
        <f>+'Attainment by Race Trends'!AC44</f>
        <v>82.930998970133885</v>
      </c>
      <c r="E45" s="506">
        <f>+'Attainment by Race Trends'!AE44</f>
        <v>56.167299349240785</v>
      </c>
      <c r="F45" s="441">
        <f>+'Attainment by Race Trends'!AG44</f>
        <v>26.57878354884803</v>
      </c>
      <c r="G45" s="440">
        <f>+'Attainment by Race Trends'!AI44</f>
        <v>16.889804325437694</v>
      </c>
      <c r="H45" s="440">
        <f>+'Attainment by Race Trends'!AK44</f>
        <v>11.228308026030369</v>
      </c>
      <c r="I45" s="441">
        <f>('Attainment by Race Trends'!AA44-'Attainment by Race Trends'!Z44)</f>
        <v>6.0940847567729719</v>
      </c>
      <c r="J45" s="440">
        <f>('Attainment by Race Trends'!AC44-'Attainment by Race Trends'!AB44)</f>
        <v>5.6689675740729086</v>
      </c>
      <c r="K45" s="440">
        <f>('Attainment by Race Trends'!AE44-'Attainment by Race Trends'!AD44)</f>
        <v>3.8633620034624343</v>
      </c>
      <c r="L45" s="441">
        <f>('Attainment by Race Trends'!AG44-'Attainment by Race Trends'!AF44)</f>
        <v>5.3146566920353493</v>
      </c>
      <c r="M45" s="440">
        <f>('Attainment by Race Trends'!AI44-'Attainment by Race Trends'!AH44)</f>
        <v>2.1942558613948879</v>
      </c>
      <c r="N45" s="440">
        <f>('Attainment by Race Trends'!AK44-'Attainment by Race Trends'!AJ44)</f>
        <v>0.25309077466249086</v>
      </c>
      <c r="O45" s="2"/>
      <c r="P45" s="80"/>
      <c r="Q45" s="2"/>
      <c r="R45" s="79"/>
      <c r="T45" s="80"/>
      <c r="U45" s="2"/>
      <c r="V45" s="79"/>
    </row>
    <row r="46" spans="1:22" x14ac:dyDescent="0.2">
      <c r="A46" s="429" t="s">
        <v>27</v>
      </c>
      <c r="B46" s="429"/>
      <c r="C46" s="506">
        <f>+'Attainment by Race Trends'!AA45</f>
        <v>93.3821719433315</v>
      </c>
      <c r="D46" s="506">
        <f>+'Attainment by Race Trends'!AC45</f>
        <v>87.251320355351126</v>
      </c>
      <c r="E46" s="506">
        <f>+'Attainment by Race Trends'!AE45</f>
        <v>60.204040781466851</v>
      </c>
      <c r="F46" s="441">
        <f>+'Attainment by Race Trends'!AG45</f>
        <v>32.819545918768171</v>
      </c>
      <c r="G46" s="440">
        <f>+'Attainment by Race Trends'!AI45</f>
        <v>18.029083434246811</v>
      </c>
      <c r="H46" s="440">
        <f>+'Attainment by Race Trends'!AK45</f>
        <v>11.57921426283762</v>
      </c>
      <c r="I46" s="441">
        <f>('Attainment by Race Trends'!AA45-'Attainment by Race Trends'!Z45)</f>
        <v>5.5364943555741633</v>
      </c>
      <c r="J46" s="440">
        <f>('Attainment by Race Trends'!AC45-'Attainment by Race Trends'!AB45)</f>
        <v>87.251320355351126</v>
      </c>
      <c r="K46" s="440">
        <f>('Attainment by Race Trends'!AE45-'Attainment by Race Trends'!AD45)</f>
        <v>60.204040781466851</v>
      </c>
      <c r="L46" s="441">
        <f>('Attainment by Race Trends'!AG45-'Attainment by Race Trends'!AF45)</f>
        <v>5.9270564565463353</v>
      </c>
      <c r="M46" s="440">
        <f>('Attainment by Race Trends'!AI45-'Attainment by Race Trends'!AH45)</f>
        <v>3.1768870332554666</v>
      </c>
      <c r="N46" s="440">
        <f>('Attainment by Race Trends'!AK45-'Attainment by Race Trends'!AJ45)</f>
        <v>1.8701267335023974</v>
      </c>
      <c r="O46" s="72"/>
      <c r="P46" s="72"/>
      <c r="Q46" s="72"/>
      <c r="R46" s="72"/>
      <c r="S46" s="72"/>
      <c r="T46" s="72"/>
      <c r="U46" s="72"/>
      <c r="V46" s="72"/>
    </row>
    <row r="47" spans="1:22" x14ac:dyDescent="0.2">
      <c r="A47" s="430" t="s">
        <v>30</v>
      </c>
      <c r="B47" s="430"/>
      <c r="C47" s="505">
        <f>+'Attainment by Race Trends'!AA46</f>
        <v>90.979893041805553</v>
      </c>
      <c r="D47" s="505">
        <f>+'Attainment by Race Trends'!AC46</f>
        <v>83.532072099691405</v>
      </c>
      <c r="E47" s="505">
        <f>+'Attainment by Race Trends'!AE46</f>
        <v>69.357816208581227</v>
      </c>
      <c r="F47" s="179">
        <f>+'Attainment by Race Trends'!AG46</f>
        <v>27.255580971264081</v>
      </c>
      <c r="G47" s="439">
        <f>+'Attainment by Race Trends'!AI46</f>
        <v>16.072470432781142</v>
      </c>
      <c r="H47" s="439">
        <f>+'Attainment by Race Trends'!AK46</f>
        <v>15.742822533423325</v>
      </c>
      <c r="I47" s="179">
        <f>('Attainment by Race Trends'!AA46-'Attainment by Race Trends'!Z46)</f>
        <v>5.6833644708505489</v>
      </c>
      <c r="J47" s="439">
        <f>('Attainment by Race Trends'!AC46-'Attainment by Race Trends'!AB46)</f>
        <v>9.4068121672088978</v>
      </c>
      <c r="K47" s="439">
        <f>('Attainment by Race Trends'!AE46-'Attainment by Race Trends'!AD46)</f>
        <v>7.101672910914175</v>
      </c>
      <c r="L47" s="179">
        <f>('Attainment by Race Trends'!AG46-'Attainment by Race Trends'!AF46)</f>
        <v>4.6247845828280774</v>
      </c>
      <c r="M47" s="439">
        <f>('Attainment by Race Trends'!AI46-'Attainment by Race Trends'!AH46)</f>
        <v>3.3145326730806026</v>
      </c>
      <c r="N47" s="439">
        <f>('Attainment by Race Trends'!AK46-'Attainment by Race Trends'!AJ46)</f>
        <v>2.8568029030789912</v>
      </c>
      <c r="O47" s="72"/>
      <c r="P47" s="72"/>
      <c r="Q47" s="72"/>
      <c r="R47" s="72"/>
      <c r="S47" s="72"/>
      <c r="T47" s="72"/>
      <c r="U47" s="72"/>
      <c r="V47" s="72"/>
    </row>
    <row r="48" spans="1:22" x14ac:dyDescent="0.2">
      <c r="A48" s="430" t="s">
        <v>31</v>
      </c>
      <c r="B48" s="430"/>
      <c r="C48" s="505">
        <f>+'Attainment by Race Trends'!AA47</f>
        <v>94.64670471184435</v>
      </c>
      <c r="D48" s="505">
        <f>+'Attainment by Race Trends'!AC47</f>
        <v>80.560329115242411</v>
      </c>
      <c r="E48" s="505">
        <f>+'Attainment by Race Trends'!AE47</f>
        <v>64.41855485324092</v>
      </c>
      <c r="F48" s="179">
        <f>+'Attainment by Race Trends'!AG47</f>
        <v>34.232126059834535</v>
      </c>
      <c r="G48" s="439">
        <f>+'Attainment by Race Trends'!AI47</f>
        <v>19.32250169244389</v>
      </c>
      <c r="H48" s="439">
        <f>+'Attainment by Race Trends'!AK47</f>
        <v>16.130413748800471</v>
      </c>
      <c r="I48" s="179">
        <f>('Attainment by Race Trends'!AA47-'Attainment by Race Trends'!Z47)</f>
        <v>5.4509352648562697</v>
      </c>
      <c r="J48" s="439">
        <f>('Attainment by Race Trends'!AC47-'Attainment by Race Trends'!AB47)</f>
        <v>1.5553986968071456</v>
      </c>
      <c r="K48" s="439">
        <f>('Attainment by Race Trends'!AE47-'Attainment by Race Trends'!AD47)</f>
        <v>6.3220742518679529</v>
      </c>
      <c r="L48" s="179">
        <f>('Attainment by Race Trends'!AG47-'Attainment by Race Trends'!AF47)</f>
        <v>6.3180197287015751</v>
      </c>
      <c r="M48" s="439">
        <f>('Attainment by Race Trends'!AI47-'Attainment by Race Trends'!AH47)</f>
        <v>0.62592933825776598</v>
      </c>
      <c r="N48" s="439">
        <f>('Attainment by Race Trends'!AK47-'Attainment by Race Trends'!AJ47)</f>
        <v>2.1087320167469201</v>
      </c>
      <c r="O48" s="72"/>
      <c r="P48" s="72"/>
      <c r="Q48" s="72"/>
      <c r="R48" s="72"/>
      <c r="S48" s="72"/>
      <c r="T48" s="72"/>
      <c r="U48" s="72"/>
      <c r="V48" s="72"/>
    </row>
    <row r="49" spans="1:22" x14ac:dyDescent="0.2">
      <c r="A49" s="430" t="s">
        <v>32</v>
      </c>
      <c r="B49" s="430"/>
      <c r="C49" s="505">
        <f>+'Attainment by Race Trends'!AA48</f>
        <v>89.43765799564494</v>
      </c>
      <c r="D49" s="505">
        <f>+'Attainment by Race Trends'!AC48</f>
        <v>82.971160020876582</v>
      </c>
      <c r="E49" s="505">
        <f>+'Attainment by Race Trends'!AE48</f>
        <v>68.351430502365389</v>
      </c>
      <c r="F49" s="179">
        <f>+'Attainment by Race Trends'!AG48</f>
        <v>27.535257545707196</v>
      </c>
      <c r="G49" s="439">
        <f>+'Attainment by Race Trends'!AI48</f>
        <v>16.384504193353649</v>
      </c>
      <c r="H49" s="439">
        <f>+'Attainment by Race Trends'!AK48</f>
        <v>17.574228429826537</v>
      </c>
      <c r="I49" s="179">
        <f>('Attainment by Race Trends'!AA48-'Attainment by Race Trends'!Z48)</f>
        <v>7.0580459556466053</v>
      </c>
      <c r="J49" s="439">
        <f>('Attainment by Race Trends'!AC48-'Attainment by Race Trends'!AB48)</f>
        <v>9.0810142865847183</v>
      </c>
      <c r="K49" s="439">
        <f>('Attainment by Race Trends'!AE48-'Attainment by Race Trends'!AD48)</f>
        <v>2.6508714527497261</v>
      </c>
      <c r="L49" s="179">
        <f>('Attainment by Race Trends'!AG48-'Attainment by Race Trends'!AF48)</f>
        <v>5.2237289802631537</v>
      </c>
      <c r="M49" s="439">
        <f>('Attainment by Race Trends'!AI48-'Attainment by Race Trends'!AH48)</f>
        <v>3.1987644651153992</v>
      </c>
      <c r="N49" s="439">
        <f>('Attainment by Race Trends'!AK48-'Attainment by Race Trends'!AJ48)</f>
        <v>1.5137811901340115</v>
      </c>
      <c r="O49" s="72"/>
      <c r="P49" s="72"/>
      <c r="Q49" s="72"/>
      <c r="R49" s="72"/>
      <c r="S49" s="72"/>
      <c r="T49" s="72"/>
      <c r="U49" s="72"/>
      <c r="V49" s="72"/>
    </row>
    <row r="50" spans="1:22" x14ac:dyDescent="0.2">
      <c r="A50" s="430" t="s">
        <v>34</v>
      </c>
      <c r="B50" s="430"/>
      <c r="C50" s="505">
        <f>+'Attainment by Race Trends'!AA49</f>
        <v>94.40931452174317</v>
      </c>
      <c r="D50" s="505">
        <f>+'Attainment by Race Trends'!AC49</f>
        <v>84.977993238502265</v>
      </c>
      <c r="E50" s="505">
        <f>+'Attainment by Race Trends'!AE49</f>
        <v>50.969331286372231</v>
      </c>
      <c r="F50" s="179">
        <f>+'Attainment by Race Trends'!AG49</f>
        <v>30.463734317229001</v>
      </c>
      <c r="G50" s="439">
        <f>+'Attainment by Race Trends'!AI49</f>
        <v>19.227743403287192</v>
      </c>
      <c r="H50" s="439">
        <f>+'Attainment by Race Trends'!AK49</f>
        <v>9.5445511561759915</v>
      </c>
      <c r="I50" s="179">
        <f>('Attainment by Race Trends'!AA49-'Attainment by Race Trends'!Z49)</f>
        <v>6.2223765255337184</v>
      </c>
      <c r="J50" s="439">
        <f>('Attainment by Race Trends'!AC49-'Attainment by Race Trends'!AB49)</f>
        <v>6.3768506349191512</v>
      </c>
      <c r="K50" s="439">
        <f>('Attainment by Race Trends'!AE49-'Attainment by Race Trends'!AD49)</f>
        <v>4.3494244984990402</v>
      </c>
      <c r="L50" s="179">
        <f>('Attainment by Race Trends'!AG49-'Attainment by Race Trends'!AF49)</f>
        <v>6.0760970497106932</v>
      </c>
      <c r="M50" s="439">
        <f>('Attainment by Race Trends'!AI49-'Attainment by Race Trends'!AH49)</f>
        <v>5.1171438137370231</v>
      </c>
      <c r="N50" s="439">
        <f>('Attainment by Race Trends'!AK49-'Attainment by Race Trends'!AJ49)</f>
        <v>1.0077969685519772</v>
      </c>
      <c r="O50" s="72"/>
      <c r="P50" s="72"/>
      <c r="Q50" s="72"/>
      <c r="R50" s="72"/>
      <c r="S50" s="72"/>
      <c r="T50" s="72"/>
      <c r="U50" s="72"/>
      <c r="V50" s="72"/>
    </row>
    <row r="51" spans="1:22" x14ac:dyDescent="0.2">
      <c r="A51" s="429" t="s">
        <v>40</v>
      </c>
      <c r="B51" s="429"/>
      <c r="C51" s="506">
        <f>+'Attainment by Race Trends'!AA50</f>
        <v>92.096971148090518</v>
      </c>
      <c r="D51" s="506">
        <f>+'Attainment by Race Trends'!AC50</f>
        <v>83.523107836570659</v>
      </c>
      <c r="E51" s="506">
        <f>+'Attainment by Race Trends'!AE50</f>
        <v>75.628240925408846</v>
      </c>
      <c r="F51" s="441">
        <f>+'Attainment by Race Trends'!AG50</f>
        <v>27.854423560397461</v>
      </c>
      <c r="G51" s="440">
        <f>+'Attainment by Race Trends'!AI50</f>
        <v>27.796383121232417</v>
      </c>
      <c r="H51" s="440">
        <f>+'Attainment by Race Trends'!AK50</f>
        <v>15.370296503124584</v>
      </c>
      <c r="I51" s="441">
        <f>('Attainment by Race Trends'!AA50-'Attainment by Race Trends'!Z50)</f>
        <v>7.8940984726624777</v>
      </c>
      <c r="J51" s="440">
        <f>('Attainment by Race Trends'!AC50-'Attainment by Race Trends'!AB50)</f>
        <v>-9.0467626474102474</v>
      </c>
      <c r="K51" s="440">
        <f>('Attainment by Race Trends'!AE50-'Attainment by Race Trends'!AD50)</f>
        <v>2.6397351782824074</v>
      </c>
      <c r="L51" s="441">
        <f>('Attainment by Race Trends'!AG50-'Attainment by Race Trends'!AF50)</f>
        <v>5.4896284539335518</v>
      </c>
      <c r="M51" s="440">
        <f>('Attainment by Race Trends'!AI50-'Attainment by Race Trends'!AH50)</f>
        <v>7.2783190448861319</v>
      </c>
      <c r="N51" s="440">
        <f>('Attainment by Race Trends'!AK50-'Attainment by Race Trends'!AJ50)</f>
        <v>-0.93339375700850802</v>
      </c>
      <c r="O51" s="72"/>
      <c r="P51" s="72"/>
      <c r="Q51" s="72"/>
      <c r="R51" s="72"/>
      <c r="S51" s="72"/>
      <c r="T51" s="72"/>
      <c r="U51" s="72"/>
      <c r="V51" s="72"/>
    </row>
    <row r="52" spans="1:22" x14ac:dyDescent="0.2">
      <c r="A52" s="429" t="s">
        <v>41</v>
      </c>
      <c r="B52" s="429"/>
      <c r="C52" s="506">
        <f>+'Attainment by Race Trends'!AA51</f>
        <v>90.05508097050236</v>
      </c>
      <c r="D52" s="506">
        <f>+'Attainment by Race Trends'!AC51</f>
        <v>82.779604432961492</v>
      </c>
      <c r="E52" s="506">
        <f>+'Attainment by Race Trends'!AE51</f>
        <v>71.712466434898218</v>
      </c>
      <c r="F52" s="441">
        <f>+'Attainment by Race Trends'!AG51</f>
        <v>26.232573525840035</v>
      </c>
      <c r="G52" s="440">
        <f>+'Attainment by Race Trends'!AI51</f>
        <v>15.355603005548831</v>
      </c>
      <c r="H52" s="440">
        <f>+'Attainment by Race Trends'!AK51</f>
        <v>16.533813048317921</v>
      </c>
      <c r="I52" s="441">
        <f>('Attainment by Race Trends'!AA51-'Attainment by Race Trends'!Z51)</f>
        <v>5.859666677111548</v>
      </c>
      <c r="J52" s="440">
        <f>('Attainment by Race Trends'!AC51-'Attainment by Race Trends'!AB51)</f>
        <v>8.8880210686926944</v>
      </c>
      <c r="K52" s="440">
        <f>('Attainment by Race Trends'!AE51-'Attainment by Race Trends'!AD51)</f>
        <v>4.6168643564284508</v>
      </c>
      <c r="L52" s="441">
        <f>('Attainment by Race Trends'!AG51-'Attainment by Race Trends'!AF51)</f>
        <v>4.4477128469017195</v>
      </c>
      <c r="M52" s="440">
        <f>('Attainment by Race Trends'!AI51-'Attainment by Race Trends'!AH51)</f>
        <v>3.4336327491619425</v>
      </c>
      <c r="N52" s="440">
        <f>('Attainment by Race Trends'!AK51-'Attainment by Race Trends'!AJ51)</f>
        <v>1.3679496549901096</v>
      </c>
      <c r="O52" s="72"/>
      <c r="P52" s="72"/>
      <c r="Q52" s="72"/>
      <c r="R52" s="72"/>
      <c r="S52" s="72"/>
      <c r="T52" s="72"/>
      <c r="U52" s="72"/>
      <c r="V52" s="72"/>
    </row>
    <row r="53" spans="1:22" x14ac:dyDescent="0.2">
      <c r="A53" s="429" t="s">
        <v>45</v>
      </c>
      <c r="B53" s="429"/>
      <c r="C53" s="506">
        <f>+'Attainment by Race Trends'!AA52</f>
        <v>92.767374271858827</v>
      </c>
      <c r="D53" s="506">
        <f>+'Attainment by Race Trends'!AC52</f>
        <v>78.056924789314678</v>
      </c>
      <c r="E53" s="506">
        <f>+'Attainment by Race Trends'!AE52</f>
        <v>68.018667798048369</v>
      </c>
      <c r="F53" s="441">
        <f>+'Attainment by Race Trends'!AG52</f>
        <v>27.874932762912646</v>
      </c>
      <c r="G53" s="440">
        <f>+'Attainment by Race Trends'!AI52</f>
        <v>18.397201462871681</v>
      </c>
      <c r="H53" s="440">
        <f>+'Attainment by Race Trends'!AK52</f>
        <v>13.075943996605854</v>
      </c>
      <c r="I53" s="441">
        <f>('Attainment by Race Trends'!AA52-'Attainment by Race Trends'!Z52)</f>
        <v>7.1038872384429084</v>
      </c>
      <c r="J53" s="440">
        <f>('Attainment by Race Trends'!AC52-'Attainment by Race Trends'!AB52)</f>
        <v>-6.0220225791063768</v>
      </c>
      <c r="K53" s="440">
        <f>('Attainment by Race Trends'!AE52-'Attainment by Race Trends'!AD52)</f>
        <v>3.0984435634644996</v>
      </c>
      <c r="L53" s="441">
        <f>('Attainment by Race Trends'!AG52-'Attainment by Race Trends'!AF52)</f>
        <v>5.5656764124233362</v>
      </c>
      <c r="M53" s="440">
        <f>('Attainment by Race Trends'!AI52-'Attainment by Race Trends'!AH52)</f>
        <v>-0.94490380028621246</v>
      </c>
      <c r="N53" s="440">
        <f>('Attainment by Race Trends'!AK52-'Attainment by Race Trends'!AJ52)</f>
        <v>1.3683113963471207</v>
      </c>
      <c r="O53" s="72"/>
      <c r="P53" s="72"/>
      <c r="Q53" s="72"/>
      <c r="R53" s="72"/>
      <c r="S53" s="72"/>
      <c r="T53" s="72"/>
      <c r="U53" s="72"/>
      <c r="V53" s="72"/>
    </row>
    <row r="54" spans="1:22" x14ac:dyDescent="0.2">
      <c r="A54" s="429" t="s">
        <v>49</v>
      </c>
      <c r="B54" s="429"/>
      <c r="C54" s="506">
        <f>+'Attainment by Race Trends'!AA53</f>
        <v>92.91562679704839</v>
      </c>
      <c r="D54" s="506">
        <f>+'Attainment by Race Trends'!AC53</f>
        <v>79.561851624956333</v>
      </c>
      <c r="E54" s="506">
        <f>+'Attainment by Race Trends'!AE53</f>
        <v>64.673467955167652</v>
      </c>
      <c r="F54" s="441">
        <f>+'Attainment by Race Trends'!AG53</f>
        <v>28.532719224609153</v>
      </c>
      <c r="G54" s="440">
        <f>+'Attainment by Race Trends'!AI53</f>
        <v>12.603727349592178</v>
      </c>
      <c r="H54" s="440">
        <f>+'Attainment by Race Trends'!AK53</f>
        <v>11.900109974963147</v>
      </c>
      <c r="I54" s="441">
        <f>('Attainment by Race Trends'!AA53-'Attainment by Race Trends'!Z53)</f>
        <v>6.3055561048069251</v>
      </c>
      <c r="J54" s="440">
        <f>('Attainment by Race Trends'!AC53-'Attainment by Race Trends'!AB53)</f>
        <v>11.09251218844777</v>
      </c>
      <c r="K54" s="440">
        <f>('Attainment by Race Trends'!AE53-'Attainment by Race Trends'!AD53)</f>
        <v>10.06534273937757</v>
      </c>
      <c r="L54" s="441">
        <f>('Attainment by Race Trends'!AG53-'Attainment by Race Trends'!AF53)</f>
        <v>5.5059173148004135</v>
      </c>
      <c r="M54" s="440">
        <f>('Attainment by Race Trends'!AI53-'Attainment by Race Trends'!AH53)</f>
        <v>2.0764077484031116</v>
      </c>
      <c r="N54" s="440">
        <f>('Attainment by Race Trends'!AK53-'Attainment by Race Trends'!AJ53)</f>
        <v>0.45460416301700945</v>
      </c>
      <c r="O54" s="72"/>
      <c r="P54" s="72"/>
      <c r="Q54" s="72"/>
      <c r="R54" s="72"/>
      <c r="S54" s="72"/>
      <c r="T54" s="72"/>
      <c r="U54" s="72"/>
      <c r="V54" s="72"/>
    </row>
    <row r="55" spans="1:22" x14ac:dyDescent="0.2">
      <c r="A55" s="434" t="s">
        <v>185</v>
      </c>
      <c r="B55" s="434"/>
      <c r="C55" s="507">
        <f>+'Attainment by Race Trends'!AA54</f>
        <v>91.988027624455725</v>
      </c>
      <c r="D55" s="507">
        <f>+'Attainment by Race Trends'!AC54</f>
        <v>82.739553496178303</v>
      </c>
      <c r="E55" s="507">
        <f>+'Attainment by Race Trends'!AE54</f>
        <v>67.870753338949712</v>
      </c>
      <c r="F55" s="448">
        <f>+'Attainment by Race Trends'!AG54</f>
        <v>36.44213956140598</v>
      </c>
      <c r="G55" s="447">
        <f>+'Attainment by Race Trends'!AI54</f>
        <v>20.148301340994916</v>
      </c>
      <c r="H55" s="447">
        <f>+'Attainment by Race Trends'!AK54</f>
        <v>16.197143833797224</v>
      </c>
      <c r="I55" s="448">
        <f>('Attainment by Race Trends'!AA54-'Attainment by Race Trends'!Z54)</f>
        <v>7.4274607525579626</v>
      </c>
      <c r="J55" s="447">
        <f>('Attainment by Race Trends'!AC54-'Attainment by Race Trends'!AB54)</f>
        <v>10.620452266448936</v>
      </c>
      <c r="K55" s="447">
        <f>('Attainment by Race Trends'!AE54-'Attainment by Race Trends'!AD54)</f>
        <v>11.309746410888373</v>
      </c>
      <c r="L55" s="448">
        <f>('Attainment by Race Trends'!AG54-'Attainment by Race Trends'!AF54)</f>
        <v>7.4249819511032626</v>
      </c>
      <c r="M55" s="447">
        <f>('Attainment by Race Trends'!AI54-'Attainment by Race Trends'!AH54)</f>
        <v>4.8801002816552952</v>
      </c>
      <c r="N55" s="447">
        <f>('Attainment by Race Trends'!AK54-'Attainment by Race Trends'!AJ54)</f>
        <v>4.235722079933657</v>
      </c>
      <c r="O55" s="72"/>
      <c r="P55" s="72"/>
      <c r="Q55" s="72"/>
      <c r="R55" s="72"/>
      <c r="S55" s="72"/>
      <c r="T55" s="72"/>
      <c r="U55" s="72"/>
      <c r="V55" s="72"/>
    </row>
    <row r="56" spans="1:22" ht="14.25" x14ac:dyDescent="0.2">
      <c r="A56" s="428" t="s">
        <v>191</v>
      </c>
      <c r="B56" s="430"/>
      <c r="C56" s="505">
        <f>(C55/C$7)*100</f>
        <v>100.62690560328625</v>
      </c>
      <c r="D56" s="505">
        <f>(D55/D$7)*100</f>
        <v>99.567240607062999</v>
      </c>
      <c r="E56" s="505">
        <f t="shared" ref="E56:F56" si="3">(E55/E$7)*100</f>
        <v>106.12911793397409</v>
      </c>
      <c r="F56" s="504">
        <f t="shared" si="3"/>
        <v>112.11101081572259</v>
      </c>
      <c r="G56" s="505">
        <f>(G55/G$7)*100</f>
        <v>106.90930538103989</v>
      </c>
      <c r="H56" s="505">
        <f>(H55/H$7)*100</f>
        <v>118.23588131512544</v>
      </c>
      <c r="I56" s="237"/>
      <c r="J56" s="505"/>
      <c r="K56" s="442"/>
      <c r="L56" s="237"/>
      <c r="M56" s="505"/>
      <c r="N56" s="442"/>
      <c r="O56" s="72"/>
      <c r="P56" s="72"/>
      <c r="Q56" s="72"/>
      <c r="R56" s="72"/>
      <c r="S56" s="72"/>
      <c r="T56" s="72"/>
      <c r="U56" s="72"/>
      <c r="V56" s="72"/>
    </row>
    <row r="57" spans="1:22" x14ac:dyDescent="0.2">
      <c r="A57" s="429" t="s">
        <v>21</v>
      </c>
      <c r="B57" s="429"/>
      <c r="C57" s="506">
        <f>+'Attainment by Race Trends'!AA56</f>
        <v>93.194484032985713</v>
      </c>
      <c r="D57" s="506">
        <f>+'Attainment by Race Trends'!AC56</f>
        <v>83.906816557857965</v>
      </c>
      <c r="E57" s="506">
        <f>+'Attainment by Race Trends'!AE56</f>
        <v>69.89412196835427</v>
      </c>
      <c r="F57" s="441">
        <f>+'Attainment by Race Trends'!AG56</f>
        <v>40.947493035146984</v>
      </c>
      <c r="G57" s="440">
        <f>+'Attainment by Race Trends'!AI56</f>
        <v>19.042779348390503</v>
      </c>
      <c r="H57" s="440">
        <f>+'Attainment by Race Trends'!AK56</f>
        <v>15.628867008776215</v>
      </c>
      <c r="I57" s="441">
        <f>('Attainment by Race Trends'!AA56-'Attainment by Race Trends'!Z56)</f>
        <v>6.8844380124534723</v>
      </c>
      <c r="J57" s="440">
        <f>('Attainment by Race Trends'!AC56-'Attainment by Race Trends'!AB56)</f>
        <v>9.9643461686870722</v>
      </c>
      <c r="K57" s="440">
        <f>('Attainment by Race Trends'!AE56-'Attainment by Race Trends'!AD56)</f>
        <v>11.367594311599937</v>
      </c>
      <c r="L57" s="441">
        <f>('Attainment by Race Trends'!AG56-'Attainment by Race Trends'!AF56)</f>
        <v>7.4523952222766283</v>
      </c>
      <c r="M57" s="440">
        <f>('Attainment by Race Trends'!AI56-'Attainment by Race Trends'!AH56)</f>
        <v>5.2978854004508715</v>
      </c>
      <c r="N57" s="440">
        <f>('Attainment by Race Trends'!AK56-'Attainment by Race Trends'!AJ56)</f>
        <v>4.3219365587326468</v>
      </c>
      <c r="O57" s="72"/>
      <c r="P57" s="72"/>
      <c r="Q57" s="72"/>
      <c r="R57" s="72"/>
      <c r="S57" s="72"/>
      <c r="T57" s="72"/>
      <c r="U57" s="72"/>
      <c r="V57" s="72"/>
    </row>
    <row r="58" spans="1:22" x14ac:dyDescent="0.2">
      <c r="A58" s="429" t="s">
        <v>28</v>
      </c>
      <c r="B58" s="429"/>
      <c r="C58" s="506">
        <f>+'Attainment by Race Trends'!AA57</f>
        <v>91.87447831439664</v>
      </c>
      <c r="D58" s="506">
        <f>+'Attainment by Race Trends'!AC57</f>
        <v>77.639567599585362</v>
      </c>
      <c r="E58" s="506">
        <f>+'Attainment by Race Trends'!AE57</f>
        <v>81.802407547988281</v>
      </c>
      <c r="F58" s="441">
        <f>+'Attainment by Race Trends'!AG57</f>
        <v>28.334328068942888</v>
      </c>
      <c r="G58" s="440">
        <f>+'Attainment by Race Trends'!AI57</f>
        <v>20.035539760106619</v>
      </c>
      <c r="H58" s="440">
        <f>+'Attainment by Race Trends'!AK57</f>
        <v>26.374579763583128</v>
      </c>
      <c r="I58" s="441">
        <f>('Attainment by Race Trends'!AA57-'Attainment by Race Trends'!Z57)</f>
        <v>6.3419304890566508</v>
      </c>
      <c r="J58" s="440">
        <f>('Attainment by Race Trends'!AC57-'Attainment by Race Trends'!AB57)</f>
        <v>-7.0238605752931846</v>
      </c>
      <c r="K58" s="440">
        <f>('Attainment by Race Trends'!AE57-'Attainment by Race Trends'!AD57)</f>
        <v>2.5617325923932555</v>
      </c>
      <c r="L58" s="441">
        <f>('Attainment by Race Trends'!AG57-'Attainment by Race Trends'!AF57)</f>
        <v>5.4106426847809992</v>
      </c>
      <c r="M58" s="440">
        <f>('Attainment by Race Trends'!AI57-'Attainment by Race Trends'!AH57)</f>
        <v>-2.4488460830578518</v>
      </c>
      <c r="N58" s="440">
        <f>('Attainment by Race Trends'!AK57-'Attainment by Race Trends'!AJ57)</f>
        <v>4.7493577387163413</v>
      </c>
      <c r="O58" s="72"/>
      <c r="P58" s="72"/>
      <c r="Q58" s="72"/>
      <c r="R58" s="72"/>
      <c r="S58" s="72"/>
      <c r="T58" s="72"/>
      <c r="U58" s="72"/>
      <c r="V58" s="72"/>
    </row>
    <row r="59" spans="1:22" x14ac:dyDescent="0.2">
      <c r="A59" s="429" t="s">
        <v>29</v>
      </c>
      <c r="B59" s="429"/>
      <c r="C59" s="506">
        <f>+'Attainment by Race Trends'!AA58</f>
        <v>92.78162543110993</v>
      </c>
      <c r="D59" s="506">
        <f>+'Attainment by Race Trends'!AC58</f>
        <v>81.667807926046393</v>
      </c>
      <c r="E59" s="506">
        <f>+'Attainment by Race Trends'!AE58</f>
        <v>67.79802648634039</v>
      </c>
      <c r="F59" s="441">
        <f>+'Attainment by Race Trends'!AG58</f>
        <v>42.035745958530782</v>
      </c>
      <c r="G59" s="440">
        <f>+'Attainment by Race Trends'!AI58</f>
        <v>23.179334645781623</v>
      </c>
      <c r="H59" s="440">
        <f>+'Attainment by Race Trends'!AK58</f>
        <v>17.272932857513197</v>
      </c>
      <c r="I59" s="441">
        <f>('Attainment by Race Trends'!AA58-'Attainment by Race Trends'!Z58)</f>
        <v>5.9907972268812131</v>
      </c>
      <c r="J59" s="440">
        <f>('Attainment by Race Trends'!AC58-'Attainment by Race Trends'!AB58)</f>
        <v>5.3329616293680289</v>
      </c>
      <c r="K59" s="440">
        <f>('Attainment by Race Trends'!AE58-'Attainment by Race Trends'!AD58)</f>
        <v>10.540042159059915</v>
      </c>
      <c r="L59" s="441">
        <f>('Attainment by Race Trends'!AG58-'Attainment by Race Trends'!AF58)</f>
        <v>7.7833857039081522</v>
      </c>
      <c r="M59" s="440">
        <f>('Attainment by Race Trends'!AI58-'Attainment by Race Trends'!AH58)</f>
        <v>3.4511522649274866</v>
      </c>
      <c r="N59" s="440">
        <f>('Attainment by Race Trends'!AK58-'Attainment by Race Trends'!AJ58)</f>
        <v>3.1887926079807745</v>
      </c>
      <c r="O59" s="72"/>
      <c r="P59" s="72"/>
      <c r="Q59" s="72"/>
      <c r="R59" s="72"/>
      <c r="S59" s="72"/>
      <c r="T59" s="72"/>
      <c r="U59" s="72"/>
      <c r="V59" s="72"/>
    </row>
    <row r="60" spans="1:22" x14ac:dyDescent="0.2">
      <c r="A60" s="429" t="s">
        <v>36</v>
      </c>
      <c r="B60" s="429"/>
      <c r="C60" s="506">
        <f>+'Attainment by Race Trends'!AA59</f>
        <v>92.558940181676491</v>
      </c>
      <c r="D60" s="506">
        <f>+'Attainment by Race Trends'!AC59</f>
        <v>85.430251202565472</v>
      </c>
      <c r="E60" s="506">
        <f>+'Attainment by Race Trends'!AE59</f>
        <v>78.68583558471633</v>
      </c>
      <c r="F60" s="441">
        <f>+'Attainment by Race Trends'!AG59</f>
        <v>34.08632541261035</v>
      </c>
      <c r="G60" s="440">
        <f>+'Attainment by Race Trends'!AI59</f>
        <v>28.530197755211116</v>
      </c>
      <c r="H60" s="440">
        <f>+'Attainment by Race Trends'!AK59</f>
        <v>23.205326128907757</v>
      </c>
      <c r="I60" s="441">
        <f>('Attainment by Race Trends'!AA59-'Attainment by Race Trends'!Z59)</f>
        <v>4.9365781809134575</v>
      </c>
      <c r="J60" s="440">
        <f>('Attainment by Race Trends'!AC59-'Attainment by Race Trends'!AB59)</f>
        <v>1.0534226478551147</v>
      </c>
      <c r="K60" s="440">
        <f>('Attainment by Race Trends'!AE59-'Attainment by Race Trends'!AD59)</f>
        <v>5.1237770579756585</v>
      </c>
      <c r="L60" s="441">
        <f>('Attainment by Race Trends'!AG59-'Attainment by Race Trends'!AF59)</f>
        <v>5.5976906462401992</v>
      </c>
      <c r="M60" s="440">
        <f>('Attainment by Race Trends'!AI59-'Attainment by Race Trends'!AH59)</f>
        <v>0.75567074136286294</v>
      </c>
      <c r="N60" s="440">
        <f>('Attainment by Race Trends'!AK59-'Attainment by Race Trends'!AJ59)</f>
        <v>0.51107789480079546</v>
      </c>
      <c r="O60" s="72"/>
      <c r="P60" s="72"/>
      <c r="Q60" s="72"/>
      <c r="R60" s="72"/>
      <c r="S60" s="72"/>
      <c r="T60" s="72"/>
      <c r="U60" s="72"/>
      <c r="V60" s="72"/>
    </row>
    <row r="61" spans="1:22" x14ac:dyDescent="0.2">
      <c r="A61" s="430" t="s">
        <v>37</v>
      </c>
      <c r="B61" s="430"/>
      <c r="C61" s="505">
        <f>+'Attainment by Race Trends'!AA60</f>
        <v>92.794682151392465</v>
      </c>
      <c r="D61" s="505">
        <f>+'Attainment by Race Trends'!AC60</f>
        <v>85.617849150152779</v>
      </c>
      <c r="E61" s="505">
        <f>+'Attainment by Race Trends'!AE60</f>
        <v>71.004326303432308</v>
      </c>
      <c r="F61" s="179">
        <f>+'Attainment by Race Trends'!AG60</f>
        <v>39.670389754497272</v>
      </c>
      <c r="G61" s="439">
        <f>+'Attainment by Race Trends'!AI60</f>
        <v>21.252338848736105</v>
      </c>
      <c r="H61" s="439">
        <f>+'Attainment by Race Trends'!AK60</f>
        <v>16.074741612143203</v>
      </c>
      <c r="I61" s="179">
        <f>('Attainment by Race Trends'!AA60-'Attainment by Race Trends'!Z60)</f>
        <v>8.1421105052094873</v>
      </c>
      <c r="J61" s="439">
        <f>('Attainment by Race Trends'!AC60-'Attainment by Race Trends'!AB60)</f>
        <v>11.107073383458086</v>
      </c>
      <c r="K61" s="439">
        <f>('Attainment by Race Trends'!AE60-'Attainment by Race Trends'!AD60)</f>
        <v>11.491570003541874</v>
      </c>
      <c r="L61" s="179">
        <f>('Attainment by Race Trends'!AG60-'Attainment by Race Trends'!AF60)</f>
        <v>8.6561814224781166</v>
      </c>
      <c r="M61" s="439">
        <f>('Attainment by Race Trends'!AI60-'Attainment by Race Trends'!AH60)</f>
        <v>5.0993096855728552</v>
      </c>
      <c r="N61" s="439">
        <f>('Attainment by Race Trends'!AK60-'Attainment by Race Trends'!AJ60)</f>
        <v>3.5582288558433124</v>
      </c>
      <c r="O61" s="72"/>
      <c r="P61" s="72"/>
      <c r="Q61" s="72"/>
      <c r="R61" s="72"/>
      <c r="S61" s="72"/>
      <c r="T61" s="72"/>
      <c r="U61" s="72"/>
      <c r="V61" s="72"/>
    </row>
    <row r="62" spans="1:22" x14ac:dyDescent="0.2">
      <c r="A62" s="430" t="s">
        <v>39</v>
      </c>
      <c r="B62" s="430"/>
      <c r="C62" s="505">
        <f>+'Attainment by Race Trends'!AA61</f>
        <v>92.154370620097893</v>
      </c>
      <c r="D62" s="505">
        <f>+'Attainment by Race Trends'!AC61</f>
        <v>81.31574596085791</v>
      </c>
      <c r="E62" s="505">
        <f>+'Attainment by Race Trends'!AE61</f>
        <v>66.073208817276239</v>
      </c>
      <c r="F62" s="179">
        <f>+'Attainment by Race Trends'!AG61</f>
        <v>39.283894620610731</v>
      </c>
      <c r="G62" s="439">
        <f>+'Attainment by Race Trends'!AI61</f>
        <v>21.175696090039811</v>
      </c>
      <c r="H62" s="439">
        <f>+'Attainment by Race Trends'!AK61</f>
        <v>16.484004537266134</v>
      </c>
      <c r="I62" s="179">
        <f>('Attainment by Race Trends'!AA61-'Attainment by Race Trends'!Z61)</f>
        <v>8.1636697160676022</v>
      </c>
      <c r="J62" s="439">
        <f>('Attainment by Race Trends'!AC61-'Attainment by Race Trends'!AB61)</f>
        <v>10.680218788412589</v>
      </c>
      <c r="K62" s="439">
        <f>('Attainment by Race Trends'!AE61-'Attainment by Race Trends'!AD61)</f>
        <v>11.045254397392675</v>
      </c>
      <c r="L62" s="179">
        <f>('Attainment by Race Trends'!AG61-'Attainment by Race Trends'!AF61)</f>
        <v>8.826155371012149</v>
      </c>
      <c r="M62" s="439">
        <f>('Attainment by Race Trends'!AI61-'Attainment by Race Trends'!AH61)</f>
        <v>5.3354216817914271</v>
      </c>
      <c r="N62" s="439">
        <f>('Attainment by Race Trends'!AK61-'Attainment by Race Trends'!AJ61)</f>
        <v>4.9984469884050533</v>
      </c>
      <c r="O62" s="72"/>
      <c r="P62" s="72"/>
      <c r="Q62" s="72"/>
      <c r="R62" s="72"/>
      <c r="S62" s="72"/>
      <c r="T62" s="72"/>
      <c r="U62" s="72"/>
      <c r="V62" s="72"/>
    </row>
    <row r="63" spans="1:22" x14ac:dyDescent="0.2">
      <c r="A63" s="430" t="s">
        <v>43</v>
      </c>
      <c r="B63" s="430"/>
      <c r="C63" s="505">
        <f>+'Attainment by Race Trends'!AA62</f>
        <v>90.851910971565985</v>
      </c>
      <c r="D63" s="505">
        <f>+'Attainment by Race Trends'!AC62</f>
        <v>83.778489607237319</v>
      </c>
      <c r="E63" s="505">
        <f>+'Attainment by Race Trends'!AE62</f>
        <v>68.096205877585618</v>
      </c>
      <c r="F63" s="179">
        <f>+'Attainment by Race Trends'!AG62</f>
        <v>29.136633877568567</v>
      </c>
      <c r="G63" s="439">
        <f>+'Attainment by Race Trends'!AI62</f>
        <v>16.000430567450046</v>
      </c>
      <c r="H63" s="439">
        <f>+'Attainment by Race Trends'!AK62</f>
        <v>14.19473087041632</v>
      </c>
      <c r="I63" s="179">
        <f>('Attainment by Race Trends'!AA62-'Attainment by Race Trends'!Z62)</f>
        <v>7.4439259171705743</v>
      </c>
      <c r="J63" s="439">
        <f>('Attainment by Race Trends'!AC62-'Attainment by Race Trends'!AB62)</f>
        <v>11.935655280718279</v>
      </c>
      <c r="K63" s="439">
        <f>('Attainment by Race Trends'!AE62-'Attainment by Race Trends'!AD62)</f>
        <v>11.22109456625963</v>
      </c>
      <c r="L63" s="179">
        <f>('Attainment by Race Trends'!AG62-'Attainment by Race Trends'!AF62)</f>
        <v>6.0379637087382818</v>
      </c>
      <c r="M63" s="439">
        <f>('Attainment by Race Trends'!AI62-'Attainment by Race Trends'!AH62)</f>
        <v>4.0482382140911319</v>
      </c>
      <c r="N63" s="439">
        <f>('Attainment by Race Trends'!AK62-'Attainment by Race Trends'!AJ62)</f>
        <v>2.1877745673142712</v>
      </c>
      <c r="O63" s="72"/>
      <c r="P63" s="72"/>
      <c r="Q63" s="72"/>
      <c r="R63" s="72"/>
      <c r="S63" s="72"/>
      <c r="T63" s="72"/>
      <c r="U63" s="72"/>
      <c r="V63" s="72"/>
    </row>
    <row r="64" spans="1:22" x14ac:dyDescent="0.2">
      <c r="A64" s="430" t="s">
        <v>44</v>
      </c>
      <c r="B64" s="430"/>
      <c r="C64" s="505">
        <f>+'Attainment by Race Trends'!AA63</f>
        <v>89.173588379527388</v>
      </c>
      <c r="D64" s="505">
        <f>+'Attainment by Race Trends'!AC63</f>
        <v>76.316679237431401</v>
      </c>
      <c r="E64" s="505">
        <f>+'Attainment by Race Trends'!AE63</f>
        <v>63.340193484256659</v>
      </c>
      <c r="F64" s="179">
        <f>+'Attainment by Race Trends'!AG63</f>
        <v>34.699751671043309</v>
      </c>
      <c r="G64" s="439">
        <f>+'Attainment by Race Trends'!AI63</f>
        <v>18.218939374236001</v>
      </c>
      <c r="H64" s="439">
        <f>+'Attainment by Race Trends'!AK63</f>
        <v>12.157867473084409</v>
      </c>
      <c r="I64" s="179">
        <f>('Attainment by Race Trends'!AA63-'Attainment by Race Trends'!Z63)</f>
        <v>9.0643892113661906</v>
      </c>
      <c r="J64" s="439">
        <f>('Attainment by Race Trends'!AC63-'Attainment by Race Trends'!AB63)</f>
        <v>5.3625779154837829</v>
      </c>
      <c r="K64" s="439">
        <f>('Attainment by Race Trends'!AE63-'Attainment by Race Trends'!AD63)</f>
        <v>12.95458937114612</v>
      </c>
      <c r="L64" s="179">
        <f>('Attainment by Race Trends'!AG63-'Attainment by Race Trends'!AF63)</f>
        <v>7.8609180014081872</v>
      </c>
      <c r="M64" s="439">
        <f>('Attainment by Race Trends'!AI63-'Attainment by Race Trends'!AH63)</f>
        <v>1.5262716675277304</v>
      </c>
      <c r="N64" s="439">
        <f>('Attainment by Race Trends'!AK63-'Attainment by Race Trends'!AJ63)</f>
        <v>3.5740862157812998</v>
      </c>
      <c r="O64" s="72"/>
      <c r="P64" s="72"/>
      <c r="Q64" s="72"/>
      <c r="R64" s="72"/>
      <c r="S64" s="72"/>
      <c r="T64" s="72"/>
      <c r="U64" s="72"/>
      <c r="V64" s="72"/>
    </row>
    <row r="65" spans="1:22" x14ac:dyDescent="0.2">
      <c r="A65" s="427" t="s">
        <v>47</v>
      </c>
      <c r="B65" s="427"/>
      <c r="C65" s="503">
        <f>+'Attainment by Race Trends'!AA64</f>
        <v>91.986494551615266</v>
      </c>
      <c r="D65" s="503">
        <f>+'Attainment by Race Trends'!AC64</f>
        <v>82.752179327521787</v>
      </c>
      <c r="E65" s="503">
        <f>+'Attainment by Race Trends'!AE64</f>
        <v>88.206106870229007</v>
      </c>
      <c r="F65" s="438">
        <f>+'Attainment by Race Trends'!AG64</f>
        <v>35.562502406530363</v>
      </c>
      <c r="G65" s="437">
        <f>+'Attainment by Race Trends'!AI64</f>
        <v>36.581569115815697</v>
      </c>
      <c r="H65" s="740">
        <f>+'Attainment by Race Trends'!AK64</f>
        <v>41.240458015267173</v>
      </c>
      <c r="I65" s="438">
        <f>('Attainment by Race Trends'!AA64-'Attainment by Race Trends'!Z64)</f>
        <v>5.4022084133103476</v>
      </c>
      <c r="J65" s="437">
        <f>('Attainment by Race Trends'!AC64-'Attainment by Race Trends'!AB64)</f>
        <v>-1.4046834175762513</v>
      </c>
      <c r="K65" s="437">
        <f>('Attainment by Race Trends'!AE64-'Attainment by Race Trends'!AD64)</f>
        <v>2.5917989386582434</v>
      </c>
      <c r="L65" s="438">
        <f>('Attainment by Race Trends'!AG64-'Attainment by Race Trends'!AF64)</f>
        <v>6.1064320642816341</v>
      </c>
      <c r="M65" s="437">
        <f>('Attainment by Race Trends'!AI64-'Attainment by Race Trends'!AH64)</f>
        <v>1.7580397040509936</v>
      </c>
      <c r="N65" s="437">
        <f>('Attainment by Race Trends'!AK64-'Attainment by Race Trends'!AJ64)</f>
        <v>4.420862369855044</v>
      </c>
      <c r="O65" s="72"/>
      <c r="P65" s="72"/>
      <c r="Q65" s="72"/>
      <c r="R65" s="72"/>
      <c r="S65" s="72"/>
      <c r="T65" s="72"/>
      <c r="U65" s="72"/>
      <c r="V65" s="72"/>
    </row>
    <row r="66" spans="1:22" x14ac:dyDescent="0.2">
      <c r="A66" s="435" t="s">
        <v>62</v>
      </c>
      <c r="B66" s="435"/>
      <c r="C66" s="506">
        <f>+'Attainment by Race Trends'!AA65</f>
        <v>99.567520117044623</v>
      </c>
      <c r="D66" s="506">
        <f>+'Attainment by Race Trends'!AC65</f>
        <v>82.678538909069999</v>
      </c>
      <c r="E66" s="506">
        <f>+'Attainment by Race Trends'!AE65</f>
        <v>70.032223415682054</v>
      </c>
      <c r="F66" s="441">
        <f>+'Attainment by Race Trends'!AG65</f>
        <v>90.133723482077542</v>
      </c>
      <c r="G66" s="440">
        <f>+'Attainment by Race Trends'!AI65</f>
        <v>23.489212425598804</v>
      </c>
      <c r="H66" s="440">
        <f>+'Attainment by Race Trends'!AK65</f>
        <v>40.129393250568278</v>
      </c>
      <c r="I66" s="441">
        <f>('Attainment by Race Trends'!AA65-'Attainment by Race Trends'!Z65)</f>
        <v>5.1389420364262435</v>
      </c>
      <c r="J66" s="440">
        <f>('Attainment by Race Trends'!AC65-'Attainment by Race Trends'!AB65)</f>
        <v>12.311485902244854</v>
      </c>
      <c r="K66" s="440">
        <f>('Attainment by Race Trends'!AE65-'Attainment by Race Trends'!AD65)</f>
        <v>22.21025013482825</v>
      </c>
      <c r="L66" s="441">
        <f>('Attainment by Race Trends'!AG65-'Attainment by Race Trends'!AF65)</f>
        <v>12.829953323603618</v>
      </c>
      <c r="M66" s="440">
        <f>('Attainment by Race Trends'!AI65-'Attainment by Race Trends'!AH65)</f>
        <v>5.9919442744782963</v>
      </c>
      <c r="N66" s="440">
        <f>('Attainment by Race Trends'!AK65-'Attainment by Race Trends'!AJ65)</f>
        <v>15.374444910107318</v>
      </c>
      <c r="O66" s="72"/>
      <c r="P66" s="72"/>
      <c r="Q66" s="72"/>
      <c r="R66" s="72"/>
      <c r="S66" s="72"/>
      <c r="T66" s="72"/>
      <c r="U66" s="72"/>
      <c r="V66" s="72"/>
    </row>
    <row r="67" spans="1:22" ht="34.5" customHeight="1" x14ac:dyDescent="0.2">
      <c r="A67" s="757" t="s">
        <v>233</v>
      </c>
      <c r="B67" s="756"/>
      <c r="C67" s="756"/>
      <c r="D67" s="756"/>
      <c r="E67" s="756"/>
      <c r="F67" s="756"/>
      <c r="G67" s="756"/>
      <c r="H67" s="756"/>
      <c r="I67" s="756"/>
      <c r="J67" s="756"/>
      <c r="K67" s="756"/>
      <c r="L67" s="756"/>
      <c r="M67" s="756"/>
      <c r="N67" s="756"/>
      <c r="O67" s="72"/>
      <c r="P67" s="72"/>
      <c r="Q67" s="72"/>
      <c r="R67" s="72"/>
      <c r="S67" s="72"/>
      <c r="T67" s="72"/>
      <c r="U67" s="72"/>
      <c r="V67" s="72"/>
    </row>
    <row r="68" spans="1:22" ht="17.25" customHeight="1" x14ac:dyDescent="0.2">
      <c r="A68" s="228" t="s">
        <v>227</v>
      </c>
      <c r="B68" s="180"/>
      <c r="C68" s="2"/>
      <c r="D68" s="2"/>
      <c r="E68" s="2"/>
      <c r="F68" s="2"/>
      <c r="G68" s="2"/>
      <c r="H68" s="2"/>
      <c r="J68" s="2"/>
      <c r="K68" s="2"/>
      <c r="L68" s="2"/>
      <c r="M68" s="2"/>
      <c r="N68" s="2"/>
      <c r="O68" s="72"/>
      <c r="P68" s="72"/>
      <c r="Q68" s="72"/>
      <c r="R68" s="72"/>
      <c r="S68" s="72"/>
      <c r="T68" s="72"/>
      <c r="U68" s="72"/>
      <c r="V68" s="72"/>
    </row>
    <row r="69" spans="1:22" ht="20.25" customHeight="1" x14ac:dyDescent="0.2">
      <c r="A69" s="204" t="s">
        <v>234</v>
      </c>
      <c r="B69" s="180"/>
      <c r="C69" s="2"/>
      <c r="D69" s="2"/>
      <c r="E69" s="2"/>
      <c r="F69" s="2"/>
      <c r="G69" s="2"/>
      <c r="H69" s="2"/>
      <c r="J69" s="2"/>
      <c r="K69" s="2"/>
      <c r="L69" s="2"/>
      <c r="M69" s="2"/>
      <c r="N69" s="2"/>
      <c r="O69" s="72"/>
      <c r="P69" s="72"/>
      <c r="Q69" s="72"/>
      <c r="R69" s="72"/>
      <c r="S69" s="72"/>
      <c r="T69" s="72"/>
      <c r="U69" s="72"/>
      <c r="V69" s="72"/>
    </row>
    <row r="70" spans="1:22" ht="50.25" customHeight="1" x14ac:dyDescent="0.2">
      <c r="A70" s="6" t="s">
        <v>171</v>
      </c>
      <c r="B70" s="754" t="s">
        <v>231</v>
      </c>
      <c r="C70" s="755"/>
      <c r="D70" s="755"/>
      <c r="E70" s="755"/>
      <c r="F70" s="755"/>
      <c r="G70" s="755"/>
      <c r="H70" s="755"/>
      <c r="I70" s="756"/>
      <c r="J70" s="756"/>
      <c r="K70" s="756"/>
      <c r="L70" s="756"/>
      <c r="M70" s="756"/>
      <c r="N70" s="756"/>
    </row>
    <row r="71" spans="1:22" x14ac:dyDescent="0.2">
      <c r="N71" s="509" t="s">
        <v>228</v>
      </c>
    </row>
    <row r="75" spans="1:22" x14ac:dyDescent="0.2">
      <c r="K75" s="2"/>
    </row>
  </sheetData>
  <mergeCells count="2">
    <mergeCell ref="B70:N70"/>
    <mergeCell ref="A67:N67"/>
  </mergeCells>
  <phoneticPr fontId="8" type="noConversion"/>
  <pageMargins left="0.75" right="0.75" top="1" bottom="1" header="0.5" footer="0.5"/>
  <pageSetup scale="64" orientation="portrait" r:id="rId1"/>
  <headerFooter alignWithMargins="0">
    <oddFooter>&amp;LSREB Fact Book&amp;R&amp;D</oddFooter>
  </headerFooter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DI82"/>
  <sheetViews>
    <sheetView workbookViewId="0">
      <pane xSplit="1" ySplit="6" topLeftCell="AP7" activePane="bottomRight" state="frozen"/>
      <selection pane="topRight" activeCell="B1" sqref="B1"/>
      <selection pane="bottomLeft" activeCell="A7" sqref="A7"/>
      <selection pane="bottomRight" activeCell="B1" sqref="B1"/>
    </sheetView>
  </sheetViews>
  <sheetFormatPr defaultRowHeight="12.75" x14ac:dyDescent="0.2"/>
  <cols>
    <col min="1" max="1" width="14.33203125" style="1" customWidth="1"/>
    <col min="2" max="2" width="10" style="2" customWidth="1"/>
    <col min="3" max="3" width="10" style="1" customWidth="1"/>
    <col min="4" max="4" width="9" style="58" customWidth="1"/>
    <col min="5" max="8" width="9" style="59" customWidth="1"/>
    <col min="9" max="9" width="9.88671875" style="110" customWidth="1"/>
    <col min="10" max="10" width="10" style="67" customWidth="1"/>
    <col min="11" max="12" width="9" style="59" customWidth="1"/>
    <col min="13" max="13" width="10" style="67" customWidth="1"/>
    <col min="14" max="15" width="9" style="59" customWidth="1"/>
    <col min="16" max="16" width="10" style="67" customWidth="1"/>
    <col min="17" max="18" width="9" style="59" customWidth="1"/>
    <col min="19" max="19" width="11.21875" style="5" customWidth="1"/>
    <col min="20" max="20" width="10" style="2" customWidth="1"/>
    <col min="21" max="22" width="9" style="59" customWidth="1"/>
    <col min="23" max="23" width="10" style="1" customWidth="1"/>
    <col min="24" max="25" width="9" style="59" customWidth="1"/>
    <col min="26" max="26" width="10" style="1" customWidth="1"/>
    <col min="27" max="28" width="9" style="59" customWidth="1"/>
    <col min="29" max="31" width="9" style="58" customWidth="1"/>
    <col min="32" max="32" width="9.88671875" style="110" customWidth="1"/>
    <col min="33" max="34" width="10" style="2" customWidth="1"/>
    <col min="35" max="36" width="9" style="59" customWidth="1"/>
    <col min="37" max="38" width="10" style="2" customWidth="1"/>
    <col min="39" max="40" width="9" style="59" customWidth="1"/>
    <col min="41" max="41" width="10" style="2" customWidth="1"/>
    <col min="42" max="43" width="9" style="59" customWidth="1"/>
    <col min="44" max="44" width="10" style="95" customWidth="1"/>
    <col min="45" max="45" width="9.6640625" style="110" customWidth="1"/>
    <col min="46" max="46" width="10.21875" style="2" customWidth="1"/>
    <col min="47" max="48" width="10.21875" style="1" customWidth="1"/>
    <col min="49" max="49" width="10" style="2" customWidth="1"/>
    <col min="50" max="50" width="10" style="59" customWidth="1"/>
    <col min="51" max="51" width="9" style="59" customWidth="1"/>
    <col min="52" max="52" width="9.44140625" style="2" customWidth="1"/>
    <col min="53" max="54" width="9" style="59" customWidth="1"/>
    <col min="55" max="55" width="9.44140625" style="2" customWidth="1"/>
    <col min="56" max="57" width="9" style="59" customWidth="1"/>
    <col min="58" max="60" width="9" style="58" customWidth="1"/>
    <col min="61" max="61" width="9.5546875" style="59" bestFit="1" customWidth="1"/>
    <col min="62" max="63" width="9.5546875" style="59" customWidth="1"/>
    <col min="64" max="64" width="9.5546875" style="58" bestFit="1" customWidth="1"/>
    <col min="65" max="66" width="9" style="58" customWidth="1"/>
    <col min="67" max="67" width="10.44140625" style="58" customWidth="1"/>
    <col min="68" max="78" width="9" style="58" customWidth="1"/>
    <col min="79" max="79" width="10" style="59" customWidth="1"/>
    <col min="80" max="80" width="9.44140625" style="2" customWidth="1"/>
    <col min="81" max="83" width="9" style="59" customWidth="1"/>
    <col min="84" max="84" width="9.33203125" style="59" customWidth="1"/>
    <col min="85" max="85" width="9.44140625" style="2" customWidth="1"/>
    <col min="86" max="88" width="9" style="59" customWidth="1"/>
    <col min="89" max="89" width="11.77734375" style="1" bestFit="1" customWidth="1"/>
    <col min="90" max="90" width="11.44140625" style="1" customWidth="1"/>
    <col min="91" max="93" width="10.77734375" style="1" bestFit="1" customWidth="1"/>
    <col min="94" max="94" width="11.77734375" style="1" bestFit="1" customWidth="1"/>
    <col min="95" max="96" width="9.5546875" style="1" bestFit="1" customWidth="1"/>
    <col min="97" max="98" width="8.88671875" style="1"/>
    <col min="99" max="99" width="11.77734375" style="1" bestFit="1" customWidth="1"/>
    <col min="100" max="100" width="9.5546875" style="1" bestFit="1" customWidth="1"/>
    <col min="101" max="103" width="8.88671875" style="1"/>
    <col min="104" max="104" width="9.77734375" style="1" customWidth="1"/>
    <col min="105" max="105" width="10.21875" style="1" customWidth="1"/>
    <col min="106" max="108" width="8.88671875" style="1"/>
    <col min="109" max="110" width="9.5546875" style="1" bestFit="1" customWidth="1"/>
    <col min="111" max="16384" width="8.88671875" style="1"/>
  </cols>
  <sheetData>
    <row r="1" spans="1:113" x14ac:dyDescent="0.2">
      <c r="B1" s="38" t="s">
        <v>55</v>
      </c>
      <c r="C1" s="36"/>
      <c r="D1" s="2"/>
      <c r="E1" s="105"/>
      <c r="F1" s="105"/>
      <c r="G1" s="105"/>
      <c r="H1" s="105"/>
      <c r="I1" s="5"/>
      <c r="J1" s="187"/>
      <c r="K1" s="105"/>
      <c r="L1" s="105"/>
      <c r="M1" s="187"/>
      <c r="N1" s="105"/>
      <c r="O1" s="105"/>
      <c r="P1" s="187"/>
      <c r="Q1" s="105"/>
      <c r="R1" s="105"/>
      <c r="S1" s="405"/>
      <c r="T1" s="36"/>
      <c r="U1" s="105"/>
      <c r="V1" s="105"/>
      <c r="W1" s="36"/>
      <c r="X1" s="105"/>
      <c r="Y1" s="105"/>
      <c r="Z1" s="36"/>
      <c r="AA1" s="105"/>
      <c r="AB1" s="105"/>
      <c r="AC1" s="188"/>
      <c r="AD1" s="188"/>
      <c r="AE1" s="188"/>
      <c r="AF1" s="2"/>
      <c r="AG1" s="37"/>
      <c r="AH1" s="37"/>
      <c r="AI1" s="105"/>
      <c r="AJ1" s="105"/>
      <c r="AK1" s="37"/>
      <c r="AL1" s="37"/>
      <c r="AM1" s="105"/>
      <c r="AN1" s="105"/>
      <c r="AO1" s="37"/>
      <c r="AP1" s="105"/>
      <c r="AQ1" s="105"/>
      <c r="AR1" s="89"/>
      <c r="AS1" s="2"/>
      <c r="AT1" s="221"/>
      <c r="AU1" s="2"/>
      <c r="AV1" s="2"/>
      <c r="AW1" s="37"/>
      <c r="AX1" s="105"/>
      <c r="AY1" s="105"/>
      <c r="AZ1" s="37"/>
      <c r="BA1" s="105"/>
      <c r="BB1" s="105"/>
      <c r="BC1" s="37"/>
      <c r="BD1" s="105"/>
      <c r="BE1" s="105"/>
      <c r="BF1" s="188"/>
      <c r="BG1" s="188"/>
      <c r="BH1" s="188"/>
      <c r="BI1" s="542"/>
      <c r="BJ1" s="105"/>
      <c r="BK1" s="105"/>
      <c r="BL1" s="188"/>
      <c r="BM1" s="188"/>
      <c r="BN1" s="188"/>
      <c r="BO1" s="188"/>
      <c r="BP1" s="188"/>
      <c r="BQ1" s="188"/>
      <c r="BR1" s="188"/>
      <c r="BS1" s="188"/>
      <c r="BT1" s="188"/>
      <c r="BU1" s="188"/>
      <c r="BV1" s="188"/>
      <c r="BW1" s="188"/>
      <c r="BX1" s="188"/>
      <c r="BY1" s="188"/>
      <c r="BZ1" s="188"/>
      <c r="CA1" s="557" t="s">
        <v>199</v>
      </c>
      <c r="CB1" s="37"/>
      <c r="CC1" s="105"/>
      <c r="CD1" s="105"/>
      <c r="CE1" s="105"/>
      <c r="CF1" s="105"/>
      <c r="CG1" s="37"/>
      <c r="CH1" s="105"/>
      <c r="CI1" s="105"/>
      <c r="CJ1" s="105"/>
      <c r="CQ1" s="4"/>
      <c r="CR1" s="4"/>
      <c r="CS1" s="4"/>
      <c r="CT1" s="4"/>
      <c r="CV1" s="4"/>
      <c r="CW1" s="4"/>
      <c r="CX1" s="4"/>
      <c r="CY1" s="4"/>
    </row>
    <row r="2" spans="1:113" x14ac:dyDescent="0.2">
      <c r="B2" s="50">
        <v>1940</v>
      </c>
      <c r="C2" s="44">
        <v>1950</v>
      </c>
      <c r="D2" s="35" t="s">
        <v>69</v>
      </c>
      <c r="E2" s="45"/>
      <c r="F2" s="45"/>
      <c r="G2" s="45"/>
      <c r="H2" s="45"/>
      <c r="I2" s="108" t="s">
        <v>76</v>
      </c>
      <c r="J2" s="152"/>
      <c r="K2" s="45"/>
      <c r="L2" s="45"/>
      <c r="M2" s="152"/>
      <c r="N2" s="45"/>
      <c r="O2" s="45"/>
      <c r="P2" s="152"/>
      <c r="Q2" s="45"/>
      <c r="R2" s="45"/>
      <c r="S2" s="57">
        <v>1980</v>
      </c>
      <c r="T2" s="47"/>
      <c r="U2" s="45"/>
      <c r="V2" s="45"/>
      <c r="W2" s="84"/>
      <c r="X2" s="45"/>
      <c r="Y2" s="45"/>
      <c r="Z2" s="45"/>
      <c r="AA2" s="189"/>
      <c r="AB2" s="45"/>
      <c r="AC2" s="190"/>
      <c r="AD2" s="190"/>
      <c r="AE2" s="190"/>
      <c r="AF2" s="108" t="s">
        <v>89</v>
      </c>
      <c r="AG2" s="47"/>
      <c r="AH2" s="84"/>
      <c r="AI2" s="45"/>
      <c r="AJ2" s="45"/>
      <c r="AK2" s="47"/>
      <c r="AL2" s="84"/>
      <c r="AM2" s="45"/>
      <c r="AN2" s="45"/>
      <c r="AO2" s="47"/>
      <c r="AP2" s="45"/>
      <c r="AQ2" s="45"/>
      <c r="AR2" s="90"/>
      <c r="AS2" s="108" t="s">
        <v>68</v>
      </c>
      <c r="AT2" s="47"/>
      <c r="AU2" s="191"/>
      <c r="AV2" s="191"/>
      <c r="AW2" s="54"/>
      <c r="AX2" s="192"/>
      <c r="AY2" s="192"/>
      <c r="AZ2" s="54"/>
      <c r="BA2" s="192"/>
      <c r="BB2" s="192"/>
      <c r="BC2" s="54"/>
      <c r="BD2" s="192"/>
      <c r="BE2" s="192"/>
      <c r="BF2" s="193"/>
      <c r="BG2" s="193"/>
      <c r="BH2" s="193"/>
      <c r="BI2" s="558" t="s">
        <v>198</v>
      </c>
      <c r="BJ2" s="188"/>
      <c r="BK2" s="188"/>
      <c r="BL2" s="133"/>
      <c r="BM2" s="146"/>
      <c r="BN2" s="146"/>
      <c r="BO2" s="55"/>
      <c r="BP2" s="193"/>
      <c r="BQ2" s="193"/>
      <c r="BR2" s="55"/>
      <c r="BS2" s="193"/>
      <c r="BT2" s="193"/>
      <c r="BU2" s="55"/>
      <c r="BV2" s="193"/>
      <c r="BW2" s="193"/>
      <c r="BX2" s="193"/>
      <c r="BY2" s="193"/>
      <c r="BZ2" s="193"/>
      <c r="CA2" s="559" t="s">
        <v>148</v>
      </c>
      <c r="CB2" s="55"/>
      <c r="CC2" s="193"/>
      <c r="CD2" s="193"/>
      <c r="CE2" s="193"/>
      <c r="CF2" s="560" t="s">
        <v>167</v>
      </c>
      <c r="CG2" s="55"/>
      <c r="CH2" s="193"/>
      <c r="CI2" s="193"/>
      <c r="CJ2" s="193"/>
      <c r="CK2" s="560" t="s">
        <v>180</v>
      </c>
      <c r="CL2" s="55"/>
      <c r="CM2" s="192"/>
      <c r="CN2" s="192"/>
      <c r="CO2" s="192"/>
      <c r="CP2" s="202" t="s">
        <v>193</v>
      </c>
      <c r="CR2" s="540"/>
      <c r="CU2" s="202" t="s">
        <v>211</v>
      </c>
      <c r="CZ2" s="650" t="s">
        <v>218</v>
      </c>
      <c r="DA2" s="191"/>
      <c r="DB2" s="191"/>
      <c r="DC2" s="191"/>
      <c r="DD2" s="629"/>
      <c r="DE2" s="732" t="s">
        <v>224</v>
      </c>
    </row>
    <row r="3" spans="1:113" ht="60" customHeight="1" x14ac:dyDescent="0.2">
      <c r="A3" s="4"/>
      <c r="B3" s="563"/>
      <c r="C3" s="51"/>
      <c r="D3" s="52" t="s">
        <v>57</v>
      </c>
      <c r="E3" s="53" t="s">
        <v>70</v>
      </c>
      <c r="F3" s="53" t="s">
        <v>71</v>
      </c>
      <c r="G3" s="53" t="s">
        <v>72</v>
      </c>
      <c r="H3" s="53" t="s">
        <v>73</v>
      </c>
      <c r="I3" s="109" t="s">
        <v>57</v>
      </c>
      <c r="J3" s="54" t="s">
        <v>58</v>
      </c>
      <c r="K3" s="53" t="s">
        <v>77</v>
      </c>
      <c r="L3" s="53" t="s">
        <v>71</v>
      </c>
      <c r="M3" s="54" t="s">
        <v>59</v>
      </c>
      <c r="N3" s="53" t="s">
        <v>78</v>
      </c>
      <c r="O3" s="53" t="s">
        <v>79</v>
      </c>
      <c r="P3" s="54" t="s">
        <v>60</v>
      </c>
      <c r="Q3" s="53" t="s">
        <v>80</v>
      </c>
      <c r="R3" s="53" t="s">
        <v>81</v>
      </c>
      <c r="S3" s="57" t="s">
        <v>57</v>
      </c>
      <c r="T3" s="54" t="s">
        <v>58</v>
      </c>
      <c r="U3" s="53" t="s">
        <v>77</v>
      </c>
      <c r="V3" s="53" t="s">
        <v>71</v>
      </c>
      <c r="W3" s="54" t="s">
        <v>59</v>
      </c>
      <c r="X3" s="53" t="s">
        <v>78</v>
      </c>
      <c r="Y3" s="53" t="s">
        <v>79</v>
      </c>
      <c r="Z3" s="54" t="s">
        <v>60</v>
      </c>
      <c r="AA3" s="53" t="s">
        <v>80</v>
      </c>
      <c r="AB3" s="53" t="s">
        <v>81</v>
      </c>
      <c r="AC3" s="52" t="s">
        <v>86</v>
      </c>
      <c r="AD3" s="52" t="s">
        <v>87</v>
      </c>
      <c r="AE3" s="52" t="s">
        <v>88</v>
      </c>
      <c r="AF3" s="109" t="s">
        <v>57</v>
      </c>
      <c r="AG3" s="54" t="s">
        <v>58</v>
      </c>
      <c r="AH3" s="54" t="s">
        <v>92</v>
      </c>
      <c r="AI3" s="53" t="s">
        <v>90</v>
      </c>
      <c r="AJ3" s="53" t="s">
        <v>91</v>
      </c>
      <c r="AK3" s="54" t="s">
        <v>59</v>
      </c>
      <c r="AL3" s="54" t="s">
        <v>95</v>
      </c>
      <c r="AM3" s="53" t="s">
        <v>93</v>
      </c>
      <c r="AN3" s="53" t="s">
        <v>94</v>
      </c>
      <c r="AO3" s="54" t="s">
        <v>60</v>
      </c>
      <c r="AP3" s="53" t="s">
        <v>80</v>
      </c>
      <c r="AQ3" s="53" t="s">
        <v>81</v>
      </c>
      <c r="AR3" s="91" t="s">
        <v>61</v>
      </c>
      <c r="AS3" s="109" t="s">
        <v>57</v>
      </c>
      <c r="AT3" s="55" t="s">
        <v>126</v>
      </c>
      <c r="AU3" s="55" t="s">
        <v>77</v>
      </c>
      <c r="AV3" s="55" t="s">
        <v>71</v>
      </c>
      <c r="AW3" s="55" t="s">
        <v>125</v>
      </c>
      <c r="AX3" s="52" t="s">
        <v>121</v>
      </c>
      <c r="AY3" s="52" t="s">
        <v>122</v>
      </c>
      <c r="AZ3" s="55" t="s">
        <v>129</v>
      </c>
      <c r="BA3" s="52" t="s">
        <v>78</v>
      </c>
      <c r="BB3" s="52" t="s">
        <v>79</v>
      </c>
      <c r="BC3" s="55" t="s">
        <v>60</v>
      </c>
      <c r="BD3" s="52" t="s">
        <v>80</v>
      </c>
      <c r="BE3" s="52" t="s">
        <v>81</v>
      </c>
      <c r="BF3" s="194" t="s">
        <v>130</v>
      </c>
      <c r="BG3" s="194" t="s">
        <v>87</v>
      </c>
      <c r="BH3" s="194" t="s">
        <v>96</v>
      </c>
      <c r="BI3" s="109" t="s">
        <v>105</v>
      </c>
      <c r="BJ3" s="52" t="s">
        <v>106</v>
      </c>
      <c r="BK3" s="52" t="s">
        <v>107</v>
      </c>
      <c r="BL3" s="55" t="s">
        <v>126</v>
      </c>
      <c r="BM3" s="55" t="s">
        <v>77</v>
      </c>
      <c r="BN3" s="55" t="s">
        <v>71</v>
      </c>
      <c r="BO3" s="55" t="s">
        <v>125</v>
      </c>
      <c r="BP3" s="52" t="s">
        <v>121</v>
      </c>
      <c r="BQ3" s="52" t="s">
        <v>122</v>
      </c>
      <c r="BR3" s="55" t="s">
        <v>129</v>
      </c>
      <c r="BS3" s="52" t="s">
        <v>78</v>
      </c>
      <c r="BT3" s="52" t="s">
        <v>79</v>
      </c>
      <c r="BU3" s="55" t="s">
        <v>60</v>
      </c>
      <c r="BV3" s="52" t="s">
        <v>80</v>
      </c>
      <c r="BW3" s="52" t="s">
        <v>81</v>
      </c>
      <c r="BX3" s="194" t="s">
        <v>130</v>
      </c>
      <c r="BY3" s="52" t="s">
        <v>87</v>
      </c>
      <c r="BZ3" s="52" t="s">
        <v>96</v>
      </c>
      <c r="CA3" s="209" t="s">
        <v>57</v>
      </c>
      <c r="CB3" s="54" t="s">
        <v>174</v>
      </c>
      <c r="CC3" s="53" t="s">
        <v>175</v>
      </c>
      <c r="CD3" s="53" t="s">
        <v>176</v>
      </c>
      <c r="CE3" s="53" t="s">
        <v>60</v>
      </c>
      <c r="CF3" s="198" t="s">
        <v>57</v>
      </c>
      <c r="CG3" s="54" t="s">
        <v>174</v>
      </c>
      <c r="CH3" s="53" t="s">
        <v>175</v>
      </c>
      <c r="CI3" s="53" t="s">
        <v>176</v>
      </c>
      <c r="CJ3" s="53" t="s">
        <v>60</v>
      </c>
      <c r="CK3" s="198" t="s">
        <v>57</v>
      </c>
      <c r="CL3" s="54" t="s">
        <v>174</v>
      </c>
      <c r="CM3" s="53" t="s">
        <v>175</v>
      </c>
      <c r="CN3" s="53" t="s">
        <v>176</v>
      </c>
      <c r="CO3" s="53" t="s">
        <v>60</v>
      </c>
      <c r="CP3" s="109" t="s">
        <v>57</v>
      </c>
      <c r="CQ3" s="55" t="s">
        <v>174</v>
      </c>
      <c r="CR3" s="52" t="s">
        <v>175</v>
      </c>
      <c r="CS3" s="52" t="s">
        <v>203</v>
      </c>
      <c r="CT3" s="52" t="s">
        <v>60</v>
      </c>
      <c r="CU3" s="109" t="s">
        <v>57</v>
      </c>
      <c r="CV3" s="55" t="s">
        <v>174</v>
      </c>
      <c r="CW3" s="52" t="s">
        <v>175</v>
      </c>
      <c r="CX3" s="52" t="s">
        <v>203</v>
      </c>
      <c r="CY3" s="52" t="s">
        <v>60</v>
      </c>
      <c r="CZ3" s="109" t="s">
        <v>57</v>
      </c>
      <c r="DA3" s="642" t="s">
        <v>174</v>
      </c>
      <c r="DB3" s="643" t="s">
        <v>175</v>
      </c>
      <c r="DC3" s="643" t="s">
        <v>203</v>
      </c>
      <c r="DD3" s="631" t="s">
        <v>60</v>
      </c>
      <c r="DE3" s="109" t="s">
        <v>57</v>
      </c>
      <c r="DF3" s="642" t="s">
        <v>174</v>
      </c>
      <c r="DG3" s="643" t="s">
        <v>175</v>
      </c>
      <c r="DH3" s="643" t="s">
        <v>203</v>
      </c>
      <c r="DI3" s="631" t="s">
        <v>60</v>
      </c>
    </row>
    <row r="4" spans="1:113" x14ac:dyDescent="0.2">
      <c r="A4" s="562" t="s">
        <v>181</v>
      </c>
      <c r="B4" s="564">
        <v>74775836</v>
      </c>
      <c r="C4" s="488">
        <v>87483480</v>
      </c>
      <c r="D4" s="487">
        <f>+D5+D23+D38+D52+D63</f>
        <v>99438084</v>
      </c>
      <c r="E4" s="478">
        <f t="shared" ref="E4:CH4" si="0">+E5+E23+E38+E52+E63</f>
        <v>43258756</v>
      </c>
      <c r="F4" s="478">
        <f t="shared" si="0"/>
        <v>46322418</v>
      </c>
      <c r="G4" s="478">
        <f t="shared" si="0"/>
        <v>4671797</v>
      </c>
      <c r="H4" s="478">
        <f t="shared" si="0"/>
        <v>5185153</v>
      </c>
      <c r="I4" s="479">
        <f t="shared" si="0"/>
        <v>106833937</v>
      </c>
      <c r="J4" s="480">
        <f t="shared" si="0"/>
        <v>95319285</v>
      </c>
      <c r="K4" s="478">
        <f t="shared" si="0"/>
        <v>45145132</v>
      </c>
      <c r="L4" s="478">
        <f t="shared" si="0"/>
        <v>50174153</v>
      </c>
      <c r="M4" s="480">
        <f t="shared" si="0"/>
        <v>10248774</v>
      </c>
      <c r="N4" s="478">
        <f t="shared" si="0"/>
        <v>4655623</v>
      </c>
      <c r="O4" s="478">
        <f t="shared" si="0"/>
        <v>5593151</v>
      </c>
      <c r="P4" s="480">
        <f t="shared" si="0"/>
        <v>3896750</v>
      </c>
      <c r="Q4" s="478">
        <f t="shared" si="0"/>
        <v>1902635</v>
      </c>
      <c r="R4" s="478">
        <f t="shared" si="0"/>
        <v>1994115</v>
      </c>
      <c r="S4" s="481">
        <f t="shared" si="0"/>
        <v>132835687</v>
      </c>
      <c r="T4" s="482">
        <f t="shared" si="0"/>
        <v>110233308</v>
      </c>
      <c r="U4" s="478">
        <f t="shared" si="0"/>
        <v>52018709</v>
      </c>
      <c r="V4" s="478">
        <f t="shared" si="0"/>
        <v>58214599</v>
      </c>
      <c r="W4" s="482">
        <f t="shared" si="0"/>
        <v>13018605</v>
      </c>
      <c r="X4" s="478">
        <f t="shared" si="0"/>
        <v>5815526</v>
      </c>
      <c r="Y4" s="478">
        <f t="shared" si="0"/>
        <v>7203079</v>
      </c>
      <c r="Z4" s="482">
        <f t="shared" si="0"/>
        <v>6739290</v>
      </c>
      <c r="AA4" s="478">
        <f t="shared" si="0"/>
        <v>3246773</v>
      </c>
      <c r="AB4" s="478">
        <f t="shared" si="0"/>
        <v>3492517</v>
      </c>
      <c r="AC4" s="480">
        <f t="shared" si="0"/>
        <v>2727688</v>
      </c>
      <c r="AD4" s="480">
        <f t="shared" si="0"/>
        <v>1276060</v>
      </c>
      <c r="AE4" s="480">
        <f t="shared" si="0"/>
        <v>1451628</v>
      </c>
      <c r="AF4" s="479">
        <f t="shared" si="0"/>
        <v>158868436</v>
      </c>
      <c r="AG4" s="482">
        <f t="shared" si="0"/>
        <v>132023308</v>
      </c>
      <c r="AH4" s="482">
        <f t="shared" si="0"/>
        <v>125898648</v>
      </c>
      <c r="AI4" s="478">
        <f t="shared" si="0"/>
        <v>59790642</v>
      </c>
      <c r="AJ4" s="478">
        <f t="shared" si="0"/>
        <v>66108006</v>
      </c>
      <c r="AK4" s="482">
        <f t="shared" si="0"/>
        <v>16761234</v>
      </c>
      <c r="AL4" s="482">
        <f t="shared" si="0"/>
        <v>16432555</v>
      </c>
      <c r="AM4" s="478">
        <f t="shared" si="0"/>
        <v>7343902</v>
      </c>
      <c r="AN4" s="478">
        <f t="shared" si="0"/>
        <v>9088653</v>
      </c>
      <c r="AO4" s="482">
        <f t="shared" si="0"/>
        <v>11226793</v>
      </c>
      <c r="AP4" s="478">
        <f t="shared" si="0"/>
        <v>5569274</v>
      </c>
      <c r="AQ4" s="478">
        <f t="shared" si="0"/>
        <v>5657519</v>
      </c>
      <c r="AR4" s="483">
        <f t="shared" si="0"/>
        <v>5310440</v>
      </c>
      <c r="AS4" s="479">
        <f t="shared" si="0"/>
        <v>182211639</v>
      </c>
      <c r="AT4" s="482">
        <f t="shared" si="0"/>
        <v>143085659</v>
      </c>
      <c r="AU4" s="484">
        <f t="shared" si="0"/>
        <v>68622786</v>
      </c>
      <c r="AV4" s="484">
        <f t="shared" si="0"/>
        <v>74462873</v>
      </c>
      <c r="AW4" s="482">
        <f t="shared" si="0"/>
        <v>133786263</v>
      </c>
      <c r="AX4" s="478">
        <f t="shared" si="0"/>
        <v>64027316</v>
      </c>
      <c r="AY4" s="478">
        <f t="shared" si="0"/>
        <v>69758947</v>
      </c>
      <c r="AZ4" s="482">
        <f t="shared" si="0"/>
        <v>19858095</v>
      </c>
      <c r="BA4" s="478">
        <f t="shared" si="0"/>
        <v>8980716</v>
      </c>
      <c r="BB4" s="478">
        <f t="shared" si="0"/>
        <v>10877379</v>
      </c>
      <c r="BC4" s="482">
        <f t="shared" si="0"/>
        <v>18270377</v>
      </c>
      <c r="BD4" s="478">
        <f t="shared" si="0"/>
        <v>9186431</v>
      </c>
      <c r="BE4" s="478">
        <f t="shared" si="0"/>
        <v>9083946</v>
      </c>
      <c r="BF4" s="480">
        <f t="shared" si="0"/>
        <v>19267885</v>
      </c>
      <c r="BG4" s="480">
        <f t="shared" si="0"/>
        <v>9474184</v>
      </c>
      <c r="BH4" s="480">
        <f t="shared" si="0"/>
        <v>9793701</v>
      </c>
      <c r="BI4" s="326">
        <f t="shared" ref="BI4:BL4" si="1">+BI5+BI23+BI38+BI52+BI63</f>
        <v>202053193</v>
      </c>
      <c r="BJ4" s="544">
        <f t="shared" ref="BJ4:BK4" si="2">+BJ5+BJ23+BJ38+BJ52+BJ63</f>
        <v>97209127</v>
      </c>
      <c r="BK4" s="544">
        <f t="shared" si="2"/>
        <v>104844066</v>
      </c>
      <c r="BL4" s="544">
        <f t="shared" si="1"/>
        <v>156003144</v>
      </c>
      <c r="BM4" s="544">
        <f t="shared" ref="BM4:BN4" si="3">+BM5+BM23+BM38+BM52+BM63</f>
        <v>75557622</v>
      </c>
      <c r="BN4" s="544">
        <f t="shared" si="3"/>
        <v>80445522</v>
      </c>
      <c r="BO4" s="544">
        <f t="shared" ref="BO4:BW4" si="4">+BO5+BO23+BO38+BO52+BO63</f>
        <v>139027540</v>
      </c>
      <c r="BP4" s="544">
        <f t="shared" si="4"/>
        <v>67144752</v>
      </c>
      <c r="BQ4" s="544">
        <f t="shared" si="4"/>
        <v>71882788</v>
      </c>
      <c r="BR4" s="544">
        <f t="shared" si="4"/>
        <v>23168136</v>
      </c>
      <c r="BS4" s="544">
        <f t="shared" si="4"/>
        <v>10572867</v>
      </c>
      <c r="BT4" s="544">
        <f t="shared" si="4"/>
        <v>12595269</v>
      </c>
      <c r="BU4" s="544">
        <f t="shared" si="4"/>
        <v>26466221</v>
      </c>
      <c r="BV4" s="544">
        <f t="shared" si="4"/>
        <v>13245900</v>
      </c>
      <c r="BW4" s="544">
        <f t="shared" si="4"/>
        <v>13220321</v>
      </c>
      <c r="BX4" s="544">
        <f t="shared" ref="BX4:BZ4" si="5">+BX5+BX23+BX38+BX52+BX63</f>
        <v>22881913</v>
      </c>
      <c r="BY4" s="544">
        <f t="shared" si="5"/>
        <v>11078638</v>
      </c>
      <c r="BZ4" s="544">
        <f t="shared" si="5"/>
        <v>11803275</v>
      </c>
      <c r="CA4" s="485">
        <f t="shared" si="0"/>
        <v>195646383</v>
      </c>
      <c r="CB4" s="482">
        <f t="shared" si="0"/>
        <v>150742930</v>
      </c>
      <c r="CC4" s="478">
        <f t="shared" si="0"/>
        <v>21846370</v>
      </c>
      <c r="CD4" s="478">
        <f t="shared" si="0"/>
        <v>23057083</v>
      </c>
      <c r="CE4" s="478">
        <f t="shared" si="0"/>
        <v>23964281</v>
      </c>
      <c r="CF4" s="486">
        <f t="shared" si="0"/>
        <v>197794576</v>
      </c>
      <c r="CG4" s="482">
        <f t="shared" si="0"/>
        <v>152690957</v>
      </c>
      <c r="CH4" s="478">
        <f t="shared" si="0"/>
        <v>22166023</v>
      </c>
      <c r="CI4" s="478">
        <f t="shared" ref="CI4:CO4" si="6">+CI5+CI23+CI38+CI52+CI63</f>
        <v>22937596</v>
      </c>
      <c r="CJ4" s="478">
        <f t="shared" si="6"/>
        <v>24725562</v>
      </c>
      <c r="CK4" s="486">
        <f t="shared" si="6"/>
        <v>199812920</v>
      </c>
      <c r="CL4" s="478">
        <f t="shared" si="6"/>
        <v>154635503</v>
      </c>
      <c r="CM4" s="478">
        <f t="shared" si="6"/>
        <v>22618460</v>
      </c>
      <c r="CN4" s="478">
        <f t="shared" si="6"/>
        <v>22558957</v>
      </c>
      <c r="CO4" s="478">
        <f t="shared" si="6"/>
        <v>25287089</v>
      </c>
      <c r="CP4" s="486">
        <f t="shared" ref="CP4:CS4" si="7">+CP5+CP23+CP38+CP52+CP63</f>
        <v>202053193</v>
      </c>
      <c r="CQ4" s="323">
        <f t="shared" si="7"/>
        <v>156003144</v>
      </c>
      <c r="CR4" s="323">
        <f t="shared" si="7"/>
        <v>23168136</v>
      </c>
      <c r="CS4" s="323">
        <f t="shared" si="7"/>
        <v>22881913</v>
      </c>
      <c r="CT4" s="323">
        <f>+CT5+CT23+CT38+CT52+CT63</f>
        <v>26466221</v>
      </c>
      <c r="CU4" s="486">
        <f t="shared" ref="CU4:DD4" si="8">+CU5+CU23+CU38+CU52+CU63</f>
        <v>204348469</v>
      </c>
      <c r="CV4" s="323">
        <f t="shared" si="8"/>
        <v>157438474</v>
      </c>
      <c r="CW4" s="323">
        <f t="shared" si="8"/>
        <v>23497289</v>
      </c>
      <c r="CX4" s="323">
        <f>+CX5+CX23+CX38+CX52+CX63</f>
        <v>23412706</v>
      </c>
      <c r="CY4" s="632">
        <f t="shared" si="8"/>
        <v>27341167</v>
      </c>
      <c r="CZ4" s="323">
        <f t="shared" si="8"/>
        <v>206597203</v>
      </c>
      <c r="DA4" s="548">
        <f t="shared" si="8"/>
        <v>158851029</v>
      </c>
      <c r="DB4" s="548">
        <f t="shared" si="8"/>
        <v>23900027</v>
      </c>
      <c r="DC4" s="548">
        <f t="shared" si="8"/>
        <v>23819900</v>
      </c>
      <c r="DD4" s="632">
        <f t="shared" si="8"/>
        <v>28160679</v>
      </c>
      <c r="DE4" s="632">
        <f t="shared" ref="DE4:DF4" si="9">+DE5+DE23+DE38+DE52+DE63</f>
        <v>208797616</v>
      </c>
      <c r="DF4" s="632">
        <f t="shared" si="9"/>
        <v>140911329</v>
      </c>
      <c r="DG4" s="632">
        <f t="shared" ref="DG4:DI4" si="10">+DG5+DG23+DG38+DG52+DG63</f>
        <v>24250831</v>
      </c>
      <c r="DH4" s="632">
        <f t="shared" si="10"/>
        <v>24394536</v>
      </c>
      <c r="DI4" s="632">
        <f t="shared" si="10"/>
        <v>28948817</v>
      </c>
    </row>
    <row r="5" spans="1:113" x14ac:dyDescent="0.2">
      <c r="A5" s="244" t="s">
        <v>63</v>
      </c>
      <c r="B5" s="310">
        <f>SUM(B7:B22)</f>
        <v>20760728</v>
      </c>
      <c r="C5" s="466">
        <f t="shared" ref="C5:CF5" si="11">SUM(C7:C22)</f>
        <v>24647210</v>
      </c>
      <c r="D5" s="467">
        <f t="shared" si="11"/>
        <v>28514719</v>
      </c>
      <c r="E5" s="329">
        <f t="shared" si="11"/>
        <v>11324628</v>
      </c>
      <c r="F5" s="329">
        <f t="shared" si="11"/>
        <v>12151136</v>
      </c>
      <c r="G5" s="329">
        <f t="shared" si="11"/>
        <v>2338284</v>
      </c>
      <c r="H5" s="329">
        <f t="shared" si="11"/>
        <v>2700671</v>
      </c>
      <c r="I5" s="332">
        <f t="shared" si="11"/>
        <v>32908243</v>
      </c>
      <c r="J5" s="311">
        <f t="shared" si="11"/>
        <v>27640073</v>
      </c>
      <c r="K5" s="329">
        <f t="shared" si="11"/>
        <v>13086747</v>
      </c>
      <c r="L5" s="329">
        <f t="shared" si="11"/>
        <v>14553326</v>
      </c>
      <c r="M5" s="311">
        <f t="shared" si="11"/>
        <v>5107646</v>
      </c>
      <c r="N5" s="329">
        <f t="shared" si="11"/>
        <v>2308026</v>
      </c>
      <c r="O5" s="329">
        <f t="shared" si="11"/>
        <v>2799620</v>
      </c>
      <c r="P5" s="311">
        <f t="shared" si="11"/>
        <v>1220317</v>
      </c>
      <c r="Q5" s="329">
        <f t="shared" si="11"/>
        <v>583605</v>
      </c>
      <c r="R5" s="329">
        <f t="shared" si="11"/>
        <v>636712</v>
      </c>
      <c r="S5" s="332">
        <f t="shared" si="11"/>
        <v>43292147</v>
      </c>
      <c r="T5" s="313">
        <f t="shared" si="11"/>
        <v>34118235</v>
      </c>
      <c r="U5" s="329">
        <f t="shared" si="11"/>
        <v>16124385</v>
      </c>
      <c r="V5" s="329">
        <f t="shared" si="11"/>
        <v>17993850</v>
      </c>
      <c r="W5" s="313">
        <f t="shared" si="11"/>
        <v>6556927</v>
      </c>
      <c r="X5" s="329">
        <f t="shared" si="11"/>
        <v>2924000</v>
      </c>
      <c r="Y5" s="329">
        <f t="shared" si="11"/>
        <v>3632927</v>
      </c>
      <c r="Z5" s="313">
        <f t="shared" si="11"/>
        <v>2121402</v>
      </c>
      <c r="AA5" s="329">
        <f t="shared" si="11"/>
        <v>1006320</v>
      </c>
      <c r="AB5" s="329">
        <f t="shared" si="11"/>
        <v>1115082</v>
      </c>
      <c r="AC5" s="475">
        <f t="shared" si="11"/>
        <v>464687</v>
      </c>
      <c r="AD5" s="475">
        <f t="shared" si="11"/>
        <v>208594</v>
      </c>
      <c r="AE5" s="311">
        <f t="shared" si="11"/>
        <v>256093</v>
      </c>
      <c r="AF5" s="332">
        <f t="shared" si="11"/>
        <v>53926454</v>
      </c>
      <c r="AG5" s="280">
        <f t="shared" si="11"/>
        <v>43346825</v>
      </c>
      <c r="AH5" s="308">
        <f t="shared" si="11"/>
        <v>41015834</v>
      </c>
      <c r="AI5" s="329">
        <f t="shared" si="11"/>
        <v>19486175</v>
      </c>
      <c r="AJ5" s="329">
        <f t="shared" si="11"/>
        <v>21529659</v>
      </c>
      <c r="AK5" s="280">
        <f t="shared" si="11"/>
        <v>8481889</v>
      </c>
      <c r="AL5" s="308">
        <f t="shared" si="11"/>
        <v>8412502</v>
      </c>
      <c r="AM5" s="329">
        <f t="shared" si="11"/>
        <v>3736845</v>
      </c>
      <c r="AN5" s="329">
        <f t="shared" si="11"/>
        <v>4675657</v>
      </c>
      <c r="AO5" s="280">
        <f t="shared" si="11"/>
        <v>3533865</v>
      </c>
      <c r="AP5" s="329">
        <f t="shared" si="11"/>
        <v>1728026</v>
      </c>
      <c r="AQ5" s="329">
        <f t="shared" si="11"/>
        <v>1805839</v>
      </c>
      <c r="AR5" s="476">
        <f t="shared" si="11"/>
        <v>964253</v>
      </c>
      <c r="AS5" s="332">
        <f t="shared" si="11"/>
        <v>64536998</v>
      </c>
      <c r="AT5" s="280">
        <f t="shared" si="11"/>
        <v>49395127</v>
      </c>
      <c r="AU5" s="280">
        <f t="shared" si="11"/>
        <v>23695610</v>
      </c>
      <c r="AV5" s="280">
        <f t="shared" si="11"/>
        <v>25699517</v>
      </c>
      <c r="AW5" s="308">
        <f t="shared" si="11"/>
        <v>45486361</v>
      </c>
      <c r="AX5" s="329">
        <f t="shared" si="11"/>
        <v>21772371</v>
      </c>
      <c r="AY5" s="329">
        <f t="shared" si="11"/>
        <v>23713990</v>
      </c>
      <c r="AZ5" s="280">
        <f t="shared" si="11"/>
        <v>10616527</v>
      </c>
      <c r="BA5" s="329">
        <f t="shared" si="11"/>
        <v>4785827</v>
      </c>
      <c r="BB5" s="329">
        <f t="shared" si="11"/>
        <v>5830700</v>
      </c>
      <c r="BC5" s="280">
        <f t="shared" si="11"/>
        <v>6192878</v>
      </c>
      <c r="BD5" s="329">
        <f t="shared" si="11"/>
        <v>3127144</v>
      </c>
      <c r="BE5" s="329">
        <f t="shared" si="11"/>
        <v>3065734</v>
      </c>
      <c r="BF5" s="475">
        <f t="shared" si="11"/>
        <v>4525344</v>
      </c>
      <c r="BG5" s="475">
        <f t="shared" si="11"/>
        <v>2263622</v>
      </c>
      <c r="BH5" s="311">
        <f t="shared" si="11"/>
        <v>2261722</v>
      </c>
      <c r="BI5" s="332">
        <f t="shared" ref="BI5:BL5" si="12">SUM(BI7:BI22)</f>
        <v>74140773</v>
      </c>
      <c r="BJ5" s="311">
        <f t="shared" ref="BJ5:BK5" si="13">SUM(BJ7:BJ22)</f>
        <v>35510048</v>
      </c>
      <c r="BK5" s="311">
        <f t="shared" si="13"/>
        <v>38630725</v>
      </c>
      <c r="BL5" s="311">
        <f t="shared" si="12"/>
        <v>55558168</v>
      </c>
      <c r="BM5" s="311">
        <f t="shared" ref="BM5:BN5" si="14">SUM(BM7:BM22)</f>
        <v>26861821</v>
      </c>
      <c r="BN5" s="311">
        <f t="shared" si="14"/>
        <v>28696347</v>
      </c>
      <c r="BO5" s="311">
        <f t="shared" ref="BO5:BW5" si="15">SUM(BO7:BO22)</f>
        <v>48435566</v>
      </c>
      <c r="BP5" s="311">
        <f t="shared" si="15"/>
        <v>23341375</v>
      </c>
      <c r="BQ5" s="311">
        <f t="shared" si="15"/>
        <v>25094191</v>
      </c>
      <c r="BR5" s="311">
        <f t="shared" si="15"/>
        <v>12877208</v>
      </c>
      <c r="BS5" s="311">
        <f t="shared" si="15"/>
        <v>5841073</v>
      </c>
      <c r="BT5" s="311">
        <f t="shared" si="15"/>
        <v>7036135</v>
      </c>
      <c r="BU5" s="311">
        <f t="shared" si="15"/>
        <v>9683808</v>
      </c>
      <c r="BV5" s="311">
        <f t="shared" si="15"/>
        <v>4863597</v>
      </c>
      <c r="BW5" s="311">
        <f t="shared" si="15"/>
        <v>4820211</v>
      </c>
      <c r="BX5" s="311">
        <f t="shared" ref="BX5:BZ5" si="16">SUM(BX7:BX22)</f>
        <v>5705397</v>
      </c>
      <c r="BY5" s="311">
        <f t="shared" si="16"/>
        <v>2807154</v>
      </c>
      <c r="BZ5" s="311">
        <f t="shared" si="16"/>
        <v>2898243</v>
      </c>
      <c r="CA5" s="477">
        <f t="shared" si="11"/>
        <v>70753477</v>
      </c>
      <c r="CB5" s="280">
        <f t="shared" si="11"/>
        <v>52978456</v>
      </c>
      <c r="CC5" s="329">
        <f t="shared" si="11"/>
        <v>11990435</v>
      </c>
      <c r="CD5" s="329">
        <f t="shared" si="11"/>
        <v>5784586</v>
      </c>
      <c r="CE5" s="329">
        <f t="shared" si="11"/>
        <v>8468466</v>
      </c>
      <c r="CF5" s="307">
        <f t="shared" si="11"/>
        <v>71799388</v>
      </c>
      <c r="CG5" s="280">
        <f t="shared" ref="CG5:CO5" si="17">SUM(CG7:CG22)</f>
        <v>53845758</v>
      </c>
      <c r="CH5" s="329">
        <f t="shared" si="17"/>
        <v>12208649</v>
      </c>
      <c r="CI5" s="329">
        <f t="shared" si="17"/>
        <v>5744981</v>
      </c>
      <c r="CJ5" s="329">
        <f t="shared" si="17"/>
        <v>8796668</v>
      </c>
      <c r="CK5" s="307">
        <f t="shared" si="17"/>
        <v>72742748</v>
      </c>
      <c r="CL5" s="280">
        <f t="shared" si="17"/>
        <v>54594944</v>
      </c>
      <c r="CM5" s="329">
        <f t="shared" si="17"/>
        <v>12505513</v>
      </c>
      <c r="CN5" s="329">
        <f t="shared" si="17"/>
        <v>5642291</v>
      </c>
      <c r="CO5" s="329">
        <f t="shared" si="17"/>
        <v>9080183</v>
      </c>
      <c r="CP5" s="307">
        <f t="shared" ref="CP5:CS5" si="18">SUM(CP7:CP22)</f>
        <v>74140773</v>
      </c>
      <c r="CQ5" s="548">
        <f t="shared" si="18"/>
        <v>55558168</v>
      </c>
      <c r="CR5" s="548">
        <f t="shared" si="18"/>
        <v>12877208</v>
      </c>
      <c r="CS5" s="548">
        <f t="shared" si="18"/>
        <v>5705397</v>
      </c>
      <c r="CT5" s="548">
        <f>SUM(CT7:CT22)</f>
        <v>9683808</v>
      </c>
      <c r="CU5" s="307">
        <f t="shared" ref="CU5:DD5" si="19">SUM(CU7:CU22)</f>
        <v>75184723</v>
      </c>
      <c r="CV5" s="548">
        <f t="shared" si="19"/>
        <v>56258342</v>
      </c>
      <c r="CW5" s="548">
        <f t="shared" si="19"/>
        <v>13116248</v>
      </c>
      <c r="CX5" s="548">
        <f>SUM(CX7:CX22)</f>
        <v>5810133</v>
      </c>
      <c r="CY5" s="627">
        <f t="shared" si="19"/>
        <v>10053457</v>
      </c>
      <c r="CZ5" s="548">
        <f t="shared" si="19"/>
        <v>76214718</v>
      </c>
      <c r="DA5" s="548">
        <f t="shared" si="19"/>
        <v>56998328</v>
      </c>
      <c r="DB5" s="548">
        <f t="shared" si="19"/>
        <v>13361869</v>
      </c>
      <c r="DC5" s="548">
        <f t="shared" si="19"/>
        <v>5842327</v>
      </c>
      <c r="DD5" s="627">
        <f t="shared" si="19"/>
        <v>10386883</v>
      </c>
      <c r="DE5" s="627">
        <f t="shared" ref="DE5:DF5" si="20">SUM(DE7:DE22)</f>
        <v>77209746</v>
      </c>
      <c r="DF5" s="627">
        <f t="shared" si="20"/>
        <v>49388407</v>
      </c>
      <c r="DG5" s="627">
        <f t="shared" ref="DG5:DI5" si="21">SUM(DG7:DG22)</f>
        <v>13592135</v>
      </c>
      <c r="DH5" s="627">
        <f t="shared" si="21"/>
        <v>5949413</v>
      </c>
      <c r="DI5" s="627">
        <f t="shared" si="21"/>
        <v>10708589</v>
      </c>
    </row>
    <row r="6" spans="1:113" x14ac:dyDescent="0.2">
      <c r="A6" s="246" t="s">
        <v>182</v>
      </c>
      <c r="B6" s="12"/>
      <c r="C6" s="25"/>
      <c r="E6" s="58"/>
      <c r="F6" s="58"/>
      <c r="G6" s="58"/>
      <c r="H6" s="67"/>
      <c r="J6" s="153"/>
      <c r="K6" s="58"/>
      <c r="L6" s="58"/>
      <c r="M6" s="153"/>
      <c r="N6" s="58"/>
      <c r="O6" s="58"/>
      <c r="P6" s="153"/>
      <c r="Q6" s="58"/>
      <c r="R6" s="67"/>
      <c r="S6" s="110"/>
      <c r="T6" s="151"/>
      <c r="U6" s="58"/>
      <c r="V6" s="58"/>
      <c r="W6" s="151"/>
      <c r="X6" s="58"/>
      <c r="Y6" s="58"/>
      <c r="Z6" s="151"/>
      <c r="AA6" s="58"/>
      <c r="AB6" s="58"/>
      <c r="AC6" s="195"/>
      <c r="AD6" s="195"/>
      <c r="AE6" s="153"/>
      <c r="AG6" s="7"/>
      <c r="AH6" s="88"/>
      <c r="AI6" s="58"/>
      <c r="AJ6" s="58"/>
      <c r="AK6" s="7"/>
      <c r="AL6" s="88"/>
      <c r="AM6" s="58"/>
      <c r="AN6" s="58"/>
      <c r="AO6" s="7"/>
      <c r="AP6" s="67"/>
      <c r="AQ6" s="58"/>
      <c r="AR6" s="92"/>
      <c r="AT6" s="7"/>
      <c r="AU6" s="196"/>
      <c r="AV6" s="196"/>
      <c r="AW6" s="88"/>
      <c r="AX6" s="58"/>
      <c r="AY6" s="67"/>
      <c r="AZ6" s="7"/>
      <c r="BA6" s="58"/>
      <c r="BB6" s="58"/>
      <c r="BC6" s="7"/>
      <c r="BD6" s="58"/>
      <c r="BE6" s="58"/>
      <c r="BF6" s="195"/>
      <c r="BG6" s="195"/>
      <c r="BH6" s="153"/>
      <c r="BI6" s="110"/>
      <c r="BJ6" s="67"/>
      <c r="BK6" s="67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211"/>
      <c r="CB6" s="7"/>
      <c r="CC6" s="58"/>
      <c r="CD6" s="58"/>
      <c r="CE6" s="58"/>
      <c r="CF6" s="110"/>
      <c r="CG6" s="7"/>
      <c r="CH6" s="58"/>
      <c r="CJ6" s="58"/>
      <c r="CK6" s="80"/>
      <c r="CL6" s="2"/>
      <c r="CP6" s="80"/>
      <c r="CQ6" s="540"/>
      <c r="CU6" s="80"/>
      <c r="CV6" s="540"/>
      <c r="CY6" s="79"/>
      <c r="DA6" s="59"/>
      <c r="DD6" s="79"/>
    </row>
    <row r="7" spans="1:113" x14ac:dyDescent="0.2">
      <c r="A7" s="244" t="s">
        <v>0</v>
      </c>
      <c r="B7" s="565">
        <v>1354736</v>
      </c>
      <c r="C7" s="10">
        <v>1559445</v>
      </c>
      <c r="D7" s="58">
        <v>1669871</v>
      </c>
      <c r="E7" s="59">
        <v>593285</v>
      </c>
      <c r="F7" s="59">
        <v>638973</v>
      </c>
      <c r="G7" s="59">
        <v>196165</v>
      </c>
      <c r="H7" s="60">
        <v>241448</v>
      </c>
      <c r="I7" s="110">
        <v>1808798</v>
      </c>
      <c r="J7" s="153">
        <f t="shared" ref="J7:J22" si="22">+K7+L7</f>
        <v>1399206</v>
      </c>
      <c r="K7" s="59">
        <v>660345</v>
      </c>
      <c r="L7" s="59">
        <v>738861</v>
      </c>
      <c r="M7" s="153">
        <f t="shared" ref="M7:M22" si="23">+N7+O7</f>
        <v>406635</v>
      </c>
      <c r="N7" s="59">
        <v>177519</v>
      </c>
      <c r="O7" s="59">
        <v>229116</v>
      </c>
      <c r="P7" s="153">
        <f t="shared" ref="P7:P22" si="24">+Q7+R7</f>
        <v>5312</v>
      </c>
      <c r="Q7" s="59">
        <v>2647</v>
      </c>
      <c r="R7" s="60">
        <v>2665</v>
      </c>
      <c r="S7" s="11">
        <v>2217315</v>
      </c>
      <c r="T7" s="61">
        <v>1712044</v>
      </c>
      <c r="U7" s="59">
        <v>804503</v>
      </c>
      <c r="V7" s="59">
        <v>907541</v>
      </c>
      <c r="W7" s="61">
        <f t="shared" ref="W7:W22" si="25">+X7+Y7</f>
        <v>477273</v>
      </c>
      <c r="X7" s="59">
        <v>206582</v>
      </c>
      <c r="Y7" s="59">
        <v>270691</v>
      </c>
      <c r="Z7" s="62">
        <v>16166</v>
      </c>
      <c r="AA7" s="59">
        <v>7481</v>
      </c>
      <c r="AB7" s="59">
        <v>8685</v>
      </c>
      <c r="AC7" s="195">
        <v>10900</v>
      </c>
      <c r="AD7" s="195">
        <v>4576</v>
      </c>
      <c r="AE7" s="153">
        <v>6324</v>
      </c>
      <c r="AF7" s="110">
        <v>2545969</v>
      </c>
      <c r="AG7" s="63">
        <v>1963783</v>
      </c>
      <c r="AH7" s="88">
        <f t="shared" ref="AH7:AH22" si="26">+AI7+AJ7</f>
        <v>1955332</v>
      </c>
      <c r="AI7" s="59">
        <v>922257</v>
      </c>
      <c r="AJ7" s="59">
        <v>1033075</v>
      </c>
      <c r="AK7" s="61">
        <v>556648</v>
      </c>
      <c r="AL7" s="88">
        <f t="shared" ref="AL7:AL22" si="27">+AM7+AN7</f>
        <v>555421</v>
      </c>
      <c r="AM7" s="59">
        <v>238244</v>
      </c>
      <c r="AN7" s="59">
        <v>317177</v>
      </c>
      <c r="AO7" s="61">
        <v>12345</v>
      </c>
      <c r="AP7" s="60">
        <v>5965</v>
      </c>
      <c r="AQ7" s="59">
        <v>6380</v>
      </c>
      <c r="AR7" s="92">
        <f t="shared" ref="AR7:AR22" si="28">+AF7-AH7-AL7-AO7</f>
        <v>22871</v>
      </c>
      <c r="AS7" s="110">
        <v>2887400</v>
      </c>
      <c r="AT7" s="61">
        <v>2157934</v>
      </c>
      <c r="AU7" s="196">
        <v>1030234</v>
      </c>
      <c r="AV7" s="196">
        <v>1127700</v>
      </c>
      <c r="AW7" s="88">
        <f t="shared" ref="AW7:AW22" si="29">+AX7+AY7</f>
        <v>2139281</v>
      </c>
      <c r="AX7" s="59">
        <v>1020007</v>
      </c>
      <c r="AY7" s="60">
        <v>1119274</v>
      </c>
      <c r="AZ7" s="61">
        <v>657233</v>
      </c>
      <c r="BA7" s="59">
        <v>287485</v>
      </c>
      <c r="BB7" s="59">
        <v>369748</v>
      </c>
      <c r="BC7" s="61">
        <v>36486</v>
      </c>
      <c r="BD7" s="59">
        <v>20543</v>
      </c>
      <c r="BE7" s="59">
        <v>15943</v>
      </c>
      <c r="BF7" s="195">
        <v>72233</v>
      </c>
      <c r="BG7" s="195">
        <v>35635</v>
      </c>
      <c r="BH7" s="153">
        <v>36598</v>
      </c>
      <c r="BI7" s="199">
        <v>3142304</v>
      </c>
      <c r="BJ7" s="60">
        <v>1487450</v>
      </c>
      <c r="BK7" s="60">
        <v>1654854</v>
      </c>
      <c r="BL7" s="67">
        <v>2287448</v>
      </c>
      <c r="BM7" s="67">
        <v>1101808</v>
      </c>
      <c r="BN7" s="67">
        <v>1185640</v>
      </c>
      <c r="BO7" s="67">
        <v>2230592</v>
      </c>
      <c r="BP7" s="67">
        <v>1070239</v>
      </c>
      <c r="BQ7" s="67">
        <v>1160353</v>
      </c>
      <c r="BR7" s="67">
        <v>749101</v>
      </c>
      <c r="BS7" s="67">
        <v>331915</v>
      </c>
      <c r="BT7" s="67">
        <v>417186</v>
      </c>
      <c r="BU7" s="67">
        <v>86356</v>
      </c>
      <c r="BV7" s="67">
        <v>49158</v>
      </c>
      <c r="BW7" s="67">
        <v>37198</v>
      </c>
      <c r="BX7" s="153">
        <f>+BY7+BZ7</f>
        <v>105755</v>
      </c>
      <c r="BY7" s="67">
        <v>53727</v>
      </c>
      <c r="BZ7" s="67">
        <v>52028</v>
      </c>
      <c r="CA7" s="210">
        <v>3015910</v>
      </c>
      <c r="CB7" s="61">
        <v>2221291</v>
      </c>
      <c r="CC7" s="59">
        <v>709114</v>
      </c>
      <c r="CD7" s="59">
        <v>85505</v>
      </c>
      <c r="CE7" s="59">
        <v>56260</v>
      </c>
      <c r="CF7" s="199">
        <v>3052298</v>
      </c>
      <c r="CG7" s="61">
        <v>2243752</v>
      </c>
      <c r="CH7" s="59">
        <v>720674</v>
      </c>
      <c r="CI7" s="59">
        <v>87872</v>
      </c>
      <c r="CJ7" s="59">
        <v>59715</v>
      </c>
      <c r="CK7" s="66">
        <v>3083943</v>
      </c>
      <c r="CL7" s="64">
        <v>2259463</v>
      </c>
      <c r="CM7" s="65">
        <v>729457</v>
      </c>
      <c r="CN7" s="65">
        <v>95023</v>
      </c>
      <c r="CO7" s="65">
        <v>66327</v>
      </c>
      <c r="CP7" s="66">
        <v>3142304</v>
      </c>
      <c r="CQ7" s="539">
        <v>2287448</v>
      </c>
      <c r="CR7" s="539">
        <v>749101</v>
      </c>
      <c r="CS7" s="65">
        <v>105755</v>
      </c>
      <c r="CT7" s="539">
        <v>86356</v>
      </c>
      <c r="CU7" s="66">
        <v>3168795</v>
      </c>
      <c r="CV7" s="539">
        <v>2298964</v>
      </c>
      <c r="CW7" s="539">
        <v>758175</v>
      </c>
      <c r="CX7" s="329">
        <f>CU7-CV7-CW7</f>
        <v>111656</v>
      </c>
      <c r="CY7" s="633">
        <v>91611</v>
      </c>
      <c r="CZ7" s="59">
        <v>3192004</v>
      </c>
      <c r="DA7" s="59">
        <v>2309064</v>
      </c>
      <c r="DB7" s="59">
        <v>770560</v>
      </c>
      <c r="DC7" s="59">
        <v>111437</v>
      </c>
      <c r="DD7" s="636">
        <v>95055</v>
      </c>
      <c r="DE7" s="59">
        <v>3213252</v>
      </c>
      <c r="DF7" s="59">
        <v>2256581</v>
      </c>
      <c r="DG7" s="1">
        <v>778726</v>
      </c>
      <c r="DH7" s="59">
        <v>115814</v>
      </c>
      <c r="DI7" s="59">
        <v>95467</v>
      </c>
    </row>
    <row r="8" spans="1:113" x14ac:dyDescent="0.2">
      <c r="A8" s="244" t="s">
        <v>1</v>
      </c>
      <c r="B8" s="565">
        <v>968286</v>
      </c>
      <c r="C8" s="10">
        <v>1000830</v>
      </c>
      <c r="D8" s="58">
        <v>964032</v>
      </c>
      <c r="E8" s="59">
        <v>380577</v>
      </c>
      <c r="F8" s="59">
        <v>405758</v>
      </c>
      <c r="G8" s="59">
        <v>81338</v>
      </c>
      <c r="H8" s="60">
        <v>96359</v>
      </c>
      <c r="I8" s="110">
        <v>1057512</v>
      </c>
      <c r="J8" s="153">
        <f t="shared" si="22"/>
        <v>896784</v>
      </c>
      <c r="K8" s="59">
        <v>425396</v>
      </c>
      <c r="L8" s="59">
        <v>471388</v>
      </c>
      <c r="M8" s="153">
        <f t="shared" si="23"/>
        <v>158531</v>
      </c>
      <c r="N8" s="59">
        <v>70893</v>
      </c>
      <c r="O8" s="59">
        <v>87638</v>
      </c>
      <c r="P8" s="153">
        <f t="shared" si="24"/>
        <v>3592</v>
      </c>
      <c r="Q8" s="59">
        <v>1856</v>
      </c>
      <c r="R8" s="60">
        <v>1736</v>
      </c>
      <c r="S8" s="11">
        <v>1337118</v>
      </c>
      <c r="T8" s="61">
        <v>1144700</v>
      </c>
      <c r="U8" s="59">
        <v>539284</v>
      </c>
      <c r="V8" s="59">
        <v>605416</v>
      </c>
      <c r="W8" s="61">
        <f t="shared" si="25"/>
        <v>173979</v>
      </c>
      <c r="X8" s="59">
        <v>76189</v>
      </c>
      <c r="Y8" s="59">
        <v>97790</v>
      </c>
      <c r="Z8" s="62">
        <v>7384</v>
      </c>
      <c r="AA8" s="59">
        <v>3413</v>
      </c>
      <c r="AB8" s="59">
        <v>3971</v>
      </c>
      <c r="AC8" s="195">
        <v>10794</v>
      </c>
      <c r="AD8" s="195">
        <v>4661</v>
      </c>
      <c r="AE8" s="153">
        <v>6133</v>
      </c>
      <c r="AF8" s="110">
        <v>1496150</v>
      </c>
      <c r="AG8" s="63">
        <v>1282917</v>
      </c>
      <c r="AH8" s="88">
        <f t="shared" si="26"/>
        <v>1277449</v>
      </c>
      <c r="AI8" s="59">
        <v>601469</v>
      </c>
      <c r="AJ8" s="59">
        <v>675980</v>
      </c>
      <c r="AK8" s="61">
        <v>195058</v>
      </c>
      <c r="AL8" s="88">
        <f t="shared" si="27"/>
        <v>194544</v>
      </c>
      <c r="AM8" s="59">
        <v>83782</v>
      </c>
      <c r="AN8" s="59">
        <v>110762</v>
      </c>
      <c r="AO8" s="61">
        <v>9097</v>
      </c>
      <c r="AP8" s="60">
        <v>4674</v>
      </c>
      <c r="AQ8" s="59">
        <v>4423</v>
      </c>
      <c r="AR8" s="92">
        <f t="shared" si="28"/>
        <v>15060</v>
      </c>
      <c r="AS8" s="110">
        <v>1731200</v>
      </c>
      <c r="AT8" s="61">
        <v>1443509</v>
      </c>
      <c r="AU8" s="196">
        <v>690234</v>
      </c>
      <c r="AV8" s="196">
        <v>753275</v>
      </c>
      <c r="AW8" s="88">
        <f t="shared" si="29"/>
        <v>1425174</v>
      </c>
      <c r="AX8" s="59">
        <v>679858</v>
      </c>
      <c r="AY8" s="60">
        <v>745316</v>
      </c>
      <c r="AZ8" s="61">
        <v>225985</v>
      </c>
      <c r="BA8" s="59">
        <v>100399</v>
      </c>
      <c r="BB8" s="59">
        <v>125586</v>
      </c>
      <c r="BC8" s="61">
        <v>40019</v>
      </c>
      <c r="BD8" s="59">
        <v>23149</v>
      </c>
      <c r="BE8" s="59">
        <v>16870</v>
      </c>
      <c r="BF8" s="195">
        <v>61706</v>
      </c>
      <c r="BG8" s="195">
        <v>31495</v>
      </c>
      <c r="BH8" s="153">
        <v>30211</v>
      </c>
      <c r="BI8" s="199">
        <v>1904101</v>
      </c>
      <c r="BJ8" s="60">
        <v>913199</v>
      </c>
      <c r="BK8" s="60">
        <v>990902</v>
      </c>
      <c r="BL8" s="67">
        <v>1554774</v>
      </c>
      <c r="BM8" s="67">
        <v>752312</v>
      </c>
      <c r="BN8" s="67">
        <v>802462</v>
      </c>
      <c r="BO8" s="67">
        <v>1505365</v>
      </c>
      <c r="BP8" s="67">
        <v>725802</v>
      </c>
      <c r="BQ8" s="67">
        <v>779563</v>
      </c>
      <c r="BR8" s="67">
        <v>261148</v>
      </c>
      <c r="BS8" s="67">
        <v>118520</v>
      </c>
      <c r="BT8" s="67">
        <v>142628</v>
      </c>
      <c r="BU8" s="67">
        <v>82357</v>
      </c>
      <c r="BV8" s="67">
        <v>44130</v>
      </c>
      <c r="BW8" s="67">
        <v>38227</v>
      </c>
      <c r="BX8" s="153">
        <f t="shared" ref="BX8:BX22" si="30">+BY8+BZ8</f>
        <v>88179</v>
      </c>
      <c r="BY8" s="67">
        <v>42367</v>
      </c>
      <c r="BZ8" s="67">
        <v>45812</v>
      </c>
      <c r="CA8" s="210">
        <v>1842453</v>
      </c>
      <c r="CB8" s="61">
        <v>1512741</v>
      </c>
      <c r="CC8" s="59">
        <v>247323</v>
      </c>
      <c r="CD8" s="59">
        <v>82389</v>
      </c>
      <c r="CE8" s="59">
        <v>66483</v>
      </c>
      <c r="CF8" s="199">
        <v>1863115</v>
      </c>
      <c r="CG8" s="61">
        <v>1528921</v>
      </c>
      <c r="CH8" s="59">
        <v>249957</v>
      </c>
      <c r="CI8" s="59">
        <v>84237</v>
      </c>
      <c r="CJ8" s="59">
        <v>71079</v>
      </c>
      <c r="CK8" s="66">
        <v>1888459</v>
      </c>
      <c r="CL8" s="64">
        <v>1545946</v>
      </c>
      <c r="CM8" s="65">
        <v>255376</v>
      </c>
      <c r="CN8" s="65">
        <v>87137</v>
      </c>
      <c r="CO8" s="65">
        <v>76669</v>
      </c>
      <c r="CP8" s="66">
        <v>1904101</v>
      </c>
      <c r="CQ8" s="539">
        <v>1554774</v>
      </c>
      <c r="CR8" s="539">
        <v>261148</v>
      </c>
      <c r="CS8" s="65">
        <v>88179</v>
      </c>
      <c r="CT8" s="539">
        <v>82357</v>
      </c>
      <c r="CU8" s="66">
        <v>1922911</v>
      </c>
      <c r="CV8" s="539">
        <v>1566246</v>
      </c>
      <c r="CW8" s="539">
        <v>265416</v>
      </c>
      <c r="CX8" s="329">
        <f t="shared" ref="CX8:CX22" si="31">CU8-CV8-CW8</f>
        <v>91249</v>
      </c>
      <c r="CY8" s="633">
        <v>87066</v>
      </c>
      <c r="CZ8" s="59">
        <v>1938675</v>
      </c>
      <c r="DA8" s="59">
        <v>1577579</v>
      </c>
      <c r="DB8" s="59">
        <v>268707</v>
      </c>
      <c r="DC8" s="59">
        <v>89739</v>
      </c>
      <c r="DD8" s="636">
        <v>91013</v>
      </c>
      <c r="DE8" s="59">
        <v>1951058</v>
      </c>
      <c r="DF8" s="59">
        <v>1523889</v>
      </c>
      <c r="DG8" s="1">
        <v>270175</v>
      </c>
      <c r="DH8" s="59">
        <v>93597</v>
      </c>
      <c r="DI8" s="59">
        <v>94882</v>
      </c>
    </row>
    <row r="9" spans="1:113" x14ac:dyDescent="0.2">
      <c r="A9" s="244" t="s">
        <v>2</v>
      </c>
      <c r="B9" s="565">
        <v>158428</v>
      </c>
      <c r="C9" s="10">
        <v>189215</v>
      </c>
      <c r="D9" s="58">
        <v>245692</v>
      </c>
      <c r="E9" s="59">
        <v>104211</v>
      </c>
      <c r="F9" s="59">
        <v>110108</v>
      </c>
      <c r="G9" s="59">
        <v>15612</v>
      </c>
      <c r="H9" s="59">
        <v>15761</v>
      </c>
      <c r="I9" s="110">
        <v>287395</v>
      </c>
      <c r="J9" s="153">
        <f t="shared" si="22"/>
        <v>250674</v>
      </c>
      <c r="K9" s="59">
        <v>119437</v>
      </c>
      <c r="L9" s="59">
        <v>131237</v>
      </c>
      <c r="M9" s="153">
        <f t="shared" si="23"/>
        <v>34892</v>
      </c>
      <c r="N9" s="59">
        <v>16282</v>
      </c>
      <c r="O9" s="59">
        <v>18610</v>
      </c>
      <c r="P9" s="153">
        <f t="shared" si="24"/>
        <v>2411</v>
      </c>
      <c r="Q9" s="59">
        <v>1228</v>
      </c>
      <c r="R9" s="59">
        <v>1183</v>
      </c>
      <c r="S9" s="11">
        <v>344657</v>
      </c>
      <c r="T9" s="83">
        <f>+U9+V9</f>
        <v>290601</v>
      </c>
      <c r="U9" s="59">
        <v>136948</v>
      </c>
      <c r="V9" s="59">
        <v>153653</v>
      </c>
      <c r="W9" s="61">
        <f t="shared" si="25"/>
        <v>46592</v>
      </c>
      <c r="X9" s="59">
        <v>21005</v>
      </c>
      <c r="Y9" s="59">
        <v>25587</v>
      </c>
      <c r="Z9" s="85">
        <f>+AA9+AB9</f>
        <v>3948</v>
      </c>
      <c r="AA9" s="59">
        <v>1979</v>
      </c>
      <c r="AB9" s="59">
        <v>1969</v>
      </c>
      <c r="AC9" s="195">
        <v>3196</v>
      </c>
      <c r="AD9" s="195">
        <v>1376</v>
      </c>
      <c r="AE9" s="153">
        <v>1820</v>
      </c>
      <c r="AF9" s="110">
        <v>428499</v>
      </c>
      <c r="AG9" s="63">
        <v>355185</v>
      </c>
      <c r="AH9" s="88">
        <f t="shared" si="26"/>
        <v>351751</v>
      </c>
      <c r="AI9" s="59">
        <v>167449</v>
      </c>
      <c r="AJ9" s="59">
        <v>184302</v>
      </c>
      <c r="AK9" s="61">
        <v>62720</v>
      </c>
      <c r="AL9" s="88">
        <f t="shared" si="27"/>
        <v>62131</v>
      </c>
      <c r="AM9" s="59">
        <v>27940</v>
      </c>
      <c r="AN9" s="59">
        <v>34191</v>
      </c>
      <c r="AO9" s="61">
        <v>7565</v>
      </c>
      <c r="AP9" s="59">
        <v>3955</v>
      </c>
      <c r="AQ9" s="59">
        <v>3610</v>
      </c>
      <c r="AR9" s="92">
        <f t="shared" si="28"/>
        <v>7052</v>
      </c>
      <c r="AS9" s="110">
        <v>514658</v>
      </c>
      <c r="AT9" s="61">
        <v>401337</v>
      </c>
      <c r="AU9" s="196">
        <v>191629</v>
      </c>
      <c r="AV9" s="196">
        <v>209708</v>
      </c>
      <c r="AW9" s="88">
        <f t="shared" si="29"/>
        <v>392794</v>
      </c>
      <c r="AX9" s="59">
        <v>187087</v>
      </c>
      <c r="AY9" s="59">
        <v>205707</v>
      </c>
      <c r="AZ9" s="61">
        <v>86825</v>
      </c>
      <c r="BA9" s="59">
        <v>39478</v>
      </c>
      <c r="BB9" s="59">
        <v>47347</v>
      </c>
      <c r="BC9" s="61">
        <v>18301</v>
      </c>
      <c r="BD9" s="59">
        <v>9767</v>
      </c>
      <c r="BE9" s="59">
        <v>8534</v>
      </c>
      <c r="BF9" s="195">
        <v>26496</v>
      </c>
      <c r="BG9" s="195">
        <v>13071</v>
      </c>
      <c r="BH9" s="153">
        <v>13425</v>
      </c>
      <c r="BI9" s="199">
        <v>596009</v>
      </c>
      <c r="BJ9" s="60">
        <v>282154</v>
      </c>
      <c r="BK9" s="60">
        <v>313855</v>
      </c>
      <c r="BL9" s="67">
        <v>444812</v>
      </c>
      <c r="BM9" s="67">
        <v>212433</v>
      </c>
      <c r="BN9" s="67">
        <v>232379</v>
      </c>
      <c r="BO9" s="67">
        <v>422057</v>
      </c>
      <c r="BP9" s="67">
        <v>200718</v>
      </c>
      <c r="BQ9" s="67">
        <v>221339</v>
      </c>
      <c r="BR9" s="67">
        <v>112571</v>
      </c>
      <c r="BS9" s="67">
        <v>50782</v>
      </c>
      <c r="BT9" s="67">
        <v>61789</v>
      </c>
      <c r="BU9" s="67">
        <v>35108</v>
      </c>
      <c r="BV9" s="67">
        <v>18302</v>
      </c>
      <c r="BW9" s="67">
        <v>16806</v>
      </c>
      <c r="BX9" s="153">
        <f t="shared" si="30"/>
        <v>38626</v>
      </c>
      <c r="BY9" s="67">
        <v>18939</v>
      </c>
      <c r="BZ9" s="67">
        <v>19687</v>
      </c>
      <c r="CA9" s="210">
        <v>565305</v>
      </c>
      <c r="CB9" s="61">
        <v>428927</v>
      </c>
      <c r="CC9" s="59">
        <v>103294</v>
      </c>
      <c r="CD9" s="59">
        <v>33084</v>
      </c>
      <c r="CE9" s="59">
        <v>27213</v>
      </c>
      <c r="CF9" s="199">
        <v>573425</v>
      </c>
      <c r="CG9" s="61">
        <v>433611</v>
      </c>
      <c r="CH9" s="59">
        <v>105984</v>
      </c>
      <c r="CI9" s="59">
        <v>33830</v>
      </c>
      <c r="CJ9" s="59">
        <v>28423</v>
      </c>
      <c r="CK9" s="66">
        <v>586450</v>
      </c>
      <c r="CL9" s="64">
        <v>442197</v>
      </c>
      <c r="CM9" s="65">
        <v>109659</v>
      </c>
      <c r="CN9" s="65">
        <v>34594</v>
      </c>
      <c r="CO9" s="65">
        <v>30279</v>
      </c>
      <c r="CP9" s="66">
        <v>596009</v>
      </c>
      <c r="CQ9" s="539">
        <v>444812</v>
      </c>
      <c r="CR9" s="539">
        <v>112571</v>
      </c>
      <c r="CS9" s="65">
        <v>38626</v>
      </c>
      <c r="CT9" s="539">
        <v>35108</v>
      </c>
      <c r="CU9" s="66">
        <v>603421</v>
      </c>
      <c r="CV9" s="539">
        <v>448058</v>
      </c>
      <c r="CW9" s="539">
        <v>115344</v>
      </c>
      <c r="CX9" s="329">
        <f t="shared" si="31"/>
        <v>40019</v>
      </c>
      <c r="CY9" s="633">
        <v>36805</v>
      </c>
      <c r="CZ9" s="59">
        <v>610658</v>
      </c>
      <c r="DA9" s="59">
        <v>451220</v>
      </c>
      <c r="DB9" s="59">
        <v>118054</v>
      </c>
      <c r="DC9" s="59">
        <v>41014</v>
      </c>
      <c r="DD9" s="636">
        <v>38299</v>
      </c>
      <c r="DE9" s="59">
        <v>620032</v>
      </c>
      <c r="DF9" s="59">
        <v>430046</v>
      </c>
      <c r="DG9" s="1">
        <v>121477</v>
      </c>
      <c r="DH9" s="59">
        <v>43492</v>
      </c>
      <c r="DI9" s="59">
        <v>40242</v>
      </c>
    </row>
    <row r="10" spans="1:113" x14ac:dyDescent="0.2">
      <c r="A10" s="244" t="s">
        <v>3</v>
      </c>
      <c r="B10" s="565">
        <v>1082389</v>
      </c>
      <c r="C10" s="10">
        <v>1637240</v>
      </c>
      <c r="D10" s="58">
        <v>2845445</v>
      </c>
      <c r="E10" s="59">
        <v>1166313</v>
      </c>
      <c r="F10" s="59">
        <v>1260760</v>
      </c>
      <c r="G10" s="59">
        <v>202167</v>
      </c>
      <c r="H10" s="60">
        <v>216205</v>
      </c>
      <c r="I10" s="110">
        <v>3967881</v>
      </c>
      <c r="J10" s="153">
        <f t="shared" si="22"/>
        <v>3487376</v>
      </c>
      <c r="K10" s="59">
        <v>1627049</v>
      </c>
      <c r="L10" s="59">
        <v>1860327</v>
      </c>
      <c r="M10" s="153">
        <f t="shared" si="23"/>
        <v>467311</v>
      </c>
      <c r="N10" s="59">
        <v>215076</v>
      </c>
      <c r="O10" s="59">
        <v>252235</v>
      </c>
      <c r="P10" s="153">
        <f t="shared" si="24"/>
        <v>252148</v>
      </c>
      <c r="Q10" s="59">
        <v>117850</v>
      </c>
      <c r="R10" s="60">
        <v>134298</v>
      </c>
      <c r="S10" s="11">
        <v>6250125</v>
      </c>
      <c r="T10" s="61">
        <v>5042362</v>
      </c>
      <c r="U10" s="59">
        <v>2351894</v>
      </c>
      <c r="V10" s="59">
        <v>2690468</v>
      </c>
      <c r="W10" s="61">
        <f t="shared" si="25"/>
        <v>634348</v>
      </c>
      <c r="X10" s="59">
        <v>286844</v>
      </c>
      <c r="Y10" s="59">
        <v>347504</v>
      </c>
      <c r="Z10" s="62">
        <v>520215</v>
      </c>
      <c r="AA10" s="59">
        <v>239521</v>
      </c>
      <c r="AB10" s="59">
        <v>280694</v>
      </c>
      <c r="AC10" s="195">
        <v>46994</v>
      </c>
      <c r="AD10" s="195">
        <v>20109</v>
      </c>
      <c r="AE10" s="153">
        <v>26885</v>
      </c>
      <c r="AF10" s="110">
        <v>8887168</v>
      </c>
      <c r="AG10" s="63">
        <v>7691434</v>
      </c>
      <c r="AH10" s="88">
        <f t="shared" si="26"/>
        <v>6859111</v>
      </c>
      <c r="AI10" s="59">
        <v>3243820</v>
      </c>
      <c r="AJ10" s="59">
        <v>3615291</v>
      </c>
      <c r="AK10" s="61">
        <v>946774</v>
      </c>
      <c r="AL10" s="88">
        <f t="shared" si="27"/>
        <v>915427</v>
      </c>
      <c r="AM10" s="59">
        <v>413817</v>
      </c>
      <c r="AN10" s="59">
        <v>501610</v>
      </c>
      <c r="AO10" s="61">
        <v>996125</v>
      </c>
      <c r="AP10" s="60">
        <v>474003</v>
      </c>
      <c r="AQ10" s="59">
        <v>522122</v>
      </c>
      <c r="AR10" s="92">
        <f t="shared" si="28"/>
        <v>116505</v>
      </c>
      <c r="AS10" s="110">
        <v>11024645</v>
      </c>
      <c r="AT10" s="61">
        <v>9052318</v>
      </c>
      <c r="AU10" s="196">
        <v>4321471</v>
      </c>
      <c r="AV10" s="196">
        <v>4730847</v>
      </c>
      <c r="AW10" s="88">
        <f t="shared" si="29"/>
        <v>7721842</v>
      </c>
      <c r="AX10" s="59">
        <v>3687607</v>
      </c>
      <c r="AY10" s="60">
        <v>4034235</v>
      </c>
      <c r="AZ10" s="61">
        <v>1285014</v>
      </c>
      <c r="BA10" s="59">
        <v>590433</v>
      </c>
      <c r="BB10" s="59">
        <v>694581</v>
      </c>
      <c r="BC10" s="61">
        <v>1695497</v>
      </c>
      <c r="BD10" s="59">
        <v>818666</v>
      </c>
      <c r="BE10" s="59">
        <v>876831</v>
      </c>
      <c r="BF10" s="195">
        <v>687313</v>
      </c>
      <c r="BG10" s="195">
        <v>335197</v>
      </c>
      <c r="BH10" s="153">
        <v>352116</v>
      </c>
      <c r="BI10" s="199">
        <v>12931148</v>
      </c>
      <c r="BJ10" s="60">
        <v>6185462</v>
      </c>
      <c r="BK10" s="60">
        <v>6745686</v>
      </c>
      <c r="BL10" s="67">
        <v>10380705</v>
      </c>
      <c r="BM10" s="67">
        <v>4996703</v>
      </c>
      <c r="BN10" s="67">
        <v>5384002</v>
      </c>
      <c r="BO10" s="67">
        <v>8196397</v>
      </c>
      <c r="BP10" s="67">
        <v>3955148</v>
      </c>
      <c r="BQ10" s="67">
        <v>4241249</v>
      </c>
      <c r="BR10" s="67">
        <v>1735303</v>
      </c>
      <c r="BS10" s="67">
        <v>800269</v>
      </c>
      <c r="BT10" s="67">
        <v>935034</v>
      </c>
      <c r="BU10" s="67">
        <v>2593704</v>
      </c>
      <c r="BV10" s="67">
        <v>1246492</v>
      </c>
      <c r="BW10" s="67">
        <v>1347212</v>
      </c>
      <c r="BX10" s="153">
        <f t="shared" si="30"/>
        <v>815140</v>
      </c>
      <c r="BY10" s="67">
        <v>388490</v>
      </c>
      <c r="BZ10" s="67">
        <v>426650</v>
      </c>
      <c r="CA10" s="210">
        <v>12412464</v>
      </c>
      <c r="CB10" s="61">
        <v>9945996</v>
      </c>
      <c r="CC10" s="59">
        <v>1581165</v>
      </c>
      <c r="CD10" s="59">
        <v>885303</v>
      </c>
      <c r="CE10" s="59">
        <v>2293178</v>
      </c>
      <c r="CF10" s="199">
        <v>12566850</v>
      </c>
      <c r="CG10" s="61">
        <v>10093696</v>
      </c>
      <c r="CH10" s="59">
        <v>1622196</v>
      </c>
      <c r="CI10" s="59">
        <v>850958</v>
      </c>
      <c r="CJ10" s="59">
        <v>2367189</v>
      </c>
      <c r="CK10" s="66">
        <v>12683655</v>
      </c>
      <c r="CL10" s="64">
        <v>10192519</v>
      </c>
      <c r="CM10" s="65">
        <v>1665822</v>
      </c>
      <c r="CN10" s="65">
        <v>825314</v>
      </c>
      <c r="CO10" s="65">
        <v>2443754</v>
      </c>
      <c r="CP10" s="66">
        <v>12931148</v>
      </c>
      <c r="CQ10" s="539">
        <v>10380705</v>
      </c>
      <c r="CR10" s="539">
        <v>1735303</v>
      </c>
      <c r="CS10" s="65">
        <v>815140</v>
      </c>
      <c r="CT10" s="539">
        <v>2593704</v>
      </c>
      <c r="CU10" s="66">
        <v>13099541</v>
      </c>
      <c r="CV10" s="539">
        <v>10482850</v>
      </c>
      <c r="CW10" s="539">
        <v>1775966</v>
      </c>
      <c r="CX10" s="329">
        <f t="shared" si="31"/>
        <v>840725</v>
      </c>
      <c r="CY10" s="633">
        <v>2677986</v>
      </c>
      <c r="CZ10" s="59">
        <v>13307799</v>
      </c>
      <c r="DA10" s="59">
        <v>10639507</v>
      </c>
      <c r="DB10" s="59">
        <v>1822474</v>
      </c>
      <c r="DC10" s="59">
        <v>845818</v>
      </c>
      <c r="DD10" s="636">
        <v>2772558</v>
      </c>
      <c r="DE10" s="59">
        <v>13523012</v>
      </c>
      <c r="DF10" s="59">
        <v>8327906</v>
      </c>
      <c r="DG10" s="1">
        <v>1869427</v>
      </c>
      <c r="DH10" s="59">
        <v>869750</v>
      </c>
      <c r="DI10" s="59">
        <v>2868263</v>
      </c>
    </row>
    <row r="11" spans="1:113" x14ac:dyDescent="0.2">
      <c r="A11" s="244" t="s">
        <v>4</v>
      </c>
      <c r="B11" s="565">
        <v>1533488</v>
      </c>
      <c r="C11" s="10">
        <v>1778475</v>
      </c>
      <c r="D11" s="58">
        <v>2014845</v>
      </c>
      <c r="E11" s="59">
        <v>725314</v>
      </c>
      <c r="F11" s="59">
        <v>785981</v>
      </c>
      <c r="G11" s="59">
        <v>224618</v>
      </c>
      <c r="H11" s="60">
        <v>278932</v>
      </c>
      <c r="I11" s="110">
        <v>2355810</v>
      </c>
      <c r="J11" s="153">
        <f t="shared" si="22"/>
        <v>1827032</v>
      </c>
      <c r="K11" s="59">
        <v>866945</v>
      </c>
      <c r="L11" s="59">
        <v>960087</v>
      </c>
      <c r="M11" s="153">
        <f t="shared" si="23"/>
        <v>524481</v>
      </c>
      <c r="N11" s="59">
        <v>230192</v>
      </c>
      <c r="O11" s="59">
        <v>294289</v>
      </c>
      <c r="P11" s="153">
        <f t="shared" si="24"/>
        <v>12233</v>
      </c>
      <c r="Q11" s="59">
        <v>6266</v>
      </c>
      <c r="R11" s="60">
        <v>5967</v>
      </c>
      <c r="S11" s="11">
        <v>3085528</v>
      </c>
      <c r="T11" s="61">
        <v>2334255</v>
      </c>
      <c r="U11" s="59">
        <v>1102079</v>
      </c>
      <c r="V11" s="59">
        <v>1232176</v>
      </c>
      <c r="W11" s="61">
        <f t="shared" si="25"/>
        <v>701817</v>
      </c>
      <c r="X11" s="59">
        <v>306462</v>
      </c>
      <c r="Y11" s="59">
        <v>395355</v>
      </c>
      <c r="Z11" s="62">
        <v>28258</v>
      </c>
      <c r="AA11" s="59">
        <v>13375</v>
      </c>
      <c r="AB11" s="59">
        <v>14883</v>
      </c>
      <c r="AC11" s="195">
        <v>19466</v>
      </c>
      <c r="AD11" s="195">
        <v>8220</v>
      </c>
      <c r="AE11" s="153">
        <v>11246</v>
      </c>
      <c r="AF11" s="110">
        <v>4023420</v>
      </c>
      <c r="AG11" s="63">
        <v>2997958</v>
      </c>
      <c r="AH11" s="88">
        <f t="shared" si="26"/>
        <v>2968205</v>
      </c>
      <c r="AI11" s="59">
        <v>1418694</v>
      </c>
      <c r="AJ11" s="59">
        <v>1549511</v>
      </c>
      <c r="AK11" s="61">
        <v>954209</v>
      </c>
      <c r="AL11" s="88">
        <f t="shared" si="27"/>
        <v>950868</v>
      </c>
      <c r="AM11" s="59">
        <v>417451</v>
      </c>
      <c r="AN11" s="59">
        <v>533417</v>
      </c>
      <c r="AO11" s="61">
        <v>52191</v>
      </c>
      <c r="AP11" s="60">
        <v>29362</v>
      </c>
      <c r="AQ11" s="59">
        <v>22829</v>
      </c>
      <c r="AR11" s="92">
        <f t="shared" si="28"/>
        <v>52156</v>
      </c>
      <c r="AS11" s="110">
        <v>5185965</v>
      </c>
      <c r="AT11" s="61">
        <v>3576248</v>
      </c>
      <c r="AU11" s="196">
        <v>1735538</v>
      </c>
      <c r="AV11" s="196">
        <v>1840710</v>
      </c>
      <c r="AW11" s="88">
        <f t="shared" si="29"/>
        <v>3472812</v>
      </c>
      <c r="AX11" s="59">
        <v>1674426</v>
      </c>
      <c r="AY11" s="60">
        <v>1798386</v>
      </c>
      <c r="AZ11" s="61">
        <v>1333161</v>
      </c>
      <c r="BA11" s="59">
        <v>598092</v>
      </c>
      <c r="BB11" s="59">
        <v>735069</v>
      </c>
      <c r="BC11" s="61">
        <v>213190</v>
      </c>
      <c r="BD11" s="59">
        <v>128243</v>
      </c>
      <c r="BE11" s="59">
        <v>84947</v>
      </c>
      <c r="BF11" s="195">
        <v>276556</v>
      </c>
      <c r="BG11" s="195">
        <v>147240</v>
      </c>
      <c r="BH11" s="153">
        <v>129316</v>
      </c>
      <c r="BI11" s="199">
        <v>6154545</v>
      </c>
      <c r="BJ11" s="60">
        <v>2927724</v>
      </c>
      <c r="BK11" s="60">
        <v>3226821</v>
      </c>
      <c r="BL11" s="67">
        <v>3968238</v>
      </c>
      <c r="BM11" s="67">
        <v>1927723</v>
      </c>
      <c r="BN11" s="67">
        <v>2040515</v>
      </c>
      <c r="BO11" s="67">
        <v>3737726</v>
      </c>
      <c r="BP11" s="67">
        <v>1803187</v>
      </c>
      <c r="BQ11" s="67">
        <v>1934539</v>
      </c>
      <c r="BR11" s="67">
        <v>1739498</v>
      </c>
      <c r="BS11" s="67">
        <v>774479</v>
      </c>
      <c r="BT11" s="67">
        <v>965019</v>
      </c>
      <c r="BU11" s="67">
        <v>418623</v>
      </c>
      <c r="BV11" s="67">
        <v>229571</v>
      </c>
      <c r="BW11" s="67">
        <v>189052</v>
      </c>
      <c r="BX11" s="153">
        <f t="shared" si="30"/>
        <v>446809</v>
      </c>
      <c r="BY11" s="67">
        <v>225522</v>
      </c>
      <c r="BZ11" s="67">
        <v>221287</v>
      </c>
      <c r="CA11" s="210">
        <v>5945347</v>
      </c>
      <c r="CB11" s="61">
        <v>3906838</v>
      </c>
      <c r="CC11" s="59">
        <v>1617445</v>
      </c>
      <c r="CD11" s="59">
        <v>421064</v>
      </c>
      <c r="CE11" s="59">
        <v>359478</v>
      </c>
      <c r="CF11" s="199">
        <v>6069802</v>
      </c>
      <c r="CG11" s="61">
        <v>3973866</v>
      </c>
      <c r="CH11" s="59">
        <v>1671508</v>
      </c>
      <c r="CI11" s="59">
        <v>424428</v>
      </c>
      <c r="CJ11" s="59">
        <v>377578</v>
      </c>
      <c r="CK11" s="66">
        <v>6155887</v>
      </c>
      <c r="CL11" s="64">
        <v>4009958</v>
      </c>
      <c r="CM11" s="65">
        <v>1719375</v>
      </c>
      <c r="CN11" s="65">
        <v>426554</v>
      </c>
      <c r="CO11" s="65">
        <v>389266</v>
      </c>
      <c r="CP11" s="66">
        <v>6154545</v>
      </c>
      <c r="CQ11" s="539">
        <v>3968238</v>
      </c>
      <c r="CR11" s="539">
        <v>1739498</v>
      </c>
      <c r="CS11" s="65">
        <v>446809</v>
      </c>
      <c r="CT11" s="539">
        <v>418623</v>
      </c>
      <c r="CU11" s="66">
        <v>6243020</v>
      </c>
      <c r="CV11" s="539">
        <v>4016700</v>
      </c>
      <c r="CW11" s="539">
        <v>1776855</v>
      </c>
      <c r="CX11" s="329">
        <f t="shared" si="31"/>
        <v>449465</v>
      </c>
      <c r="CY11" s="633">
        <v>437227</v>
      </c>
      <c r="CZ11" s="59">
        <v>6326651</v>
      </c>
      <c r="DA11" s="59">
        <v>4056186</v>
      </c>
      <c r="DB11" s="59">
        <v>1812411</v>
      </c>
      <c r="DC11" s="59">
        <v>458054</v>
      </c>
      <c r="DD11" s="636">
        <v>448846</v>
      </c>
      <c r="DE11" s="59">
        <v>6403956</v>
      </c>
      <c r="DF11" s="59">
        <v>3812750</v>
      </c>
      <c r="DG11" s="1">
        <v>1843831</v>
      </c>
      <c r="DH11" s="59">
        <v>460434</v>
      </c>
      <c r="DI11" s="59">
        <v>461061</v>
      </c>
    </row>
    <row r="12" spans="1:113" x14ac:dyDescent="0.2">
      <c r="A12" s="244" t="s">
        <v>5</v>
      </c>
      <c r="B12" s="565">
        <v>1440929</v>
      </c>
      <c r="C12" s="10">
        <v>1552505</v>
      </c>
      <c r="D12" s="58">
        <v>1609957</v>
      </c>
      <c r="E12" s="59">
        <v>723030</v>
      </c>
      <c r="F12" s="59">
        <v>770755</v>
      </c>
      <c r="G12" s="59">
        <v>54820</v>
      </c>
      <c r="H12" s="60">
        <v>61352</v>
      </c>
      <c r="I12" s="110">
        <v>1713298</v>
      </c>
      <c r="J12" s="153">
        <f t="shared" si="22"/>
        <v>1599747</v>
      </c>
      <c r="K12" s="59">
        <v>758138</v>
      </c>
      <c r="L12" s="59">
        <v>841609</v>
      </c>
      <c r="M12" s="153">
        <f t="shared" si="23"/>
        <v>111101</v>
      </c>
      <c r="N12" s="59">
        <v>49878</v>
      </c>
      <c r="O12" s="59">
        <v>61223</v>
      </c>
      <c r="P12" s="153">
        <f t="shared" si="24"/>
        <v>4299</v>
      </c>
      <c r="Q12" s="59">
        <v>2244</v>
      </c>
      <c r="R12" s="60">
        <v>2055</v>
      </c>
      <c r="S12" s="11">
        <v>2086692</v>
      </c>
      <c r="T12" s="61">
        <v>1938499</v>
      </c>
      <c r="U12" s="59">
        <v>916164</v>
      </c>
      <c r="V12" s="59">
        <v>1022335</v>
      </c>
      <c r="W12" s="61">
        <f t="shared" si="25"/>
        <v>126397</v>
      </c>
      <c r="X12" s="59">
        <v>56395</v>
      </c>
      <c r="Y12" s="59">
        <v>70002</v>
      </c>
      <c r="Z12" s="62">
        <v>12610</v>
      </c>
      <c r="AA12" s="59">
        <v>6045</v>
      </c>
      <c r="AB12" s="59">
        <v>6565</v>
      </c>
      <c r="AC12" s="195">
        <v>8796</v>
      </c>
      <c r="AD12" s="195">
        <v>3576</v>
      </c>
      <c r="AE12" s="153">
        <v>5220</v>
      </c>
      <c r="AF12" s="110">
        <v>2333833</v>
      </c>
      <c r="AG12" s="63">
        <v>2170449</v>
      </c>
      <c r="AH12" s="88">
        <f t="shared" si="26"/>
        <v>2163659</v>
      </c>
      <c r="AI12" s="59">
        <v>1016860</v>
      </c>
      <c r="AJ12" s="59">
        <v>1146799</v>
      </c>
      <c r="AK12" s="61">
        <v>146827</v>
      </c>
      <c r="AL12" s="88">
        <f t="shared" si="27"/>
        <v>146133</v>
      </c>
      <c r="AM12" s="59">
        <v>64491</v>
      </c>
      <c r="AN12" s="59">
        <v>81642</v>
      </c>
      <c r="AO12" s="61">
        <v>10150</v>
      </c>
      <c r="AP12" s="60">
        <v>5276</v>
      </c>
      <c r="AQ12" s="59">
        <v>4874</v>
      </c>
      <c r="AR12" s="92">
        <f t="shared" si="28"/>
        <v>13891</v>
      </c>
      <c r="AS12" s="110">
        <v>2646397</v>
      </c>
      <c r="AT12" s="61">
        <v>2419631</v>
      </c>
      <c r="AU12" s="196">
        <v>1151192</v>
      </c>
      <c r="AV12" s="196">
        <v>1268439</v>
      </c>
      <c r="AW12" s="88">
        <f t="shared" si="29"/>
        <v>2404049</v>
      </c>
      <c r="AX12" s="59">
        <v>1142178</v>
      </c>
      <c r="AY12" s="60">
        <v>1261871</v>
      </c>
      <c r="AZ12" s="61">
        <v>170321</v>
      </c>
      <c r="BA12" s="59">
        <v>79221</v>
      </c>
      <c r="BB12" s="59">
        <v>91100</v>
      </c>
      <c r="BC12" s="61">
        <v>28131</v>
      </c>
      <c r="BD12" s="59">
        <v>17218</v>
      </c>
      <c r="BE12" s="59">
        <v>10913</v>
      </c>
      <c r="BF12" s="195">
        <v>56445</v>
      </c>
      <c r="BG12" s="195">
        <v>29012</v>
      </c>
      <c r="BH12" s="153">
        <v>27433</v>
      </c>
      <c r="BI12" s="199">
        <v>2879829</v>
      </c>
      <c r="BJ12" s="60">
        <v>1384210</v>
      </c>
      <c r="BK12" s="60">
        <v>1495619</v>
      </c>
      <c r="BL12" s="67">
        <v>2599546</v>
      </c>
      <c r="BM12" s="67">
        <v>1248630</v>
      </c>
      <c r="BN12" s="67">
        <v>1350916</v>
      </c>
      <c r="BO12" s="67">
        <v>2564470</v>
      </c>
      <c r="BP12" s="67">
        <v>1229792</v>
      </c>
      <c r="BQ12" s="67">
        <v>1334678</v>
      </c>
      <c r="BR12" s="67">
        <v>200327</v>
      </c>
      <c r="BS12" s="67">
        <v>95027</v>
      </c>
      <c r="BT12" s="67">
        <v>105300</v>
      </c>
      <c r="BU12" s="67">
        <v>59210</v>
      </c>
      <c r="BV12" s="67">
        <v>33166</v>
      </c>
      <c r="BW12" s="67">
        <v>26044</v>
      </c>
      <c r="BX12" s="153">
        <f t="shared" si="30"/>
        <v>79956</v>
      </c>
      <c r="BY12" s="67">
        <v>40553</v>
      </c>
      <c r="BZ12" s="67">
        <v>39403</v>
      </c>
      <c r="CA12" s="210">
        <v>2808673</v>
      </c>
      <c r="CB12" s="61">
        <v>2555335</v>
      </c>
      <c r="CC12" s="59">
        <v>186256</v>
      </c>
      <c r="CD12" s="59">
        <v>67082</v>
      </c>
      <c r="CE12" s="59">
        <v>44119</v>
      </c>
      <c r="CF12" s="199">
        <v>2840521</v>
      </c>
      <c r="CG12" s="61">
        <v>2582511</v>
      </c>
      <c r="CH12" s="59">
        <v>188277</v>
      </c>
      <c r="CI12" s="59">
        <v>69733</v>
      </c>
      <c r="CJ12" s="59">
        <v>46429</v>
      </c>
      <c r="CK12" s="66">
        <v>2853559</v>
      </c>
      <c r="CL12" s="64">
        <v>2587562</v>
      </c>
      <c r="CM12" s="65">
        <v>191594</v>
      </c>
      <c r="CN12" s="65">
        <v>74403</v>
      </c>
      <c r="CO12" s="65">
        <v>49728</v>
      </c>
      <c r="CP12" s="66">
        <v>2879829</v>
      </c>
      <c r="CQ12" s="539">
        <v>2599546</v>
      </c>
      <c r="CR12" s="539">
        <v>200327</v>
      </c>
      <c r="CS12" s="65">
        <v>79956</v>
      </c>
      <c r="CT12" s="539">
        <v>59210</v>
      </c>
      <c r="CU12" s="66">
        <v>2902918</v>
      </c>
      <c r="CV12" s="539">
        <v>2615442</v>
      </c>
      <c r="CW12" s="539">
        <v>205571</v>
      </c>
      <c r="CX12" s="329">
        <f t="shared" si="31"/>
        <v>81905</v>
      </c>
      <c r="CY12" s="633">
        <v>62299</v>
      </c>
      <c r="CZ12" s="59">
        <v>2922675</v>
      </c>
      <c r="DA12" s="59">
        <v>2629294</v>
      </c>
      <c r="DB12" s="59">
        <v>207680</v>
      </c>
      <c r="DC12" s="59">
        <v>84965</v>
      </c>
      <c r="DD12" s="636">
        <v>66113</v>
      </c>
      <c r="DE12" s="59">
        <v>2937179</v>
      </c>
      <c r="DF12" s="59">
        <v>2596287</v>
      </c>
      <c r="DG12" s="1">
        <v>210236</v>
      </c>
      <c r="DH12" s="59">
        <v>87280</v>
      </c>
      <c r="DI12" s="59">
        <v>68177</v>
      </c>
    </row>
    <row r="13" spans="1:113" x14ac:dyDescent="0.2">
      <c r="A13" s="244" t="s">
        <v>6</v>
      </c>
      <c r="B13" s="565">
        <v>1204647</v>
      </c>
      <c r="C13" s="10">
        <v>1415145</v>
      </c>
      <c r="D13" s="58">
        <v>1639215</v>
      </c>
      <c r="E13" s="59">
        <v>569406</v>
      </c>
      <c r="F13" s="59">
        <v>606148</v>
      </c>
      <c r="G13" s="59">
        <v>212029</v>
      </c>
      <c r="H13" s="60">
        <v>251632</v>
      </c>
      <c r="I13" s="110">
        <v>1809914</v>
      </c>
      <c r="J13" s="153">
        <f t="shared" si="22"/>
        <v>1335486</v>
      </c>
      <c r="K13" s="59">
        <v>634495</v>
      </c>
      <c r="L13" s="59">
        <v>700991</v>
      </c>
      <c r="M13" s="153">
        <f t="shared" si="23"/>
        <v>469899</v>
      </c>
      <c r="N13" s="59">
        <v>209408</v>
      </c>
      <c r="O13" s="59">
        <v>260491</v>
      </c>
      <c r="P13" s="153">
        <f t="shared" si="24"/>
        <v>32123</v>
      </c>
      <c r="Q13" s="59">
        <v>15578</v>
      </c>
      <c r="R13" s="60">
        <v>16545</v>
      </c>
      <c r="S13" s="11">
        <v>2281481</v>
      </c>
      <c r="T13" s="61">
        <v>1635229</v>
      </c>
      <c r="U13" s="59">
        <v>780790</v>
      </c>
      <c r="V13" s="59">
        <v>854439</v>
      </c>
      <c r="W13" s="61">
        <f t="shared" si="25"/>
        <v>577085</v>
      </c>
      <c r="X13" s="59">
        <v>253416</v>
      </c>
      <c r="Y13" s="59">
        <v>323669</v>
      </c>
      <c r="Z13" s="62">
        <v>49861</v>
      </c>
      <c r="AA13" s="59">
        <v>23434</v>
      </c>
      <c r="AB13" s="59">
        <v>26427</v>
      </c>
      <c r="AC13" s="195">
        <v>17575</v>
      </c>
      <c r="AD13" s="195">
        <v>8508</v>
      </c>
      <c r="AE13" s="153">
        <v>9067</v>
      </c>
      <c r="AF13" s="110">
        <v>2536994</v>
      </c>
      <c r="AG13" s="63">
        <v>1813602</v>
      </c>
      <c r="AH13" s="88">
        <f t="shared" si="26"/>
        <v>1775436</v>
      </c>
      <c r="AI13" s="59">
        <v>843797</v>
      </c>
      <c r="AJ13" s="59">
        <v>931639</v>
      </c>
      <c r="AK13" s="61">
        <v>678809</v>
      </c>
      <c r="AL13" s="88">
        <f t="shared" si="27"/>
        <v>675611</v>
      </c>
      <c r="AM13" s="59">
        <v>293951</v>
      </c>
      <c r="AN13" s="59">
        <v>381660</v>
      </c>
      <c r="AO13" s="61">
        <v>53137</v>
      </c>
      <c r="AP13" s="60">
        <v>25252</v>
      </c>
      <c r="AQ13" s="59">
        <v>27885</v>
      </c>
      <c r="AR13" s="92">
        <f t="shared" si="28"/>
        <v>32810</v>
      </c>
      <c r="AS13" s="110">
        <v>2775468</v>
      </c>
      <c r="AT13" s="61">
        <v>1896770</v>
      </c>
      <c r="AU13" s="196">
        <v>908316</v>
      </c>
      <c r="AV13" s="196">
        <v>988454</v>
      </c>
      <c r="AW13" s="88">
        <f t="shared" si="29"/>
        <v>1858253</v>
      </c>
      <c r="AX13" s="59">
        <v>889572</v>
      </c>
      <c r="AY13" s="60">
        <v>968681</v>
      </c>
      <c r="AZ13" s="61">
        <v>784799</v>
      </c>
      <c r="BA13" s="59">
        <v>348557</v>
      </c>
      <c r="BB13" s="59">
        <v>436242</v>
      </c>
      <c r="BC13" s="61">
        <v>63345</v>
      </c>
      <c r="BD13" s="59">
        <v>31205</v>
      </c>
      <c r="BE13" s="59">
        <v>32140</v>
      </c>
      <c r="BF13" s="195">
        <v>93899</v>
      </c>
      <c r="BG13" s="195">
        <v>46454</v>
      </c>
      <c r="BH13" s="153">
        <v>47445</v>
      </c>
      <c r="BI13" s="199">
        <v>2900712</v>
      </c>
      <c r="BJ13" s="60">
        <v>1387668</v>
      </c>
      <c r="BK13" s="60">
        <v>1513044</v>
      </c>
      <c r="BL13" s="67">
        <v>1947396</v>
      </c>
      <c r="BM13" s="67">
        <v>946616</v>
      </c>
      <c r="BN13" s="67">
        <v>1000780</v>
      </c>
      <c r="BO13" s="67">
        <v>1876912</v>
      </c>
      <c r="BP13" s="67">
        <v>907846</v>
      </c>
      <c r="BQ13" s="67">
        <v>969066</v>
      </c>
      <c r="BR13" s="67">
        <v>836423</v>
      </c>
      <c r="BS13" s="67">
        <v>381174</v>
      </c>
      <c r="BT13" s="67">
        <v>455249</v>
      </c>
      <c r="BU13" s="67">
        <v>106388</v>
      </c>
      <c r="BV13" s="67">
        <v>59578</v>
      </c>
      <c r="BW13" s="67">
        <v>46810</v>
      </c>
      <c r="BX13" s="153">
        <f t="shared" si="30"/>
        <v>116893</v>
      </c>
      <c r="BY13" s="67">
        <v>59878</v>
      </c>
      <c r="BZ13" s="67">
        <v>57015</v>
      </c>
      <c r="CA13" s="210">
        <v>2766825</v>
      </c>
      <c r="CB13" s="61">
        <v>1879849</v>
      </c>
      <c r="CC13" s="59">
        <v>786314</v>
      </c>
      <c r="CD13" s="59">
        <v>100662</v>
      </c>
      <c r="CE13" s="59">
        <v>77921</v>
      </c>
      <c r="CF13" s="199">
        <v>2750274</v>
      </c>
      <c r="CG13" s="61">
        <v>1892021</v>
      </c>
      <c r="CH13" s="59">
        <v>757558</v>
      </c>
      <c r="CI13" s="59">
        <v>100695</v>
      </c>
      <c r="CJ13" s="59">
        <v>80378</v>
      </c>
      <c r="CK13" s="66">
        <v>2846792</v>
      </c>
      <c r="CL13" s="64">
        <v>1935347</v>
      </c>
      <c r="CM13" s="65">
        <v>809693</v>
      </c>
      <c r="CN13" s="65">
        <v>101752</v>
      </c>
      <c r="CO13" s="65">
        <v>88342</v>
      </c>
      <c r="CP13" s="66">
        <v>2900712</v>
      </c>
      <c r="CQ13" s="539">
        <v>1947396</v>
      </c>
      <c r="CR13" s="539">
        <v>836423</v>
      </c>
      <c r="CS13" s="65">
        <v>116893</v>
      </c>
      <c r="CT13" s="539">
        <v>106388</v>
      </c>
      <c r="CU13" s="66">
        <v>2943594</v>
      </c>
      <c r="CV13" s="539">
        <v>1965984</v>
      </c>
      <c r="CW13" s="539">
        <v>852775</v>
      </c>
      <c r="CX13" s="329">
        <f t="shared" si="31"/>
        <v>124835</v>
      </c>
      <c r="CY13" s="633">
        <v>113964</v>
      </c>
      <c r="CZ13" s="59">
        <v>2980393</v>
      </c>
      <c r="DA13" s="59">
        <v>1985974</v>
      </c>
      <c r="DB13" s="59">
        <v>865553</v>
      </c>
      <c r="DC13" s="59">
        <v>127254</v>
      </c>
      <c r="DD13" s="636">
        <v>120768</v>
      </c>
      <c r="DE13" s="59">
        <v>3010361</v>
      </c>
      <c r="DF13" s="59">
        <v>1917243</v>
      </c>
      <c r="DG13" s="1">
        <v>876450</v>
      </c>
      <c r="DH13" s="59">
        <v>127952</v>
      </c>
      <c r="DI13" s="59">
        <v>125390</v>
      </c>
    </row>
    <row r="14" spans="1:113" x14ac:dyDescent="0.2">
      <c r="A14" s="244" t="s">
        <v>7</v>
      </c>
      <c r="B14" s="565">
        <v>1054688</v>
      </c>
      <c r="C14" s="10">
        <v>1362490</v>
      </c>
      <c r="D14" s="58">
        <v>1692562</v>
      </c>
      <c r="E14" s="59">
        <v>694881</v>
      </c>
      <c r="F14" s="59">
        <v>740719</v>
      </c>
      <c r="G14" s="59">
        <v>125515</v>
      </c>
      <c r="H14" s="60">
        <v>131447</v>
      </c>
      <c r="I14" s="110">
        <v>2082549</v>
      </c>
      <c r="J14" s="153">
        <f t="shared" si="22"/>
        <v>1746979</v>
      </c>
      <c r="K14" s="59">
        <v>834194</v>
      </c>
      <c r="L14" s="59">
        <v>912785</v>
      </c>
      <c r="M14" s="153">
        <f t="shared" si="23"/>
        <v>322508</v>
      </c>
      <c r="N14" s="59">
        <v>151524</v>
      </c>
      <c r="O14" s="59">
        <v>170984</v>
      </c>
      <c r="P14" s="153">
        <f t="shared" si="24"/>
        <v>24319</v>
      </c>
      <c r="Q14" s="59">
        <v>11808</v>
      </c>
      <c r="R14" s="60">
        <v>12511</v>
      </c>
      <c r="S14" s="11">
        <v>2499096</v>
      </c>
      <c r="T14" s="61">
        <v>1930154</v>
      </c>
      <c r="U14" s="59">
        <v>914634</v>
      </c>
      <c r="V14" s="59">
        <v>1015520</v>
      </c>
      <c r="W14" s="61">
        <f t="shared" si="25"/>
        <v>491502</v>
      </c>
      <c r="X14" s="59">
        <v>222784</v>
      </c>
      <c r="Y14" s="59">
        <v>268718</v>
      </c>
      <c r="Z14" s="62">
        <v>32628</v>
      </c>
      <c r="AA14" s="59">
        <v>14907</v>
      </c>
      <c r="AB14" s="59">
        <v>17721</v>
      </c>
      <c r="AC14" s="195">
        <v>41810</v>
      </c>
      <c r="AD14" s="195">
        <v>19492</v>
      </c>
      <c r="AE14" s="153">
        <v>22318</v>
      </c>
      <c r="AF14" s="110">
        <v>3122665</v>
      </c>
      <c r="AG14" s="63">
        <v>2299041</v>
      </c>
      <c r="AH14" s="88">
        <f t="shared" si="26"/>
        <v>2260526</v>
      </c>
      <c r="AI14" s="59">
        <v>1082145</v>
      </c>
      <c r="AJ14" s="59">
        <v>1178381</v>
      </c>
      <c r="AK14" s="61">
        <v>707379</v>
      </c>
      <c r="AL14" s="88">
        <f t="shared" si="27"/>
        <v>702460</v>
      </c>
      <c r="AM14" s="59">
        <v>315912</v>
      </c>
      <c r="AN14" s="59">
        <v>386548</v>
      </c>
      <c r="AO14" s="61">
        <v>66901</v>
      </c>
      <c r="AP14" s="60">
        <v>32786</v>
      </c>
      <c r="AQ14" s="59">
        <v>34115</v>
      </c>
      <c r="AR14" s="92">
        <f t="shared" si="28"/>
        <v>92778</v>
      </c>
      <c r="AS14" s="110">
        <v>3495595</v>
      </c>
      <c r="AT14" s="61">
        <v>2346587</v>
      </c>
      <c r="AU14" s="196">
        <v>1119496</v>
      </c>
      <c r="AV14" s="196">
        <v>1227091</v>
      </c>
      <c r="AW14" s="88">
        <f t="shared" si="29"/>
        <v>2285532</v>
      </c>
      <c r="AX14" s="59">
        <v>1089429</v>
      </c>
      <c r="AY14" s="60">
        <v>1196103</v>
      </c>
      <c r="AZ14" s="61">
        <v>894968</v>
      </c>
      <c r="BA14" s="59">
        <v>396614</v>
      </c>
      <c r="BB14" s="59">
        <v>498354</v>
      </c>
      <c r="BC14" s="61">
        <v>124429</v>
      </c>
      <c r="BD14" s="59">
        <v>62149</v>
      </c>
      <c r="BE14" s="59">
        <v>62280</v>
      </c>
      <c r="BF14" s="195">
        <v>254040</v>
      </c>
      <c r="BG14" s="195">
        <v>121151</v>
      </c>
      <c r="BH14" s="153">
        <v>132889</v>
      </c>
      <c r="BI14" s="199">
        <v>3826074</v>
      </c>
      <c r="BJ14" s="60">
        <v>1799720</v>
      </c>
      <c r="BK14" s="60">
        <v>2026354</v>
      </c>
      <c r="BL14" s="67">
        <v>2385383</v>
      </c>
      <c r="BM14" s="67">
        <v>1146361</v>
      </c>
      <c r="BN14" s="67">
        <v>1239022</v>
      </c>
      <c r="BO14" s="67">
        <v>2249904</v>
      </c>
      <c r="BP14" s="67">
        <v>1077007</v>
      </c>
      <c r="BQ14" s="67">
        <v>1172897</v>
      </c>
      <c r="BR14" s="67">
        <v>1058905</v>
      </c>
      <c r="BS14" s="67">
        <v>468929</v>
      </c>
      <c r="BT14" s="67">
        <v>589976</v>
      </c>
      <c r="BU14" s="67">
        <v>252330</v>
      </c>
      <c r="BV14" s="67">
        <v>131990</v>
      </c>
      <c r="BW14" s="67">
        <v>120340</v>
      </c>
      <c r="BX14" s="153">
        <f t="shared" si="30"/>
        <v>381786</v>
      </c>
      <c r="BY14" s="67">
        <v>184430</v>
      </c>
      <c r="BZ14" s="67">
        <v>197356</v>
      </c>
      <c r="CA14" s="210">
        <v>3699555</v>
      </c>
      <c r="CB14" s="61">
        <v>2361630</v>
      </c>
      <c r="CC14" s="59">
        <v>1000748</v>
      </c>
      <c r="CD14" s="59">
        <v>337177</v>
      </c>
      <c r="CE14" s="59">
        <v>190933</v>
      </c>
      <c r="CF14" s="199">
        <v>3724359</v>
      </c>
      <c r="CG14" s="61">
        <v>2374619</v>
      </c>
      <c r="CH14" s="59">
        <v>1013175</v>
      </c>
      <c r="CI14" s="59">
        <v>336565</v>
      </c>
      <c r="CJ14" s="59">
        <v>199913</v>
      </c>
      <c r="CK14" s="66">
        <v>3765056</v>
      </c>
      <c r="CL14" s="64">
        <v>2379129</v>
      </c>
      <c r="CM14" s="65">
        <v>1035588</v>
      </c>
      <c r="CN14" s="65">
        <v>350339</v>
      </c>
      <c r="CO14" s="65">
        <v>216267</v>
      </c>
      <c r="CP14" s="66">
        <v>3826074</v>
      </c>
      <c r="CQ14" s="539">
        <v>2385383</v>
      </c>
      <c r="CR14" s="539">
        <v>1058905</v>
      </c>
      <c r="CS14" s="65">
        <v>381786</v>
      </c>
      <c r="CT14" s="539">
        <v>252330</v>
      </c>
      <c r="CU14" s="66">
        <v>3872031</v>
      </c>
      <c r="CV14" s="539">
        <v>2395795</v>
      </c>
      <c r="CW14" s="539">
        <v>1078556</v>
      </c>
      <c r="CX14" s="329">
        <f t="shared" si="31"/>
        <v>397680</v>
      </c>
      <c r="CY14" s="633">
        <v>264657</v>
      </c>
      <c r="CZ14" s="59">
        <v>3922966</v>
      </c>
      <c r="DA14" s="59">
        <v>2412909</v>
      </c>
      <c r="DB14" s="59">
        <v>1095961</v>
      </c>
      <c r="DC14" s="59">
        <v>414096</v>
      </c>
      <c r="DD14" s="636">
        <v>277050</v>
      </c>
      <c r="DE14" s="59">
        <v>3970798</v>
      </c>
      <c r="DF14" s="59">
        <v>2275216</v>
      </c>
      <c r="DG14" s="1">
        <v>1113771</v>
      </c>
      <c r="DH14" s="59">
        <v>432918</v>
      </c>
      <c r="DI14" s="59">
        <v>289361</v>
      </c>
    </row>
    <row r="15" spans="1:113" x14ac:dyDescent="0.2">
      <c r="A15" s="244" t="s">
        <v>8</v>
      </c>
      <c r="B15" s="565">
        <v>1043584</v>
      </c>
      <c r="C15" s="10">
        <v>1073260</v>
      </c>
      <c r="D15" s="58">
        <v>1064976</v>
      </c>
      <c r="E15" s="59">
        <v>329133</v>
      </c>
      <c r="F15" s="59">
        <v>352826</v>
      </c>
      <c r="G15" s="59">
        <v>173898</v>
      </c>
      <c r="H15" s="60">
        <v>209119</v>
      </c>
      <c r="I15" s="110">
        <v>1111789</v>
      </c>
      <c r="J15" s="153">
        <f t="shared" si="22"/>
        <v>767465</v>
      </c>
      <c r="K15" s="59">
        <v>363480</v>
      </c>
      <c r="L15" s="59">
        <v>403985</v>
      </c>
      <c r="M15" s="153">
        <f t="shared" si="23"/>
        <v>341539</v>
      </c>
      <c r="N15" s="59">
        <v>151520</v>
      </c>
      <c r="O15" s="59">
        <v>190019</v>
      </c>
      <c r="P15" s="153">
        <f t="shared" si="24"/>
        <v>3500</v>
      </c>
      <c r="Q15" s="59">
        <v>1770</v>
      </c>
      <c r="R15" s="60">
        <v>1730</v>
      </c>
      <c r="S15" s="11">
        <v>1367792</v>
      </c>
      <c r="T15" s="61">
        <v>953267</v>
      </c>
      <c r="U15" s="59">
        <v>448481</v>
      </c>
      <c r="V15" s="59">
        <v>504786</v>
      </c>
      <c r="W15" s="61">
        <f t="shared" si="25"/>
        <v>396276</v>
      </c>
      <c r="X15" s="59">
        <v>173374</v>
      </c>
      <c r="Y15" s="59">
        <v>222902</v>
      </c>
      <c r="Z15" s="62">
        <v>10791</v>
      </c>
      <c r="AA15" s="59">
        <v>4975</v>
      </c>
      <c r="AB15" s="59">
        <v>5816</v>
      </c>
      <c r="AC15" s="195">
        <v>7098</v>
      </c>
      <c r="AD15" s="195">
        <v>3017</v>
      </c>
      <c r="AE15" s="153">
        <v>4081</v>
      </c>
      <c r="AF15" s="110">
        <v>1538997</v>
      </c>
      <c r="AG15" s="63">
        <v>1062133</v>
      </c>
      <c r="AH15" s="88">
        <f t="shared" si="26"/>
        <v>1057109</v>
      </c>
      <c r="AI15" s="59">
        <v>498157</v>
      </c>
      <c r="AJ15" s="59">
        <v>558952</v>
      </c>
      <c r="AK15" s="61">
        <v>463860</v>
      </c>
      <c r="AL15" s="88">
        <f t="shared" si="27"/>
        <v>462835</v>
      </c>
      <c r="AM15" s="59">
        <v>199051</v>
      </c>
      <c r="AN15" s="59">
        <v>263784</v>
      </c>
      <c r="AO15" s="61">
        <v>7766</v>
      </c>
      <c r="AP15" s="60">
        <v>3840</v>
      </c>
      <c r="AQ15" s="59">
        <v>3926</v>
      </c>
      <c r="AR15" s="92">
        <f t="shared" si="28"/>
        <v>11287</v>
      </c>
      <c r="AS15" s="110">
        <v>1757517</v>
      </c>
      <c r="AT15" s="61">
        <v>1170083</v>
      </c>
      <c r="AU15" s="196">
        <v>559031</v>
      </c>
      <c r="AV15" s="196">
        <v>611052</v>
      </c>
      <c r="AW15" s="88">
        <f t="shared" si="29"/>
        <v>1160401</v>
      </c>
      <c r="AX15" s="59">
        <v>553570</v>
      </c>
      <c r="AY15" s="60">
        <v>606831</v>
      </c>
      <c r="AZ15" s="61">
        <v>552617</v>
      </c>
      <c r="BA15" s="59">
        <v>243779</v>
      </c>
      <c r="BB15" s="59">
        <v>308838</v>
      </c>
      <c r="BC15" s="61">
        <v>19769</v>
      </c>
      <c r="BD15" s="59">
        <v>11250</v>
      </c>
      <c r="BE15" s="59">
        <v>8519</v>
      </c>
      <c r="BF15" s="195">
        <v>34817</v>
      </c>
      <c r="BG15" s="195">
        <v>17151</v>
      </c>
      <c r="BH15" s="153">
        <v>17666</v>
      </c>
      <c r="BI15" s="199">
        <v>1890674</v>
      </c>
      <c r="BJ15" s="60">
        <v>893122</v>
      </c>
      <c r="BK15" s="60">
        <v>997552</v>
      </c>
      <c r="BL15" s="67">
        <v>1210578</v>
      </c>
      <c r="BM15" s="67">
        <v>585049</v>
      </c>
      <c r="BN15" s="67">
        <v>625529</v>
      </c>
      <c r="BO15" s="67">
        <v>1187826</v>
      </c>
      <c r="BP15" s="67">
        <v>571984</v>
      </c>
      <c r="BQ15" s="67">
        <v>615842</v>
      </c>
      <c r="BR15" s="67">
        <v>630289</v>
      </c>
      <c r="BS15" s="67">
        <v>282918</v>
      </c>
      <c r="BT15" s="67">
        <v>347371</v>
      </c>
      <c r="BU15" s="67">
        <v>37822</v>
      </c>
      <c r="BV15" s="67">
        <v>22335</v>
      </c>
      <c r="BW15" s="67">
        <v>15487</v>
      </c>
      <c r="BX15" s="153">
        <f t="shared" si="30"/>
        <v>49807</v>
      </c>
      <c r="BY15" s="67">
        <v>25155</v>
      </c>
      <c r="BZ15" s="67">
        <v>24652</v>
      </c>
      <c r="CA15" s="210">
        <v>1829680</v>
      </c>
      <c r="CB15" s="61">
        <v>1186227</v>
      </c>
      <c r="CC15" s="59">
        <v>602006</v>
      </c>
      <c r="CD15" s="59">
        <v>41447</v>
      </c>
      <c r="CE15" s="59">
        <v>26233</v>
      </c>
      <c r="CF15" s="199">
        <v>1845409</v>
      </c>
      <c r="CG15" s="61">
        <v>1188854</v>
      </c>
      <c r="CH15" s="59">
        <v>614531</v>
      </c>
      <c r="CI15" s="59">
        <v>42024</v>
      </c>
      <c r="CJ15" s="59">
        <v>28208</v>
      </c>
      <c r="CK15" s="66">
        <v>1855677</v>
      </c>
      <c r="CL15" s="64">
        <v>1188247</v>
      </c>
      <c r="CM15" s="65">
        <v>621322</v>
      </c>
      <c r="CN15" s="65">
        <v>46108</v>
      </c>
      <c r="CO15" s="65">
        <v>31729</v>
      </c>
      <c r="CP15" s="66">
        <v>1890674</v>
      </c>
      <c r="CQ15" s="539">
        <v>1210578</v>
      </c>
      <c r="CR15" s="539">
        <v>630289</v>
      </c>
      <c r="CS15" s="65">
        <v>49807</v>
      </c>
      <c r="CT15" s="539">
        <v>37822</v>
      </c>
      <c r="CU15" s="66">
        <v>1904657</v>
      </c>
      <c r="CV15" s="539">
        <v>1215722</v>
      </c>
      <c r="CW15" s="539">
        <v>636480</v>
      </c>
      <c r="CX15" s="329">
        <f t="shared" si="31"/>
        <v>52455</v>
      </c>
      <c r="CY15" s="633">
        <v>42198</v>
      </c>
      <c r="CZ15" s="59">
        <v>1914622</v>
      </c>
      <c r="DA15" s="59">
        <v>1217402</v>
      </c>
      <c r="DB15" s="59">
        <v>648086</v>
      </c>
      <c r="DC15" s="59">
        <v>48931</v>
      </c>
      <c r="DD15" s="636">
        <v>42171</v>
      </c>
      <c r="DE15" s="59">
        <v>1928088</v>
      </c>
      <c r="DF15" s="59">
        <v>1192657</v>
      </c>
      <c r="DG15" s="1">
        <v>656202</v>
      </c>
      <c r="DH15" s="59">
        <v>51325</v>
      </c>
      <c r="DI15" s="59">
        <v>45715</v>
      </c>
    </row>
    <row r="16" spans="1:113" x14ac:dyDescent="0.2">
      <c r="A16" s="244" t="s">
        <v>9</v>
      </c>
      <c r="B16" s="565">
        <v>1649820</v>
      </c>
      <c r="C16" s="10">
        <v>2020140</v>
      </c>
      <c r="D16" s="58">
        <v>2307171</v>
      </c>
      <c r="E16" s="59">
        <v>870006</v>
      </c>
      <c r="F16" s="59">
        <v>940776</v>
      </c>
      <c r="G16" s="59">
        <v>230613</v>
      </c>
      <c r="H16" s="60">
        <v>265776</v>
      </c>
      <c r="I16" s="110">
        <v>2646272</v>
      </c>
      <c r="J16" s="153">
        <f t="shared" si="22"/>
        <v>2129774</v>
      </c>
      <c r="K16" s="59">
        <v>1006635</v>
      </c>
      <c r="L16" s="59">
        <v>1123139</v>
      </c>
      <c r="M16" s="153">
        <f t="shared" si="23"/>
        <v>495857</v>
      </c>
      <c r="N16" s="59">
        <v>225165</v>
      </c>
      <c r="O16" s="59">
        <v>270692</v>
      </c>
      <c r="P16" s="153">
        <f t="shared" si="24"/>
        <v>7833</v>
      </c>
      <c r="Q16" s="59">
        <v>4089</v>
      </c>
      <c r="R16" s="60">
        <v>3744</v>
      </c>
      <c r="S16" s="11">
        <v>3403219</v>
      </c>
      <c r="T16" s="61">
        <v>2688364</v>
      </c>
      <c r="U16" s="59">
        <v>1263552</v>
      </c>
      <c r="V16" s="59">
        <v>1424812</v>
      </c>
      <c r="W16" s="61">
        <f t="shared" si="25"/>
        <v>646267</v>
      </c>
      <c r="X16" s="59">
        <v>288284</v>
      </c>
      <c r="Y16" s="59">
        <v>357983</v>
      </c>
      <c r="Z16" s="62">
        <v>25127</v>
      </c>
      <c r="AA16" s="59">
        <v>11988</v>
      </c>
      <c r="AB16" s="59">
        <v>13139</v>
      </c>
      <c r="AC16" s="195">
        <v>42081</v>
      </c>
      <c r="AD16" s="195">
        <v>18792</v>
      </c>
      <c r="AE16" s="153">
        <v>23289</v>
      </c>
      <c r="AF16" s="110">
        <v>4253494</v>
      </c>
      <c r="AG16" s="63">
        <v>3343688</v>
      </c>
      <c r="AH16" s="88">
        <f t="shared" si="26"/>
        <v>3325862</v>
      </c>
      <c r="AI16" s="59">
        <v>1579217</v>
      </c>
      <c r="AJ16" s="59">
        <v>1746645</v>
      </c>
      <c r="AK16" s="61">
        <v>822754</v>
      </c>
      <c r="AL16" s="88">
        <f t="shared" si="27"/>
        <v>820174</v>
      </c>
      <c r="AM16" s="59">
        <v>361133</v>
      </c>
      <c r="AN16" s="59">
        <v>459041</v>
      </c>
      <c r="AO16" s="61">
        <v>33761</v>
      </c>
      <c r="AP16" s="60">
        <v>18534</v>
      </c>
      <c r="AQ16" s="59">
        <v>15227</v>
      </c>
      <c r="AR16" s="92">
        <f t="shared" si="28"/>
        <v>73697</v>
      </c>
      <c r="AS16" s="110">
        <v>5282994</v>
      </c>
      <c r="AT16" s="61">
        <v>3995351</v>
      </c>
      <c r="AU16" s="196">
        <v>1917559</v>
      </c>
      <c r="AV16" s="196">
        <v>2077792</v>
      </c>
      <c r="AW16" s="88">
        <f t="shared" si="29"/>
        <v>3920336</v>
      </c>
      <c r="AX16" s="59">
        <v>1873207</v>
      </c>
      <c r="AY16" s="60">
        <v>2047129</v>
      </c>
      <c r="AZ16" s="61">
        <v>1025276</v>
      </c>
      <c r="BA16" s="59">
        <v>458381</v>
      </c>
      <c r="BB16" s="59">
        <v>566895</v>
      </c>
      <c r="BC16" s="61">
        <v>174906</v>
      </c>
      <c r="BD16" s="59">
        <v>106882</v>
      </c>
      <c r="BE16" s="59">
        <v>68024</v>
      </c>
      <c r="BF16" s="195">
        <v>262367</v>
      </c>
      <c r="BG16" s="195">
        <v>138963</v>
      </c>
      <c r="BH16" s="153">
        <v>123404</v>
      </c>
      <c r="BI16" s="199">
        <v>6239345</v>
      </c>
      <c r="BJ16" s="60">
        <v>2961611</v>
      </c>
      <c r="BK16" s="60">
        <v>3277734</v>
      </c>
      <c r="BL16" s="67">
        <v>4566223</v>
      </c>
      <c r="BM16" s="67">
        <v>2190490</v>
      </c>
      <c r="BN16" s="67">
        <v>2375733</v>
      </c>
      <c r="BO16" s="67">
        <v>4376254</v>
      </c>
      <c r="BP16" s="67">
        <v>2090140</v>
      </c>
      <c r="BQ16" s="67">
        <v>2286114</v>
      </c>
      <c r="BR16" s="67">
        <v>1242244</v>
      </c>
      <c r="BS16" s="67">
        <v>553287</v>
      </c>
      <c r="BT16" s="67">
        <v>688957</v>
      </c>
      <c r="BU16" s="67">
        <v>376264</v>
      </c>
      <c r="BV16" s="67">
        <v>204860</v>
      </c>
      <c r="BW16" s="67">
        <v>171404</v>
      </c>
      <c r="BX16" s="153">
        <f t="shared" si="30"/>
        <v>430878</v>
      </c>
      <c r="BY16" s="67">
        <v>217834</v>
      </c>
      <c r="BZ16" s="67">
        <v>213044</v>
      </c>
      <c r="CA16" s="210">
        <v>5849056</v>
      </c>
      <c r="CB16" s="61">
        <v>4319074</v>
      </c>
      <c r="CC16" s="59">
        <v>1141063</v>
      </c>
      <c r="CD16" s="59">
        <v>388919</v>
      </c>
      <c r="CE16" s="59">
        <v>306240</v>
      </c>
      <c r="CF16" s="199">
        <v>5964892</v>
      </c>
      <c r="CG16" s="61">
        <v>4392326</v>
      </c>
      <c r="CH16" s="59">
        <v>1169811</v>
      </c>
      <c r="CI16" s="59">
        <v>402755</v>
      </c>
      <c r="CJ16" s="59">
        <v>322538</v>
      </c>
      <c r="CK16" s="66">
        <v>6065043</v>
      </c>
      <c r="CL16" s="64">
        <v>4463915</v>
      </c>
      <c r="CM16" s="65">
        <v>1193121</v>
      </c>
      <c r="CN16" s="65">
        <v>408007</v>
      </c>
      <c r="CO16" s="65">
        <v>329069</v>
      </c>
      <c r="CP16" s="66">
        <v>6239345</v>
      </c>
      <c r="CQ16" s="539">
        <v>4566223</v>
      </c>
      <c r="CR16" s="539">
        <v>1242244</v>
      </c>
      <c r="CS16" s="65">
        <v>430878</v>
      </c>
      <c r="CT16" s="539">
        <v>376264</v>
      </c>
      <c r="CU16" s="66">
        <v>6329422</v>
      </c>
      <c r="CV16" s="539">
        <v>4633100</v>
      </c>
      <c r="CW16" s="539">
        <v>1264241</v>
      </c>
      <c r="CX16" s="329">
        <f t="shared" si="31"/>
        <v>432081</v>
      </c>
      <c r="CY16" s="633">
        <v>392326</v>
      </c>
      <c r="CZ16" s="59">
        <v>6409433</v>
      </c>
      <c r="DA16" s="59">
        <v>4695790</v>
      </c>
      <c r="DB16" s="59">
        <v>1286439</v>
      </c>
      <c r="DC16" s="59">
        <v>424435</v>
      </c>
      <c r="DD16" s="636">
        <v>404840</v>
      </c>
      <c r="DE16" s="59">
        <v>6489102</v>
      </c>
      <c r="DF16" s="59">
        <v>4489625</v>
      </c>
      <c r="DG16" s="1">
        <v>1306723</v>
      </c>
      <c r="DH16" s="59">
        <v>438650</v>
      </c>
      <c r="DI16" s="59">
        <v>416728</v>
      </c>
    </row>
    <row r="17" spans="1:113" x14ac:dyDescent="0.2">
      <c r="A17" s="244" t="s">
        <v>10</v>
      </c>
      <c r="B17" s="565">
        <v>1213129</v>
      </c>
      <c r="C17" s="10">
        <v>1242615</v>
      </c>
      <c r="D17" s="58">
        <v>1299842</v>
      </c>
      <c r="E17" s="59">
        <v>574224</v>
      </c>
      <c r="F17" s="59">
        <v>621565</v>
      </c>
      <c r="G17" s="59">
        <v>48110</v>
      </c>
      <c r="H17" s="60">
        <v>55943</v>
      </c>
      <c r="I17" s="110">
        <v>1422569</v>
      </c>
      <c r="J17" s="153">
        <f t="shared" si="22"/>
        <v>1295728</v>
      </c>
      <c r="K17" s="59">
        <v>610079</v>
      </c>
      <c r="L17" s="59">
        <v>685649</v>
      </c>
      <c r="M17" s="153">
        <f t="shared" si="23"/>
        <v>78185</v>
      </c>
      <c r="N17" s="59">
        <v>34511</v>
      </c>
      <c r="O17" s="59">
        <v>43674</v>
      </c>
      <c r="P17" s="153">
        <f t="shared" si="24"/>
        <v>13931</v>
      </c>
      <c r="Q17" s="59">
        <v>7171</v>
      </c>
      <c r="R17" s="60">
        <v>6760</v>
      </c>
      <c r="S17" s="11">
        <v>1769761</v>
      </c>
      <c r="T17" s="61">
        <v>1557792</v>
      </c>
      <c r="U17" s="59">
        <v>734010</v>
      </c>
      <c r="V17" s="59">
        <v>823782</v>
      </c>
      <c r="W17" s="61">
        <f t="shared" si="25"/>
        <v>96304</v>
      </c>
      <c r="X17" s="59">
        <v>43502</v>
      </c>
      <c r="Y17" s="59">
        <v>52802</v>
      </c>
      <c r="Z17" s="62">
        <v>23254</v>
      </c>
      <c r="AA17" s="59">
        <v>11858</v>
      </c>
      <c r="AB17" s="59">
        <v>11396</v>
      </c>
      <c r="AC17" s="195">
        <v>91510</v>
      </c>
      <c r="AD17" s="195">
        <v>41611</v>
      </c>
      <c r="AE17" s="153">
        <v>49899</v>
      </c>
      <c r="AF17" s="110">
        <v>1995424</v>
      </c>
      <c r="AG17" s="63">
        <v>1702518</v>
      </c>
      <c r="AH17" s="88">
        <f t="shared" si="26"/>
        <v>1686085</v>
      </c>
      <c r="AI17" s="59">
        <v>794251</v>
      </c>
      <c r="AJ17" s="59">
        <v>891834</v>
      </c>
      <c r="AK17" s="61">
        <v>123734</v>
      </c>
      <c r="AL17" s="88">
        <f t="shared" si="27"/>
        <v>122947</v>
      </c>
      <c r="AM17" s="59">
        <v>56952</v>
      </c>
      <c r="AN17" s="59">
        <v>65995</v>
      </c>
      <c r="AO17" s="61">
        <v>38012</v>
      </c>
      <c r="AP17" s="60">
        <v>20156</v>
      </c>
      <c r="AQ17" s="59">
        <v>17856</v>
      </c>
      <c r="AR17" s="92">
        <f t="shared" si="28"/>
        <v>148380</v>
      </c>
      <c r="AS17" s="110">
        <v>2203173</v>
      </c>
      <c r="AT17" s="61">
        <v>1771056</v>
      </c>
      <c r="AU17" s="196">
        <v>845619</v>
      </c>
      <c r="AV17" s="196">
        <v>925437</v>
      </c>
      <c r="AW17" s="88">
        <f t="shared" si="29"/>
        <v>1737873</v>
      </c>
      <c r="AX17" s="59">
        <v>827825</v>
      </c>
      <c r="AY17" s="60">
        <v>910048</v>
      </c>
      <c r="AZ17" s="61">
        <v>141575</v>
      </c>
      <c r="BA17" s="59">
        <v>67620</v>
      </c>
      <c r="BB17" s="59">
        <v>73955</v>
      </c>
      <c r="BC17" s="61">
        <v>80063</v>
      </c>
      <c r="BD17" s="59">
        <v>44107</v>
      </c>
      <c r="BE17" s="59">
        <v>35956</v>
      </c>
      <c r="BF17" s="195">
        <v>290542</v>
      </c>
      <c r="BG17" s="195">
        <v>140265</v>
      </c>
      <c r="BH17" s="153">
        <v>150277</v>
      </c>
      <c r="BI17" s="199">
        <v>2411893</v>
      </c>
      <c r="BJ17" s="60">
        <v>1169681</v>
      </c>
      <c r="BK17" s="60">
        <v>1242212</v>
      </c>
      <c r="BL17" s="67">
        <v>1896453</v>
      </c>
      <c r="BM17" s="67">
        <v>920186</v>
      </c>
      <c r="BN17" s="67">
        <v>976267</v>
      </c>
      <c r="BO17" s="67">
        <v>1807824</v>
      </c>
      <c r="BP17" s="67">
        <v>872124</v>
      </c>
      <c r="BQ17" s="67">
        <v>935700</v>
      </c>
      <c r="BR17" s="67">
        <v>158176</v>
      </c>
      <c r="BS17" s="67">
        <v>77116</v>
      </c>
      <c r="BT17" s="67">
        <v>81060</v>
      </c>
      <c r="BU17" s="67">
        <v>148928</v>
      </c>
      <c r="BV17" s="67">
        <v>80869</v>
      </c>
      <c r="BW17" s="67">
        <v>68059</v>
      </c>
      <c r="BX17" s="153">
        <f t="shared" si="30"/>
        <v>357264</v>
      </c>
      <c r="BY17" s="67">
        <v>172379</v>
      </c>
      <c r="BZ17" s="67">
        <v>184885</v>
      </c>
      <c r="CA17" s="210">
        <v>2311130</v>
      </c>
      <c r="CB17" s="61">
        <v>1829721</v>
      </c>
      <c r="CC17" s="59">
        <v>150746</v>
      </c>
      <c r="CD17" s="59">
        <v>330663</v>
      </c>
      <c r="CE17" s="59">
        <v>121785</v>
      </c>
      <c r="CF17" s="199">
        <v>2336187</v>
      </c>
      <c r="CG17" s="61">
        <v>1851156</v>
      </c>
      <c r="CH17" s="59">
        <v>153522</v>
      </c>
      <c r="CI17" s="59">
        <v>331509</v>
      </c>
      <c r="CJ17" s="59">
        <v>129183</v>
      </c>
      <c r="CK17" s="66">
        <v>2353051</v>
      </c>
      <c r="CL17" s="64">
        <v>1864854</v>
      </c>
      <c r="CM17" s="65">
        <v>153751</v>
      </c>
      <c r="CN17" s="65">
        <v>334446</v>
      </c>
      <c r="CO17" s="65">
        <v>137695</v>
      </c>
      <c r="CP17" s="66">
        <v>2411893</v>
      </c>
      <c r="CQ17" s="539">
        <v>1896453</v>
      </c>
      <c r="CR17" s="539">
        <v>158176</v>
      </c>
      <c r="CS17" s="65">
        <v>357264</v>
      </c>
      <c r="CT17" s="539">
        <v>148928</v>
      </c>
      <c r="CU17" s="66">
        <v>2442300</v>
      </c>
      <c r="CV17" s="539">
        <v>1912580</v>
      </c>
      <c r="CW17" s="539">
        <v>160388</v>
      </c>
      <c r="CX17" s="329">
        <f t="shared" si="31"/>
        <v>369332</v>
      </c>
      <c r="CY17" s="633">
        <v>157211</v>
      </c>
      <c r="CZ17" s="59">
        <v>2467328</v>
      </c>
      <c r="DA17" s="59">
        <v>1924382</v>
      </c>
      <c r="DB17" s="59">
        <v>163228</v>
      </c>
      <c r="DC17" s="59">
        <v>379718</v>
      </c>
      <c r="DD17" s="636">
        <v>163420</v>
      </c>
      <c r="DE17" s="59">
        <v>2487647</v>
      </c>
      <c r="DF17" s="59">
        <v>1833930</v>
      </c>
      <c r="DG17" s="1">
        <v>163651</v>
      </c>
      <c r="DH17" s="59">
        <v>385431</v>
      </c>
      <c r="DI17" s="59">
        <v>169473</v>
      </c>
    </row>
    <row r="18" spans="1:113" x14ac:dyDescent="0.2">
      <c r="A18" s="244" t="s">
        <v>11</v>
      </c>
      <c r="B18" s="565">
        <v>841138</v>
      </c>
      <c r="C18" s="10">
        <v>1006575</v>
      </c>
      <c r="D18" s="58">
        <v>1135907</v>
      </c>
      <c r="E18" s="59">
        <v>385191</v>
      </c>
      <c r="F18" s="59">
        <v>416915</v>
      </c>
      <c r="G18" s="59">
        <v>149932</v>
      </c>
      <c r="H18" s="60">
        <v>183869</v>
      </c>
      <c r="I18" s="110">
        <v>1283837</v>
      </c>
      <c r="J18" s="153">
        <f t="shared" si="22"/>
        <v>953168</v>
      </c>
      <c r="K18" s="59">
        <v>453026</v>
      </c>
      <c r="L18" s="59">
        <v>500142</v>
      </c>
      <c r="M18" s="153">
        <f t="shared" si="23"/>
        <v>328066</v>
      </c>
      <c r="N18" s="59">
        <v>146580</v>
      </c>
      <c r="O18" s="59">
        <v>181486</v>
      </c>
      <c r="P18" s="153">
        <f t="shared" si="24"/>
        <v>4069</v>
      </c>
      <c r="Q18" s="59">
        <v>2143</v>
      </c>
      <c r="R18" s="60">
        <v>1926</v>
      </c>
      <c r="S18" s="11">
        <v>1733022</v>
      </c>
      <c r="T18" s="61">
        <v>1261250</v>
      </c>
      <c r="U18" s="59">
        <v>598168</v>
      </c>
      <c r="V18" s="59">
        <v>663082</v>
      </c>
      <c r="W18" s="61">
        <f t="shared" si="25"/>
        <v>446412</v>
      </c>
      <c r="X18" s="59">
        <v>198326</v>
      </c>
      <c r="Y18" s="59">
        <v>248086</v>
      </c>
      <c r="Z18" s="62">
        <v>14824</v>
      </c>
      <c r="AA18" s="59">
        <v>6902</v>
      </c>
      <c r="AB18" s="59">
        <v>7922</v>
      </c>
      <c r="AC18" s="195">
        <v>9758</v>
      </c>
      <c r="AD18" s="195">
        <v>4074</v>
      </c>
      <c r="AE18" s="153">
        <v>5684</v>
      </c>
      <c r="AF18" s="110">
        <v>2167590</v>
      </c>
      <c r="AG18" s="63">
        <v>1581298</v>
      </c>
      <c r="AH18" s="88">
        <f t="shared" si="26"/>
        <v>1572902</v>
      </c>
      <c r="AI18" s="59">
        <v>753149</v>
      </c>
      <c r="AJ18" s="59">
        <v>819753</v>
      </c>
      <c r="AK18" s="61">
        <v>564369</v>
      </c>
      <c r="AL18" s="88">
        <f t="shared" si="27"/>
        <v>562706</v>
      </c>
      <c r="AM18" s="59">
        <v>247142</v>
      </c>
      <c r="AN18" s="59">
        <v>315564</v>
      </c>
      <c r="AO18" s="61">
        <v>14485</v>
      </c>
      <c r="AP18" s="60">
        <v>7486</v>
      </c>
      <c r="AQ18" s="59">
        <v>6999</v>
      </c>
      <c r="AR18" s="92">
        <f t="shared" si="28"/>
        <v>17497</v>
      </c>
      <c r="AS18" s="110">
        <v>2596010</v>
      </c>
      <c r="AT18" s="61">
        <v>1844670</v>
      </c>
      <c r="AU18" s="196">
        <v>886233</v>
      </c>
      <c r="AV18" s="196">
        <v>958437</v>
      </c>
      <c r="AW18" s="88">
        <f t="shared" si="29"/>
        <v>1822934</v>
      </c>
      <c r="AX18" s="59">
        <v>873664</v>
      </c>
      <c r="AY18" s="60">
        <v>949270</v>
      </c>
      <c r="AZ18" s="61">
        <v>681366</v>
      </c>
      <c r="BA18" s="59">
        <v>301655</v>
      </c>
      <c r="BB18" s="59">
        <v>379711</v>
      </c>
      <c r="BC18" s="61">
        <v>45477</v>
      </c>
      <c r="BD18" s="59">
        <v>27142</v>
      </c>
      <c r="BE18" s="59">
        <v>18335</v>
      </c>
      <c r="BF18" s="195">
        <v>69974</v>
      </c>
      <c r="BG18" s="195">
        <v>36151</v>
      </c>
      <c r="BH18" s="153">
        <v>33823</v>
      </c>
      <c r="BI18" s="199">
        <v>3035053</v>
      </c>
      <c r="BJ18" s="60">
        <v>1439441</v>
      </c>
      <c r="BK18" s="60">
        <v>1595612</v>
      </c>
      <c r="BL18" s="67">
        <v>2144145</v>
      </c>
      <c r="BM18" s="67">
        <v>1034245</v>
      </c>
      <c r="BN18" s="67">
        <v>1109900</v>
      </c>
      <c r="BO18" s="67">
        <v>2071439</v>
      </c>
      <c r="BP18" s="67">
        <v>993833</v>
      </c>
      <c r="BQ18" s="67">
        <v>1077606</v>
      </c>
      <c r="BR18" s="67">
        <v>780533</v>
      </c>
      <c r="BS18" s="67">
        <v>348625</v>
      </c>
      <c r="BT18" s="67">
        <v>431908</v>
      </c>
      <c r="BU18" s="67">
        <v>115062</v>
      </c>
      <c r="BV18" s="67">
        <v>65314</v>
      </c>
      <c r="BW18" s="67">
        <v>49748</v>
      </c>
      <c r="BX18" s="153">
        <f t="shared" si="30"/>
        <v>110375</v>
      </c>
      <c r="BY18" s="67">
        <v>56571</v>
      </c>
      <c r="BZ18" s="67">
        <v>53804</v>
      </c>
      <c r="CA18" s="210">
        <v>2851898</v>
      </c>
      <c r="CB18" s="61">
        <v>2017362</v>
      </c>
      <c r="CC18" s="59">
        <v>740620</v>
      </c>
      <c r="CD18" s="59">
        <v>93916</v>
      </c>
      <c r="CE18" s="59">
        <v>81432</v>
      </c>
      <c r="CF18" s="199">
        <v>2908381</v>
      </c>
      <c r="CG18" s="61">
        <v>2060774</v>
      </c>
      <c r="CH18" s="59">
        <v>752231</v>
      </c>
      <c r="CI18" s="59">
        <v>95376</v>
      </c>
      <c r="CJ18" s="59">
        <v>85905</v>
      </c>
      <c r="CK18" s="66">
        <v>2974320</v>
      </c>
      <c r="CL18" s="64">
        <v>2106732</v>
      </c>
      <c r="CM18" s="65">
        <v>766665</v>
      </c>
      <c r="CN18" s="65">
        <v>100923</v>
      </c>
      <c r="CO18" s="65">
        <v>94593</v>
      </c>
      <c r="CP18" s="66">
        <v>3035053</v>
      </c>
      <c r="CQ18" s="539">
        <v>2144145</v>
      </c>
      <c r="CR18" s="539">
        <v>780533</v>
      </c>
      <c r="CS18" s="65">
        <v>110375</v>
      </c>
      <c r="CT18" s="539">
        <v>115062</v>
      </c>
      <c r="CU18" s="66">
        <v>3076869</v>
      </c>
      <c r="CV18" s="539">
        <v>2170318</v>
      </c>
      <c r="CW18" s="539">
        <v>789446</v>
      </c>
      <c r="CX18" s="329">
        <f t="shared" si="31"/>
        <v>117105</v>
      </c>
      <c r="CY18" s="633">
        <v>120670</v>
      </c>
      <c r="CZ18" s="59">
        <v>3115808</v>
      </c>
      <c r="DA18" s="59">
        <v>2194070</v>
      </c>
      <c r="DB18" s="59">
        <v>798366</v>
      </c>
      <c r="DC18" s="59">
        <v>122592</v>
      </c>
      <c r="DD18" s="636">
        <v>125186</v>
      </c>
      <c r="DE18" s="59">
        <v>3156752</v>
      </c>
      <c r="DF18" s="59">
        <v>2144951</v>
      </c>
      <c r="DG18" s="1">
        <v>806269</v>
      </c>
      <c r="DH18" s="59">
        <v>123813</v>
      </c>
      <c r="DI18" s="59">
        <v>128831</v>
      </c>
    </row>
    <row r="19" spans="1:113" x14ac:dyDescent="0.2">
      <c r="A19" s="244" t="s">
        <v>12</v>
      </c>
      <c r="B19" s="565">
        <v>1497856</v>
      </c>
      <c r="C19" s="10">
        <v>1756800</v>
      </c>
      <c r="D19" s="58">
        <v>1911755</v>
      </c>
      <c r="E19" s="59">
        <v>774454</v>
      </c>
      <c r="F19" s="59">
        <v>850982</v>
      </c>
      <c r="G19" s="59">
        <v>131528</v>
      </c>
      <c r="H19" s="60">
        <v>154791</v>
      </c>
      <c r="I19" s="110">
        <v>2127946</v>
      </c>
      <c r="J19" s="153">
        <f t="shared" si="22"/>
        <v>1838467</v>
      </c>
      <c r="K19" s="59">
        <v>864385</v>
      </c>
      <c r="L19" s="59">
        <v>974082</v>
      </c>
      <c r="M19" s="153">
        <f t="shared" si="23"/>
        <v>286235</v>
      </c>
      <c r="N19" s="59">
        <v>126732</v>
      </c>
      <c r="O19" s="59">
        <v>159503</v>
      </c>
      <c r="P19" s="153">
        <f t="shared" si="24"/>
        <v>5630</v>
      </c>
      <c r="Q19" s="59">
        <v>2743</v>
      </c>
      <c r="R19" s="60">
        <v>2887</v>
      </c>
      <c r="S19" s="11">
        <v>2692256</v>
      </c>
      <c r="T19" s="61">
        <v>2306001</v>
      </c>
      <c r="U19" s="59">
        <v>1082419</v>
      </c>
      <c r="V19" s="59">
        <v>1223582</v>
      </c>
      <c r="W19" s="61">
        <f t="shared" si="25"/>
        <v>355728</v>
      </c>
      <c r="X19" s="59">
        <v>155823</v>
      </c>
      <c r="Y19" s="59">
        <v>199905</v>
      </c>
      <c r="Z19" s="62">
        <v>16817</v>
      </c>
      <c r="AA19" s="59">
        <v>7497</v>
      </c>
      <c r="AB19" s="59">
        <v>9320</v>
      </c>
      <c r="AC19" s="195">
        <v>12433</v>
      </c>
      <c r="AD19" s="195">
        <v>5404</v>
      </c>
      <c r="AE19" s="153">
        <v>7029</v>
      </c>
      <c r="AF19" s="110">
        <v>3139066</v>
      </c>
      <c r="AG19" s="63">
        <v>2678299</v>
      </c>
      <c r="AH19" s="88">
        <f t="shared" si="26"/>
        <v>2668070</v>
      </c>
      <c r="AI19" s="59">
        <v>1255632</v>
      </c>
      <c r="AJ19" s="59">
        <v>1412438</v>
      </c>
      <c r="AK19" s="61">
        <v>431249</v>
      </c>
      <c r="AL19" s="88">
        <f t="shared" si="27"/>
        <v>429880</v>
      </c>
      <c r="AM19" s="59">
        <v>186447</v>
      </c>
      <c r="AN19" s="59">
        <v>243433</v>
      </c>
      <c r="AO19" s="61">
        <v>15921</v>
      </c>
      <c r="AP19" s="60">
        <v>8098</v>
      </c>
      <c r="AQ19" s="59">
        <v>7823</v>
      </c>
      <c r="AR19" s="92">
        <f t="shared" si="28"/>
        <v>25195</v>
      </c>
      <c r="AS19" s="110">
        <v>3744928</v>
      </c>
      <c r="AT19" s="61">
        <v>3111747</v>
      </c>
      <c r="AU19" s="196">
        <v>1485091</v>
      </c>
      <c r="AV19" s="196">
        <v>1626656</v>
      </c>
      <c r="AW19" s="88">
        <f t="shared" si="29"/>
        <v>3083367</v>
      </c>
      <c r="AX19" s="59">
        <v>1469008</v>
      </c>
      <c r="AY19" s="60">
        <v>1614359</v>
      </c>
      <c r="AZ19" s="61">
        <v>527712</v>
      </c>
      <c r="BA19" s="59">
        <v>233834</v>
      </c>
      <c r="BB19" s="59">
        <v>293878</v>
      </c>
      <c r="BC19" s="61">
        <v>59646</v>
      </c>
      <c r="BD19" s="59">
        <v>35740</v>
      </c>
      <c r="BE19" s="59">
        <v>23906</v>
      </c>
      <c r="BF19" s="195">
        <v>105469</v>
      </c>
      <c r="BG19" s="195">
        <v>55641</v>
      </c>
      <c r="BH19" s="153">
        <v>49828</v>
      </c>
      <c r="BI19" s="199">
        <v>4208374</v>
      </c>
      <c r="BJ19" s="60">
        <v>2006695</v>
      </c>
      <c r="BK19" s="60">
        <v>2201679</v>
      </c>
      <c r="BL19" s="67">
        <v>3435527</v>
      </c>
      <c r="BM19" s="67">
        <v>1652479</v>
      </c>
      <c r="BN19" s="67">
        <v>1783048</v>
      </c>
      <c r="BO19" s="67">
        <v>3347599</v>
      </c>
      <c r="BP19" s="67">
        <v>1602893</v>
      </c>
      <c r="BQ19" s="67">
        <v>1744706</v>
      </c>
      <c r="BR19" s="67">
        <v>620772</v>
      </c>
      <c r="BS19" s="67">
        <v>278290</v>
      </c>
      <c r="BT19" s="67">
        <v>342482</v>
      </c>
      <c r="BU19" s="67">
        <v>136336</v>
      </c>
      <c r="BV19" s="67">
        <v>77170</v>
      </c>
      <c r="BW19" s="67">
        <v>59166</v>
      </c>
      <c r="BX19" s="153">
        <f t="shared" si="30"/>
        <v>152075</v>
      </c>
      <c r="BY19" s="67">
        <v>75926</v>
      </c>
      <c r="BZ19" s="67">
        <v>76149</v>
      </c>
      <c r="CA19" s="210">
        <v>4061516</v>
      </c>
      <c r="CB19" s="61">
        <v>3333335</v>
      </c>
      <c r="CC19" s="59">
        <v>592927</v>
      </c>
      <c r="CD19" s="59">
        <v>135254</v>
      </c>
      <c r="CE19" s="59">
        <v>101091</v>
      </c>
      <c r="CF19" s="199">
        <v>4126506</v>
      </c>
      <c r="CG19" s="61">
        <v>3386266</v>
      </c>
      <c r="CH19" s="59">
        <v>601510</v>
      </c>
      <c r="CI19" s="59">
        <v>138730</v>
      </c>
      <c r="CJ19" s="59">
        <v>107823</v>
      </c>
      <c r="CK19" s="66">
        <v>4170177</v>
      </c>
      <c r="CL19" s="64">
        <v>3416169</v>
      </c>
      <c r="CM19" s="65">
        <v>609010</v>
      </c>
      <c r="CN19" s="65">
        <v>144998</v>
      </c>
      <c r="CO19" s="65">
        <v>118165</v>
      </c>
      <c r="CP19" s="66">
        <v>4208374</v>
      </c>
      <c r="CQ19" s="539">
        <v>3435527</v>
      </c>
      <c r="CR19" s="539">
        <v>620772</v>
      </c>
      <c r="CS19" s="65">
        <v>152075</v>
      </c>
      <c r="CT19" s="539">
        <v>136336</v>
      </c>
      <c r="CU19" s="66">
        <v>4253035</v>
      </c>
      <c r="CV19" s="539">
        <v>3460140</v>
      </c>
      <c r="CW19" s="539">
        <v>630862</v>
      </c>
      <c r="CX19" s="329">
        <f t="shared" si="31"/>
        <v>162033</v>
      </c>
      <c r="CY19" s="633">
        <v>144377</v>
      </c>
      <c r="CZ19" s="59">
        <v>4294543</v>
      </c>
      <c r="DA19" s="59">
        <v>3482121</v>
      </c>
      <c r="DB19" s="59">
        <v>641188</v>
      </c>
      <c r="DC19" s="59">
        <v>169543</v>
      </c>
      <c r="DD19" s="636">
        <v>149636</v>
      </c>
      <c r="DE19" s="59">
        <v>4333913</v>
      </c>
      <c r="DF19" s="59">
        <v>3410326</v>
      </c>
      <c r="DG19" s="1">
        <v>651047</v>
      </c>
      <c r="DH19" s="59">
        <v>176752</v>
      </c>
      <c r="DI19" s="59">
        <v>153525</v>
      </c>
    </row>
    <row r="20" spans="1:113" x14ac:dyDescent="0.2">
      <c r="A20" s="244" t="s">
        <v>13</v>
      </c>
      <c r="B20" s="565">
        <v>3413739</v>
      </c>
      <c r="C20" s="10">
        <v>4212755</v>
      </c>
      <c r="D20" s="58">
        <v>5030559</v>
      </c>
      <c r="E20" s="59">
        <v>2157421</v>
      </c>
      <c r="F20" s="59">
        <v>2285184</v>
      </c>
      <c r="G20" s="59">
        <v>277128</v>
      </c>
      <c r="H20" s="60">
        <v>310826</v>
      </c>
      <c r="I20" s="110">
        <v>5817155</v>
      </c>
      <c r="J20" s="153">
        <f t="shared" si="22"/>
        <v>5149567</v>
      </c>
      <c r="K20" s="59">
        <v>2451357</v>
      </c>
      <c r="L20" s="59">
        <v>2698210</v>
      </c>
      <c r="M20" s="153">
        <f t="shared" si="23"/>
        <v>642566</v>
      </c>
      <c r="N20" s="59">
        <v>296433</v>
      </c>
      <c r="O20" s="59">
        <v>346133</v>
      </c>
      <c r="P20" s="153">
        <f t="shared" si="24"/>
        <v>825217</v>
      </c>
      <c r="Q20" s="59">
        <v>394480</v>
      </c>
      <c r="R20" s="60">
        <v>430737</v>
      </c>
      <c r="S20" s="11">
        <v>7944161</v>
      </c>
      <c r="T20" s="61">
        <v>5695864</v>
      </c>
      <c r="U20" s="59">
        <v>2729499</v>
      </c>
      <c r="V20" s="59">
        <v>2966365</v>
      </c>
      <c r="W20" s="61">
        <f t="shared" si="25"/>
        <v>832470</v>
      </c>
      <c r="X20" s="59">
        <v>380311</v>
      </c>
      <c r="Y20" s="59">
        <v>452159</v>
      </c>
      <c r="Z20" s="62">
        <v>1312586</v>
      </c>
      <c r="AA20" s="59">
        <v>630966</v>
      </c>
      <c r="AB20" s="59">
        <v>681620</v>
      </c>
      <c r="AC20" s="195">
        <v>95434</v>
      </c>
      <c r="AD20" s="195">
        <v>44564</v>
      </c>
      <c r="AE20" s="153">
        <v>50870</v>
      </c>
      <c r="AF20" s="110">
        <v>10310605</v>
      </c>
      <c r="AG20" s="63">
        <v>8108606</v>
      </c>
      <c r="AH20" s="88">
        <f t="shared" si="26"/>
        <v>6852820</v>
      </c>
      <c r="AI20" s="59">
        <v>3287607</v>
      </c>
      <c r="AJ20" s="59">
        <v>3565213</v>
      </c>
      <c r="AK20" s="61">
        <v>1117250</v>
      </c>
      <c r="AL20" s="88">
        <f t="shared" si="27"/>
        <v>1104676</v>
      </c>
      <c r="AM20" s="59">
        <v>508233</v>
      </c>
      <c r="AN20" s="59">
        <v>596443</v>
      </c>
      <c r="AO20" s="61">
        <v>2127731</v>
      </c>
      <c r="AP20" s="60">
        <v>1043177</v>
      </c>
      <c r="AQ20" s="59">
        <v>1084554</v>
      </c>
      <c r="AR20" s="92">
        <f t="shared" si="28"/>
        <v>225378</v>
      </c>
      <c r="AS20" s="110">
        <v>12790893</v>
      </c>
      <c r="AT20" s="61">
        <v>9523380</v>
      </c>
      <c r="AU20" s="196">
        <v>4605815</v>
      </c>
      <c r="AV20" s="196">
        <v>4917565</v>
      </c>
      <c r="AW20" s="88">
        <f t="shared" si="29"/>
        <v>7468667</v>
      </c>
      <c r="AX20" s="59">
        <v>3602606</v>
      </c>
      <c r="AY20" s="60">
        <v>3866061</v>
      </c>
      <c r="AZ20" s="61">
        <v>1381219</v>
      </c>
      <c r="BA20" s="59">
        <v>641229</v>
      </c>
      <c r="BB20" s="59">
        <v>739990</v>
      </c>
      <c r="BC20" s="61">
        <v>3412036</v>
      </c>
      <c r="BD20" s="59">
        <v>1696823</v>
      </c>
      <c r="BE20" s="59">
        <v>1715213</v>
      </c>
      <c r="BF20" s="195">
        <v>1886294</v>
      </c>
      <c r="BG20" s="195">
        <v>947994</v>
      </c>
      <c r="BH20" s="153">
        <v>938300</v>
      </c>
      <c r="BI20" s="199">
        <v>15448794</v>
      </c>
      <c r="BJ20" s="60">
        <v>7512165</v>
      </c>
      <c r="BK20" s="60">
        <v>7936629</v>
      </c>
      <c r="BL20" s="67">
        <v>11682057</v>
      </c>
      <c r="BM20" s="67">
        <v>5696953</v>
      </c>
      <c r="BN20" s="67">
        <v>5985104</v>
      </c>
      <c r="BO20" s="67">
        <v>8016776</v>
      </c>
      <c r="BP20" s="67">
        <v>3899007</v>
      </c>
      <c r="BQ20" s="67">
        <v>4117769</v>
      </c>
      <c r="BR20" s="67">
        <v>1746320</v>
      </c>
      <c r="BS20" s="67">
        <v>811655</v>
      </c>
      <c r="BT20" s="67">
        <v>934665</v>
      </c>
      <c r="BU20" s="67">
        <v>4893339</v>
      </c>
      <c r="BV20" s="67">
        <v>2424486</v>
      </c>
      <c r="BW20" s="67">
        <v>2468853</v>
      </c>
      <c r="BX20" s="153">
        <f t="shared" si="30"/>
        <v>2020417</v>
      </c>
      <c r="BY20" s="67">
        <v>1003557</v>
      </c>
      <c r="BZ20" s="67">
        <v>1016860</v>
      </c>
      <c r="CA20" s="210">
        <v>14482842</v>
      </c>
      <c r="CB20" s="61">
        <v>10569946</v>
      </c>
      <c r="CC20" s="59">
        <v>1579064</v>
      </c>
      <c r="CD20" s="59">
        <v>2333832</v>
      </c>
      <c r="CE20" s="59">
        <v>4440184</v>
      </c>
      <c r="CF20" s="199">
        <v>14807376</v>
      </c>
      <c r="CG20" s="61">
        <v>10902435</v>
      </c>
      <c r="CH20" s="59">
        <v>1618505</v>
      </c>
      <c r="CI20" s="59">
        <v>2286436</v>
      </c>
      <c r="CJ20" s="59">
        <v>4604278</v>
      </c>
      <c r="CK20" s="66">
        <v>15054425</v>
      </c>
      <c r="CL20" s="64">
        <v>11245357</v>
      </c>
      <c r="CM20" s="65">
        <v>1664388</v>
      </c>
      <c r="CN20" s="65">
        <v>2144680</v>
      </c>
      <c r="CO20" s="65">
        <v>4706286</v>
      </c>
      <c r="CP20" s="66">
        <v>15448794</v>
      </c>
      <c r="CQ20" s="539">
        <v>11682057</v>
      </c>
      <c r="CR20" s="539">
        <v>1746320</v>
      </c>
      <c r="CS20" s="65">
        <v>2020417</v>
      </c>
      <c r="CT20" s="539">
        <v>4893339</v>
      </c>
      <c r="CU20" s="66">
        <v>15772881</v>
      </c>
      <c r="CV20" s="539">
        <v>11972636</v>
      </c>
      <c r="CW20" s="539">
        <v>1791646</v>
      </c>
      <c r="CX20" s="329">
        <f t="shared" si="31"/>
        <v>2008599</v>
      </c>
      <c r="CY20" s="633">
        <v>5066355</v>
      </c>
      <c r="CZ20" s="59">
        <v>16080717</v>
      </c>
      <c r="DA20" s="59">
        <v>12275690</v>
      </c>
      <c r="DB20" s="59">
        <v>1833850</v>
      </c>
      <c r="DC20" s="59">
        <v>1971177</v>
      </c>
      <c r="DD20" s="636">
        <v>5216403</v>
      </c>
      <c r="DE20" s="59">
        <v>16386630</v>
      </c>
      <c r="DF20" s="59">
        <v>8245355</v>
      </c>
      <c r="DG20" s="1">
        <v>1882690</v>
      </c>
      <c r="DH20" s="59">
        <v>1974588</v>
      </c>
      <c r="DI20" s="59">
        <v>5358510</v>
      </c>
    </row>
    <row r="21" spans="1:113" x14ac:dyDescent="0.2">
      <c r="A21" s="244" t="s">
        <v>14</v>
      </c>
      <c r="B21" s="565">
        <v>1375568</v>
      </c>
      <c r="C21" s="10">
        <v>1800165</v>
      </c>
      <c r="D21" s="58">
        <v>2083159</v>
      </c>
      <c r="E21" s="59">
        <v>816819</v>
      </c>
      <c r="F21" s="59">
        <v>870337</v>
      </c>
      <c r="G21" s="59">
        <v>192961</v>
      </c>
      <c r="H21" s="60">
        <v>203042</v>
      </c>
      <c r="I21" s="110">
        <v>2446082</v>
      </c>
      <c r="J21" s="153">
        <f t="shared" si="22"/>
        <v>2029501</v>
      </c>
      <c r="K21" s="59">
        <v>972256</v>
      </c>
      <c r="L21" s="59">
        <v>1057245</v>
      </c>
      <c r="M21" s="153">
        <f t="shared" si="23"/>
        <v>404829</v>
      </c>
      <c r="N21" s="59">
        <v>190874</v>
      </c>
      <c r="O21" s="59">
        <v>213955</v>
      </c>
      <c r="P21" s="153">
        <f t="shared" si="24"/>
        <v>20734</v>
      </c>
      <c r="Q21" s="59">
        <v>10290</v>
      </c>
      <c r="R21" s="60">
        <v>10444</v>
      </c>
      <c r="S21" s="11">
        <v>3132882</v>
      </c>
      <c r="T21" s="61">
        <v>2527888</v>
      </c>
      <c r="U21" s="59">
        <v>1204809</v>
      </c>
      <c r="V21" s="59">
        <v>1323079</v>
      </c>
      <c r="W21" s="61">
        <f t="shared" si="25"/>
        <v>519382</v>
      </c>
      <c r="X21" s="59">
        <v>239660</v>
      </c>
      <c r="Y21" s="59">
        <v>279722</v>
      </c>
      <c r="Z21" s="62">
        <v>39868</v>
      </c>
      <c r="AA21" s="59">
        <v>18507</v>
      </c>
      <c r="AB21" s="59">
        <v>21361</v>
      </c>
      <c r="AC21" s="195">
        <v>42318</v>
      </c>
      <c r="AD21" s="195">
        <v>18535</v>
      </c>
      <c r="AE21" s="153">
        <v>23783</v>
      </c>
      <c r="AF21" s="110">
        <v>3974814</v>
      </c>
      <c r="AG21" s="63">
        <v>3163904</v>
      </c>
      <c r="AH21" s="88">
        <f t="shared" si="26"/>
        <v>3113046</v>
      </c>
      <c r="AI21" s="59">
        <v>1496446</v>
      </c>
      <c r="AJ21" s="59">
        <v>1616600</v>
      </c>
      <c r="AK21" s="61">
        <v>676995</v>
      </c>
      <c r="AL21" s="88">
        <f t="shared" si="27"/>
        <v>673569</v>
      </c>
      <c r="AM21" s="59">
        <v>307890</v>
      </c>
      <c r="AN21" s="59">
        <v>365679</v>
      </c>
      <c r="AO21" s="61">
        <v>84416</v>
      </c>
      <c r="AP21" s="60">
        <v>43434</v>
      </c>
      <c r="AQ21" s="59">
        <v>40982</v>
      </c>
      <c r="AR21" s="92">
        <f t="shared" si="28"/>
        <v>103783</v>
      </c>
      <c r="AS21" s="110">
        <v>4666574</v>
      </c>
      <c r="AT21" s="61">
        <v>3504612</v>
      </c>
      <c r="AU21" s="196">
        <v>1688814</v>
      </c>
      <c r="AV21" s="196">
        <v>1815798</v>
      </c>
      <c r="AW21" s="88">
        <f t="shared" si="29"/>
        <v>3418030</v>
      </c>
      <c r="AX21" s="59">
        <v>1645543</v>
      </c>
      <c r="AY21" s="60">
        <v>1772487</v>
      </c>
      <c r="AZ21" s="61">
        <v>833512</v>
      </c>
      <c r="BA21" s="59">
        <v>382449</v>
      </c>
      <c r="BB21" s="59">
        <v>451063</v>
      </c>
      <c r="BC21" s="61">
        <v>175188</v>
      </c>
      <c r="BD21" s="59">
        <v>90852</v>
      </c>
      <c r="BE21" s="59">
        <v>84336</v>
      </c>
      <c r="BF21" s="195">
        <v>328450</v>
      </c>
      <c r="BG21" s="195">
        <v>159179</v>
      </c>
      <c r="BH21" s="153">
        <v>169271</v>
      </c>
      <c r="BI21" s="199">
        <v>5281767</v>
      </c>
      <c r="BJ21" s="60">
        <v>2536417</v>
      </c>
      <c r="BK21" s="60">
        <v>2745350</v>
      </c>
      <c r="BL21" s="67">
        <v>3828654</v>
      </c>
      <c r="BM21" s="67">
        <v>1858977</v>
      </c>
      <c r="BN21" s="67">
        <v>1969677</v>
      </c>
      <c r="BO21" s="67">
        <v>3626387</v>
      </c>
      <c r="BP21" s="67">
        <v>1755278</v>
      </c>
      <c r="BQ21" s="67">
        <v>1871109</v>
      </c>
      <c r="BR21" s="67">
        <v>967505</v>
      </c>
      <c r="BS21" s="67">
        <v>447678</v>
      </c>
      <c r="BT21" s="67">
        <v>519827</v>
      </c>
      <c r="BU21" s="67">
        <v>331031</v>
      </c>
      <c r="BV21" s="67">
        <v>170315</v>
      </c>
      <c r="BW21" s="67">
        <v>160716</v>
      </c>
      <c r="BX21" s="153">
        <f t="shared" si="30"/>
        <v>485608</v>
      </c>
      <c r="BY21" s="67">
        <v>229762</v>
      </c>
      <c r="BZ21" s="67">
        <v>255846</v>
      </c>
      <c r="CA21" s="210">
        <v>5053592</v>
      </c>
      <c r="CB21" s="61">
        <v>3711785</v>
      </c>
      <c r="CC21" s="59">
        <v>914079</v>
      </c>
      <c r="CD21" s="59">
        <v>427728</v>
      </c>
      <c r="CE21" s="59">
        <v>266790</v>
      </c>
      <c r="CF21" s="199">
        <v>5108315</v>
      </c>
      <c r="CG21" s="61">
        <v>3737975</v>
      </c>
      <c r="CH21" s="59">
        <v>930862</v>
      </c>
      <c r="CI21" s="59">
        <v>439478</v>
      </c>
      <c r="CJ21" s="59">
        <v>278566</v>
      </c>
      <c r="CK21" s="66">
        <v>5148433</v>
      </c>
      <c r="CL21" s="64">
        <v>3759105</v>
      </c>
      <c r="CM21" s="65">
        <v>944589</v>
      </c>
      <c r="CN21" s="65">
        <v>444739</v>
      </c>
      <c r="CO21" s="65">
        <v>291117</v>
      </c>
      <c r="CP21" s="66">
        <v>5281767</v>
      </c>
      <c r="CQ21" s="539">
        <v>3828654</v>
      </c>
      <c r="CR21" s="539">
        <v>967505</v>
      </c>
      <c r="CS21" s="65">
        <v>485608</v>
      </c>
      <c r="CT21" s="539">
        <v>331031</v>
      </c>
      <c r="CU21" s="66">
        <v>5354277</v>
      </c>
      <c r="CV21" s="539">
        <v>3873612</v>
      </c>
      <c r="CW21" s="539">
        <v>977398</v>
      </c>
      <c r="CX21" s="329">
        <f t="shared" si="31"/>
        <v>503267</v>
      </c>
      <c r="CY21" s="633">
        <v>347009</v>
      </c>
      <c r="CZ21" s="59">
        <v>5433053</v>
      </c>
      <c r="DA21" s="59">
        <v>3915527</v>
      </c>
      <c r="DB21" s="59">
        <v>992135</v>
      </c>
      <c r="DC21" s="59">
        <v>525391</v>
      </c>
      <c r="DD21" s="636">
        <v>363982</v>
      </c>
      <c r="DE21" s="59">
        <v>5499463</v>
      </c>
      <c r="DF21" s="59">
        <v>3709209</v>
      </c>
      <c r="DG21" s="1">
        <v>1003887</v>
      </c>
      <c r="DH21" s="59">
        <v>538879</v>
      </c>
      <c r="DI21" s="59">
        <v>380602</v>
      </c>
    </row>
    <row r="22" spans="1:113" x14ac:dyDescent="0.2">
      <c r="A22" s="500" t="s">
        <v>15</v>
      </c>
      <c r="B22" s="566">
        <v>928303</v>
      </c>
      <c r="C22" s="415">
        <v>1039555</v>
      </c>
      <c r="D22" s="407">
        <v>999731</v>
      </c>
      <c r="E22" s="408">
        <v>460363</v>
      </c>
      <c r="F22" s="408">
        <v>493349</v>
      </c>
      <c r="G22" s="408">
        <v>21850</v>
      </c>
      <c r="H22" s="408">
        <v>24169</v>
      </c>
      <c r="I22" s="409">
        <v>969436</v>
      </c>
      <c r="J22" s="410">
        <f t="shared" si="22"/>
        <v>933119</v>
      </c>
      <c r="K22" s="408">
        <v>439530</v>
      </c>
      <c r="L22" s="408">
        <v>493589</v>
      </c>
      <c r="M22" s="410">
        <f t="shared" si="23"/>
        <v>35011</v>
      </c>
      <c r="N22" s="408">
        <v>15439</v>
      </c>
      <c r="O22" s="408">
        <v>19572</v>
      </c>
      <c r="P22" s="410">
        <f t="shared" si="24"/>
        <v>2966</v>
      </c>
      <c r="Q22" s="408">
        <v>1442</v>
      </c>
      <c r="R22" s="408">
        <v>1524</v>
      </c>
      <c r="S22" s="416">
        <v>1147042</v>
      </c>
      <c r="T22" s="417">
        <v>1099965</v>
      </c>
      <c r="U22" s="408">
        <v>517151</v>
      </c>
      <c r="V22" s="408">
        <v>582814</v>
      </c>
      <c r="W22" s="417">
        <f t="shared" si="25"/>
        <v>35095</v>
      </c>
      <c r="X22" s="408">
        <v>15043</v>
      </c>
      <c r="Y22" s="408">
        <v>20052</v>
      </c>
      <c r="Z22" s="417">
        <v>7065</v>
      </c>
      <c r="AA22" s="408">
        <v>3472</v>
      </c>
      <c r="AB22" s="408">
        <v>3593</v>
      </c>
      <c r="AC22" s="410">
        <v>4524</v>
      </c>
      <c r="AD22" s="410">
        <v>2079</v>
      </c>
      <c r="AE22" s="410">
        <v>2445</v>
      </c>
      <c r="AF22" s="409">
        <v>1171766</v>
      </c>
      <c r="AG22" s="367">
        <v>1132010</v>
      </c>
      <c r="AH22" s="272">
        <f t="shared" si="26"/>
        <v>1128471</v>
      </c>
      <c r="AI22" s="408">
        <v>525225</v>
      </c>
      <c r="AJ22" s="408">
        <v>603246</v>
      </c>
      <c r="AK22" s="417">
        <v>33254</v>
      </c>
      <c r="AL22" s="272">
        <f t="shared" si="27"/>
        <v>33120</v>
      </c>
      <c r="AM22" s="408">
        <v>14409</v>
      </c>
      <c r="AN22" s="408">
        <v>18711</v>
      </c>
      <c r="AO22" s="417">
        <v>4262</v>
      </c>
      <c r="AP22" s="408">
        <v>2028</v>
      </c>
      <c r="AQ22" s="408">
        <v>2234</v>
      </c>
      <c r="AR22" s="411">
        <f t="shared" si="28"/>
        <v>5913</v>
      </c>
      <c r="AS22" s="409">
        <v>1233581</v>
      </c>
      <c r="AT22" s="418">
        <v>1179894</v>
      </c>
      <c r="AU22" s="412">
        <v>559338</v>
      </c>
      <c r="AV22" s="412">
        <v>620556</v>
      </c>
      <c r="AW22" s="272">
        <f t="shared" si="29"/>
        <v>1175016</v>
      </c>
      <c r="AX22" s="408">
        <v>556784</v>
      </c>
      <c r="AY22" s="408">
        <v>618232</v>
      </c>
      <c r="AZ22" s="417">
        <v>34944</v>
      </c>
      <c r="BA22" s="408">
        <v>16601</v>
      </c>
      <c r="BB22" s="408">
        <v>18343</v>
      </c>
      <c r="BC22" s="417">
        <v>6395</v>
      </c>
      <c r="BD22" s="408">
        <v>3408</v>
      </c>
      <c r="BE22" s="408">
        <v>2987</v>
      </c>
      <c r="BF22" s="410">
        <v>18743</v>
      </c>
      <c r="BG22" s="410">
        <v>9023</v>
      </c>
      <c r="BH22" s="410">
        <v>9720</v>
      </c>
      <c r="BI22" s="414">
        <v>1290151</v>
      </c>
      <c r="BJ22" s="408">
        <v>623329</v>
      </c>
      <c r="BK22" s="408">
        <v>666822</v>
      </c>
      <c r="BL22" s="407">
        <v>1226229</v>
      </c>
      <c r="BM22" s="407">
        <v>590856</v>
      </c>
      <c r="BN22" s="407">
        <v>635373</v>
      </c>
      <c r="BO22" s="407">
        <v>1218038</v>
      </c>
      <c r="BP22" s="407">
        <v>586377</v>
      </c>
      <c r="BQ22" s="407">
        <v>631661</v>
      </c>
      <c r="BR22" s="407">
        <v>38093</v>
      </c>
      <c r="BS22" s="407">
        <v>20409</v>
      </c>
      <c r="BT22" s="407">
        <v>17684</v>
      </c>
      <c r="BU22" s="407">
        <v>10950</v>
      </c>
      <c r="BV22" s="407">
        <v>5861</v>
      </c>
      <c r="BW22" s="407">
        <v>5089</v>
      </c>
      <c r="BX22" s="410">
        <f t="shared" si="30"/>
        <v>25829</v>
      </c>
      <c r="BY22" s="407">
        <v>12064</v>
      </c>
      <c r="BZ22" s="407">
        <v>13765</v>
      </c>
      <c r="CA22" s="413">
        <v>1257231</v>
      </c>
      <c r="CB22" s="417">
        <v>1198399</v>
      </c>
      <c r="CC22" s="408">
        <v>38271</v>
      </c>
      <c r="CD22" s="408">
        <v>20561</v>
      </c>
      <c r="CE22" s="408">
        <v>9126</v>
      </c>
      <c r="CF22" s="414">
        <v>1261678</v>
      </c>
      <c r="CG22" s="417">
        <v>1202975</v>
      </c>
      <c r="CH22" s="408">
        <v>38348</v>
      </c>
      <c r="CI22" s="408">
        <v>20355</v>
      </c>
      <c r="CJ22" s="408">
        <v>9463</v>
      </c>
      <c r="CK22" s="268">
        <v>1257821</v>
      </c>
      <c r="CL22" s="269">
        <v>1198444</v>
      </c>
      <c r="CM22" s="269">
        <v>36103</v>
      </c>
      <c r="CN22" s="269">
        <v>23274</v>
      </c>
      <c r="CO22" s="269">
        <v>10897</v>
      </c>
      <c r="CP22" s="268">
        <v>1290151</v>
      </c>
      <c r="CQ22" s="539">
        <v>1226229</v>
      </c>
      <c r="CR22" s="539">
        <v>38093</v>
      </c>
      <c r="CS22" s="65">
        <v>25829</v>
      </c>
      <c r="CT22" s="539">
        <v>10950</v>
      </c>
      <c r="CU22" s="268">
        <v>1295051</v>
      </c>
      <c r="CV22" s="539">
        <v>1230195</v>
      </c>
      <c r="CW22" s="539">
        <v>37129</v>
      </c>
      <c r="CX22" s="329">
        <f t="shared" si="31"/>
        <v>27727</v>
      </c>
      <c r="CY22" s="633">
        <v>11696</v>
      </c>
      <c r="CZ22" s="408">
        <v>1297393</v>
      </c>
      <c r="DA22" s="60">
        <v>1231613</v>
      </c>
      <c r="DB22" s="60">
        <v>37177</v>
      </c>
      <c r="DC22" s="60">
        <v>28163</v>
      </c>
      <c r="DD22" s="637">
        <v>11543</v>
      </c>
      <c r="DE22" s="59">
        <v>1298503</v>
      </c>
      <c r="DF22" s="59">
        <v>1222436</v>
      </c>
      <c r="DG22" s="1">
        <v>37573</v>
      </c>
      <c r="DH22" s="59">
        <v>28738</v>
      </c>
      <c r="DI22" s="59">
        <v>12362</v>
      </c>
    </row>
    <row r="23" spans="1:113" x14ac:dyDescent="0.2">
      <c r="A23" s="246" t="s">
        <v>183</v>
      </c>
      <c r="B23" s="567">
        <f>SUM(B25:B37)</f>
        <v>0</v>
      </c>
      <c r="C23" s="472">
        <f t="shared" ref="C23:CF23" si="32">SUM(C25:C37)</f>
        <v>0</v>
      </c>
      <c r="D23" s="467">
        <f t="shared" si="32"/>
        <v>15352456</v>
      </c>
      <c r="E23" s="467">
        <f t="shared" si="32"/>
        <v>7012751</v>
      </c>
      <c r="F23" s="467">
        <f t="shared" si="32"/>
        <v>7251254</v>
      </c>
      <c r="G23" s="467">
        <f t="shared" si="32"/>
        <v>564956</v>
      </c>
      <c r="H23" s="470">
        <f t="shared" si="32"/>
        <v>523495</v>
      </c>
      <c r="I23" s="469">
        <f t="shared" si="32"/>
        <v>18590679</v>
      </c>
      <c r="J23" s="470">
        <f t="shared" si="32"/>
        <v>17018031</v>
      </c>
      <c r="K23" s="467">
        <f t="shared" si="32"/>
        <v>8193207</v>
      </c>
      <c r="L23" s="467">
        <f t="shared" si="32"/>
        <v>8824824</v>
      </c>
      <c r="M23" s="470">
        <f t="shared" si="32"/>
        <v>778643</v>
      </c>
      <c r="N23" s="467">
        <f t="shared" si="32"/>
        <v>373996</v>
      </c>
      <c r="O23" s="467">
        <f t="shared" si="32"/>
        <v>404647</v>
      </c>
      <c r="P23" s="470">
        <f t="shared" si="32"/>
        <v>1874845</v>
      </c>
      <c r="Q23" s="467">
        <f t="shared" si="32"/>
        <v>929692</v>
      </c>
      <c r="R23" s="470">
        <f t="shared" si="32"/>
        <v>945153</v>
      </c>
      <c r="S23" s="469">
        <f t="shared" si="32"/>
        <v>25156945</v>
      </c>
      <c r="T23" s="313">
        <f t="shared" si="32"/>
        <v>19676129</v>
      </c>
      <c r="U23" s="467">
        <f t="shared" si="32"/>
        <v>9483292</v>
      </c>
      <c r="V23" s="467">
        <f t="shared" si="32"/>
        <v>10192837</v>
      </c>
      <c r="W23" s="313">
        <f t="shared" si="32"/>
        <v>1125745</v>
      </c>
      <c r="X23" s="467">
        <f t="shared" si="32"/>
        <v>542548</v>
      </c>
      <c r="Y23" s="467">
        <f t="shared" si="32"/>
        <v>583197</v>
      </c>
      <c r="Z23" s="313">
        <f t="shared" si="32"/>
        <v>2793435</v>
      </c>
      <c r="AA23" s="467">
        <f t="shared" si="32"/>
        <v>1382517</v>
      </c>
      <c r="AB23" s="467">
        <f t="shared" si="32"/>
        <v>1410918</v>
      </c>
      <c r="AC23" s="467">
        <f t="shared" si="32"/>
        <v>1521862</v>
      </c>
      <c r="AD23" s="467">
        <f t="shared" si="32"/>
        <v>719149</v>
      </c>
      <c r="AE23" s="470">
        <f t="shared" si="32"/>
        <v>802713</v>
      </c>
      <c r="AF23" s="469">
        <f t="shared" si="32"/>
        <v>33115217</v>
      </c>
      <c r="AG23" s="313">
        <f t="shared" si="32"/>
        <v>26241893</v>
      </c>
      <c r="AH23" s="308">
        <f t="shared" si="32"/>
        <v>23809060</v>
      </c>
      <c r="AI23" s="467">
        <f t="shared" si="32"/>
        <v>11557565</v>
      </c>
      <c r="AJ23" s="467">
        <f t="shared" si="32"/>
        <v>12251495</v>
      </c>
      <c r="AK23" s="313">
        <f t="shared" si="32"/>
        <v>1599373</v>
      </c>
      <c r="AL23" s="308">
        <f t="shared" si="32"/>
        <v>1553066</v>
      </c>
      <c r="AM23" s="467">
        <f t="shared" si="32"/>
        <v>758741</v>
      </c>
      <c r="AN23" s="467">
        <f t="shared" si="32"/>
        <v>794325</v>
      </c>
      <c r="AO23" s="313">
        <f t="shared" si="32"/>
        <v>4892564</v>
      </c>
      <c r="AP23" s="470">
        <f t="shared" si="32"/>
        <v>2486256</v>
      </c>
      <c r="AQ23" s="467">
        <f t="shared" si="32"/>
        <v>2406308</v>
      </c>
      <c r="AR23" s="471">
        <f t="shared" si="32"/>
        <v>2860527</v>
      </c>
      <c r="AS23" s="469">
        <f t="shared" si="32"/>
        <v>39924912</v>
      </c>
      <c r="AT23" s="313">
        <f t="shared" si="32"/>
        <v>28965948</v>
      </c>
      <c r="AU23" s="473">
        <f t="shared" si="32"/>
        <v>14146591</v>
      </c>
      <c r="AV23" s="473">
        <f t="shared" si="32"/>
        <v>14819357</v>
      </c>
      <c r="AW23" s="308">
        <f t="shared" si="32"/>
        <v>25596208</v>
      </c>
      <c r="AX23" s="467">
        <f t="shared" si="32"/>
        <v>12475268</v>
      </c>
      <c r="AY23" s="470">
        <f t="shared" si="32"/>
        <v>13120940</v>
      </c>
      <c r="AZ23" s="313">
        <f t="shared" si="32"/>
        <v>1790682</v>
      </c>
      <c r="BA23" s="467">
        <f t="shared" si="32"/>
        <v>880291</v>
      </c>
      <c r="BB23" s="467">
        <f t="shared" si="32"/>
        <v>910391</v>
      </c>
      <c r="BC23" s="313">
        <f t="shared" si="32"/>
        <v>7658940</v>
      </c>
      <c r="BD23" s="467">
        <f t="shared" si="32"/>
        <v>3867970</v>
      </c>
      <c r="BE23" s="467">
        <f t="shared" si="32"/>
        <v>3790970</v>
      </c>
      <c r="BF23" s="467">
        <f t="shared" si="32"/>
        <v>9168282</v>
      </c>
      <c r="BG23" s="467">
        <f t="shared" si="32"/>
        <v>4479802</v>
      </c>
      <c r="BH23" s="470">
        <f t="shared" si="32"/>
        <v>4688480</v>
      </c>
      <c r="BI23" s="543">
        <f t="shared" si="32"/>
        <v>46148030</v>
      </c>
      <c r="BJ23" s="545">
        <f t="shared" si="32"/>
        <v>22605488</v>
      </c>
      <c r="BK23" s="545">
        <f t="shared" si="32"/>
        <v>23542542</v>
      </c>
      <c r="BL23" s="545">
        <f t="shared" si="32"/>
        <v>33756603</v>
      </c>
      <c r="BM23" s="545">
        <f t="shared" si="32"/>
        <v>16617948</v>
      </c>
      <c r="BN23" s="545">
        <f t="shared" si="32"/>
        <v>17138655</v>
      </c>
      <c r="BO23" s="545">
        <f t="shared" si="32"/>
        <v>27255942</v>
      </c>
      <c r="BP23" s="545">
        <f t="shared" si="32"/>
        <v>13398075</v>
      </c>
      <c r="BQ23" s="545">
        <f t="shared" si="32"/>
        <v>13857867</v>
      </c>
      <c r="BR23" s="545">
        <f t="shared" si="32"/>
        <v>2070312</v>
      </c>
      <c r="BS23" s="545">
        <f t="shared" si="32"/>
        <v>1031771</v>
      </c>
      <c r="BT23" s="545">
        <f t="shared" si="32"/>
        <v>1038541</v>
      </c>
      <c r="BU23" s="545">
        <f t="shared" si="32"/>
        <v>10605291</v>
      </c>
      <c r="BV23" s="545">
        <f t="shared" si="32"/>
        <v>5307296</v>
      </c>
      <c r="BW23" s="545">
        <f t="shared" si="32"/>
        <v>5297995</v>
      </c>
      <c r="BX23" s="545">
        <f t="shared" si="32"/>
        <v>10321115</v>
      </c>
      <c r="BY23" s="545">
        <f t="shared" si="32"/>
        <v>4955769</v>
      </c>
      <c r="BZ23" s="545">
        <f t="shared" si="32"/>
        <v>5365346</v>
      </c>
      <c r="CA23" s="474">
        <f t="shared" si="32"/>
        <v>44403923</v>
      </c>
      <c r="CB23" s="313">
        <f t="shared" si="32"/>
        <v>32014534</v>
      </c>
      <c r="CC23" s="467">
        <f t="shared" si="32"/>
        <v>1951589</v>
      </c>
      <c r="CD23" s="467">
        <f t="shared" si="32"/>
        <v>10437800</v>
      </c>
      <c r="CE23" s="467">
        <f t="shared" si="32"/>
        <v>9884675</v>
      </c>
      <c r="CF23" s="469">
        <f t="shared" si="32"/>
        <v>45019529</v>
      </c>
      <c r="CG23" s="313">
        <f t="shared" ref="CG23:CP23" si="33">SUM(CG25:CG37)</f>
        <v>32678165</v>
      </c>
      <c r="CH23" s="467">
        <f t="shared" si="33"/>
        <v>1975090</v>
      </c>
      <c r="CI23" s="468">
        <f t="shared" si="33"/>
        <v>10366274</v>
      </c>
      <c r="CJ23" s="467">
        <f t="shared" si="33"/>
        <v>10162269</v>
      </c>
      <c r="CK23" s="307">
        <f t="shared" si="33"/>
        <v>45550233</v>
      </c>
      <c r="CL23" s="280">
        <f t="shared" si="33"/>
        <v>33297140</v>
      </c>
      <c r="CM23" s="329">
        <f t="shared" si="33"/>
        <v>2022712</v>
      </c>
      <c r="CN23" s="329">
        <f t="shared" si="33"/>
        <v>10230381</v>
      </c>
      <c r="CO23" s="329">
        <f t="shared" si="33"/>
        <v>10348169</v>
      </c>
      <c r="CP23" s="382">
        <f t="shared" si="33"/>
        <v>46148030</v>
      </c>
      <c r="CQ23" s="548">
        <f t="shared" ref="CQ23:DI23" si="34">SUM(CQ25:CQ37)</f>
        <v>33756603</v>
      </c>
      <c r="CR23" s="548">
        <f t="shared" si="34"/>
        <v>2070312</v>
      </c>
      <c r="CS23" s="548">
        <f t="shared" si="34"/>
        <v>10321115</v>
      </c>
      <c r="CT23" s="548">
        <f t="shared" si="34"/>
        <v>10605291</v>
      </c>
      <c r="CU23" s="382">
        <f t="shared" si="34"/>
        <v>46829886</v>
      </c>
      <c r="CV23" s="548">
        <f t="shared" si="34"/>
        <v>34233405</v>
      </c>
      <c r="CW23" s="548">
        <f t="shared" si="34"/>
        <v>2092565</v>
      </c>
      <c r="CX23" s="548">
        <f>SUM(CX25:CX37)</f>
        <v>10503916</v>
      </c>
      <c r="CY23" s="627">
        <f t="shared" si="34"/>
        <v>10927638</v>
      </c>
      <c r="CZ23" s="641">
        <f t="shared" si="34"/>
        <v>47495337</v>
      </c>
      <c r="DA23" s="641">
        <f t="shared" si="34"/>
        <v>34650201</v>
      </c>
      <c r="DB23" s="641">
        <f t="shared" si="34"/>
        <v>2134990</v>
      </c>
      <c r="DC23" s="641">
        <f t="shared" si="34"/>
        <v>10707566</v>
      </c>
      <c r="DD23" s="638">
        <f t="shared" si="34"/>
        <v>11206293</v>
      </c>
      <c r="DE23" s="638">
        <f t="shared" si="34"/>
        <v>48160748</v>
      </c>
      <c r="DF23" s="638">
        <f t="shared" si="34"/>
        <v>27783856</v>
      </c>
      <c r="DG23" s="638">
        <f t="shared" si="34"/>
        <v>2172903</v>
      </c>
      <c r="DH23" s="638">
        <f t="shared" si="34"/>
        <v>10955601</v>
      </c>
      <c r="DI23" s="638">
        <f t="shared" si="34"/>
        <v>11482275</v>
      </c>
    </row>
    <row r="24" spans="1:113" x14ac:dyDescent="0.2">
      <c r="A24" s="246" t="s">
        <v>182</v>
      </c>
      <c r="B24" s="12"/>
      <c r="C24" s="25"/>
      <c r="E24" s="58"/>
      <c r="F24" s="58"/>
      <c r="G24" s="58"/>
      <c r="H24" s="67"/>
      <c r="J24" s="153"/>
      <c r="K24" s="58"/>
      <c r="L24" s="58"/>
      <c r="M24" s="153"/>
      <c r="N24" s="58"/>
      <c r="O24" s="58"/>
      <c r="P24" s="153"/>
      <c r="Q24" s="58"/>
      <c r="R24" s="67"/>
      <c r="S24" s="110"/>
      <c r="T24" s="151"/>
      <c r="U24" s="58"/>
      <c r="V24" s="58"/>
      <c r="W24" s="151"/>
      <c r="X24" s="58"/>
      <c r="Y24" s="58"/>
      <c r="Z24" s="151"/>
      <c r="AA24" s="58"/>
      <c r="AB24" s="58"/>
      <c r="AC24" s="195"/>
      <c r="AD24" s="195"/>
      <c r="AE24" s="153"/>
      <c r="AG24" s="7"/>
      <c r="AH24" s="88"/>
      <c r="AI24" s="58"/>
      <c r="AJ24" s="58"/>
      <c r="AK24" s="7"/>
      <c r="AL24" s="88"/>
      <c r="AM24" s="58"/>
      <c r="AN24" s="58"/>
      <c r="AO24" s="7"/>
      <c r="AP24" s="67"/>
      <c r="AQ24" s="58"/>
      <c r="AR24" s="92"/>
      <c r="AT24" s="7"/>
      <c r="AU24" s="196"/>
      <c r="AV24" s="196"/>
      <c r="AW24" s="88"/>
      <c r="AX24" s="58"/>
      <c r="AY24" s="67"/>
      <c r="AZ24" s="7"/>
      <c r="BA24" s="58"/>
      <c r="BB24" s="58"/>
      <c r="BC24" s="7"/>
      <c r="BD24" s="58"/>
      <c r="BE24" s="58"/>
      <c r="BF24" s="195"/>
      <c r="BG24" s="195"/>
      <c r="BH24" s="153"/>
      <c r="BI24" s="110"/>
      <c r="BJ24" s="110"/>
      <c r="BK24" s="110"/>
      <c r="BL24" s="153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153"/>
      <c r="BY24" s="67"/>
      <c r="BZ24" s="67"/>
      <c r="CA24" s="211"/>
      <c r="CB24" s="7"/>
      <c r="CC24" s="58"/>
      <c r="CD24" s="58"/>
      <c r="CE24" s="58"/>
      <c r="CF24" s="110"/>
      <c r="CG24" s="7"/>
      <c r="CH24" s="58"/>
      <c r="CJ24" s="58"/>
      <c r="CK24" s="66"/>
      <c r="CL24" s="64"/>
      <c r="CM24" s="65"/>
      <c r="CN24" s="65"/>
      <c r="CO24" s="65"/>
      <c r="CP24" s="66"/>
      <c r="CQ24" s="539"/>
      <c r="CR24" s="539"/>
      <c r="CS24" s="65"/>
      <c r="CT24" s="539"/>
      <c r="CU24" s="66"/>
      <c r="CV24" s="539"/>
      <c r="CW24" s="539"/>
      <c r="CX24" s="539"/>
      <c r="CY24" s="633"/>
      <c r="CZ24" s="59"/>
      <c r="DA24" s="59"/>
      <c r="DB24" s="59"/>
      <c r="DC24" s="59"/>
      <c r="DD24" s="636"/>
      <c r="DH24" s="59">
        <v>0</v>
      </c>
    </row>
    <row r="25" spans="1:113" x14ac:dyDescent="0.2">
      <c r="A25" s="241" t="s">
        <v>17</v>
      </c>
      <c r="B25" s="12"/>
      <c r="C25" s="25"/>
      <c r="D25" s="58">
        <v>104887</v>
      </c>
      <c r="E25" s="59">
        <v>49635</v>
      </c>
      <c r="F25" s="59">
        <v>35805</v>
      </c>
      <c r="G25" s="59">
        <v>10596</v>
      </c>
      <c r="H25" s="60">
        <v>8851</v>
      </c>
      <c r="I25" s="110">
        <v>134948</v>
      </c>
      <c r="J25" s="153">
        <f t="shared" ref="J25:J37" si="35">+K25+L25</f>
        <v>110906</v>
      </c>
      <c r="K25" s="59">
        <v>61189</v>
      </c>
      <c r="L25" s="59">
        <v>49717</v>
      </c>
      <c r="M25" s="153">
        <f t="shared" ref="M25:M37" si="36">+N25+O25</f>
        <v>3597</v>
      </c>
      <c r="N25" s="59">
        <v>2153</v>
      </c>
      <c r="O25" s="59">
        <v>1444</v>
      </c>
      <c r="P25" s="153">
        <f t="shared" ref="P25:P37" si="37">+Q25+R25</f>
        <v>2382</v>
      </c>
      <c r="Q25" s="59">
        <v>1307</v>
      </c>
      <c r="R25" s="60">
        <v>1075</v>
      </c>
      <c r="S25" s="110">
        <v>211397</v>
      </c>
      <c r="T25" s="151">
        <f t="shared" ref="T25:T37" si="38">+U25+V25</f>
        <v>169303</v>
      </c>
      <c r="U25" s="59">
        <v>91867</v>
      </c>
      <c r="V25" s="59">
        <v>77436</v>
      </c>
      <c r="W25" s="151">
        <f t="shared" ref="W25:W37" si="39">+X25+Y25</f>
        <v>6170</v>
      </c>
      <c r="X25" s="59">
        <v>3594</v>
      </c>
      <c r="Y25" s="59">
        <v>2576</v>
      </c>
      <c r="Z25" s="151">
        <f t="shared" ref="Z25:Z37" si="40">+AA25+AB25</f>
        <v>3851</v>
      </c>
      <c r="AA25" s="59">
        <v>2077</v>
      </c>
      <c r="AB25" s="59">
        <v>1774</v>
      </c>
      <c r="AC25" s="195">
        <v>31670</v>
      </c>
      <c r="AD25" s="195">
        <v>15702</v>
      </c>
      <c r="AE25" s="153">
        <v>15968</v>
      </c>
      <c r="AF25" s="110">
        <v>323429</v>
      </c>
      <c r="AG25" s="7">
        <v>255459</v>
      </c>
      <c r="AH25" s="88">
        <f t="shared" ref="AH25:AH37" si="41">+AI25+AJ25</f>
        <v>251089</v>
      </c>
      <c r="AI25" s="59">
        <v>134403</v>
      </c>
      <c r="AJ25" s="59">
        <v>116686</v>
      </c>
      <c r="AK25" s="7">
        <v>11092</v>
      </c>
      <c r="AL25" s="88">
        <f t="shared" ref="AL25:AL37" si="42">+AM25+AN25</f>
        <v>10867</v>
      </c>
      <c r="AM25" s="59">
        <v>6064</v>
      </c>
      <c r="AN25" s="59">
        <v>4803</v>
      </c>
      <c r="AO25" s="7">
        <v>8825</v>
      </c>
      <c r="AP25" s="60">
        <v>4603</v>
      </c>
      <c r="AQ25" s="59">
        <v>4222</v>
      </c>
      <c r="AR25" s="92">
        <f t="shared" ref="AR25:AR37" si="43">+AF25-AH25-AL25-AO25</f>
        <v>52648</v>
      </c>
      <c r="AS25" s="110">
        <v>379556</v>
      </c>
      <c r="AT25" s="7">
        <v>281473</v>
      </c>
      <c r="AU25" s="196">
        <v>147676</v>
      </c>
      <c r="AV25" s="196">
        <v>133797</v>
      </c>
      <c r="AW25" s="88">
        <f t="shared" ref="AW25:AW37" si="44">+AX25+AY25</f>
        <v>276088</v>
      </c>
      <c r="AX25" s="59">
        <v>144963</v>
      </c>
      <c r="AY25" s="60">
        <v>131125</v>
      </c>
      <c r="AZ25" s="7">
        <v>11730</v>
      </c>
      <c r="BA25" s="59">
        <v>6337</v>
      </c>
      <c r="BB25" s="59">
        <v>5393</v>
      </c>
      <c r="BC25" s="7">
        <v>12263</v>
      </c>
      <c r="BD25" s="59">
        <v>6423</v>
      </c>
      <c r="BE25" s="59">
        <v>5840</v>
      </c>
      <c r="BF25" s="195">
        <v>86353</v>
      </c>
      <c r="BG25" s="195">
        <v>41663</v>
      </c>
      <c r="BH25" s="153">
        <v>44690</v>
      </c>
      <c r="BI25" s="199">
        <v>439507</v>
      </c>
      <c r="BJ25" s="60">
        <v>227888</v>
      </c>
      <c r="BK25" s="60">
        <v>211619</v>
      </c>
      <c r="BL25" s="67">
        <v>318650</v>
      </c>
      <c r="BM25" s="67">
        <v>168010</v>
      </c>
      <c r="BN25" s="67">
        <v>150640</v>
      </c>
      <c r="BO25" s="67">
        <v>307323</v>
      </c>
      <c r="BP25" s="67">
        <v>161702</v>
      </c>
      <c r="BQ25" s="67">
        <v>145621</v>
      </c>
      <c r="BR25" s="67">
        <v>13896</v>
      </c>
      <c r="BS25" s="67">
        <v>7857</v>
      </c>
      <c r="BT25" s="67">
        <v>6039</v>
      </c>
      <c r="BU25" s="67">
        <v>19539</v>
      </c>
      <c r="BV25" s="67">
        <v>10328</v>
      </c>
      <c r="BW25" s="67">
        <v>9211</v>
      </c>
      <c r="BX25" s="153">
        <f t="shared" ref="BX25:BX37" si="45">+BY25+BZ25</f>
        <v>106961</v>
      </c>
      <c r="BY25" s="67">
        <v>52021</v>
      </c>
      <c r="BZ25" s="67">
        <v>54940</v>
      </c>
      <c r="CA25" s="210">
        <v>418136</v>
      </c>
      <c r="CB25" s="7">
        <v>306214</v>
      </c>
      <c r="CC25" s="59">
        <v>13434</v>
      </c>
      <c r="CD25" s="59">
        <v>98488</v>
      </c>
      <c r="CE25" s="59">
        <v>18483</v>
      </c>
      <c r="CF25" s="199">
        <v>422721</v>
      </c>
      <c r="CG25" s="7">
        <v>307994</v>
      </c>
      <c r="CH25" s="59">
        <v>13492</v>
      </c>
      <c r="CI25" s="59">
        <v>101235</v>
      </c>
      <c r="CJ25" s="59">
        <v>19868</v>
      </c>
      <c r="CK25" s="66">
        <v>423408</v>
      </c>
      <c r="CL25" s="64">
        <v>307813</v>
      </c>
      <c r="CM25" s="65">
        <v>14362</v>
      </c>
      <c r="CN25" s="65">
        <v>101233</v>
      </c>
      <c r="CO25" s="65">
        <v>20857</v>
      </c>
      <c r="CP25" s="66">
        <v>439507</v>
      </c>
      <c r="CQ25" s="539">
        <v>318650</v>
      </c>
      <c r="CR25" s="539">
        <v>13896</v>
      </c>
      <c r="CS25" s="65">
        <v>106961</v>
      </c>
      <c r="CT25" s="539">
        <v>19539</v>
      </c>
      <c r="CU25" s="66">
        <v>448609</v>
      </c>
      <c r="CV25" s="539">
        <v>325709</v>
      </c>
      <c r="CW25" s="539">
        <v>14273</v>
      </c>
      <c r="CX25" s="329">
        <f t="shared" ref="CX25:CX37" si="46">CU25-CV25-CW25</f>
        <v>108627</v>
      </c>
      <c r="CY25" s="633">
        <v>19568</v>
      </c>
      <c r="CZ25" s="59">
        <v>457070</v>
      </c>
      <c r="DA25" s="59">
        <v>330422</v>
      </c>
      <c r="DB25" s="59">
        <v>14621</v>
      </c>
      <c r="DC25" s="59">
        <v>112027</v>
      </c>
      <c r="DD25" s="636">
        <v>20734</v>
      </c>
      <c r="DE25" s="59">
        <v>461441</v>
      </c>
      <c r="DF25" s="59">
        <v>318357</v>
      </c>
      <c r="DG25" s="1">
        <v>14853</v>
      </c>
      <c r="DH25" s="59">
        <v>114640</v>
      </c>
      <c r="DI25" s="59">
        <v>22801</v>
      </c>
    </row>
    <row r="26" spans="1:113" x14ac:dyDescent="0.2">
      <c r="A26" s="241" t="s">
        <v>18</v>
      </c>
      <c r="B26" s="12"/>
      <c r="C26" s="25"/>
      <c r="D26" s="58">
        <v>661102</v>
      </c>
      <c r="E26" s="59">
        <v>301685</v>
      </c>
      <c r="F26" s="59">
        <v>307142</v>
      </c>
      <c r="G26" s="59">
        <v>26683</v>
      </c>
      <c r="H26" s="60">
        <v>25592</v>
      </c>
      <c r="I26" s="110">
        <v>915737</v>
      </c>
      <c r="J26" s="153">
        <f t="shared" si="35"/>
        <v>853185</v>
      </c>
      <c r="K26" s="59">
        <v>408560</v>
      </c>
      <c r="L26" s="59">
        <v>444625</v>
      </c>
      <c r="M26" s="153">
        <f t="shared" si="36"/>
        <v>22800</v>
      </c>
      <c r="N26" s="59">
        <v>11086</v>
      </c>
      <c r="O26" s="59">
        <v>11714</v>
      </c>
      <c r="P26" s="153">
        <f t="shared" si="37"/>
        <v>134022</v>
      </c>
      <c r="Q26" s="59">
        <v>65347</v>
      </c>
      <c r="R26" s="60">
        <v>68675</v>
      </c>
      <c r="S26" s="110">
        <v>1558891</v>
      </c>
      <c r="T26" s="151">
        <f t="shared" si="38"/>
        <v>1258351</v>
      </c>
      <c r="U26" s="59">
        <v>602706</v>
      </c>
      <c r="V26" s="59">
        <v>655645</v>
      </c>
      <c r="W26" s="151">
        <f t="shared" si="39"/>
        <v>34605</v>
      </c>
      <c r="X26" s="59">
        <v>17778</v>
      </c>
      <c r="Y26" s="59">
        <v>16827</v>
      </c>
      <c r="Z26" s="151">
        <f t="shared" si="40"/>
        <v>192709</v>
      </c>
      <c r="AA26" s="59">
        <v>94035</v>
      </c>
      <c r="AB26" s="59">
        <v>98674</v>
      </c>
      <c r="AC26" s="195">
        <v>71674</v>
      </c>
      <c r="AD26" s="195">
        <v>32799</v>
      </c>
      <c r="AE26" s="153">
        <v>38875</v>
      </c>
      <c r="AF26" s="110">
        <v>2301177</v>
      </c>
      <c r="AG26" s="7">
        <v>1960882</v>
      </c>
      <c r="AH26" s="88">
        <f t="shared" si="41"/>
        <v>1792254</v>
      </c>
      <c r="AI26" s="59">
        <v>859788</v>
      </c>
      <c r="AJ26" s="59">
        <v>932466</v>
      </c>
      <c r="AK26" s="7">
        <v>59507</v>
      </c>
      <c r="AL26" s="88">
        <f t="shared" si="42"/>
        <v>57917</v>
      </c>
      <c r="AM26" s="59">
        <v>29859</v>
      </c>
      <c r="AN26" s="59">
        <v>28058</v>
      </c>
      <c r="AO26" s="7">
        <v>329455</v>
      </c>
      <c r="AP26" s="60">
        <v>163051</v>
      </c>
      <c r="AQ26" s="59">
        <v>166404</v>
      </c>
      <c r="AR26" s="92">
        <f t="shared" si="43"/>
        <v>121551</v>
      </c>
      <c r="AS26" s="110">
        <v>3256184</v>
      </c>
      <c r="AT26" s="7">
        <v>2630184</v>
      </c>
      <c r="AU26" s="196">
        <v>1275586</v>
      </c>
      <c r="AV26" s="196">
        <v>1354598</v>
      </c>
      <c r="AW26" s="88">
        <f t="shared" si="44"/>
        <v>2325203</v>
      </c>
      <c r="AX26" s="59">
        <v>1124420</v>
      </c>
      <c r="AY26" s="60">
        <v>1200783</v>
      </c>
      <c r="AZ26" s="7">
        <v>89281</v>
      </c>
      <c r="BA26" s="59">
        <v>47328</v>
      </c>
      <c r="BB26" s="59">
        <v>41953</v>
      </c>
      <c r="BC26" s="7">
        <v>625518</v>
      </c>
      <c r="BD26" s="59">
        <v>317378</v>
      </c>
      <c r="BE26" s="59">
        <v>308140</v>
      </c>
      <c r="BF26" s="195">
        <v>536719</v>
      </c>
      <c r="BG26" s="195">
        <v>267081</v>
      </c>
      <c r="BH26" s="153">
        <v>269638</v>
      </c>
      <c r="BI26" s="199">
        <v>4088405</v>
      </c>
      <c r="BJ26" s="60">
        <v>1996057</v>
      </c>
      <c r="BK26" s="60">
        <v>2092348</v>
      </c>
      <c r="BL26" s="67">
        <v>3395905</v>
      </c>
      <c r="BM26" s="67">
        <v>1658888</v>
      </c>
      <c r="BN26" s="67">
        <v>1737017</v>
      </c>
      <c r="BO26" s="67">
        <v>2701375</v>
      </c>
      <c r="BP26" s="67">
        <v>1315183</v>
      </c>
      <c r="BQ26" s="67">
        <v>1386192</v>
      </c>
      <c r="BR26" s="67">
        <v>146870</v>
      </c>
      <c r="BS26" s="67">
        <v>76681</v>
      </c>
      <c r="BT26" s="67">
        <v>70189</v>
      </c>
      <c r="BU26" s="67">
        <v>940258</v>
      </c>
      <c r="BV26" s="67">
        <v>465125</v>
      </c>
      <c r="BW26" s="67">
        <v>475133</v>
      </c>
      <c r="BX26" s="153">
        <f t="shared" si="45"/>
        <v>545630</v>
      </c>
      <c r="BY26" s="67">
        <v>260488</v>
      </c>
      <c r="BZ26" s="67">
        <v>285142</v>
      </c>
      <c r="CA26" s="210">
        <v>3949023</v>
      </c>
      <c r="CB26" s="7">
        <v>3176729</v>
      </c>
      <c r="CC26" s="59">
        <v>120755</v>
      </c>
      <c r="CD26" s="59">
        <v>651539</v>
      </c>
      <c r="CE26" s="59">
        <v>916410</v>
      </c>
      <c r="CF26" s="199">
        <v>4082038</v>
      </c>
      <c r="CG26" s="7">
        <v>3323383</v>
      </c>
      <c r="CH26" s="59">
        <v>128730</v>
      </c>
      <c r="CI26" s="59">
        <v>629925</v>
      </c>
      <c r="CJ26" s="59">
        <v>966979</v>
      </c>
      <c r="CK26" s="66">
        <v>4173579</v>
      </c>
      <c r="CL26" s="64">
        <v>3435545</v>
      </c>
      <c r="CM26" s="65">
        <v>137911</v>
      </c>
      <c r="CN26" s="65">
        <v>600123</v>
      </c>
      <c r="CO26" s="65">
        <v>1005441</v>
      </c>
      <c r="CP26" s="66">
        <v>4088405</v>
      </c>
      <c r="CQ26" s="539">
        <v>3395905</v>
      </c>
      <c r="CR26" s="539">
        <v>146870</v>
      </c>
      <c r="CS26" s="65">
        <v>545630</v>
      </c>
      <c r="CT26" s="539">
        <v>940258</v>
      </c>
      <c r="CU26" s="66">
        <v>4148642</v>
      </c>
      <c r="CV26" s="539">
        <v>3437037</v>
      </c>
      <c r="CW26" s="539">
        <v>150452</v>
      </c>
      <c r="CX26" s="329">
        <f t="shared" si="46"/>
        <v>561153</v>
      </c>
      <c r="CY26" s="633">
        <v>968103</v>
      </c>
      <c r="CZ26" s="59">
        <v>4209589</v>
      </c>
      <c r="DA26" s="59">
        <v>3474224</v>
      </c>
      <c r="DB26" s="59">
        <v>156744</v>
      </c>
      <c r="DC26" s="59">
        <v>578621</v>
      </c>
      <c r="DD26" s="636">
        <v>992893</v>
      </c>
      <c r="DE26" s="59">
        <v>4274066</v>
      </c>
      <c r="DF26" s="59">
        <v>2765913</v>
      </c>
      <c r="DG26" s="1">
        <v>161401</v>
      </c>
      <c r="DH26" s="59">
        <v>594097</v>
      </c>
      <c r="DI26" s="59">
        <v>1018541</v>
      </c>
    </row>
    <row r="27" spans="1:113" x14ac:dyDescent="0.2">
      <c r="A27" s="241" t="s">
        <v>19</v>
      </c>
      <c r="B27" s="12"/>
      <c r="C27" s="25"/>
      <c r="D27" s="58">
        <v>8868907</v>
      </c>
      <c r="E27" s="59">
        <v>3999765</v>
      </c>
      <c r="F27" s="59">
        <v>4221628</v>
      </c>
      <c r="G27" s="59">
        <v>332642</v>
      </c>
      <c r="H27" s="60">
        <v>314872</v>
      </c>
      <c r="I27" s="110">
        <v>10875983</v>
      </c>
      <c r="J27" s="153">
        <f t="shared" si="35"/>
        <v>9852177</v>
      </c>
      <c r="K27" s="59">
        <v>4708762</v>
      </c>
      <c r="L27" s="59">
        <v>5143415</v>
      </c>
      <c r="M27" s="153">
        <f t="shared" si="36"/>
        <v>653291</v>
      </c>
      <c r="N27" s="59">
        <v>310127</v>
      </c>
      <c r="O27" s="59">
        <v>343164</v>
      </c>
      <c r="P27" s="153">
        <f t="shared" si="37"/>
        <v>1358628</v>
      </c>
      <c r="Q27" s="59">
        <v>672504</v>
      </c>
      <c r="R27" s="60">
        <v>686124</v>
      </c>
      <c r="S27" s="110">
        <v>14043986</v>
      </c>
      <c r="T27" s="151">
        <f t="shared" si="38"/>
        <v>10221156</v>
      </c>
      <c r="U27" s="59">
        <v>4880415</v>
      </c>
      <c r="V27" s="59">
        <v>5340741</v>
      </c>
      <c r="W27" s="151">
        <f t="shared" si="39"/>
        <v>922793</v>
      </c>
      <c r="X27" s="59">
        <v>435897</v>
      </c>
      <c r="Y27" s="59">
        <v>486896</v>
      </c>
      <c r="Z27" s="151">
        <f t="shared" si="40"/>
        <v>2037978</v>
      </c>
      <c r="AA27" s="59">
        <v>1007191</v>
      </c>
      <c r="AB27" s="59">
        <v>1030787</v>
      </c>
      <c r="AC27" s="195">
        <v>834812</v>
      </c>
      <c r="AD27" s="195">
        <v>394540</v>
      </c>
      <c r="AE27" s="153">
        <v>440272</v>
      </c>
      <c r="AF27" s="110">
        <v>18695499</v>
      </c>
      <c r="AG27" s="7">
        <v>13717272</v>
      </c>
      <c r="AH27" s="88">
        <f t="shared" si="41"/>
        <v>11944913</v>
      </c>
      <c r="AI27" s="59">
        <v>5792000</v>
      </c>
      <c r="AJ27" s="59">
        <v>6152913</v>
      </c>
      <c r="AK27" s="7">
        <v>1270977</v>
      </c>
      <c r="AL27" s="88">
        <f t="shared" si="42"/>
        <v>1231759</v>
      </c>
      <c r="AM27" s="59">
        <v>589225</v>
      </c>
      <c r="AN27" s="59">
        <v>642534</v>
      </c>
      <c r="AO27" s="7">
        <v>3705112</v>
      </c>
      <c r="AP27" s="60">
        <v>1889010</v>
      </c>
      <c r="AQ27" s="59">
        <v>1816102</v>
      </c>
      <c r="AR27" s="92">
        <f t="shared" si="43"/>
        <v>1813715</v>
      </c>
      <c r="AS27" s="110">
        <v>21298900</v>
      </c>
      <c r="AT27" s="7">
        <v>13688929</v>
      </c>
      <c r="AU27" s="196">
        <v>6657686</v>
      </c>
      <c r="AV27" s="196">
        <v>7031243</v>
      </c>
      <c r="AW27" s="88">
        <f t="shared" si="44"/>
        <v>11370641</v>
      </c>
      <c r="AX27" s="59">
        <v>5516425</v>
      </c>
      <c r="AY27" s="60">
        <v>5854216</v>
      </c>
      <c r="AZ27" s="7">
        <v>1332801</v>
      </c>
      <c r="BA27" s="59">
        <v>634446</v>
      </c>
      <c r="BB27" s="59">
        <v>698355</v>
      </c>
      <c r="BC27" s="7">
        <v>5500767</v>
      </c>
      <c r="BD27" s="59">
        <v>2758151</v>
      </c>
      <c r="BE27" s="59">
        <v>2742616</v>
      </c>
      <c r="BF27" s="195">
        <v>6277170</v>
      </c>
      <c r="BG27" s="195">
        <v>3064625</v>
      </c>
      <c r="BH27" s="153">
        <v>3212545</v>
      </c>
      <c r="BI27" s="199">
        <v>23787044</v>
      </c>
      <c r="BJ27" s="60">
        <v>11599768</v>
      </c>
      <c r="BK27" s="60">
        <v>12187276</v>
      </c>
      <c r="BL27" s="67">
        <v>15389074</v>
      </c>
      <c r="BM27" s="67">
        <v>7560673</v>
      </c>
      <c r="BN27" s="67">
        <v>7828401</v>
      </c>
      <c r="BO27" s="67">
        <v>11129185</v>
      </c>
      <c r="BP27" s="67">
        <v>5463904</v>
      </c>
      <c r="BQ27" s="67">
        <v>5665281</v>
      </c>
      <c r="BR27" s="67">
        <v>1419037</v>
      </c>
      <c r="BS27" s="67">
        <v>684549</v>
      </c>
      <c r="BT27" s="67">
        <v>734488</v>
      </c>
      <c r="BU27" s="67">
        <v>7330114</v>
      </c>
      <c r="BV27" s="67">
        <v>3650830</v>
      </c>
      <c r="BW27" s="67">
        <v>3679284</v>
      </c>
      <c r="BX27" s="153">
        <f t="shared" si="45"/>
        <v>6978933</v>
      </c>
      <c r="BY27" s="67">
        <v>3354546</v>
      </c>
      <c r="BZ27" s="67">
        <v>3624387</v>
      </c>
      <c r="CA27" s="210">
        <v>23080916</v>
      </c>
      <c r="CB27" s="7">
        <v>14607635</v>
      </c>
      <c r="CC27" s="59">
        <v>1377559</v>
      </c>
      <c r="CD27" s="59">
        <v>7095722</v>
      </c>
      <c r="CE27" s="59">
        <v>6868669</v>
      </c>
      <c r="CF27" s="199">
        <v>23237728</v>
      </c>
      <c r="CG27" s="7">
        <v>14804637</v>
      </c>
      <c r="CH27" s="59">
        <v>1379843</v>
      </c>
      <c r="CI27" s="59">
        <v>7053248</v>
      </c>
      <c r="CJ27" s="59">
        <v>7013562</v>
      </c>
      <c r="CK27" s="66">
        <v>23476329</v>
      </c>
      <c r="CL27" s="64">
        <v>15110977</v>
      </c>
      <c r="CM27" s="65">
        <v>1403127</v>
      </c>
      <c r="CN27" s="65">
        <v>6962225</v>
      </c>
      <c r="CO27" s="65">
        <v>7113211</v>
      </c>
      <c r="CP27" s="66">
        <v>23787044</v>
      </c>
      <c r="CQ27" s="539">
        <v>15389074</v>
      </c>
      <c r="CR27" s="539">
        <v>1419037</v>
      </c>
      <c r="CS27" s="65">
        <v>6978933</v>
      </c>
      <c r="CT27" s="539">
        <v>7330114</v>
      </c>
      <c r="CU27" s="66">
        <v>24114270</v>
      </c>
      <c r="CV27" s="539">
        <v>15646284</v>
      </c>
      <c r="CW27" s="539">
        <v>1428304</v>
      </c>
      <c r="CX27" s="329">
        <f t="shared" si="46"/>
        <v>7039682</v>
      </c>
      <c r="CY27" s="633">
        <v>7543298</v>
      </c>
      <c r="CZ27" s="59">
        <v>24444584</v>
      </c>
      <c r="DA27" s="59">
        <v>15857562</v>
      </c>
      <c r="DB27" s="59">
        <v>1443480</v>
      </c>
      <c r="DC27" s="59">
        <v>7143542</v>
      </c>
      <c r="DD27" s="636">
        <v>7723658</v>
      </c>
      <c r="DE27" s="59">
        <v>24793022</v>
      </c>
      <c r="DF27" s="59">
        <v>11191206</v>
      </c>
      <c r="DG27" s="1">
        <v>1458151</v>
      </c>
      <c r="DH27" s="59">
        <v>7316982</v>
      </c>
      <c r="DI27" s="59">
        <v>7910127</v>
      </c>
    </row>
    <row r="28" spans="1:113" x14ac:dyDescent="0.2">
      <c r="A28" s="241" t="s">
        <v>20</v>
      </c>
      <c r="B28" s="12"/>
      <c r="C28" s="25"/>
      <c r="D28" s="58">
        <v>940803</v>
      </c>
      <c r="E28" s="59">
        <v>444457</v>
      </c>
      <c r="F28" s="59">
        <v>469510</v>
      </c>
      <c r="G28" s="59">
        <v>13320</v>
      </c>
      <c r="H28" s="60">
        <v>13516</v>
      </c>
      <c r="I28" s="110">
        <v>1141138</v>
      </c>
      <c r="J28" s="153">
        <f t="shared" si="35"/>
        <v>1101250</v>
      </c>
      <c r="K28" s="59">
        <v>527701</v>
      </c>
      <c r="L28" s="59">
        <v>573549</v>
      </c>
      <c r="M28" s="153">
        <f t="shared" si="36"/>
        <v>28972</v>
      </c>
      <c r="N28" s="59">
        <v>14137</v>
      </c>
      <c r="O28" s="59">
        <v>14835</v>
      </c>
      <c r="P28" s="153">
        <f t="shared" si="37"/>
        <v>114987</v>
      </c>
      <c r="Q28" s="59">
        <v>57479</v>
      </c>
      <c r="R28" s="60">
        <v>57508</v>
      </c>
      <c r="S28" s="110">
        <v>1663891</v>
      </c>
      <c r="T28" s="151">
        <f t="shared" si="38"/>
        <v>1433613</v>
      </c>
      <c r="U28" s="59">
        <v>693874</v>
      </c>
      <c r="V28" s="59">
        <v>739739</v>
      </c>
      <c r="W28" s="151">
        <f t="shared" si="39"/>
        <v>48437</v>
      </c>
      <c r="X28" s="59">
        <v>24382</v>
      </c>
      <c r="Y28" s="59">
        <v>24055</v>
      </c>
      <c r="Z28" s="151">
        <f t="shared" si="40"/>
        <v>153534</v>
      </c>
      <c r="AA28" s="59">
        <v>76257</v>
      </c>
      <c r="AB28" s="59">
        <v>77277</v>
      </c>
      <c r="AC28" s="195">
        <v>26362</v>
      </c>
      <c r="AD28" s="195">
        <v>11896</v>
      </c>
      <c r="AE28" s="153">
        <v>14466</v>
      </c>
      <c r="AF28" s="110">
        <v>2107072</v>
      </c>
      <c r="AG28" s="7">
        <v>1898760</v>
      </c>
      <c r="AH28" s="88">
        <f t="shared" si="41"/>
        <v>1769702</v>
      </c>
      <c r="AI28" s="59">
        <v>855265</v>
      </c>
      <c r="AJ28" s="59">
        <v>914437</v>
      </c>
      <c r="AK28" s="7">
        <v>73691</v>
      </c>
      <c r="AL28" s="88">
        <f t="shared" si="42"/>
        <v>72134</v>
      </c>
      <c r="AM28" s="59">
        <v>36626</v>
      </c>
      <c r="AN28" s="59">
        <v>35508</v>
      </c>
      <c r="AO28" s="7">
        <v>217920</v>
      </c>
      <c r="AP28" s="60">
        <v>107640</v>
      </c>
      <c r="AQ28" s="59">
        <v>110280</v>
      </c>
      <c r="AR28" s="92">
        <f t="shared" si="43"/>
        <v>47316</v>
      </c>
      <c r="AS28" s="110">
        <v>2776632</v>
      </c>
      <c r="AT28" s="7">
        <v>2381655</v>
      </c>
      <c r="AU28" s="196">
        <v>1173214</v>
      </c>
      <c r="AV28" s="196">
        <v>1208441</v>
      </c>
      <c r="AW28" s="88">
        <f t="shared" si="44"/>
        <v>2187493</v>
      </c>
      <c r="AX28" s="59">
        <v>1073108</v>
      </c>
      <c r="AY28" s="60">
        <v>1114385</v>
      </c>
      <c r="AZ28" s="7">
        <v>94854</v>
      </c>
      <c r="BA28" s="59">
        <v>50558</v>
      </c>
      <c r="BB28" s="59">
        <v>44296</v>
      </c>
      <c r="BC28" s="7">
        <v>376826</v>
      </c>
      <c r="BD28" s="59">
        <v>195066</v>
      </c>
      <c r="BE28" s="59">
        <v>181760</v>
      </c>
      <c r="BF28" s="195">
        <v>300123</v>
      </c>
      <c r="BG28" s="195">
        <v>150988</v>
      </c>
      <c r="BH28" s="153">
        <v>149135</v>
      </c>
      <c r="BI28" s="199">
        <v>3268020</v>
      </c>
      <c r="BJ28" s="60">
        <v>1613852</v>
      </c>
      <c r="BK28" s="60">
        <v>1654168</v>
      </c>
      <c r="BL28" s="67">
        <v>2825203</v>
      </c>
      <c r="BM28" s="67">
        <v>1391972</v>
      </c>
      <c r="BN28" s="67">
        <v>1433231</v>
      </c>
      <c r="BO28" s="67">
        <v>2463280</v>
      </c>
      <c r="BP28" s="67">
        <v>1209293</v>
      </c>
      <c r="BQ28" s="67">
        <v>1253987</v>
      </c>
      <c r="BR28" s="67">
        <v>119615</v>
      </c>
      <c r="BS28" s="67">
        <v>63599</v>
      </c>
      <c r="BT28" s="67">
        <v>56016</v>
      </c>
      <c r="BU28" s="67">
        <v>531194</v>
      </c>
      <c r="BV28" s="67">
        <v>269973</v>
      </c>
      <c r="BW28" s="67">
        <v>261221</v>
      </c>
      <c r="BX28" s="153">
        <f t="shared" si="45"/>
        <v>323202</v>
      </c>
      <c r="BY28" s="67">
        <v>158281</v>
      </c>
      <c r="BZ28" s="67">
        <v>164921</v>
      </c>
      <c r="CA28" s="210">
        <v>3130207</v>
      </c>
      <c r="CB28" s="7">
        <v>2676802</v>
      </c>
      <c r="CC28" s="59">
        <v>108488</v>
      </c>
      <c r="CD28" s="59">
        <v>344917</v>
      </c>
      <c r="CE28" s="59">
        <v>504561</v>
      </c>
      <c r="CF28" s="199">
        <v>3189198</v>
      </c>
      <c r="CG28" s="7">
        <v>2741772</v>
      </c>
      <c r="CH28" s="59">
        <v>111655</v>
      </c>
      <c r="CI28" s="59">
        <v>335771</v>
      </c>
      <c r="CJ28" s="59">
        <v>520090</v>
      </c>
      <c r="CK28" s="66">
        <v>3225460</v>
      </c>
      <c r="CL28" s="64">
        <v>2795144</v>
      </c>
      <c r="CM28" s="65">
        <v>113739</v>
      </c>
      <c r="CN28" s="65">
        <v>316577</v>
      </c>
      <c r="CO28" s="65">
        <v>518603</v>
      </c>
      <c r="CP28" s="66">
        <v>3268020</v>
      </c>
      <c r="CQ28" s="539">
        <v>2825203</v>
      </c>
      <c r="CR28" s="539">
        <v>119615</v>
      </c>
      <c r="CS28" s="65">
        <v>323202</v>
      </c>
      <c r="CT28" s="539">
        <v>531194</v>
      </c>
      <c r="CU28" s="66">
        <v>3328695</v>
      </c>
      <c r="CV28" s="539">
        <v>2876798</v>
      </c>
      <c r="CW28" s="539">
        <v>123600</v>
      </c>
      <c r="CX28" s="329">
        <f t="shared" si="46"/>
        <v>328297</v>
      </c>
      <c r="CY28" s="633">
        <v>546982</v>
      </c>
      <c r="CZ28" s="59">
        <v>3388423</v>
      </c>
      <c r="DA28" s="59">
        <v>2928009</v>
      </c>
      <c r="DB28" s="59">
        <v>126669</v>
      </c>
      <c r="DC28" s="59">
        <v>333745</v>
      </c>
      <c r="DD28" s="636">
        <v>562518</v>
      </c>
      <c r="DE28" s="59">
        <v>3449352</v>
      </c>
      <c r="DF28" s="59">
        <v>2575773</v>
      </c>
      <c r="DG28" s="1">
        <v>129815</v>
      </c>
      <c r="DH28" s="59">
        <v>334050</v>
      </c>
      <c r="DI28" s="59">
        <v>575033</v>
      </c>
    </row>
    <row r="29" spans="1:113" x14ac:dyDescent="0.2">
      <c r="A29" s="241" t="s">
        <v>22</v>
      </c>
      <c r="B29" s="12"/>
      <c r="C29" s="25"/>
      <c r="D29" s="58">
        <v>308910</v>
      </c>
      <c r="E29" s="59">
        <v>51259</v>
      </c>
      <c r="F29" s="59">
        <v>44496</v>
      </c>
      <c r="G29" s="59">
        <v>113622</v>
      </c>
      <c r="H29" s="60">
        <v>99533</v>
      </c>
      <c r="I29" s="110">
        <v>384843</v>
      </c>
      <c r="J29" s="153">
        <f t="shared" si="35"/>
        <v>139520</v>
      </c>
      <c r="K29" s="59">
        <v>72392</v>
      </c>
      <c r="L29" s="59">
        <v>67128</v>
      </c>
      <c r="M29" s="153">
        <f t="shared" si="36"/>
        <v>2577</v>
      </c>
      <c r="N29" s="59">
        <v>1644</v>
      </c>
      <c r="O29" s="59">
        <v>933</v>
      </c>
      <c r="P29" s="153">
        <f t="shared" si="37"/>
        <v>9751</v>
      </c>
      <c r="Q29" s="59">
        <v>5027</v>
      </c>
      <c r="R29" s="60">
        <v>4724</v>
      </c>
      <c r="S29" s="110">
        <v>547608</v>
      </c>
      <c r="T29" s="151">
        <f t="shared" si="38"/>
        <v>178250</v>
      </c>
      <c r="U29" s="59">
        <v>93202</v>
      </c>
      <c r="V29" s="59">
        <v>85048</v>
      </c>
      <c r="W29" s="151">
        <f t="shared" si="39"/>
        <v>6100</v>
      </c>
      <c r="X29" s="59">
        <v>4025</v>
      </c>
      <c r="Y29" s="59">
        <v>2075</v>
      </c>
      <c r="Z29" s="151">
        <f t="shared" si="40"/>
        <v>29994</v>
      </c>
      <c r="AA29" s="59">
        <v>15121</v>
      </c>
      <c r="AB29" s="59">
        <v>14873</v>
      </c>
      <c r="AC29" s="195">
        <v>330834</v>
      </c>
      <c r="AD29" s="195">
        <v>160387</v>
      </c>
      <c r="AE29" s="153">
        <v>170447</v>
      </c>
      <c r="AF29" s="110">
        <v>709820</v>
      </c>
      <c r="AG29" s="7">
        <v>242654</v>
      </c>
      <c r="AH29" s="88">
        <f t="shared" si="41"/>
        <v>231390</v>
      </c>
      <c r="AI29" s="59">
        <v>122777</v>
      </c>
      <c r="AJ29" s="59">
        <v>108613</v>
      </c>
      <c r="AK29" s="7">
        <v>12478</v>
      </c>
      <c r="AL29" s="88">
        <f t="shared" si="42"/>
        <v>12069</v>
      </c>
      <c r="AM29" s="59">
        <v>7478</v>
      </c>
      <c r="AN29" s="59">
        <v>4591</v>
      </c>
      <c r="AO29" s="7">
        <v>38338</v>
      </c>
      <c r="AP29" s="60">
        <v>19663</v>
      </c>
      <c r="AQ29" s="59">
        <v>18675</v>
      </c>
      <c r="AR29" s="92">
        <f t="shared" si="43"/>
        <v>428023</v>
      </c>
      <c r="AS29" s="110">
        <v>802477</v>
      </c>
      <c r="AT29" s="7">
        <v>216549</v>
      </c>
      <c r="AU29" s="196">
        <v>115205</v>
      </c>
      <c r="AV29" s="196">
        <v>101344</v>
      </c>
      <c r="AW29" s="88">
        <f t="shared" si="44"/>
        <v>206820</v>
      </c>
      <c r="AX29" s="59">
        <v>110067</v>
      </c>
      <c r="AY29" s="60">
        <v>96753</v>
      </c>
      <c r="AZ29" s="7">
        <v>12119</v>
      </c>
      <c r="BA29" s="59">
        <v>7903</v>
      </c>
      <c r="BB29" s="59">
        <v>4216</v>
      </c>
      <c r="BC29" s="7">
        <v>40951</v>
      </c>
      <c r="BD29" s="59">
        <v>19786</v>
      </c>
      <c r="BE29" s="59">
        <v>21165</v>
      </c>
      <c r="BF29" s="195">
        <v>573809</v>
      </c>
      <c r="BG29" s="195">
        <v>271472</v>
      </c>
      <c r="BH29" s="153">
        <v>302337</v>
      </c>
      <c r="BI29" s="199">
        <v>916380</v>
      </c>
      <c r="BJ29" s="60">
        <v>450011</v>
      </c>
      <c r="BK29" s="60">
        <v>466369</v>
      </c>
      <c r="BL29" s="67">
        <v>253954</v>
      </c>
      <c r="BM29" s="67">
        <v>136132</v>
      </c>
      <c r="BN29" s="67">
        <v>117822</v>
      </c>
      <c r="BO29" s="67">
        <v>236780</v>
      </c>
      <c r="BP29" s="67">
        <v>127323</v>
      </c>
      <c r="BQ29" s="67">
        <v>109457</v>
      </c>
      <c r="BR29" s="67">
        <v>12977</v>
      </c>
      <c r="BS29" s="67">
        <v>8241</v>
      </c>
      <c r="BT29" s="67">
        <v>4736</v>
      </c>
      <c r="BU29" s="67">
        <v>59344</v>
      </c>
      <c r="BV29" s="67">
        <v>29361</v>
      </c>
      <c r="BW29" s="67">
        <v>29983</v>
      </c>
      <c r="BX29" s="153">
        <f t="shared" si="45"/>
        <v>649449</v>
      </c>
      <c r="BY29" s="67">
        <v>305638</v>
      </c>
      <c r="BZ29" s="67">
        <v>343811</v>
      </c>
      <c r="CA29" s="210">
        <v>867609</v>
      </c>
      <c r="CB29" s="7">
        <v>245296</v>
      </c>
      <c r="CC29" s="59">
        <v>16726</v>
      </c>
      <c r="CD29" s="59">
        <v>605587</v>
      </c>
      <c r="CE29" s="59">
        <v>52040</v>
      </c>
      <c r="CF29" s="199">
        <v>868474</v>
      </c>
      <c r="CG29" s="7">
        <v>248060</v>
      </c>
      <c r="CH29" s="59">
        <v>16971</v>
      </c>
      <c r="CI29" s="59">
        <v>603443</v>
      </c>
      <c r="CJ29" s="59">
        <v>53734</v>
      </c>
      <c r="CK29" s="66">
        <v>871862</v>
      </c>
      <c r="CL29" s="64">
        <v>249766</v>
      </c>
      <c r="CM29" s="65">
        <v>16951</v>
      </c>
      <c r="CN29" s="65">
        <v>605145</v>
      </c>
      <c r="CO29" s="65">
        <v>55494</v>
      </c>
      <c r="CP29" s="66">
        <v>916380</v>
      </c>
      <c r="CQ29" s="539">
        <v>253954</v>
      </c>
      <c r="CR29" s="539">
        <v>12977</v>
      </c>
      <c r="CS29" s="65">
        <v>649449</v>
      </c>
      <c r="CT29" s="539">
        <v>59344</v>
      </c>
      <c r="CU29" s="66">
        <v>928072</v>
      </c>
      <c r="CV29" s="539">
        <v>255980</v>
      </c>
      <c r="CW29" s="539">
        <v>13943</v>
      </c>
      <c r="CX29" s="329">
        <f t="shared" si="46"/>
        <v>658149</v>
      </c>
      <c r="CY29" s="633">
        <v>61420</v>
      </c>
      <c r="CZ29" s="59">
        <v>941038</v>
      </c>
      <c r="DA29" s="59">
        <v>260355</v>
      </c>
      <c r="DB29" s="59">
        <v>14744</v>
      </c>
      <c r="DC29" s="59">
        <v>665939</v>
      </c>
      <c r="DD29" s="636">
        <v>63332</v>
      </c>
      <c r="DE29" s="59">
        <v>948912</v>
      </c>
      <c r="DF29" s="59">
        <v>244941</v>
      </c>
      <c r="DG29" s="1">
        <v>16532</v>
      </c>
      <c r="DH29" s="59">
        <v>667792</v>
      </c>
      <c r="DI29" s="59">
        <v>65703</v>
      </c>
    </row>
    <row r="30" spans="1:113" x14ac:dyDescent="0.2">
      <c r="A30" s="241" t="s">
        <v>23</v>
      </c>
      <c r="B30" s="12"/>
      <c r="C30" s="25"/>
      <c r="D30" s="58">
        <v>340412</v>
      </c>
      <c r="E30" s="59">
        <v>169673</v>
      </c>
      <c r="F30" s="59">
        <v>166339</v>
      </c>
      <c r="G30" s="59">
        <v>2341</v>
      </c>
      <c r="H30" s="60">
        <v>2059</v>
      </c>
      <c r="I30" s="110">
        <v>368912</v>
      </c>
      <c r="J30" s="153">
        <f t="shared" si="35"/>
        <v>364078</v>
      </c>
      <c r="K30" s="59">
        <v>178889</v>
      </c>
      <c r="L30" s="59">
        <v>185189</v>
      </c>
      <c r="M30" s="153">
        <f t="shared" si="36"/>
        <v>795</v>
      </c>
      <c r="N30" s="59">
        <v>423</v>
      </c>
      <c r="O30" s="59">
        <v>372</v>
      </c>
      <c r="P30" s="153">
        <f t="shared" si="37"/>
        <v>6695</v>
      </c>
      <c r="Q30" s="59">
        <v>3545</v>
      </c>
      <c r="R30" s="60">
        <v>3150</v>
      </c>
      <c r="S30" s="110">
        <v>514365</v>
      </c>
      <c r="T30" s="151">
        <f t="shared" si="38"/>
        <v>491251</v>
      </c>
      <c r="U30" s="59">
        <v>240301</v>
      </c>
      <c r="V30" s="59">
        <v>250950</v>
      </c>
      <c r="W30" s="151">
        <f t="shared" si="39"/>
        <v>1165</v>
      </c>
      <c r="X30" s="59">
        <v>751</v>
      </c>
      <c r="Y30" s="59">
        <v>414</v>
      </c>
      <c r="Z30" s="151">
        <f t="shared" si="40"/>
        <v>13810</v>
      </c>
      <c r="AA30" s="59">
        <v>7913</v>
      </c>
      <c r="AB30" s="59">
        <v>5897</v>
      </c>
      <c r="AC30" s="195">
        <v>7885</v>
      </c>
      <c r="AD30" s="195">
        <v>3751</v>
      </c>
      <c r="AE30" s="153">
        <v>4134</v>
      </c>
      <c r="AF30" s="110">
        <v>601292</v>
      </c>
      <c r="AG30" s="7">
        <v>574433</v>
      </c>
      <c r="AH30" s="88">
        <f t="shared" si="41"/>
        <v>565114</v>
      </c>
      <c r="AI30" s="59">
        <v>273863</v>
      </c>
      <c r="AJ30" s="59">
        <v>291251</v>
      </c>
      <c r="AK30" s="7">
        <v>1730</v>
      </c>
      <c r="AL30" s="88">
        <f t="shared" si="42"/>
        <v>1678</v>
      </c>
      <c r="AM30" s="59">
        <v>1041</v>
      </c>
      <c r="AN30" s="59">
        <v>637</v>
      </c>
      <c r="AO30" s="7">
        <v>22295</v>
      </c>
      <c r="AP30" s="60">
        <v>12596</v>
      </c>
      <c r="AQ30" s="59">
        <v>9699</v>
      </c>
      <c r="AR30" s="92">
        <f t="shared" si="43"/>
        <v>12205</v>
      </c>
      <c r="AS30" s="110">
        <v>787505</v>
      </c>
      <c r="AT30" s="7">
        <v>730725</v>
      </c>
      <c r="AU30" s="196">
        <v>358833</v>
      </c>
      <c r="AV30" s="196">
        <v>371892</v>
      </c>
      <c r="AW30" s="88">
        <f t="shared" si="44"/>
        <v>713381</v>
      </c>
      <c r="AX30" s="59">
        <v>349683</v>
      </c>
      <c r="AY30" s="60">
        <v>363698</v>
      </c>
      <c r="AZ30" s="7">
        <v>2664</v>
      </c>
      <c r="BA30" s="59">
        <v>1695</v>
      </c>
      <c r="BB30" s="59">
        <v>969</v>
      </c>
      <c r="BC30" s="7">
        <v>44496</v>
      </c>
      <c r="BD30" s="59">
        <v>23926</v>
      </c>
      <c r="BE30" s="59">
        <v>20570</v>
      </c>
      <c r="BF30" s="195">
        <v>54116</v>
      </c>
      <c r="BG30" s="195">
        <v>27517</v>
      </c>
      <c r="BH30" s="153">
        <v>26599</v>
      </c>
      <c r="BI30" s="199">
        <v>972106</v>
      </c>
      <c r="BJ30" s="60">
        <v>479623</v>
      </c>
      <c r="BK30" s="60">
        <v>492483</v>
      </c>
      <c r="BL30" s="67">
        <v>912016</v>
      </c>
      <c r="BM30" s="67">
        <v>450550</v>
      </c>
      <c r="BN30" s="67">
        <v>461466</v>
      </c>
      <c r="BO30" s="67">
        <v>855563</v>
      </c>
      <c r="BP30" s="67">
        <v>420981</v>
      </c>
      <c r="BQ30" s="67">
        <v>434582</v>
      </c>
      <c r="BR30" s="67">
        <v>4394</v>
      </c>
      <c r="BS30" s="67">
        <v>2668</v>
      </c>
      <c r="BT30" s="67">
        <v>1726</v>
      </c>
      <c r="BU30" s="67">
        <v>77125</v>
      </c>
      <c r="BV30" s="67">
        <v>40627</v>
      </c>
      <c r="BW30" s="67">
        <v>36498</v>
      </c>
      <c r="BX30" s="153">
        <f t="shared" si="45"/>
        <v>55696</v>
      </c>
      <c r="BY30" s="67">
        <v>26405</v>
      </c>
      <c r="BZ30" s="67">
        <v>29291</v>
      </c>
      <c r="CA30" s="210">
        <v>917853</v>
      </c>
      <c r="CB30" s="7">
        <v>858305</v>
      </c>
      <c r="CC30" s="59">
        <v>3822</v>
      </c>
      <c r="CD30" s="59">
        <v>55726</v>
      </c>
      <c r="CE30" s="59">
        <v>65955</v>
      </c>
      <c r="CF30" s="199">
        <v>939967</v>
      </c>
      <c r="CG30" s="7">
        <v>883457</v>
      </c>
      <c r="CH30" s="59">
        <v>4039</v>
      </c>
      <c r="CI30" s="59">
        <v>52471</v>
      </c>
      <c r="CJ30" s="59">
        <v>69156</v>
      </c>
      <c r="CK30" s="66">
        <v>948694</v>
      </c>
      <c r="CL30" s="64">
        <v>891943</v>
      </c>
      <c r="CM30" s="65">
        <v>3989</v>
      </c>
      <c r="CN30" s="65">
        <v>52762</v>
      </c>
      <c r="CO30" s="65">
        <v>72541</v>
      </c>
      <c r="CP30" s="66">
        <v>972106</v>
      </c>
      <c r="CQ30" s="539">
        <v>912016</v>
      </c>
      <c r="CR30" s="539">
        <v>4394</v>
      </c>
      <c r="CS30" s="65">
        <v>55696</v>
      </c>
      <c r="CT30" s="539">
        <v>77125</v>
      </c>
      <c r="CU30" s="66">
        <v>986017</v>
      </c>
      <c r="CV30" s="539">
        <v>924890</v>
      </c>
      <c r="CX30" s="329">
        <f t="shared" si="46"/>
        <v>61127</v>
      </c>
      <c r="CY30" s="634">
        <v>80721</v>
      </c>
      <c r="CZ30" s="59">
        <v>999548</v>
      </c>
      <c r="DA30" s="59">
        <v>935547</v>
      </c>
      <c r="DB30" s="59">
        <v>4456</v>
      </c>
      <c r="DC30" s="59">
        <v>58398</v>
      </c>
      <c r="DD30" s="636">
        <v>84021</v>
      </c>
      <c r="DE30" s="59">
        <v>1014097</v>
      </c>
      <c r="DF30" s="59">
        <v>884001</v>
      </c>
      <c r="DG30" s="1">
        <v>4482</v>
      </c>
      <c r="DH30" s="59">
        <v>62656</v>
      </c>
      <c r="DI30" s="59">
        <v>87007</v>
      </c>
    </row>
    <row r="31" spans="1:113" x14ac:dyDescent="0.2">
      <c r="A31" s="241" t="s">
        <v>33</v>
      </c>
      <c r="B31" s="12"/>
      <c r="C31" s="25"/>
      <c r="D31" s="58">
        <v>356087</v>
      </c>
      <c r="E31" s="59">
        <v>177045</v>
      </c>
      <c r="F31" s="59">
        <v>169626</v>
      </c>
      <c r="G31" s="59">
        <v>4836</v>
      </c>
      <c r="H31" s="60">
        <v>4580</v>
      </c>
      <c r="I31" s="110">
        <v>364508</v>
      </c>
      <c r="J31" s="153">
        <f t="shared" si="35"/>
        <v>353377</v>
      </c>
      <c r="K31" s="59">
        <v>174600</v>
      </c>
      <c r="L31" s="59">
        <v>178777</v>
      </c>
      <c r="M31" s="153">
        <f t="shared" si="36"/>
        <v>630</v>
      </c>
      <c r="N31" s="59">
        <v>386</v>
      </c>
      <c r="O31" s="59">
        <v>244</v>
      </c>
      <c r="P31" s="153">
        <f t="shared" si="37"/>
        <v>3111</v>
      </c>
      <c r="Q31" s="59">
        <v>1644</v>
      </c>
      <c r="R31" s="60">
        <v>1467</v>
      </c>
      <c r="S31" s="110">
        <v>450862</v>
      </c>
      <c r="T31" s="151">
        <f t="shared" si="38"/>
        <v>429252</v>
      </c>
      <c r="U31" s="59">
        <v>210603</v>
      </c>
      <c r="V31" s="59">
        <v>218649</v>
      </c>
      <c r="W31" s="151">
        <f t="shared" si="39"/>
        <v>726</v>
      </c>
      <c r="X31" s="59">
        <v>503</v>
      </c>
      <c r="Y31" s="59">
        <v>223</v>
      </c>
      <c r="Z31" s="151">
        <f t="shared" si="40"/>
        <v>3979</v>
      </c>
      <c r="AA31" s="59">
        <v>1970</v>
      </c>
      <c r="AB31" s="59">
        <v>2009</v>
      </c>
      <c r="AC31" s="195">
        <v>16753</v>
      </c>
      <c r="AD31" s="195">
        <v>7793</v>
      </c>
      <c r="AE31" s="153">
        <v>8960</v>
      </c>
      <c r="AF31" s="110">
        <v>507851</v>
      </c>
      <c r="AG31" s="7">
        <v>480126</v>
      </c>
      <c r="AH31" s="88">
        <f t="shared" si="41"/>
        <v>476873</v>
      </c>
      <c r="AI31" s="59">
        <v>231432</v>
      </c>
      <c r="AJ31" s="59">
        <v>245441</v>
      </c>
      <c r="AK31" s="7">
        <v>986</v>
      </c>
      <c r="AL31" s="88">
        <f t="shared" si="42"/>
        <v>945</v>
      </c>
      <c r="AM31" s="59">
        <v>591</v>
      </c>
      <c r="AN31" s="59">
        <v>354</v>
      </c>
      <c r="AO31" s="7">
        <v>5425</v>
      </c>
      <c r="AP31" s="60">
        <v>2615</v>
      </c>
      <c r="AQ31" s="59">
        <v>2810</v>
      </c>
      <c r="AR31" s="92">
        <f t="shared" si="43"/>
        <v>24608</v>
      </c>
      <c r="AS31" s="110">
        <v>586621</v>
      </c>
      <c r="AT31" s="7">
        <v>545199</v>
      </c>
      <c r="AU31" s="196">
        <v>266760</v>
      </c>
      <c r="AV31" s="196">
        <v>278439</v>
      </c>
      <c r="AW31" s="88">
        <f t="shared" si="44"/>
        <v>540232</v>
      </c>
      <c r="AX31" s="59">
        <v>264456</v>
      </c>
      <c r="AY31" s="60">
        <v>275776</v>
      </c>
      <c r="AZ31" s="7">
        <v>1130</v>
      </c>
      <c r="BA31" s="59">
        <v>709</v>
      </c>
      <c r="BB31" s="59">
        <v>421</v>
      </c>
      <c r="BC31" s="7">
        <v>8612</v>
      </c>
      <c r="BD31" s="59">
        <v>4056</v>
      </c>
      <c r="BE31" s="59">
        <v>4556</v>
      </c>
      <c r="BF31" s="195">
        <v>40292</v>
      </c>
      <c r="BG31" s="195">
        <v>18984</v>
      </c>
      <c r="BH31" s="153">
        <v>21308</v>
      </c>
      <c r="BI31" s="199">
        <v>664198</v>
      </c>
      <c r="BJ31" s="60">
        <v>328050</v>
      </c>
      <c r="BK31" s="60">
        <v>336148</v>
      </c>
      <c r="BL31" s="67">
        <v>613888</v>
      </c>
      <c r="BM31" s="67">
        <v>303875</v>
      </c>
      <c r="BN31" s="67">
        <v>310013</v>
      </c>
      <c r="BO31" s="67">
        <v>605113</v>
      </c>
      <c r="BP31" s="67">
        <v>299908</v>
      </c>
      <c r="BQ31" s="67">
        <v>305205</v>
      </c>
      <c r="BR31" s="67"/>
      <c r="BS31" s="67"/>
      <c r="BT31" s="67"/>
      <c r="BU31" s="67">
        <v>13189</v>
      </c>
      <c r="BV31" s="67">
        <v>6147</v>
      </c>
      <c r="BW31" s="67">
        <v>7042</v>
      </c>
      <c r="BX31" s="153">
        <f t="shared" si="45"/>
        <v>50310</v>
      </c>
      <c r="BY31" s="67">
        <v>24175</v>
      </c>
      <c r="BZ31" s="67">
        <v>26135</v>
      </c>
      <c r="CA31" s="210">
        <v>631746</v>
      </c>
      <c r="CB31" s="9">
        <v>583121</v>
      </c>
      <c r="CC31" s="59">
        <v>2212</v>
      </c>
      <c r="CD31" s="59">
        <v>46413</v>
      </c>
      <c r="CE31" s="59">
        <v>11437</v>
      </c>
      <c r="CF31" s="199">
        <v>640386</v>
      </c>
      <c r="CG31" s="7">
        <v>591847</v>
      </c>
      <c r="CH31" s="59">
        <v>1854</v>
      </c>
      <c r="CI31" s="59">
        <v>46685</v>
      </c>
      <c r="CJ31" s="59">
        <v>12843</v>
      </c>
      <c r="CK31" s="66">
        <v>642879</v>
      </c>
      <c r="CL31" s="64">
        <v>592956</v>
      </c>
      <c r="CM31" s="65">
        <v>2176</v>
      </c>
      <c r="CN31" s="65">
        <v>47747</v>
      </c>
      <c r="CO31" s="65">
        <v>13502</v>
      </c>
      <c r="CP31" s="66">
        <v>664198</v>
      </c>
      <c r="CQ31" s="539">
        <v>613888</v>
      </c>
      <c r="CR31" s="539"/>
      <c r="CS31" s="65">
        <v>50310</v>
      </c>
      <c r="CT31" s="539">
        <v>13189</v>
      </c>
      <c r="CU31" s="66">
        <v>672126</v>
      </c>
      <c r="CV31" s="539">
        <v>619594</v>
      </c>
      <c r="CW31" s="539"/>
      <c r="CX31" s="329">
        <f t="shared" si="46"/>
        <v>52532</v>
      </c>
      <c r="CY31" s="633">
        <v>13684</v>
      </c>
      <c r="CZ31" s="59">
        <v>678572</v>
      </c>
      <c r="DA31" s="59">
        <v>625091</v>
      </c>
      <c r="DB31" s="59">
        <v>2357</v>
      </c>
      <c r="DC31" s="59">
        <v>50606</v>
      </c>
      <c r="DD31" s="636">
        <v>14633</v>
      </c>
      <c r="DE31" s="59">
        <v>683938</v>
      </c>
      <c r="DF31" s="59">
        <v>618381</v>
      </c>
      <c r="DG31" s="1">
        <v>2613</v>
      </c>
      <c r="DH31" s="59">
        <v>52875</v>
      </c>
      <c r="DI31" s="59">
        <v>15102</v>
      </c>
    </row>
    <row r="32" spans="1:113" x14ac:dyDescent="0.2">
      <c r="A32" s="241" t="s">
        <v>35</v>
      </c>
      <c r="B32" s="12"/>
      <c r="C32" s="25"/>
      <c r="D32" s="58">
        <v>159974</v>
      </c>
      <c r="E32" s="59">
        <v>78384</v>
      </c>
      <c r="F32" s="59">
        <v>71810</v>
      </c>
      <c r="G32" s="59">
        <v>5231</v>
      </c>
      <c r="H32" s="60">
        <v>4549</v>
      </c>
      <c r="I32" s="110">
        <v>265089</v>
      </c>
      <c r="J32" s="153">
        <f t="shared" si="35"/>
        <v>248023</v>
      </c>
      <c r="K32" s="59">
        <v>126529</v>
      </c>
      <c r="L32" s="59">
        <v>121494</v>
      </c>
      <c r="M32" s="153">
        <f t="shared" si="36"/>
        <v>11409</v>
      </c>
      <c r="N32" s="59">
        <v>5752</v>
      </c>
      <c r="O32" s="59">
        <v>5657</v>
      </c>
      <c r="P32" s="153">
        <f t="shared" si="37"/>
        <v>12512</v>
      </c>
      <c r="Q32" s="59">
        <v>6729</v>
      </c>
      <c r="R32" s="60">
        <v>5783</v>
      </c>
      <c r="S32" s="110">
        <v>479601</v>
      </c>
      <c r="T32" s="151">
        <f t="shared" si="38"/>
        <v>415128</v>
      </c>
      <c r="U32" s="59">
        <v>209234</v>
      </c>
      <c r="V32" s="59">
        <v>205894</v>
      </c>
      <c r="W32" s="151">
        <f t="shared" si="39"/>
        <v>22827</v>
      </c>
      <c r="X32" s="59">
        <v>11288</v>
      </c>
      <c r="Y32" s="59">
        <v>11539</v>
      </c>
      <c r="Z32" s="151">
        <f t="shared" si="40"/>
        <v>25771</v>
      </c>
      <c r="AA32" s="59">
        <v>13311</v>
      </c>
      <c r="AB32" s="59">
        <v>12460</v>
      </c>
      <c r="AC32" s="195">
        <v>15387</v>
      </c>
      <c r="AD32" s="195">
        <v>6967</v>
      </c>
      <c r="AE32" s="153">
        <v>8420</v>
      </c>
      <c r="AF32" s="110">
        <v>789638</v>
      </c>
      <c r="AG32" s="7">
        <v>684080</v>
      </c>
      <c r="AH32" s="88">
        <f t="shared" si="41"/>
        <v>649731</v>
      </c>
      <c r="AI32" s="59">
        <v>329389</v>
      </c>
      <c r="AJ32" s="59">
        <v>320342</v>
      </c>
      <c r="AK32" s="7">
        <v>42817</v>
      </c>
      <c r="AL32" s="88">
        <f t="shared" si="42"/>
        <v>42243</v>
      </c>
      <c r="AM32" s="59">
        <v>21263</v>
      </c>
      <c r="AN32" s="59">
        <v>20980</v>
      </c>
      <c r="AO32" s="7">
        <v>62507</v>
      </c>
      <c r="AP32" s="60">
        <v>33977</v>
      </c>
      <c r="AQ32" s="59">
        <v>28530</v>
      </c>
      <c r="AR32" s="92">
        <f t="shared" si="43"/>
        <v>35157</v>
      </c>
      <c r="AS32" s="110">
        <v>1310176</v>
      </c>
      <c r="AT32" s="7">
        <v>1033837</v>
      </c>
      <c r="AU32" s="196">
        <v>523743</v>
      </c>
      <c r="AV32" s="196">
        <v>510094</v>
      </c>
      <c r="AW32" s="88">
        <f t="shared" si="44"/>
        <v>930360</v>
      </c>
      <c r="AX32" s="59">
        <v>469488</v>
      </c>
      <c r="AY32" s="60">
        <v>460872</v>
      </c>
      <c r="AZ32" s="7">
        <v>78926</v>
      </c>
      <c r="BA32" s="59">
        <v>40070</v>
      </c>
      <c r="BB32" s="59">
        <v>38856</v>
      </c>
      <c r="BC32" s="7">
        <v>195171</v>
      </c>
      <c r="BD32" s="59">
        <v>104059</v>
      </c>
      <c r="BE32" s="59">
        <v>91112</v>
      </c>
      <c r="BF32" s="195">
        <v>197413</v>
      </c>
      <c r="BG32" s="195">
        <v>97452</v>
      </c>
      <c r="BH32" s="153">
        <v>99961</v>
      </c>
      <c r="BI32" s="199">
        <v>1768726</v>
      </c>
      <c r="BJ32" s="60">
        <v>887136</v>
      </c>
      <c r="BK32" s="60">
        <v>881590</v>
      </c>
      <c r="BL32" s="67">
        <v>1360824</v>
      </c>
      <c r="BM32" s="67">
        <v>693942</v>
      </c>
      <c r="BN32" s="67">
        <v>666882</v>
      </c>
      <c r="BO32" s="67">
        <v>1087540</v>
      </c>
      <c r="BP32" s="67">
        <v>552228</v>
      </c>
      <c r="BQ32" s="67">
        <v>535312</v>
      </c>
      <c r="BR32" s="67">
        <v>130557</v>
      </c>
      <c r="BS32" s="67">
        <v>64840</v>
      </c>
      <c r="BT32" s="67">
        <v>65717</v>
      </c>
      <c r="BU32" s="67">
        <v>360868</v>
      </c>
      <c r="BV32" s="67">
        <v>185289</v>
      </c>
      <c r="BW32" s="67">
        <v>175579</v>
      </c>
      <c r="BX32" s="153">
        <f t="shared" si="45"/>
        <v>277345</v>
      </c>
      <c r="BY32" s="67">
        <v>128354</v>
      </c>
      <c r="BZ32" s="67">
        <v>148991</v>
      </c>
      <c r="CA32" s="210">
        <v>1640801</v>
      </c>
      <c r="CB32" s="9">
        <v>1271158</v>
      </c>
      <c r="CC32" s="59">
        <v>107900</v>
      </c>
      <c r="CD32" s="59">
        <v>261743</v>
      </c>
      <c r="CE32" s="59">
        <v>316853</v>
      </c>
      <c r="CF32" s="199">
        <v>1676453</v>
      </c>
      <c r="CG32" s="7">
        <v>1299132</v>
      </c>
      <c r="CH32" s="59">
        <v>112754</v>
      </c>
      <c r="CI32" s="59">
        <v>264567</v>
      </c>
      <c r="CJ32" s="59">
        <v>333174</v>
      </c>
      <c r="CK32" s="66">
        <v>1702430</v>
      </c>
      <c r="CL32" s="64">
        <v>1323798</v>
      </c>
      <c r="CM32" s="65">
        <v>117437</v>
      </c>
      <c r="CN32" s="65">
        <v>261195</v>
      </c>
      <c r="CO32" s="65">
        <v>345721</v>
      </c>
      <c r="CP32" s="66">
        <v>1768726</v>
      </c>
      <c r="CQ32" s="539">
        <v>1360824</v>
      </c>
      <c r="CR32" s="539">
        <v>130557</v>
      </c>
      <c r="CS32" s="65">
        <v>277345</v>
      </c>
      <c r="CT32" s="539">
        <v>360868</v>
      </c>
      <c r="CU32" s="66">
        <v>1790594</v>
      </c>
      <c r="CV32" s="539">
        <v>1357737</v>
      </c>
      <c r="CW32" s="539">
        <v>134957</v>
      </c>
      <c r="CX32" s="329">
        <f t="shared" si="46"/>
        <v>297900</v>
      </c>
      <c r="CY32" s="633">
        <v>372713</v>
      </c>
      <c r="CZ32" s="59">
        <v>1813077</v>
      </c>
      <c r="DA32" s="59">
        <v>1350376</v>
      </c>
      <c r="DB32" s="59">
        <v>137382</v>
      </c>
      <c r="DC32" s="59">
        <v>325319</v>
      </c>
      <c r="DD32" s="636">
        <v>383607</v>
      </c>
      <c r="DE32" s="59">
        <v>1840605</v>
      </c>
      <c r="DF32" s="59">
        <v>1093949</v>
      </c>
      <c r="DG32" s="1">
        <v>142733</v>
      </c>
      <c r="DH32" s="59">
        <v>351811</v>
      </c>
      <c r="DI32" s="59">
        <v>395826</v>
      </c>
    </row>
    <row r="33" spans="1:113" x14ac:dyDescent="0.2">
      <c r="A33" s="241" t="s">
        <v>38</v>
      </c>
      <c r="B33" s="12"/>
      <c r="C33" s="25"/>
      <c r="D33" s="58">
        <v>444503</v>
      </c>
      <c r="E33" s="59">
        <v>208267</v>
      </c>
      <c r="F33" s="59">
        <v>207891</v>
      </c>
      <c r="G33" s="59">
        <v>14149</v>
      </c>
      <c r="H33" s="60">
        <v>14196</v>
      </c>
      <c r="I33" s="110">
        <v>489623</v>
      </c>
      <c r="J33" s="153">
        <f t="shared" si="35"/>
        <v>454193</v>
      </c>
      <c r="K33" s="59">
        <v>219260</v>
      </c>
      <c r="L33" s="59">
        <v>234933</v>
      </c>
      <c r="M33" s="153">
        <f t="shared" si="36"/>
        <v>7911</v>
      </c>
      <c r="N33" s="59">
        <v>3940</v>
      </c>
      <c r="O33" s="59">
        <v>3971</v>
      </c>
      <c r="P33" s="153">
        <f t="shared" si="37"/>
        <v>169304</v>
      </c>
      <c r="Q33" s="59">
        <v>82698</v>
      </c>
      <c r="R33" s="60">
        <v>86606</v>
      </c>
      <c r="S33" s="110">
        <v>707147</v>
      </c>
      <c r="T33" s="151">
        <f t="shared" si="38"/>
        <v>427371</v>
      </c>
      <c r="U33" s="59">
        <v>206207</v>
      </c>
      <c r="V33" s="59">
        <v>221164</v>
      </c>
      <c r="W33" s="151">
        <f t="shared" si="39"/>
        <v>10508</v>
      </c>
      <c r="X33" s="59">
        <v>5535</v>
      </c>
      <c r="Y33" s="59">
        <v>4973</v>
      </c>
      <c r="Z33" s="151">
        <f t="shared" si="40"/>
        <v>222076</v>
      </c>
      <c r="AA33" s="59">
        <v>106965</v>
      </c>
      <c r="AB33" s="59">
        <v>115111</v>
      </c>
      <c r="AC33" s="195">
        <v>45725</v>
      </c>
      <c r="AD33" s="195">
        <v>20789</v>
      </c>
      <c r="AE33" s="153">
        <v>24936</v>
      </c>
      <c r="AF33" s="110">
        <v>922590</v>
      </c>
      <c r="AG33" s="7">
        <v>734024</v>
      </c>
      <c r="AH33" s="88">
        <f t="shared" si="41"/>
        <v>525118</v>
      </c>
      <c r="AI33" s="59">
        <v>252107</v>
      </c>
      <c r="AJ33" s="59">
        <v>273011</v>
      </c>
      <c r="AK33" s="7">
        <v>16176</v>
      </c>
      <c r="AL33" s="88">
        <f t="shared" si="42"/>
        <v>15482</v>
      </c>
      <c r="AM33" s="59">
        <v>8333</v>
      </c>
      <c r="AN33" s="59">
        <v>7149</v>
      </c>
      <c r="AO33" s="7">
        <v>310224</v>
      </c>
      <c r="AP33" s="60">
        <v>149799</v>
      </c>
      <c r="AQ33" s="59">
        <v>160425</v>
      </c>
      <c r="AR33" s="92">
        <f t="shared" si="43"/>
        <v>71766</v>
      </c>
      <c r="AS33" s="110">
        <v>1134801</v>
      </c>
      <c r="AT33" s="7">
        <v>819163</v>
      </c>
      <c r="AU33" s="196">
        <v>392569</v>
      </c>
      <c r="AV33" s="196">
        <v>426594</v>
      </c>
      <c r="AW33" s="88">
        <f t="shared" si="44"/>
        <v>585792</v>
      </c>
      <c r="AX33" s="59">
        <v>280732</v>
      </c>
      <c r="AY33" s="60">
        <v>305060</v>
      </c>
      <c r="AZ33" s="7">
        <v>19291</v>
      </c>
      <c r="BA33" s="59">
        <v>10326</v>
      </c>
      <c r="BB33" s="59">
        <v>8965</v>
      </c>
      <c r="BC33" s="7">
        <v>420863</v>
      </c>
      <c r="BD33" s="59">
        <v>203071</v>
      </c>
      <c r="BE33" s="59">
        <v>217792</v>
      </c>
      <c r="BF33" s="195">
        <v>296347</v>
      </c>
      <c r="BG33" s="195">
        <v>141082</v>
      </c>
      <c r="BH33" s="153">
        <v>155265</v>
      </c>
      <c r="BI33" s="199">
        <v>1316053</v>
      </c>
      <c r="BJ33" s="60">
        <v>637637</v>
      </c>
      <c r="BK33" s="60">
        <v>678416</v>
      </c>
      <c r="BL33" s="67">
        <v>1005255</v>
      </c>
      <c r="BM33" s="67">
        <v>484197</v>
      </c>
      <c r="BN33" s="67">
        <v>521058</v>
      </c>
      <c r="BO33" s="67">
        <v>630338</v>
      </c>
      <c r="BP33" s="67">
        <v>305425</v>
      </c>
      <c r="BQ33" s="67">
        <v>324913</v>
      </c>
      <c r="BR33" s="67">
        <v>24817</v>
      </c>
      <c r="BS33" s="67">
        <v>13802</v>
      </c>
      <c r="BT33" s="67">
        <v>11015</v>
      </c>
      <c r="BU33" s="67">
        <v>530895</v>
      </c>
      <c r="BV33" s="67">
        <v>258230</v>
      </c>
      <c r="BW33" s="67">
        <v>272665</v>
      </c>
      <c r="BX33" s="153">
        <f t="shared" si="45"/>
        <v>285981</v>
      </c>
      <c r="BY33" s="67">
        <v>139638</v>
      </c>
      <c r="BZ33" s="67">
        <v>146343</v>
      </c>
      <c r="CA33" s="210">
        <v>1240342</v>
      </c>
      <c r="CB33" s="7">
        <v>899424</v>
      </c>
      <c r="CC33" s="59">
        <v>23340</v>
      </c>
      <c r="CD33" s="59">
        <v>317578</v>
      </c>
      <c r="CE33" s="59">
        <v>491137</v>
      </c>
      <c r="CF33" s="199">
        <v>1258320</v>
      </c>
      <c r="CG33" s="7">
        <v>929122</v>
      </c>
      <c r="CH33" s="59">
        <v>24256</v>
      </c>
      <c r="CI33" s="59">
        <v>304942</v>
      </c>
      <c r="CJ33" s="59">
        <v>502531</v>
      </c>
      <c r="CK33" s="66">
        <v>1280801</v>
      </c>
      <c r="CL33" s="64">
        <v>958938</v>
      </c>
      <c r="CM33" s="65">
        <v>25604</v>
      </c>
      <c r="CN33" s="65">
        <v>296259</v>
      </c>
      <c r="CO33" s="65">
        <v>515565</v>
      </c>
      <c r="CP33" s="66">
        <v>1316053</v>
      </c>
      <c r="CQ33" s="539">
        <v>1005255</v>
      </c>
      <c r="CR33" s="539">
        <v>24817</v>
      </c>
      <c r="CS33" s="65">
        <v>285981</v>
      </c>
      <c r="CT33" s="539">
        <v>530895</v>
      </c>
      <c r="CU33" s="66">
        <v>1337142</v>
      </c>
      <c r="CV33" s="539">
        <v>1015138</v>
      </c>
      <c r="CW33" s="539">
        <v>25188</v>
      </c>
      <c r="CX33" s="329">
        <f t="shared" si="46"/>
        <v>296816</v>
      </c>
      <c r="CY33" s="633">
        <v>546069</v>
      </c>
      <c r="CZ33" s="59">
        <v>1353059</v>
      </c>
      <c r="DA33" s="59">
        <v>1021448</v>
      </c>
      <c r="DB33" s="59">
        <v>25005</v>
      </c>
      <c r="DC33" s="59">
        <v>305813</v>
      </c>
      <c r="DD33" s="636">
        <v>557831</v>
      </c>
      <c r="DE33" s="59">
        <v>1358996</v>
      </c>
      <c r="DF33" s="59">
        <v>630446</v>
      </c>
      <c r="DG33" s="1">
        <v>25244</v>
      </c>
      <c r="DH33" s="59">
        <v>301477</v>
      </c>
      <c r="DI33" s="59">
        <v>564206</v>
      </c>
    </row>
    <row r="34" spans="1:113" x14ac:dyDescent="0.2">
      <c r="A34" s="241" t="s">
        <v>42</v>
      </c>
      <c r="B34" s="12"/>
      <c r="C34" s="25"/>
      <c r="D34" s="58">
        <v>996083</v>
      </c>
      <c r="E34" s="59">
        <v>482086</v>
      </c>
      <c r="F34" s="59">
        <v>496251</v>
      </c>
      <c r="G34" s="59">
        <v>9295</v>
      </c>
      <c r="H34" s="60">
        <v>8451</v>
      </c>
      <c r="I34" s="110">
        <v>1156024</v>
      </c>
      <c r="J34" s="153">
        <f t="shared" si="35"/>
        <v>1130529</v>
      </c>
      <c r="K34" s="59">
        <v>544150</v>
      </c>
      <c r="L34" s="59">
        <v>586379</v>
      </c>
      <c r="M34" s="153">
        <f t="shared" si="36"/>
        <v>11852</v>
      </c>
      <c r="N34" s="59">
        <v>6025</v>
      </c>
      <c r="O34" s="59">
        <v>5827</v>
      </c>
      <c r="P34" s="153">
        <f t="shared" si="37"/>
        <v>13635</v>
      </c>
      <c r="Q34" s="59">
        <v>7123</v>
      </c>
      <c r="R34" s="60">
        <v>6512</v>
      </c>
      <c r="S34" s="110">
        <v>1579841</v>
      </c>
      <c r="T34" s="151">
        <f t="shared" si="38"/>
        <v>1499311</v>
      </c>
      <c r="U34" s="59">
        <v>720969</v>
      </c>
      <c r="V34" s="59">
        <v>778342</v>
      </c>
      <c r="W34" s="151">
        <f t="shared" si="39"/>
        <v>17834</v>
      </c>
      <c r="X34" s="59">
        <v>9380</v>
      </c>
      <c r="Y34" s="59">
        <v>8454</v>
      </c>
      <c r="Z34" s="151">
        <f t="shared" si="40"/>
        <v>27457</v>
      </c>
      <c r="AA34" s="59">
        <v>14652</v>
      </c>
      <c r="AB34" s="59">
        <v>12805</v>
      </c>
      <c r="AC34" s="195">
        <v>34186</v>
      </c>
      <c r="AD34" s="195">
        <v>16058</v>
      </c>
      <c r="AE34" s="153">
        <v>18128</v>
      </c>
      <c r="AF34" s="110">
        <v>1855369</v>
      </c>
      <c r="AG34" s="7">
        <v>1748500</v>
      </c>
      <c r="AH34" s="88">
        <f t="shared" si="41"/>
        <v>1722514</v>
      </c>
      <c r="AI34" s="59">
        <v>823790</v>
      </c>
      <c r="AJ34" s="59">
        <v>898724</v>
      </c>
      <c r="AK34" s="7">
        <v>24123</v>
      </c>
      <c r="AL34" s="88">
        <f t="shared" si="42"/>
        <v>23765</v>
      </c>
      <c r="AM34" s="59">
        <v>12514</v>
      </c>
      <c r="AN34" s="59">
        <v>11251</v>
      </c>
      <c r="AO34" s="7">
        <v>50104</v>
      </c>
      <c r="AP34" s="60">
        <v>28013</v>
      </c>
      <c r="AQ34" s="59">
        <v>22091</v>
      </c>
      <c r="AR34" s="92">
        <f t="shared" si="43"/>
        <v>58986</v>
      </c>
      <c r="AS34" s="110">
        <v>2250998</v>
      </c>
      <c r="AT34" s="7">
        <v>2009396</v>
      </c>
      <c r="AU34" s="196">
        <v>971030</v>
      </c>
      <c r="AV34" s="196">
        <v>1038366</v>
      </c>
      <c r="AW34" s="88">
        <f t="shared" si="44"/>
        <v>1961219</v>
      </c>
      <c r="AX34" s="59">
        <v>945533</v>
      </c>
      <c r="AY34" s="60">
        <v>1015686</v>
      </c>
      <c r="AZ34" s="7">
        <v>30502</v>
      </c>
      <c r="BA34" s="59">
        <v>16680</v>
      </c>
      <c r="BB34" s="59">
        <v>13822</v>
      </c>
      <c r="BC34" s="7">
        <v>125163</v>
      </c>
      <c r="BD34" s="59">
        <v>70125</v>
      </c>
      <c r="BE34" s="59">
        <v>55038</v>
      </c>
      <c r="BF34" s="195">
        <v>211100</v>
      </c>
      <c r="BG34" s="195">
        <v>107853</v>
      </c>
      <c r="BH34" s="153">
        <v>103247</v>
      </c>
      <c r="BI34" s="199">
        <v>2580193</v>
      </c>
      <c r="BJ34" s="60">
        <v>1257246</v>
      </c>
      <c r="BK34" s="60">
        <v>1322947</v>
      </c>
      <c r="BL34" s="67">
        <v>2280700</v>
      </c>
      <c r="BM34" s="67">
        <v>1108302</v>
      </c>
      <c r="BN34" s="67">
        <v>1172398</v>
      </c>
      <c r="BO34" s="67">
        <v>2158385</v>
      </c>
      <c r="BP34" s="67">
        <v>1044475</v>
      </c>
      <c r="BQ34" s="67">
        <v>1113910</v>
      </c>
      <c r="BR34" s="67">
        <v>40052</v>
      </c>
      <c r="BS34" s="67">
        <v>22025</v>
      </c>
      <c r="BT34" s="67">
        <v>18027</v>
      </c>
      <c r="BU34" s="67">
        <v>208782</v>
      </c>
      <c r="BV34" s="67">
        <v>111492</v>
      </c>
      <c r="BW34" s="67">
        <v>97290</v>
      </c>
      <c r="BX34" s="153">
        <f t="shared" si="45"/>
        <v>259441</v>
      </c>
      <c r="BY34" s="67">
        <v>126919</v>
      </c>
      <c r="BZ34" s="67">
        <v>132522</v>
      </c>
      <c r="CA34" s="210">
        <v>2496987</v>
      </c>
      <c r="CB34" s="7">
        <v>2213707</v>
      </c>
      <c r="CC34" s="59">
        <v>36269</v>
      </c>
      <c r="CD34" s="59">
        <v>247011</v>
      </c>
      <c r="CE34" s="59">
        <v>189937</v>
      </c>
      <c r="CF34" s="199">
        <v>2538321</v>
      </c>
      <c r="CG34" s="7">
        <v>2252578</v>
      </c>
      <c r="CH34" s="59">
        <v>36758</v>
      </c>
      <c r="CI34" s="59">
        <v>248985</v>
      </c>
      <c r="CJ34" s="59">
        <v>198554</v>
      </c>
      <c r="CK34" s="66">
        <v>2551516</v>
      </c>
      <c r="CL34" s="64">
        <v>2262644</v>
      </c>
      <c r="CM34" s="65">
        <v>38217</v>
      </c>
      <c r="CN34" s="65">
        <v>250655</v>
      </c>
      <c r="CO34" s="65">
        <v>199269</v>
      </c>
      <c r="CP34" s="66">
        <v>2580193</v>
      </c>
      <c r="CQ34" s="539">
        <v>2280700</v>
      </c>
      <c r="CR34" s="539">
        <v>40052</v>
      </c>
      <c r="CS34" s="65">
        <v>259441</v>
      </c>
      <c r="CT34" s="539">
        <v>208782</v>
      </c>
      <c r="CU34" s="66">
        <v>2613587</v>
      </c>
      <c r="CV34" s="539">
        <v>2297671</v>
      </c>
      <c r="CW34" s="539">
        <v>41710</v>
      </c>
      <c r="CX34" s="329">
        <f t="shared" si="46"/>
        <v>274206</v>
      </c>
      <c r="CY34" s="633">
        <v>216750</v>
      </c>
      <c r="CZ34" s="59">
        <v>2643922</v>
      </c>
      <c r="DA34" s="59">
        <v>2322273</v>
      </c>
      <c r="DB34" s="59">
        <v>41748</v>
      </c>
      <c r="DC34" s="59">
        <v>279901</v>
      </c>
      <c r="DD34" s="636">
        <v>222719</v>
      </c>
      <c r="DE34" s="59">
        <v>2673399</v>
      </c>
      <c r="DF34" s="59">
        <v>2210043</v>
      </c>
      <c r="DG34" s="1">
        <v>43004</v>
      </c>
      <c r="DH34" s="59">
        <v>278157</v>
      </c>
      <c r="DI34" s="59">
        <v>229153</v>
      </c>
    </row>
    <row r="35" spans="1:113" x14ac:dyDescent="0.2">
      <c r="A35" s="241" t="s">
        <v>46</v>
      </c>
      <c r="B35" s="12"/>
      <c r="C35" s="25"/>
      <c r="D35" s="58">
        <v>419381</v>
      </c>
      <c r="E35" s="59">
        <v>204028</v>
      </c>
      <c r="F35" s="59">
        <v>208033</v>
      </c>
      <c r="G35" s="59">
        <v>3938</v>
      </c>
      <c r="H35" s="60">
        <v>3382</v>
      </c>
      <c r="I35" s="110">
        <v>492337</v>
      </c>
      <c r="J35" s="153">
        <f t="shared" si="35"/>
        <v>482753</v>
      </c>
      <c r="K35" s="59">
        <v>234201</v>
      </c>
      <c r="L35" s="59">
        <v>248552</v>
      </c>
      <c r="M35" s="153">
        <f t="shared" si="36"/>
        <v>2273</v>
      </c>
      <c r="N35" s="59">
        <v>1164</v>
      </c>
      <c r="O35" s="59">
        <v>1109</v>
      </c>
      <c r="P35" s="153">
        <f t="shared" si="37"/>
        <v>15813</v>
      </c>
      <c r="Q35" s="59">
        <v>8167</v>
      </c>
      <c r="R35" s="60">
        <v>7646</v>
      </c>
      <c r="S35" s="110">
        <v>704790</v>
      </c>
      <c r="T35" s="151">
        <f t="shared" si="38"/>
        <v>661203</v>
      </c>
      <c r="U35" s="59">
        <v>321673</v>
      </c>
      <c r="V35" s="59">
        <v>339530</v>
      </c>
      <c r="W35" s="151">
        <f t="shared" si="39"/>
        <v>4030</v>
      </c>
      <c r="X35" s="59">
        <v>2285</v>
      </c>
      <c r="Y35" s="59">
        <v>1745</v>
      </c>
      <c r="Z35" s="151">
        <f t="shared" si="40"/>
        <v>23523</v>
      </c>
      <c r="AA35" s="59">
        <v>11871</v>
      </c>
      <c r="AB35" s="59">
        <v>11652</v>
      </c>
      <c r="AC35" s="195">
        <v>15530</v>
      </c>
      <c r="AD35" s="195">
        <v>7397</v>
      </c>
      <c r="AE35" s="153">
        <v>8133</v>
      </c>
      <c r="AF35" s="110">
        <v>897321</v>
      </c>
      <c r="AG35" s="7">
        <v>847484</v>
      </c>
      <c r="AH35" s="88">
        <f t="shared" si="41"/>
        <v>828157</v>
      </c>
      <c r="AI35" s="59">
        <v>401365</v>
      </c>
      <c r="AJ35" s="59">
        <v>426792</v>
      </c>
      <c r="AK35" s="7">
        <v>5526</v>
      </c>
      <c r="AL35" s="88">
        <f t="shared" si="42"/>
        <v>5266</v>
      </c>
      <c r="AM35" s="59">
        <v>3134</v>
      </c>
      <c r="AN35" s="59">
        <v>2132</v>
      </c>
      <c r="AO35" s="7">
        <v>37082</v>
      </c>
      <c r="AP35" s="60">
        <v>18925</v>
      </c>
      <c r="AQ35" s="59">
        <v>18157</v>
      </c>
      <c r="AR35" s="92">
        <f t="shared" si="43"/>
        <v>26816</v>
      </c>
      <c r="AS35" s="110">
        <v>1197892</v>
      </c>
      <c r="AT35" s="7">
        <v>1085309</v>
      </c>
      <c r="AU35" s="196">
        <v>533349</v>
      </c>
      <c r="AV35" s="196">
        <v>551960</v>
      </c>
      <c r="AW35" s="88">
        <f t="shared" si="44"/>
        <v>1044901</v>
      </c>
      <c r="AX35" s="59">
        <v>512244</v>
      </c>
      <c r="AY35" s="60">
        <v>532657</v>
      </c>
      <c r="AZ35" s="7">
        <v>7996</v>
      </c>
      <c r="BA35" s="59">
        <v>4825</v>
      </c>
      <c r="BB35" s="59">
        <v>3171</v>
      </c>
      <c r="BC35" s="7">
        <v>91672</v>
      </c>
      <c r="BD35" s="59">
        <v>49400</v>
      </c>
      <c r="BE35" s="59">
        <v>42272</v>
      </c>
      <c r="BF35" s="195">
        <v>104587</v>
      </c>
      <c r="BG35" s="195">
        <v>54525</v>
      </c>
      <c r="BH35" s="153">
        <v>50062</v>
      </c>
      <c r="BI35" s="199">
        <v>1546535</v>
      </c>
      <c r="BJ35" s="60">
        <v>768004</v>
      </c>
      <c r="BK35" s="60">
        <v>778531</v>
      </c>
      <c r="BL35" s="67">
        <v>1408836</v>
      </c>
      <c r="BM35" s="67">
        <v>698410</v>
      </c>
      <c r="BN35" s="67">
        <v>710426</v>
      </c>
      <c r="BO35" s="67">
        <v>1295596</v>
      </c>
      <c r="BP35" s="67">
        <v>639995</v>
      </c>
      <c r="BQ35" s="67">
        <v>655601</v>
      </c>
      <c r="BR35" s="67">
        <v>13265</v>
      </c>
      <c r="BS35" s="67">
        <v>7916</v>
      </c>
      <c r="BT35" s="67">
        <v>5349</v>
      </c>
      <c r="BU35" s="67">
        <v>163418</v>
      </c>
      <c r="BV35" s="67">
        <v>84485</v>
      </c>
      <c r="BW35" s="67">
        <v>78933</v>
      </c>
      <c r="BX35" s="153">
        <f t="shared" si="45"/>
        <v>124434</v>
      </c>
      <c r="BY35" s="67">
        <v>61678</v>
      </c>
      <c r="BZ35" s="67">
        <v>62756</v>
      </c>
      <c r="CA35" s="210">
        <v>1449914</v>
      </c>
      <c r="CB35" s="7">
        <v>1318766</v>
      </c>
      <c r="CC35" s="59">
        <v>11226</v>
      </c>
      <c r="CD35" s="59">
        <v>119922</v>
      </c>
      <c r="CE35" s="59">
        <v>142517</v>
      </c>
      <c r="CF35" s="199">
        <v>1508950</v>
      </c>
      <c r="CG35" s="7">
        <v>1380406</v>
      </c>
      <c r="CH35" s="59">
        <v>11943</v>
      </c>
      <c r="CI35" s="59">
        <v>116601</v>
      </c>
      <c r="CJ35" s="59">
        <v>150679</v>
      </c>
      <c r="CK35" s="66">
        <v>1535560</v>
      </c>
      <c r="CL35" s="64">
        <v>1407637</v>
      </c>
      <c r="CM35" s="65">
        <v>12763</v>
      </c>
      <c r="CN35" s="65">
        <v>115160</v>
      </c>
      <c r="CO35" s="65">
        <v>154054</v>
      </c>
      <c r="CP35" s="66">
        <v>1546535</v>
      </c>
      <c r="CQ35" s="539">
        <v>1408836</v>
      </c>
      <c r="CR35" s="539">
        <v>13265</v>
      </c>
      <c r="CS35" s="65">
        <v>124434</v>
      </c>
      <c r="CT35" s="539">
        <v>163418</v>
      </c>
      <c r="CU35" s="66">
        <v>1579327</v>
      </c>
      <c r="CV35" s="539">
        <v>1429859</v>
      </c>
      <c r="CW35" s="539">
        <v>13828</v>
      </c>
      <c r="CX35" s="329">
        <f t="shared" si="46"/>
        <v>135640</v>
      </c>
      <c r="CY35" s="633">
        <v>170435</v>
      </c>
      <c r="CZ35" s="59">
        <v>1612410</v>
      </c>
      <c r="DA35" s="59">
        <v>1454446</v>
      </c>
      <c r="DB35" s="59">
        <v>14666</v>
      </c>
      <c r="DC35" s="59">
        <v>143298</v>
      </c>
      <c r="DD35" s="636">
        <v>176475</v>
      </c>
      <c r="DE35" s="59">
        <v>1641750</v>
      </c>
      <c r="DF35" s="59">
        <v>1362961</v>
      </c>
      <c r="DG35" s="1">
        <v>15596</v>
      </c>
      <c r="DH35" s="59">
        <v>151863</v>
      </c>
      <c r="DI35" s="59">
        <v>180611</v>
      </c>
    </row>
    <row r="36" spans="1:113" x14ac:dyDescent="0.2">
      <c r="A36" s="241" t="s">
        <v>48</v>
      </c>
      <c r="B36" s="12"/>
      <c r="C36" s="25"/>
      <c r="D36" s="58">
        <v>1577155</v>
      </c>
      <c r="E36" s="59">
        <v>757925</v>
      </c>
      <c r="F36" s="59">
        <v>769964</v>
      </c>
      <c r="G36" s="59">
        <v>26718</v>
      </c>
      <c r="H36" s="60">
        <v>22548</v>
      </c>
      <c r="I36" s="110">
        <v>1825888</v>
      </c>
      <c r="J36" s="153">
        <f t="shared" si="35"/>
        <v>1755741</v>
      </c>
      <c r="K36" s="59">
        <v>851678</v>
      </c>
      <c r="L36" s="59">
        <v>904063</v>
      </c>
      <c r="M36" s="153">
        <f t="shared" si="36"/>
        <v>31489</v>
      </c>
      <c r="N36" s="59">
        <v>16618</v>
      </c>
      <c r="O36" s="59">
        <v>14871</v>
      </c>
      <c r="P36" s="153">
        <f t="shared" si="37"/>
        <v>26814</v>
      </c>
      <c r="Q36" s="59">
        <v>14479</v>
      </c>
      <c r="R36" s="60">
        <v>12335</v>
      </c>
      <c r="S36" s="110">
        <v>2439417</v>
      </c>
      <c r="T36" s="151">
        <f t="shared" si="38"/>
        <v>2253266</v>
      </c>
      <c r="U36" s="59">
        <v>1091346</v>
      </c>
      <c r="V36" s="59">
        <v>1161920</v>
      </c>
      <c r="W36" s="151">
        <f t="shared" si="39"/>
        <v>49212</v>
      </c>
      <c r="X36" s="59">
        <v>26371</v>
      </c>
      <c r="Y36" s="59">
        <v>22841</v>
      </c>
      <c r="Z36" s="151">
        <f t="shared" si="40"/>
        <v>48302</v>
      </c>
      <c r="AA36" s="59">
        <v>25524</v>
      </c>
      <c r="AB36" s="59">
        <v>22778</v>
      </c>
      <c r="AC36" s="195">
        <v>86575</v>
      </c>
      <c r="AD36" s="195">
        <v>38976</v>
      </c>
      <c r="AE36" s="153">
        <v>47599</v>
      </c>
      <c r="AF36" s="110">
        <v>3126390</v>
      </c>
      <c r="AG36" s="7">
        <v>2833653</v>
      </c>
      <c r="AH36" s="88">
        <f t="shared" si="41"/>
        <v>2794268</v>
      </c>
      <c r="AI36" s="59">
        <v>1354563</v>
      </c>
      <c r="AJ36" s="59">
        <v>1439705</v>
      </c>
      <c r="AK36" s="7">
        <v>78598</v>
      </c>
      <c r="AL36" s="88">
        <f t="shared" si="42"/>
        <v>77320</v>
      </c>
      <c r="AM36" s="59">
        <v>41691</v>
      </c>
      <c r="AN36" s="59">
        <v>35629</v>
      </c>
      <c r="AO36" s="7">
        <v>92937</v>
      </c>
      <c r="AP36" s="60">
        <v>50172</v>
      </c>
      <c r="AQ36" s="59">
        <v>42765</v>
      </c>
      <c r="AR36" s="92">
        <f t="shared" si="43"/>
        <v>161865</v>
      </c>
      <c r="AS36" s="110">
        <v>3827507</v>
      </c>
      <c r="AT36" s="7">
        <v>3248493</v>
      </c>
      <c r="AU36" s="196">
        <v>1585091</v>
      </c>
      <c r="AV36" s="196">
        <v>1663402</v>
      </c>
      <c r="AW36" s="88">
        <f t="shared" si="44"/>
        <v>3167304</v>
      </c>
      <c r="AX36" s="59">
        <v>1542335</v>
      </c>
      <c r="AY36" s="60">
        <v>1624969</v>
      </c>
      <c r="AZ36" s="7">
        <v>107612</v>
      </c>
      <c r="BA36" s="59">
        <v>58333</v>
      </c>
      <c r="BB36" s="59">
        <v>49279</v>
      </c>
      <c r="BC36" s="7">
        <v>200700</v>
      </c>
      <c r="BD36" s="59">
        <v>108381</v>
      </c>
      <c r="BE36" s="59">
        <v>92319</v>
      </c>
      <c r="BF36" s="195">
        <v>471402</v>
      </c>
      <c r="BG36" s="195">
        <v>227176</v>
      </c>
      <c r="BH36" s="153">
        <v>244226</v>
      </c>
      <c r="BI36" s="199">
        <v>4436983</v>
      </c>
      <c r="BJ36" s="60">
        <v>2176719</v>
      </c>
      <c r="BK36" s="60">
        <v>2260264</v>
      </c>
      <c r="BL36" s="67">
        <v>3652906</v>
      </c>
      <c r="BM36" s="67">
        <v>1791661</v>
      </c>
      <c r="BN36" s="67">
        <v>1861245</v>
      </c>
      <c r="BO36" s="67">
        <v>3460705</v>
      </c>
      <c r="BP36" s="67">
        <v>1693849</v>
      </c>
      <c r="BQ36" s="67">
        <v>1766856</v>
      </c>
      <c r="BR36" s="67">
        <v>142527</v>
      </c>
      <c r="BS36" s="67">
        <v>78106</v>
      </c>
      <c r="BT36" s="67">
        <v>64421</v>
      </c>
      <c r="BU36" s="67">
        <v>346427</v>
      </c>
      <c r="BV36" s="67">
        <v>182659</v>
      </c>
      <c r="BW36" s="67">
        <v>163768</v>
      </c>
      <c r="BX36" s="153">
        <f t="shared" si="45"/>
        <v>641550</v>
      </c>
      <c r="BY36" s="67">
        <v>306952</v>
      </c>
      <c r="BZ36" s="67">
        <v>334598</v>
      </c>
      <c r="CA36" s="210">
        <v>4243790</v>
      </c>
      <c r="CB36" s="7">
        <v>3542502</v>
      </c>
      <c r="CC36" s="59">
        <v>127967</v>
      </c>
      <c r="CD36" s="59">
        <v>573321</v>
      </c>
      <c r="CE36" s="59">
        <v>287054</v>
      </c>
      <c r="CF36" s="199">
        <v>4313853</v>
      </c>
      <c r="CG36" s="7">
        <v>3595070</v>
      </c>
      <c r="CH36" s="59">
        <v>130331</v>
      </c>
      <c r="CI36" s="59">
        <v>588452</v>
      </c>
      <c r="CJ36" s="59">
        <v>300432</v>
      </c>
      <c r="CK36" s="66">
        <v>4370771</v>
      </c>
      <c r="CL36" s="64">
        <v>3636020</v>
      </c>
      <c r="CM36" s="65">
        <v>133491</v>
      </c>
      <c r="CN36" s="65">
        <v>601260</v>
      </c>
      <c r="CO36" s="65">
        <v>311675</v>
      </c>
      <c r="CP36" s="66">
        <v>4436983</v>
      </c>
      <c r="CQ36" s="539">
        <v>3652906</v>
      </c>
      <c r="CR36" s="539">
        <v>142527</v>
      </c>
      <c r="CS36" s="65">
        <v>641550</v>
      </c>
      <c r="CT36" s="539">
        <v>346427</v>
      </c>
      <c r="CU36" s="66">
        <v>4511908</v>
      </c>
      <c r="CV36" s="539">
        <v>3702007</v>
      </c>
      <c r="CW36" s="539">
        <v>146310</v>
      </c>
      <c r="CX36" s="329">
        <f t="shared" si="46"/>
        <v>663591</v>
      </c>
      <c r="CY36" s="633">
        <v>363085</v>
      </c>
      <c r="CZ36" s="59">
        <v>4577171</v>
      </c>
      <c r="DA36" s="59">
        <v>3740562</v>
      </c>
      <c r="DB36" s="59">
        <v>150219</v>
      </c>
      <c r="DC36" s="59">
        <v>686390</v>
      </c>
      <c r="DD36" s="636">
        <v>376097</v>
      </c>
      <c r="DE36" s="59">
        <v>4640203</v>
      </c>
      <c r="DF36" s="59">
        <v>3553558</v>
      </c>
      <c r="DG36" s="1">
        <v>155404</v>
      </c>
      <c r="DH36" s="59">
        <v>704353</v>
      </c>
      <c r="DI36" s="59">
        <v>389403</v>
      </c>
    </row>
    <row r="37" spans="1:113" x14ac:dyDescent="0.2">
      <c r="A37" s="245" t="s">
        <v>50</v>
      </c>
      <c r="B37" s="266"/>
      <c r="C37" s="406"/>
      <c r="D37" s="407">
        <v>174252</v>
      </c>
      <c r="E37" s="408">
        <v>88542</v>
      </c>
      <c r="F37" s="408">
        <v>82759</v>
      </c>
      <c r="G37" s="408">
        <v>1585</v>
      </c>
      <c r="H37" s="408">
        <v>1366</v>
      </c>
      <c r="I37" s="409">
        <v>175649</v>
      </c>
      <c r="J37" s="410">
        <f t="shared" si="35"/>
        <v>172299</v>
      </c>
      <c r="K37" s="408">
        <v>85296</v>
      </c>
      <c r="L37" s="408">
        <v>87003</v>
      </c>
      <c r="M37" s="410">
        <f t="shared" si="36"/>
        <v>1047</v>
      </c>
      <c r="N37" s="408">
        <v>541</v>
      </c>
      <c r="O37" s="408">
        <v>506</v>
      </c>
      <c r="P37" s="410">
        <f t="shared" si="37"/>
        <v>7191</v>
      </c>
      <c r="Q37" s="408">
        <v>3643</v>
      </c>
      <c r="R37" s="408">
        <v>3548</v>
      </c>
      <c r="S37" s="409">
        <v>255149</v>
      </c>
      <c r="T37" s="272">
        <f t="shared" si="38"/>
        <v>238674</v>
      </c>
      <c r="U37" s="408">
        <v>120895</v>
      </c>
      <c r="V37" s="408">
        <v>117779</v>
      </c>
      <c r="W37" s="272">
        <f t="shared" si="39"/>
        <v>1338</v>
      </c>
      <c r="X37" s="408">
        <v>759</v>
      </c>
      <c r="Y37" s="408">
        <v>579</v>
      </c>
      <c r="Z37" s="272">
        <f t="shared" si="40"/>
        <v>10451</v>
      </c>
      <c r="AA37" s="408">
        <v>5630</v>
      </c>
      <c r="AB37" s="408">
        <v>4821</v>
      </c>
      <c r="AC37" s="410">
        <v>4469</v>
      </c>
      <c r="AD37" s="410">
        <v>2094</v>
      </c>
      <c r="AE37" s="410">
        <v>2375</v>
      </c>
      <c r="AF37" s="409">
        <v>277769</v>
      </c>
      <c r="AG37" s="265">
        <v>264566</v>
      </c>
      <c r="AH37" s="272">
        <f t="shared" si="41"/>
        <v>257937</v>
      </c>
      <c r="AI37" s="408">
        <v>126823</v>
      </c>
      <c r="AJ37" s="408">
        <v>131114</v>
      </c>
      <c r="AK37" s="265">
        <v>1672</v>
      </c>
      <c r="AL37" s="272">
        <f t="shared" si="42"/>
        <v>1621</v>
      </c>
      <c r="AM37" s="408">
        <v>922</v>
      </c>
      <c r="AN37" s="408">
        <v>699</v>
      </c>
      <c r="AO37" s="265">
        <v>12340</v>
      </c>
      <c r="AP37" s="408">
        <v>6192</v>
      </c>
      <c r="AQ37" s="408">
        <v>6148</v>
      </c>
      <c r="AR37" s="411">
        <f t="shared" si="43"/>
        <v>5871</v>
      </c>
      <c r="AS37" s="409">
        <v>315663</v>
      </c>
      <c r="AT37" s="265">
        <v>295036</v>
      </c>
      <c r="AU37" s="412">
        <v>145849</v>
      </c>
      <c r="AV37" s="412">
        <v>149187</v>
      </c>
      <c r="AW37" s="272">
        <f t="shared" si="44"/>
        <v>286774</v>
      </c>
      <c r="AX37" s="408">
        <v>141814</v>
      </c>
      <c r="AY37" s="408">
        <v>144960</v>
      </c>
      <c r="AZ37" s="265">
        <v>1776</v>
      </c>
      <c r="BA37" s="408">
        <v>1081</v>
      </c>
      <c r="BB37" s="408">
        <v>695</v>
      </c>
      <c r="BC37" s="265">
        <v>15938</v>
      </c>
      <c r="BD37" s="408">
        <v>8148</v>
      </c>
      <c r="BE37" s="408">
        <v>7790</v>
      </c>
      <c r="BF37" s="410">
        <v>18851</v>
      </c>
      <c r="BG37" s="410">
        <v>9384</v>
      </c>
      <c r="BH37" s="410">
        <v>9467</v>
      </c>
      <c r="BI37" s="414">
        <v>363880</v>
      </c>
      <c r="BJ37" s="408">
        <v>183497</v>
      </c>
      <c r="BK37" s="408">
        <v>180383</v>
      </c>
      <c r="BL37" s="407">
        <v>339392</v>
      </c>
      <c r="BM37" s="407">
        <v>171336</v>
      </c>
      <c r="BN37" s="407">
        <v>168056</v>
      </c>
      <c r="BO37" s="407">
        <v>324759</v>
      </c>
      <c r="BP37" s="407">
        <v>163809</v>
      </c>
      <c r="BQ37" s="407">
        <v>160950</v>
      </c>
      <c r="BR37" s="407">
        <v>2305</v>
      </c>
      <c r="BS37" s="407">
        <v>1487</v>
      </c>
      <c r="BT37" s="407">
        <v>818</v>
      </c>
      <c r="BU37" s="407">
        <v>24138</v>
      </c>
      <c r="BV37" s="407">
        <v>12750</v>
      </c>
      <c r="BW37" s="407">
        <v>11388</v>
      </c>
      <c r="BX37" s="410">
        <f t="shared" si="45"/>
        <v>22183</v>
      </c>
      <c r="BY37" s="407">
        <v>10674</v>
      </c>
      <c r="BZ37" s="407">
        <v>11509</v>
      </c>
      <c r="CA37" s="413">
        <v>336599</v>
      </c>
      <c r="CB37" s="265">
        <v>314875</v>
      </c>
      <c r="CC37" s="408">
        <v>1891</v>
      </c>
      <c r="CD37" s="408">
        <v>19833</v>
      </c>
      <c r="CE37" s="408">
        <v>19622</v>
      </c>
      <c r="CF37" s="414">
        <v>343120</v>
      </c>
      <c r="CG37" s="265">
        <v>320707</v>
      </c>
      <c r="CH37" s="408">
        <v>2464</v>
      </c>
      <c r="CI37" s="408">
        <v>19949</v>
      </c>
      <c r="CJ37" s="408">
        <v>20667</v>
      </c>
      <c r="CK37" s="268">
        <v>346944</v>
      </c>
      <c r="CL37" s="269">
        <v>323959</v>
      </c>
      <c r="CM37" s="269">
        <v>2945</v>
      </c>
      <c r="CN37" s="269">
        <v>20040</v>
      </c>
      <c r="CO37" s="269">
        <v>22236</v>
      </c>
      <c r="CP37" s="268">
        <v>363880</v>
      </c>
      <c r="CQ37" s="539">
        <v>339392</v>
      </c>
      <c r="CR37" s="539">
        <v>2305</v>
      </c>
      <c r="CS37" s="65">
        <v>22183</v>
      </c>
      <c r="CT37" s="539">
        <v>24138</v>
      </c>
      <c r="CU37" s="268">
        <v>370897</v>
      </c>
      <c r="CV37" s="539">
        <v>344701</v>
      </c>
      <c r="CW37" s="539"/>
      <c r="CX37" s="329">
        <f t="shared" si="46"/>
        <v>26196</v>
      </c>
      <c r="CY37" s="633">
        <v>24810</v>
      </c>
      <c r="CZ37" s="414">
        <v>376874</v>
      </c>
      <c r="DA37" s="60">
        <v>349886</v>
      </c>
      <c r="DB37" s="60">
        <v>2899</v>
      </c>
      <c r="DC37" s="60">
        <v>23967</v>
      </c>
      <c r="DD37" s="637">
        <v>27775</v>
      </c>
      <c r="DE37" s="59">
        <v>380967</v>
      </c>
      <c r="DF37" s="59">
        <v>334327</v>
      </c>
      <c r="DG37" s="1">
        <v>3075</v>
      </c>
      <c r="DH37" s="59">
        <v>24848</v>
      </c>
      <c r="DI37" s="59">
        <v>28762</v>
      </c>
    </row>
    <row r="38" spans="1:113" x14ac:dyDescent="0.2">
      <c r="A38" s="246" t="s">
        <v>184</v>
      </c>
      <c r="B38" s="567">
        <f>SUM(B40:B51)</f>
        <v>0</v>
      </c>
      <c r="C38" s="472">
        <f t="shared" ref="C38:CF38" si="47">SUM(C40:C51)</f>
        <v>0</v>
      </c>
      <c r="D38" s="467">
        <f t="shared" si="47"/>
        <v>28697480</v>
      </c>
      <c r="E38" s="467">
        <f t="shared" si="47"/>
        <v>13059523</v>
      </c>
      <c r="F38" s="467">
        <f t="shared" si="47"/>
        <v>13818547</v>
      </c>
      <c r="G38" s="467">
        <f t="shared" si="47"/>
        <v>878386</v>
      </c>
      <c r="H38" s="470">
        <f t="shared" si="47"/>
        <v>941064</v>
      </c>
      <c r="I38" s="469">
        <f t="shared" si="47"/>
        <v>28548259</v>
      </c>
      <c r="J38" s="470">
        <f t="shared" si="47"/>
        <v>26351616</v>
      </c>
      <c r="K38" s="467">
        <f t="shared" si="47"/>
        <v>12533074</v>
      </c>
      <c r="L38" s="467">
        <f t="shared" si="47"/>
        <v>13818542</v>
      </c>
      <c r="M38" s="470">
        <f t="shared" si="47"/>
        <v>2056903</v>
      </c>
      <c r="N38" s="467">
        <f t="shared" si="47"/>
        <v>949174</v>
      </c>
      <c r="O38" s="467">
        <f t="shared" si="47"/>
        <v>1107729</v>
      </c>
      <c r="P38" s="470">
        <f t="shared" si="47"/>
        <v>321632</v>
      </c>
      <c r="Q38" s="467">
        <f t="shared" si="47"/>
        <v>165966</v>
      </c>
      <c r="R38" s="470">
        <f t="shared" si="47"/>
        <v>155666</v>
      </c>
      <c r="S38" s="469">
        <f t="shared" si="47"/>
        <v>34084932</v>
      </c>
      <c r="T38" s="313">
        <f t="shared" si="47"/>
        <v>30572834</v>
      </c>
      <c r="U38" s="467">
        <f t="shared" si="47"/>
        <v>14429538</v>
      </c>
      <c r="V38" s="467">
        <f t="shared" si="47"/>
        <v>16143296</v>
      </c>
      <c r="W38" s="313">
        <f t="shared" si="47"/>
        <v>2606960</v>
      </c>
      <c r="X38" s="467">
        <f t="shared" si="47"/>
        <v>1168843</v>
      </c>
      <c r="Y38" s="467">
        <f t="shared" si="47"/>
        <v>1438117</v>
      </c>
      <c r="Z38" s="313">
        <f t="shared" si="47"/>
        <v>541313</v>
      </c>
      <c r="AA38" s="467">
        <f t="shared" si="47"/>
        <v>277603</v>
      </c>
      <c r="AB38" s="467">
        <f t="shared" si="47"/>
        <v>263710</v>
      </c>
      <c r="AC38" s="467">
        <f t="shared" si="47"/>
        <v>348195</v>
      </c>
      <c r="AD38" s="467">
        <f t="shared" si="47"/>
        <v>160451</v>
      </c>
      <c r="AE38" s="470">
        <f t="shared" si="47"/>
        <v>187744</v>
      </c>
      <c r="AF38" s="469">
        <f t="shared" si="47"/>
        <v>37873006</v>
      </c>
      <c r="AG38" s="313">
        <f t="shared" si="47"/>
        <v>33751700</v>
      </c>
      <c r="AH38" s="308">
        <f t="shared" si="47"/>
        <v>33364723</v>
      </c>
      <c r="AI38" s="467">
        <f t="shared" si="47"/>
        <v>15779009</v>
      </c>
      <c r="AJ38" s="467">
        <f t="shared" si="47"/>
        <v>17585714</v>
      </c>
      <c r="AK38" s="313">
        <f t="shared" si="47"/>
        <v>3147680</v>
      </c>
      <c r="AL38" s="308">
        <f t="shared" si="47"/>
        <v>3130275</v>
      </c>
      <c r="AM38" s="467">
        <f t="shared" si="47"/>
        <v>1386032</v>
      </c>
      <c r="AN38" s="467">
        <f t="shared" si="47"/>
        <v>1744243</v>
      </c>
      <c r="AO38" s="313">
        <f t="shared" si="47"/>
        <v>789239</v>
      </c>
      <c r="AP38" s="470">
        <f t="shared" si="47"/>
        <v>408847</v>
      </c>
      <c r="AQ38" s="467">
        <f t="shared" si="47"/>
        <v>380392</v>
      </c>
      <c r="AR38" s="471">
        <f t="shared" si="47"/>
        <v>588769</v>
      </c>
      <c r="AS38" s="469">
        <f t="shared" si="47"/>
        <v>41537007</v>
      </c>
      <c r="AT38" s="313">
        <f t="shared" si="47"/>
        <v>35789504</v>
      </c>
      <c r="AU38" s="473">
        <f t="shared" si="47"/>
        <v>17142791</v>
      </c>
      <c r="AV38" s="473">
        <f t="shared" si="47"/>
        <v>18646713</v>
      </c>
      <c r="AW38" s="308">
        <f t="shared" si="47"/>
        <v>35071724</v>
      </c>
      <c r="AX38" s="467">
        <f t="shared" si="47"/>
        <v>16766529</v>
      </c>
      <c r="AY38" s="470">
        <f t="shared" si="47"/>
        <v>18305195</v>
      </c>
      <c r="AZ38" s="313">
        <f t="shared" si="47"/>
        <v>3649327</v>
      </c>
      <c r="BA38" s="467">
        <f t="shared" si="47"/>
        <v>1644765</v>
      </c>
      <c r="BB38" s="467">
        <f t="shared" si="47"/>
        <v>2004562</v>
      </c>
      <c r="BC38" s="313">
        <f t="shared" si="47"/>
        <v>1501284</v>
      </c>
      <c r="BD38" s="467">
        <f t="shared" si="47"/>
        <v>799960</v>
      </c>
      <c r="BE38" s="467">
        <f t="shared" si="47"/>
        <v>701324</v>
      </c>
      <c r="BF38" s="467">
        <f t="shared" si="47"/>
        <v>2098176</v>
      </c>
      <c r="BG38" s="467">
        <f t="shared" si="47"/>
        <v>1058543</v>
      </c>
      <c r="BH38" s="470">
        <f t="shared" si="47"/>
        <v>1039633</v>
      </c>
      <c r="BI38" s="543">
        <f t="shared" si="47"/>
        <v>44026818</v>
      </c>
      <c r="BJ38" s="545">
        <f t="shared" si="47"/>
        <v>21220365</v>
      </c>
      <c r="BK38" s="545">
        <f t="shared" si="47"/>
        <v>22806453</v>
      </c>
      <c r="BL38" s="545">
        <f t="shared" si="47"/>
        <v>37382509</v>
      </c>
      <c r="BM38" s="545">
        <f t="shared" si="47"/>
        <v>18095537</v>
      </c>
      <c r="BN38" s="545">
        <f t="shared" si="47"/>
        <v>19286972</v>
      </c>
      <c r="BO38" s="545">
        <f t="shared" si="47"/>
        <v>36032481</v>
      </c>
      <c r="BP38" s="545">
        <f t="shared" si="47"/>
        <v>17395677</v>
      </c>
      <c r="BQ38" s="545">
        <f t="shared" si="47"/>
        <v>18636804</v>
      </c>
      <c r="BR38" s="545">
        <f t="shared" si="47"/>
        <v>4048970</v>
      </c>
      <c r="BS38" s="545">
        <f t="shared" si="47"/>
        <v>1847417</v>
      </c>
      <c r="BT38" s="545">
        <f t="shared" si="47"/>
        <v>2201553</v>
      </c>
      <c r="BU38" s="545">
        <f t="shared" si="47"/>
        <v>2265506</v>
      </c>
      <c r="BV38" s="545">
        <f t="shared" si="47"/>
        <v>1182018</v>
      </c>
      <c r="BW38" s="545">
        <f t="shared" si="47"/>
        <v>1083488</v>
      </c>
      <c r="BX38" s="545">
        <f t="shared" si="47"/>
        <v>2595339</v>
      </c>
      <c r="BY38" s="545">
        <f t="shared" si="47"/>
        <v>1277411</v>
      </c>
      <c r="BZ38" s="545">
        <f t="shared" si="47"/>
        <v>1317928</v>
      </c>
      <c r="CA38" s="474">
        <f t="shared" si="47"/>
        <v>43336463</v>
      </c>
      <c r="CB38" s="313">
        <f t="shared" si="47"/>
        <v>36770215</v>
      </c>
      <c r="CC38" s="467">
        <f t="shared" si="47"/>
        <v>3912713</v>
      </c>
      <c r="CD38" s="467">
        <f t="shared" si="47"/>
        <v>2653535</v>
      </c>
      <c r="CE38" s="467">
        <f t="shared" si="47"/>
        <v>2061239</v>
      </c>
      <c r="CF38" s="469">
        <f t="shared" si="47"/>
        <v>43618215</v>
      </c>
      <c r="CG38" s="313">
        <f t="shared" ref="CG38:CP38" si="48">SUM(CG40:CG51)</f>
        <v>37030568</v>
      </c>
      <c r="CH38" s="467">
        <f t="shared" si="48"/>
        <v>3939452</v>
      </c>
      <c r="CI38" s="468">
        <f t="shared" si="48"/>
        <v>2648195</v>
      </c>
      <c r="CJ38" s="467">
        <f t="shared" si="48"/>
        <v>2125299</v>
      </c>
      <c r="CK38" s="307">
        <f t="shared" si="48"/>
        <v>43802224</v>
      </c>
      <c r="CL38" s="280">
        <f t="shared" si="48"/>
        <v>37248636</v>
      </c>
      <c r="CM38" s="329">
        <f t="shared" si="48"/>
        <v>3968188</v>
      </c>
      <c r="CN38" s="329">
        <f t="shared" si="48"/>
        <v>2585400</v>
      </c>
      <c r="CO38" s="329">
        <f t="shared" si="48"/>
        <v>2156509</v>
      </c>
      <c r="CP38" s="382">
        <f t="shared" si="48"/>
        <v>44026818</v>
      </c>
      <c r="CQ38" s="548">
        <f t="shared" ref="CQ38:DI38" si="49">SUM(CQ40:CQ51)</f>
        <v>37382509</v>
      </c>
      <c r="CR38" s="548">
        <f t="shared" si="49"/>
        <v>4048970</v>
      </c>
      <c r="CS38" s="548">
        <f t="shared" si="49"/>
        <v>2595339</v>
      </c>
      <c r="CT38" s="548">
        <f t="shared" si="49"/>
        <v>2265506</v>
      </c>
      <c r="CU38" s="382">
        <f t="shared" si="49"/>
        <v>44312398</v>
      </c>
      <c r="CV38" s="548">
        <f t="shared" si="49"/>
        <v>37569470</v>
      </c>
      <c r="CW38" s="548">
        <f t="shared" si="49"/>
        <v>4087398</v>
      </c>
      <c r="CX38" s="548">
        <f t="shared" si="49"/>
        <v>2655530</v>
      </c>
      <c r="CY38" s="627">
        <f t="shared" si="49"/>
        <v>2332301</v>
      </c>
      <c r="CZ38" s="641">
        <f t="shared" si="49"/>
        <v>44573814</v>
      </c>
      <c r="DA38" s="641">
        <f t="shared" si="49"/>
        <v>37744078</v>
      </c>
      <c r="DB38" s="641">
        <f t="shared" si="49"/>
        <v>4131316</v>
      </c>
      <c r="DC38" s="641">
        <f t="shared" si="49"/>
        <v>2691330</v>
      </c>
      <c r="DD38" s="638">
        <f t="shared" si="49"/>
        <v>2402152</v>
      </c>
      <c r="DE38" s="641">
        <f t="shared" si="49"/>
        <v>44822869</v>
      </c>
      <c r="DF38" s="641">
        <f t="shared" si="49"/>
        <v>36347528</v>
      </c>
      <c r="DG38" s="641">
        <f t="shared" si="49"/>
        <v>4151608</v>
      </c>
      <c r="DH38" s="641">
        <f t="shared" si="49"/>
        <v>2765339</v>
      </c>
      <c r="DI38" s="641">
        <f t="shared" si="49"/>
        <v>2467257</v>
      </c>
    </row>
    <row r="39" spans="1:113" x14ac:dyDescent="0.2">
      <c r="A39" s="246" t="s">
        <v>182</v>
      </c>
      <c r="B39" s="12"/>
      <c r="C39" s="25"/>
      <c r="E39" s="58"/>
      <c r="F39" s="58"/>
      <c r="G39" s="58"/>
      <c r="H39" s="67"/>
      <c r="J39" s="153"/>
      <c r="K39" s="58"/>
      <c r="L39" s="58"/>
      <c r="M39" s="153"/>
      <c r="N39" s="58"/>
      <c r="O39" s="58"/>
      <c r="P39" s="153"/>
      <c r="Q39" s="58"/>
      <c r="R39" s="67"/>
      <c r="S39" s="110"/>
      <c r="T39" s="151"/>
      <c r="U39" s="58"/>
      <c r="V39" s="58"/>
      <c r="W39" s="151"/>
      <c r="X39" s="58"/>
      <c r="Y39" s="58"/>
      <c r="Z39" s="151"/>
      <c r="AA39" s="58"/>
      <c r="AB39" s="58"/>
      <c r="AC39" s="195"/>
      <c r="AD39" s="195"/>
      <c r="AE39" s="153"/>
      <c r="AG39" s="7"/>
      <c r="AH39" s="88"/>
      <c r="AI39" s="58"/>
      <c r="AJ39" s="58"/>
      <c r="AK39" s="7"/>
      <c r="AL39" s="88"/>
      <c r="AM39" s="58"/>
      <c r="AN39" s="58"/>
      <c r="AO39" s="7"/>
      <c r="AP39" s="67"/>
      <c r="AQ39" s="58"/>
      <c r="AR39" s="92"/>
      <c r="AT39" s="7"/>
      <c r="AU39" s="196"/>
      <c r="AV39" s="196"/>
      <c r="AW39" s="88"/>
      <c r="AX39" s="58"/>
      <c r="AY39" s="67"/>
      <c r="AZ39" s="7"/>
      <c r="BA39" s="58"/>
      <c r="BB39" s="58"/>
      <c r="BC39" s="7"/>
      <c r="BD39" s="58"/>
      <c r="BE39" s="58"/>
      <c r="BF39" s="195"/>
      <c r="BG39" s="195"/>
      <c r="BH39" s="153"/>
      <c r="BI39" s="110"/>
      <c r="BJ39" s="67"/>
      <c r="BK39" s="67"/>
      <c r="BL39" s="153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153"/>
      <c r="BY39" s="67"/>
      <c r="BZ39" s="67"/>
      <c r="CA39" s="211"/>
      <c r="CB39" s="7"/>
      <c r="CC39" s="58"/>
      <c r="CD39" s="58"/>
      <c r="CE39" s="58"/>
      <c r="CF39" s="110"/>
      <c r="CG39" s="7"/>
      <c r="CH39" s="58"/>
      <c r="CJ39" s="58"/>
      <c r="CK39" s="66"/>
      <c r="CL39" s="64"/>
      <c r="CM39" s="65"/>
      <c r="CN39" s="65"/>
      <c r="CO39" s="65"/>
      <c r="CP39" s="66"/>
      <c r="CQ39" s="539"/>
      <c r="CR39" s="539"/>
      <c r="CS39" s="65"/>
      <c r="CT39" s="539"/>
      <c r="CU39" s="66"/>
      <c r="CV39" s="539"/>
      <c r="CW39" s="539"/>
      <c r="CX39" s="539"/>
      <c r="CY39" s="633"/>
      <c r="CZ39" s="59"/>
      <c r="DA39" s="59"/>
      <c r="DB39" s="59"/>
      <c r="DC39" s="59"/>
      <c r="DD39" s="636"/>
      <c r="DH39" s="59">
        <v>0</v>
      </c>
    </row>
    <row r="40" spans="1:113" x14ac:dyDescent="0.2">
      <c r="A40" s="241" t="s">
        <v>24</v>
      </c>
      <c r="B40" s="12"/>
      <c r="C40" s="25"/>
      <c r="D40" s="58">
        <v>5808313</v>
      </c>
      <c r="E40" s="59">
        <v>2549342</v>
      </c>
      <c r="F40" s="59">
        <v>2718144</v>
      </c>
      <c r="G40" s="59">
        <v>258514</v>
      </c>
      <c r="H40" s="60">
        <v>282313</v>
      </c>
      <c r="I40" s="110">
        <v>6089328</v>
      </c>
      <c r="J40" s="153">
        <f t="shared" ref="J40:J51" si="50">+K40+L40</f>
        <v>5397905</v>
      </c>
      <c r="K40" s="59">
        <v>2558930</v>
      </c>
      <c r="L40" s="59">
        <v>2838975</v>
      </c>
      <c r="M40" s="153">
        <f t="shared" ref="M40:M51" si="51">+N40+O40</f>
        <v>651998</v>
      </c>
      <c r="N40" s="59">
        <v>296878</v>
      </c>
      <c r="O40" s="59">
        <v>355120</v>
      </c>
      <c r="P40" s="153">
        <f t="shared" ref="P40:P51" si="52">+Q40+R40</f>
        <v>148457</v>
      </c>
      <c r="Q40" s="59">
        <v>77248</v>
      </c>
      <c r="R40" s="60">
        <v>71209</v>
      </c>
      <c r="S40" s="110">
        <v>6678759</v>
      </c>
      <c r="T40" s="151">
        <f t="shared" ref="T40:T51" si="53">+U40+V40</f>
        <v>5485175</v>
      </c>
      <c r="U40" s="59">
        <v>2576154</v>
      </c>
      <c r="V40" s="59">
        <v>2909021</v>
      </c>
      <c r="W40" s="151">
        <f t="shared" ref="W40:W51" si="54">+X40+Y40</f>
        <v>807761</v>
      </c>
      <c r="X40" s="59">
        <v>355479</v>
      </c>
      <c r="Y40" s="59">
        <v>452282</v>
      </c>
      <c r="Z40" s="151">
        <f t="shared" ref="Z40:Z51" si="55">+AA40+AB40</f>
        <v>273346</v>
      </c>
      <c r="AA40" s="59">
        <v>142431</v>
      </c>
      <c r="AB40" s="59">
        <v>130915</v>
      </c>
      <c r="AC40" s="195">
        <v>107032</v>
      </c>
      <c r="AD40" s="195">
        <v>50457</v>
      </c>
      <c r="AE40" s="153">
        <v>56575</v>
      </c>
      <c r="AF40" s="110">
        <v>7293930</v>
      </c>
      <c r="AG40" s="7">
        <v>5949891</v>
      </c>
      <c r="AH40" s="88">
        <f t="shared" ref="AH40:AH51" si="56">+AI40+AJ40</f>
        <v>5756734</v>
      </c>
      <c r="AI40" s="59">
        <v>2711981</v>
      </c>
      <c r="AJ40" s="59">
        <v>3044753</v>
      </c>
      <c r="AK40" s="7">
        <v>938378</v>
      </c>
      <c r="AL40" s="88">
        <f t="shared" ref="AL40:AL51" si="57">+AM40+AN40</f>
        <v>931085</v>
      </c>
      <c r="AM40" s="59">
        <v>406589</v>
      </c>
      <c r="AN40" s="59">
        <v>524496</v>
      </c>
      <c r="AO40" s="7">
        <v>423820</v>
      </c>
      <c r="AP40" s="60">
        <v>222297</v>
      </c>
      <c r="AQ40" s="59">
        <v>201523</v>
      </c>
      <c r="AR40" s="92">
        <f t="shared" ref="AR40:AR51" si="58">+AF40-AH40-AL40-AO40</f>
        <v>182291</v>
      </c>
      <c r="AS40" s="110">
        <v>7973671</v>
      </c>
      <c r="AT40" s="7">
        <v>6144044</v>
      </c>
      <c r="AU40" s="196">
        <v>2937352</v>
      </c>
      <c r="AV40" s="196">
        <v>3206692</v>
      </c>
      <c r="AW40" s="88">
        <f t="shared" ref="AW40:AW51" si="59">+AX40+AY40</f>
        <v>5786876</v>
      </c>
      <c r="AX40" s="59">
        <v>2748690</v>
      </c>
      <c r="AY40" s="60">
        <v>3038186</v>
      </c>
      <c r="AZ40" s="7">
        <v>1064516</v>
      </c>
      <c r="BA40" s="59">
        <v>469766</v>
      </c>
      <c r="BB40" s="59">
        <v>594750</v>
      </c>
      <c r="BC40" s="7">
        <v>754648</v>
      </c>
      <c r="BD40" s="59">
        <v>399729</v>
      </c>
      <c r="BE40" s="59">
        <v>354919</v>
      </c>
      <c r="BF40" s="195">
        <v>765111</v>
      </c>
      <c r="BG40" s="195">
        <v>387284</v>
      </c>
      <c r="BH40" s="153">
        <v>377827</v>
      </c>
      <c r="BI40" s="199">
        <v>8407186</v>
      </c>
      <c r="BJ40" s="60">
        <v>4032378</v>
      </c>
      <c r="BK40" s="60">
        <v>4374808</v>
      </c>
      <c r="BL40" s="67">
        <v>6355118</v>
      </c>
      <c r="BM40" s="67">
        <v>3075211</v>
      </c>
      <c r="BN40" s="67">
        <v>3279907</v>
      </c>
      <c r="BO40" s="67">
        <v>5783410</v>
      </c>
      <c r="BP40" s="67">
        <v>2778511</v>
      </c>
      <c r="BQ40" s="67">
        <v>3004899</v>
      </c>
      <c r="BR40" s="67">
        <v>1117298</v>
      </c>
      <c r="BS40" s="67">
        <v>494902</v>
      </c>
      <c r="BT40" s="67">
        <v>622396</v>
      </c>
      <c r="BU40" s="67">
        <v>1041805</v>
      </c>
      <c r="BV40" s="67">
        <v>539371</v>
      </c>
      <c r="BW40" s="67">
        <v>502434</v>
      </c>
      <c r="BX40" s="153">
        <f t="shared" ref="BX40:BX51" si="60">+BY40+BZ40</f>
        <v>934770</v>
      </c>
      <c r="BY40" s="67">
        <v>462265</v>
      </c>
      <c r="BZ40" s="67">
        <v>472505</v>
      </c>
      <c r="CA40" s="210">
        <v>8292894</v>
      </c>
      <c r="CB40" s="7">
        <v>6174196</v>
      </c>
      <c r="CC40" s="59">
        <v>1103660</v>
      </c>
      <c r="CD40" s="59">
        <v>1015038</v>
      </c>
      <c r="CE40" s="59">
        <v>990478</v>
      </c>
      <c r="CF40" s="199">
        <v>8336919</v>
      </c>
      <c r="CG40" s="7">
        <v>6216397</v>
      </c>
      <c r="CH40" s="59">
        <v>1110546</v>
      </c>
      <c r="CI40" s="59">
        <v>1009976</v>
      </c>
      <c r="CJ40" s="59">
        <v>1017903</v>
      </c>
      <c r="CK40" s="66">
        <v>8372752</v>
      </c>
      <c r="CL40" s="64">
        <v>6296420</v>
      </c>
      <c r="CM40" s="65">
        <v>1119587</v>
      </c>
      <c r="CN40" s="65">
        <v>956745</v>
      </c>
      <c r="CO40" s="65">
        <v>1012721</v>
      </c>
      <c r="CP40" s="66">
        <v>8407186</v>
      </c>
      <c r="CQ40" s="539">
        <v>6355118</v>
      </c>
      <c r="CR40" s="539">
        <v>1117298</v>
      </c>
      <c r="CS40" s="65">
        <v>934770</v>
      </c>
      <c r="CT40" s="539">
        <v>1041805</v>
      </c>
      <c r="CU40" s="66">
        <v>8465750</v>
      </c>
      <c r="CV40" s="539">
        <v>6398088</v>
      </c>
      <c r="CW40" s="539">
        <v>1126013</v>
      </c>
      <c r="CX40" s="329">
        <f t="shared" ref="CX40:CX51" si="61">CU40-CV40-CW40</f>
        <v>941649</v>
      </c>
      <c r="CY40" s="633">
        <v>1070933</v>
      </c>
      <c r="CZ40" s="59">
        <v>8515161</v>
      </c>
      <c r="DA40" s="59">
        <v>6438447</v>
      </c>
      <c r="DB40" s="59">
        <v>1134333</v>
      </c>
      <c r="DC40" s="59">
        <v>942381</v>
      </c>
      <c r="DD40" s="636">
        <v>1094874</v>
      </c>
      <c r="DE40" s="59">
        <v>8556788</v>
      </c>
      <c r="DF40" s="59">
        <v>5791932</v>
      </c>
      <c r="DG40" s="1">
        <v>1135131</v>
      </c>
      <c r="DH40" s="59">
        <v>956241</v>
      </c>
      <c r="DI40" s="59">
        <v>1117722</v>
      </c>
    </row>
    <row r="41" spans="1:113" x14ac:dyDescent="0.2">
      <c r="A41" s="241" t="s">
        <v>25</v>
      </c>
      <c r="B41" s="12"/>
      <c r="C41" s="25"/>
      <c r="D41" s="58">
        <v>2550162</v>
      </c>
      <c r="E41" s="59">
        <v>1167374</v>
      </c>
      <c r="F41" s="59">
        <v>1245886</v>
      </c>
      <c r="G41" s="59">
        <v>66044</v>
      </c>
      <c r="H41" s="60">
        <v>70898</v>
      </c>
      <c r="I41" s="110">
        <v>2746414</v>
      </c>
      <c r="J41" s="153">
        <f t="shared" si="50"/>
        <v>2578280</v>
      </c>
      <c r="K41" s="59">
        <v>1224278</v>
      </c>
      <c r="L41" s="59">
        <v>1354002</v>
      </c>
      <c r="M41" s="153">
        <f t="shared" si="51"/>
        <v>161664</v>
      </c>
      <c r="N41" s="59">
        <v>75428</v>
      </c>
      <c r="O41" s="59">
        <v>86236</v>
      </c>
      <c r="P41" s="153">
        <f t="shared" si="52"/>
        <v>25931</v>
      </c>
      <c r="Q41" s="59">
        <v>13447</v>
      </c>
      <c r="R41" s="60">
        <v>12484</v>
      </c>
      <c r="S41" s="110">
        <v>3135772</v>
      </c>
      <c r="T41" s="151">
        <f t="shared" si="53"/>
        <v>2881095</v>
      </c>
      <c r="U41" s="59">
        <v>1355467</v>
      </c>
      <c r="V41" s="59">
        <v>1525628</v>
      </c>
      <c r="W41" s="151">
        <f t="shared" si="54"/>
        <v>199540</v>
      </c>
      <c r="X41" s="59">
        <v>90358</v>
      </c>
      <c r="Y41" s="59">
        <v>109182</v>
      </c>
      <c r="Z41" s="151">
        <f t="shared" si="55"/>
        <v>36887</v>
      </c>
      <c r="AA41" s="59">
        <v>18565</v>
      </c>
      <c r="AB41" s="59">
        <v>18322</v>
      </c>
      <c r="AC41" s="195">
        <v>17531</v>
      </c>
      <c r="AD41" s="195">
        <v>7792</v>
      </c>
      <c r="AE41" s="153">
        <v>9739</v>
      </c>
      <c r="AF41" s="110">
        <v>3489470</v>
      </c>
      <c r="AG41" s="7">
        <v>3202320</v>
      </c>
      <c r="AH41" s="88">
        <f t="shared" si="56"/>
        <v>3176283</v>
      </c>
      <c r="AI41" s="59">
        <v>1497284</v>
      </c>
      <c r="AJ41" s="59">
        <v>1678999</v>
      </c>
      <c r="AK41" s="7">
        <v>238287</v>
      </c>
      <c r="AL41" s="88">
        <f t="shared" si="57"/>
        <v>237261</v>
      </c>
      <c r="AM41" s="59">
        <v>105480</v>
      </c>
      <c r="AN41" s="59">
        <v>131781</v>
      </c>
      <c r="AO41" s="7">
        <v>46403</v>
      </c>
      <c r="AP41" s="60">
        <v>23492</v>
      </c>
      <c r="AQ41" s="59">
        <v>22911</v>
      </c>
      <c r="AR41" s="92">
        <f t="shared" si="58"/>
        <v>29523</v>
      </c>
      <c r="AS41" s="110">
        <v>3893278</v>
      </c>
      <c r="AT41" s="7">
        <v>3478901</v>
      </c>
      <c r="AU41" s="196">
        <v>1663935</v>
      </c>
      <c r="AV41" s="196">
        <v>1814966</v>
      </c>
      <c r="AW41" s="88">
        <f t="shared" si="59"/>
        <v>3429767</v>
      </c>
      <c r="AX41" s="59">
        <v>1637912</v>
      </c>
      <c r="AY41" s="60">
        <v>1791855</v>
      </c>
      <c r="AZ41" s="7">
        <v>286094</v>
      </c>
      <c r="BA41" s="59">
        <v>130514</v>
      </c>
      <c r="BB41" s="59">
        <v>155580</v>
      </c>
      <c r="BC41" s="7">
        <v>101261</v>
      </c>
      <c r="BD41" s="59">
        <v>55677</v>
      </c>
      <c r="BE41" s="59">
        <v>45584</v>
      </c>
      <c r="BF41" s="195">
        <v>128283</v>
      </c>
      <c r="BG41" s="195">
        <v>66143</v>
      </c>
      <c r="BH41" s="153">
        <v>62140</v>
      </c>
      <c r="BI41" s="199">
        <v>4200431</v>
      </c>
      <c r="BJ41" s="60">
        <v>2023464</v>
      </c>
      <c r="BK41" s="60">
        <v>2176967</v>
      </c>
      <c r="BL41" s="67">
        <v>3677433</v>
      </c>
      <c r="BM41" s="67">
        <v>1775763</v>
      </c>
      <c r="BN41" s="67">
        <v>1901670</v>
      </c>
      <c r="BO41" s="67">
        <v>3575425</v>
      </c>
      <c r="BP41" s="67">
        <v>1721291</v>
      </c>
      <c r="BQ41" s="67">
        <v>1854134</v>
      </c>
      <c r="BR41" s="67">
        <v>338097</v>
      </c>
      <c r="BS41" s="67">
        <v>154956</v>
      </c>
      <c r="BT41" s="67">
        <v>183141</v>
      </c>
      <c r="BU41" s="67">
        <v>183322</v>
      </c>
      <c r="BV41" s="67">
        <v>97722</v>
      </c>
      <c r="BW41" s="67">
        <v>85600</v>
      </c>
      <c r="BX41" s="153">
        <f t="shared" si="60"/>
        <v>184901</v>
      </c>
      <c r="BY41" s="67">
        <v>92745</v>
      </c>
      <c r="BZ41" s="67">
        <v>92156</v>
      </c>
      <c r="CA41" s="210">
        <v>4107829</v>
      </c>
      <c r="CB41" s="7">
        <v>3612966</v>
      </c>
      <c r="CC41" s="59">
        <v>317815</v>
      </c>
      <c r="CD41" s="59">
        <v>177048</v>
      </c>
      <c r="CE41" s="59">
        <v>155150</v>
      </c>
      <c r="CF41" s="199">
        <v>4145875</v>
      </c>
      <c r="CG41" s="7">
        <v>3645205</v>
      </c>
      <c r="CH41" s="59">
        <v>322391</v>
      </c>
      <c r="CI41" s="59">
        <v>178279</v>
      </c>
      <c r="CJ41" s="59">
        <v>161424</v>
      </c>
      <c r="CK41" s="66">
        <v>4156633</v>
      </c>
      <c r="CL41" s="64">
        <v>3648422</v>
      </c>
      <c r="CM41" s="65">
        <v>327681</v>
      </c>
      <c r="CN41" s="65">
        <v>180530</v>
      </c>
      <c r="CO41" s="65">
        <v>167996</v>
      </c>
      <c r="CP41" s="66">
        <v>4200431</v>
      </c>
      <c r="CQ41" s="539">
        <v>3677433</v>
      </c>
      <c r="CR41" s="539">
        <v>338097</v>
      </c>
      <c r="CS41" s="65">
        <v>184901</v>
      </c>
      <c r="CT41" s="539">
        <v>183322</v>
      </c>
      <c r="CU41" s="66">
        <v>4229306</v>
      </c>
      <c r="CV41" s="539">
        <v>3696858</v>
      </c>
      <c r="CW41" s="539">
        <v>342465</v>
      </c>
      <c r="CX41" s="329">
        <f t="shared" si="61"/>
        <v>189983</v>
      </c>
      <c r="CY41" s="633">
        <v>189167</v>
      </c>
      <c r="CZ41" s="59">
        <v>4256342</v>
      </c>
      <c r="DA41" s="59">
        <v>3714925</v>
      </c>
      <c r="DB41" s="59">
        <v>345873</v>
      </c>
      <c r="DC41" s="59">
        <v>194745</v>
      </c>
      <c r="DD41" s="636">
        <v>195144</v>
      </c>
      <c r="DE41" s="59">
        <v>4287171</v>
      </c>
      <c r="DF41" s="59">
        <v>3617904</v>
      </c>
      <c r="DG41" s="1">
        <v>351497</v>
      </c>
      <c r="DH41" s="59">
        <v>205088</v>
      </c>
      <c r="DI41" s="59">
        <v>201278</v>
      </c>
    </row>
    <row r="42" spans="1:113" x14ac:dyDescent="0.2">
      <c r="A42" s="241" t="s">
        <v>26</v>
      </c>
      <c r="B42" s="12"/>
      <c r="C42" s="25"/>
      <c r="D42" s="58">
        <v>1541333</v>
      </c>
      <c r="E42" s="59">
        <v>738658</v>
      </c>
      <c r="F42" s="59">
        <v>788091</v>
      </c>
      <c r="G42" s="59">
        <v>6946</v>
      </c>
      <c r="H42" s="60">
        <v>7638</v>
      </c>
      <c r="I42" s="110">
        <v>1540588</v>
      </c>
      <c r="J42" s="153">
        <f t="shared" si="50"/>
        <v>1523292</v>
      </c>
      <c r="K42" s="59">
        <v>719410</v>
      </c>
      <c r="L42" s="59">
        <v>803882</v>
      </c>
      <c r="M42" s="153">
        <f t="shared" si="51"/>
        <v>14116</v>
      </c>
      <c r="N42" s="59">
        <v>6665</v>
      </c>
      <c r="O42" s="59">
        <v>7451</v>
      </c>
      <c r="P42" s="153">
        <f t="shared" si="52"/>
        <v>6846</v>
      </c>
      <c r="Q42" s="59">
        <v>3510</v>
      </c>
      <c r="R42" s="60">
        <v>3336</v>
      </c>
      <c r="S42" s="110">
        <v>1700102</v>
      </c>
      <c r="T42" s="151">
        <f t="shared" si="53"/>
        <v>1660935</v>
      </c>
      <c r="U42" s="59">
        <v>781805</v>
      </c>
      <c r="V42" s="59">
        <v>879130</v>
      </c>
      <c r="W42" s="151">
        <f t="shared" si="54"/>
        <v>18880</v>
      </c>
      <c r="X42" s="59">
        <v>9083</v>
      </c>
      <c r="Y42" s="59">
        <v>9797</v>
      </c>
      <c r="Z42" s="151">
        <f t="shared" si="55"/>
        <v>10808</v>
      </c>
      <c r="AA42" s="59">
        <v>5362</v>
      </c>
      <c r="AB42" s="59">
        <v>5446</v>
      </c>
      <c r="AC42" s="195">
        <v>8851</v>
      </c>
      <c r="AD42" s="195">
        <v>4002</v>
      </c>
      <c r="AE42" s="153">
        <v>4849</v>
      </c>
      <c r="AF42" s="110">
        <v>1776798</v>
      </c>
      <c r="AG42" s="7">
        <v>1732752</v>
      </c>
      <c r="AH42" s="88">
        <f t="shared" si="56"/>
        <v>1725131</v>
      </c>
      <c r="AI42" s="59">
        <v>808918</v>
      </c>
      <c r="AJ42" s="59">
        <v>916213</v>
      </c>
      <c r="AK42" s="7">
        <v>23300</v>
      </c>
      <c r="AL42" s="88">
        <f t="shared" si="57"/>
        <v>23136</v>
      </c>
      <c r="AM42" s="59">
        <v>11182</v>
      </c>
      <c r="AN42" s="59">
        <v>11954</v>
      </c>
      <c r="AO42" s="7">
        <v>13335</v>
      </c>
      <c r="AP42" s="60">
        <v>6825</v>
      </c>
      <c r="AQ42" s="59">
        <v>6510</v>
      </c>
      <c r="AR42" s="92">
        <f t="shared" si="58"/>
        <v>15196</v>
      </c>
      <c r="AS42" s="110">
        <v>1895856</v>
      </c>
      <c r="AT42" s="7">
        <v>1810293</v>
      </c>
      <c r="AU42" s="196">
        <v>863095</v>
      </c>
      <c r="AV42" s="196">
        <v>947198</v>
      </c>
      <c r="AW42" s="88">
        <f t="shared" si="59"/>
        <v>1792980</v>
      </c>
      <c r="AX42" s="59">
        <v>853548</v>
      </c>
      <c r="AY42" s="60">
        <v>939432</v>
      </c>
      <c r="AZ42" s="7">
        <v>31023</v>
      </c>
      <c r="BA42" s="59">
        <v>16150</v>
      </c>
      <c r="BB42" s="59">
        <v>14873</v>
      </c>
      <c r="BC42" s="7">
        <v>37284</v>
      </c>
      <c r="BD42" s="59">
        <v>21212</v>
      </c>
      <c r="BE42" s="59">
        <v>16072</v>
      </c>
      <c r="BF42" s="195">
        <v>54540</v>
      </c>
      <c r="BG42" s="195">
        <v>28654</v>
      </c>
      <c r="BH42" s="153">
        <v>25886</v>
      </c>
      <c r="BI42" s="199">
        <v>2000692</v>
      </c>
      <c r="BJ42" s="60">
        <v>969685</v>
      </c>
      <c r="BK42" s="60">
        <v>1031007</v>
      </c>
      <c r="BL42" s="67">
        <v>1881608</v>
      </c>
      <c r="BM42" s="67">
        <v>908257</v>
      </c>
      <c r="BN42" s="67">
        <v>973351</v>
      </c>
      <c r="BO42" s="67">
        <v>1842984</v>
      </c>
      <c r="BP42" s="67">
        <v>889311</v>
      </c>
      <c r="BQ42" s="67">
        <v>953673</v>
      </c>
      <c r="BR42" s="67">
        <v>43520</v>
      </c>
      <c r="BS42" s="67">
        <v>22415</v>
      </c>
      <c r="BT42" s="67">
        <v>21105</v>
      </c>
      <c r="BU42" s="67">
        <v>65027</v>
      </c>
      <c r="BV42" s="67">
        <v>34509</v>
      </c>
      <c r="BW42" s="67">
        <v>30518</v>
      </c>
      <c r="BX42" s="153">
        <f t="shared" si="60"/>
        <v>75564</v>
      </c>
      <c r="BY42" s="67">
        <v>39013</v>
      </c>
      <c r="BZ42" s="67">
        <v>36551</v>
      </c>
      <c r="CA42" s="210">
        <v>1951982</v>
      </c>
      <c r="CB42" s="7">
        <v>1846023</v>
      </c>
      <c r="CC42" s="59">
        <v>36803</v>
      </c>
      <c r="CD42" s="59">
        <v>69156</v>
      </c>
      <c r="CE42" s="59">
        <v>54960</v>
      </c>
      <c r="CF42" s="199">
        <v>1965813</v>
      </c>
      <c r="CG42" s="7">
        <v>1857922</v>
      </c>
      <c r="CH42" s="59">
        <v>37478</v>
      </c>
      <c r="CI42" s="59">
        <v>70413</v>
      </c>
      <c r="CJ42" s="59">
        <v>56944</v>
      </c>
      <c r="CK42" s="66">
        <v>1965156</v>
      </c>
      <c r="CL42" s="64">
        <v>1854789</v>
      </c>
      <c r="CM42" s="65">
        <v>38641</v>
      </c>
      <c r="CN42" s="65">
        <v>71726</v>
      </c>
      <c r="CO42" s="65">
        <v>60130</v>
      </c>
      <c r="CP42" s="66">
        <v>2000692</v>
      </c>
      <c r="CQ42" s="539">
        <v>1881608</v>
      </c>
      <c r="CR42" s="539">
        <v>43520</v>
      </c>
      <c r="CS42" s="65">
        <v>75564</v>
      </c>
      <c r="CT42" s="539">
        <v>65027</v>
      </c>
      <c r="CU42" s="66">
        <v>2013877</v>
      </c>
      <c r="CV42" s="539">
        <v>1889960</v>
      </c>
      <c r="CW42" s="539">
        <v>45586</v>
      </c>
      <c r="CX42" s="329">
        <f t="shared" si="61"/>
        <v>78331</v>
      </c>
      <c r="CY42" s="633">
        <v>67554</v>
      </c>
      <c r="CZ42" s="59">
        <v>2027762</v>
      </c>
      <c r="DA42" s="59">
        <v>1901384</v>
      </c>
      <c r="DB42" s="59">
        <v>46798</v>
      </c>
      <c r="DC42" s="59">
        <v>78702</v>
      </c>
      <c r="DD42" s="636">
        <v>70514</v>
      </c>
      <c r="DE42" s="59">
        <v>2038371</v>
      </c>
      <c r="DF42" s="59">
        <v>1860198</v>
      </c>
      <c r="DG42" s="1">
        <v>48550</v>
      </c>
      <c r="DH42" s="59">
        <v>78941</v>
      </c>
      <c r="DI42" s="59">
        <v>73760</v>
      </c>
    </row>
    <row r="43" spans="1:113" x14ac:dyDescent="0.2">
      <c r="A43" s="241" t="s">
        <v>27</v>
      </c>
      <c r="B43" s="12"/>
      <c r="C43" s="25"/>
      <c r="D43" s="58">
        <v>1215923</v>
      </c>
      <c r="E43" s="59">
        <v>566037</v>
      </c>
      <c r="F43" s="59">
        <v>599819</v>
      </c>
      <c r="G43" s="59">
        <v>24508</v>
      </c>
      <c r="H43" s="60">
        <v>25559</v>
      </c>
      <c r="I43" s="110">
        <v>1225988</v>
      </c>
      <c r="J43" s="153">
        <f t="shared" si="50"/>
        <v>1171424</v>
      </c>
      <c r="K43" s="59">
        <v>555307</v>
      </c>
      <c r="L43" s="59">
        <v>616117</v>
      </c>
      <c r="M43" s="153">
        <f t="shared" si="51"/>
        <v>47942</v>
      </c>
      <c r="N43" s="59">
        <v>22514</v>
      </c>
      <c r="O43" s="59">
        <v>25428</v>
      </c>
      <c r="P43" s="153">
        <f t="shared" si="52"/>
        <v>18293</v>
      </c>
      <c r="Q43" s="59">
        <v>9478</v>
      </c>
      <c r="R43" s="60">
        <v>8815</v>
      </c>
      <c r="S43" s="110">
        <v>1388102</v>
      </c>
      <c r="T43" s="151">
        <f t="shared" si="53"/>
        <v>1287424</v>
      </c>
      <c r="U43" s="59">
        <v>608120</v>
      </c>
      <c r="V43" s="59">
        <v>679304</v>
      </c>
      <c r="W43" s="151">
        <f t="shared" si="54"/>
        <v>57602</v>
      </c>
      <c r="X43" s="59">
        <v>27074</v>
      </c>
      <c r="Y43" s="59">
        <v>30528</v>
      </c>
      <c r="Z43" s="151">
        <f t="shared" si="55"/>
        <v>25792</v>
      </c>
      <c r="AA43" s="59">
        <v>13203</v>
      </c>
      <c r="AB43" s="59">
        <v>12589</v>
      </c>
      <c r="AC43" s="195">
        <v>16588</v>
      </c>
      <c r="AD43" s="195">
        <v>7480</v>
      </c>
      <c r="AE43" s="153">
        <v>9108</v>
      </c>
      <c r="AF43" s="110">
        <v>1565936</v>
      </c>
      <c r="AG43" s="7">
        <v>1439598</v>
      </c>
      <c r="AH43" s="88">
        <f t="shared" si="56"/>
        <v>1421102</v>
      </c>
      <c r="AI43" s="59">
        <v>673612</v>
      </c>
      <c r="AJ43" s="59">
        <v>747490</v>
      </c>
      <c r="AK43" s="7">
        <v>76123</v>
      </c>
      <c r="AL43" s="88">
        <f t="shared" si="57"/>
        <v>75217</v>
      </c>
      <c r="AM43" s="59">
        <v>36400</v>
      </c>
      <c r="AN43" s="59">
        <v>38817</v>
      </c>
      <c r="AO43" s="7">
        <v>41763</v>
      </c>
      <c r="AP43" s="60">
        <v>22260</v>
      </c>
      <c r="AQ43" s="59">
        <v>19503</v>
      </c>
      <c r="AR43" s="92">
        <f t="shared" si="58"/>
        <v>27854</v>
      </c>
      <c r="AS43" s="110">
        <v>1701207</v>
      </c>
      <c r="AT43" s="7">
        <v>1507908</v>
      </c>
      <c r="AU43" s="196">
        <v>722142</v>
      </c>
      <c r="AV43" s="196">
        <v>785766</v>
      </c>
      <c r="AW43" s="88">
        <f t="shared" si="59"/>
        <v>1470245</v>
      </c>
      <c r="AX43" s="59">
        <v>702463</v>
      </c>
      <c r="AY43" s="60">
        <v>767782</v>
      </c>
      <c r="AZ43" s="7">
        <v>83523</v>
      </c>
      <c r="BA43" s="59">
        <v>40432</v>
      </c>
      <c r="BB43" s="59">
        <v>43091</v>
      </c>
      <c r="BC43" s="7">
        <v>86074</v>
      </c>
      <c r="BD43" s="59">
        <v>46158</v>
      </c>
      <c r="BE43" s="59">
        <v>39916</v>
      </c>
      <c r="BF43" s="195">
        <v>109776</v>
      </c>
      <c r="BG43" s="195">
        <v>55944</v>
      </c>
      <c r="BH43" s="153">
        <v>53832</v>
      </c>
      <c r="BI43" s="199">
        <v>1824029</v>
      </c>
      <c r="BJ43" s="60">
        <v>885949</v>
      </c>
      <c r="BK43" s="60">
        <v>938080</v>
      </c>
      <c r="BL43" s="67">
        <v>1604764</v>
      </c>
      <c r="BM43" s="67">
        <v>777164</v>
      </c>
      <c r="BN43" s="67">
        <v>827600</v>
      </c>
      <c r="BO43" s="67">
        <v>1512740</v>
      </c>
      <c r="BP43" s="67">
        <v>729725</v>
      </c>
      <c r="BQ43" s="67">
        <v>783015</v>
      </c>
      <c r="BR43" s="67">
        <v>94431</v>
      </c>
      <c r="BS43" s="67">
        <v>47113</v>
      </c>
      <c r="BT43" s="67">
        <v>47318</v>
      </c>
      <c r="BU43" s="67">
        <v>135863</v>
      </c>
      <c r="BV43" s="67">
        <v>71191</v>
      </c>
      <c r="BW43" s="67">
        <v>64672</v>
      </c>
      <c r="BX43" s="153">
        <f t="shared" si="60"/>
        <v>124834</v>
      </c>
      <c r="BY43" s="67">
        <v>61672</v>
      </c>
      <c r="BZ43" s="67">
        <v>63162</v>
      </c>
      <c r="CA43" s="210">
        <v>1773908</v>
      </c>
      <c r="CB43" s="7">
        <v>1555066</v>
      </c>
      <c r="CC43" s="59">
        <v>89611</v>
      </c>
      <c r="CD43" s="59">
        <v>129231</v>
      </c>
      <c r="CE43" s="59">
        <v>119163</v>
      </c>
      <c r="CF43" s="199">
        <v>1792057</v>
      </c>
      <c r="CG43" s="7">
        <v>1576612</v>
      </c>
      <c r="CH43" s="59">
        <v>90407</v>
      </c>
      <c r="CI43" s="59">
        <v>125038</v>
      </c>
      <c r="CJ43" s="59">
        <v>122905</v>
      </c>
      <c r="CK43" s="66">
        <v>1796102</v>
      </c>
      <c r="CL43" s="64">
        <v>1584195</v>
      </c>
      <c r="CM43" s="65">
        <v>90795</v>
      </c>
      <c r="CN43" s="65">
        <v>121112</v>
      </c>
      <c r="CO43" s="65">
        <v>123896</v>
      </c>
      <c r="CP43" s="66">
        <v>1824029</v>
      </c>
      <c r="CQ43" s="539">
        <v>1604764</v>
      </c>
      <c r="CR43" s="539">
        <v>94431</v>
      </c>
      <c r="CS43" s="65">
        <v>124834</v>
      </c>
      <c r="CT43" s="539">
        <v>135863</v>
      </c>
      <c r="CU43" s="66">
        <v>1841823</v>
      </c>
      <c r="CV43" s="539">
        <v>1618943</v>
      </c>
      <c r="CW43" s="539">
        <v>96118</v>
      </c>
      <c r="CX43" s="329">
        <f t="shared" si="61"/>
        <v>126762</v>
      </c>
      <c r="CY43" s="633">
        <v>141445</v>
      </c>
      <c r="CZ43" s="59">
        <v>1854150</v>
      </c>
      <c r="DA43" s="59">
        <v>1629146</v>
      </c>
      <c r="DB43" s="59">
        <v>97208</v>
      </c>
      <c r="DC43" s="59">
        <v>126731</v>
      </c>
      <c r="DD43" s="636">
        <v>145911</v>
      </c>
      <c r="DE43" s="59">
        <v>1861026</v>
      </c>
      <c r="DF43" s="59">
        <v>1527480</v>
      </c>
      <c r="DG43" s="1">
        <v>98269</v>
      </c>
      <c r="DH43" s="59">
        <v>126403</v>
      </c>
      <c r="DI43" s="59">
        <v>149872</v>
      </c>
    </row>
    <row r="44" spans="1:113" x14ac:dyDescent="0.2">
      <c r="A44" s="241" t="s">
        <v>30</v>
      </c>
      <c r="B44" s="12"/>
      <c r="C44" s="25"/>
      <c r="D44" s="58">
        <v>4216909</v>
      </c>
      <c r="E44" s="59">
        <v>1889821</v>
      </c>
      <c r="F44" s="59">
        <v>1955435</v>
      </c>
      <c r="G44" s="59">
        <v>182673</v>
      </c>
      <c r="H44" s="60">
        <v>188980</v>
      </c>
      <c r="I44" s="110">
        <v>4594461</v>
      </c>
      <c r="J44" s="153">
        <f t="shared" si="50"/>
        <v>4115203</v>
      </c>
      <c r="K44" s="59">
        <v>1977334</v>
      </c>
      <c r="L44" s="59">
        <v>2137869</v>
      </c>
      <c r="M44" s="153">
        <f t="shared" si="51"/>
        <v>458197</v>
      </c>
      <c r="N44" s="59">
        <v>216655</v>
      </c>
      <c r="O44" s="59">
        <v>241542</v>
      </c>
      <c r="P44" s="153">
        <f t="shared" si="52"/>
        <v>47563</v>
      </c>
      <c r="Q44" s="59">
        <v>24357</v>
      </c>
      <c r="R44" s="60">
        <v>23206</v>
      </c>
      <c r="S44" s="110">
        <v>5254040</v>
      </c>
      <c r="T44" s="151">
        <f t="shared" si="53"/>
        <v>4539727</v>
      </c>
      <c r="U44" s="59">
        <v>2158709</v>
      </c>
      <c r="V44" s="59">
        <v>2381018</v>
      </c>
      <c r="W44" s="151">
        <f t="shared" si="54"/>
        <v>592324</v>
      </c>
      <c r="X44" s="59">
        <v>269100</v>
      </c>
      <c r="Y44" s="59">
        <v>323224</v>
      </c>
      <c r="Z44" s="151">
        <f t="shared" si="55"/>
        <v>66671</v>
      </c>
      <c r="AA44" s="59">
        <v>33604</v>
      </c>
      <c r="AB44" s="59">
        <v>33067</v>
      </c>
      <c r="AC44" s="195">
        <v>53066</v>
      </c>
      <c r="AD44" s="195">
        <v>24931</v>
      </c>
      <c r="AE44" s="153">
        <v>28135</v>
      </c>
      <c r="AF44" s="110">
        <v>5842642</v>
      </c>
      <c r="AG44" s="7">
        <v>4999581</v>
      </c>
      <c r="AH44" s="88">
        <f t="shared" si="56"/>
        <v>4954069</v>
      </c>
      <c r="AI44" s="59">
        <v>2357556</v>
      </c>
      <c r="AJ44" s="59">
        <v>2596513</v>
      </c>
      <c r="AK44" s="7">
        <v>715719</v>
      </c>
      <c r="AL44" s="88">
        <f t="shared" si="57"/>
        <v>712745</v>
      </c>
      <c r="AM44" s="59">
        <v>315723</v>
      </c>
      <c r="AN44" s="59">
        <v>397022</v>
      </c>
      <c r="AO44" s="7">
        <v>89098</v>
      </c>
      <c r="AP44" s="60">
        <v>45119</v>
      </c>
      <c r="AQ44" s="59">
        <v>43979</v>
      </c>
      <c r="AR44" s="92">
        <f t="shared" si="58"/>
        <v>86730</v>
      </c>
      <c r="AS44" s="110">
        <v>6415941</v>
      </c>
      <c r="AT44" s="7">
        <v>5309168</v>
      </c>
      <c r="AU44" s="196">
        <v>2556288</v>
      </c>
      <c r="AV44" s="196">
        <v>2752880</v>
      </c>
      <c r="AW44" s="88">
        <f t="shared" si="59"/>
        <v>5230580</v>
      </c>
      <c r="AX44" s="59">
        <v>2516067</v>
      </c>
      <c r="AY44" s="60">
        <v>2714513</v>
      </c>
      <c r="AZ44" s="7">
        <v>808383</v>
      </c>
      <c r="BA44" s="59">
        <v>363962</v>
      </c>
      <c r="BB44" s="59">
        <v>444421</v>
      </c>
      <c r="BC44" s="7">
        <v>155983</v>
      </c>
      <c r="BD44" s="59">
        <v>81587</v>
      </c>
      <c r="BE44" s="59">
        <v>74396</v>
      </c>
      <c r="BF44" s="195">
        <v>298390</v>
      </c>
      <c r="BG44" s="195">
        <v>150438</v>
      </c>
      <c r="BH44" s="153">
        <v>147952</v>
      </c>
      <c r="BI44" s="199">
        <v>6560571</v>
      </c>
      <c r="BJ44" s="60">
        <v>3151302</v>
      </c>
      <c r="BK44" s="60">
        <v>3409269</v>
      </c>
      <c r="BL44" s="67">
        <v>5393781</v>
      </c>
      <c r="BM44" s="67">
        <v>2611462</v>
      </c>
      <c r="BN44" s="67">
        <v>2782319</v>
      </c>
      <c r="BO44" s="67">
        <v>5263348</v>
      </c>
      <c r="BP44" s="67">
        <v>2546174</v>
      </c>
      <c r="BQ44" s="67">
        <v>2717174</v>
      </c>
      <c r="BR44" s="67">
        <v>834617</v>
      </c>
      <c r="BS44" s="67">
        <v>376942</v>
      </c>
      <c r="BT44" s="67">
        <v>457675</v>
      </c>
      <c r="BU44" s="67">
        <v>208147</v>
      </c>
      <c r="BV44" s="67">
        <v>106176</v>
      </c>
      <c r="BW44" s="67">
        <v>101971</v>
      </c>
      <c r="BX44" s="153">
        <f t="shared" si="60"/>
        <v>332173</v>
      </c>
      <c r="BY44" s="67">
        <v>162898</v>
      </c>
      <c r="BZ44" s="67">
        <v>169275</v>
      </c>
      <c r="CA44" s="210">
        <v>6634147</v>
      </c>
      <c r="CB44" s="7">
        <v>5439385</v>
      </c>
      <c r="CC44" s="59">
        <v>846000</v>
      </c>
      <c r="CD44" s="59">
        <v>348762</v>
      </c>
      <c r="CE44" s="59">
        <v>205379</v>
      </c>
      <c r="CF44" s="199">
        <v>6637533</v>
      </c>
      <c r="CG44" s="7">
        <v>5443998</v>
      </c>
      <c r="CH44" s="59">
        <v>843831</v>
      </c>
      <c r="CI44" s="59">
        <v>349704</v>
      </c>
      <c r="CJ44" s="59">
        <v>210173</v>
      </c>
      <c r="CK44" s="66">
        <v>6623538</v>
      </c>
      <c r="CL44" s="64">
        <v>5445899</v>
      </c>
      <c r="CM44" s="65">
        <v>838084</v>
      </c>
      <c r="CN44" s="65">
        <v>339555</v>
      </c>
      <c r="CO44" s="65">
        <v>208965</v>
      </c>
      <c r="CP44" s="66">
        <v>6560571</v>
      </c>
      <c r="CQ44" s="539">
        <v>5393781</v>
      </c>
      <c r="CR44" s="539">
        <v>834617</v>
      </c>
      <c r="CS44" s="65">
        <v>332173</v>
      </c>
      <c r="CT44" s="539">
        <v>208147</v>
      </c>
      <c r="CU44" s="66">
        <v>6570917</v>
      </c>
      <c r="CV44" s="539">
        <v>5400347</v>
      </c>
      <c r="CW44" s="539">
        <v>838531</v>
      </c>
      <c r="CX44" s="329">
        <f t="shared" si="61"/>
        <v>332039</v>
      </c>
      <c r="CY44" s="633">
        <v>213824</v>
      </c>
      <c r="CZ44" s="59">
        <v>6593489</v>
      </c>
      <c r="DA44" s="59">
        <v>5414593</v>
      </c>
      <c r="DB44" s="59">
        <v>841460</v>
      </c>
      <c r="DC44" s="59">
        <v>337436</v>
      </c>
      <c r="DD44" s="636">
        <v>218618</v>
      </c>
      <c r="DE44" s="59">
        <v>6616878</v>
      </c>
      <c r="DF44" s="59">
        <v>5277576</v>
      </c>
      <c r="DG44" s="1">
        <v>841557</v>
      </c>
      <c r="DH44" s="59">
        <v>343402</v>
      </c>
      <c r="DI44" s="59">
        <v>223721</v>
      </c>
    </row>
    <row r="45" spans="1:113" x14ac:dyDescent="0.2">
      <c r="A45" s="241" t="s">
        <v>31</v>
      </c>
      <c r="B45" s="12"/>
      <c r="C45" s="25"/>
      <c r="D45" s="58">
        <v>1844601</v>
      </c>
      <c r="E45" s="59">
        <v>896306</v>
      </c>
      <c r="F45" s="59">
        <v>928463</v>
      </c>
      <c r="G45" s="59">
        <v>10344</v>
      </c>
      <c r="H45" s="60">
        <v>9488</v>
      </c>
      <c r="I45" s="110">
        <v>1990367</v>
      </c>
      <c r="J45" s="153">
        <f t="shared" si="50"/>
        <v>1962368</v>
      </c>
      <c r="K45" s="59">
        <v>943482</v>
      </c>
      <c r="L45" s="59">
        <v>1018886</v>
      </c>
      <c r="M45" s="153">
        <f t="shared" si="51"/>
        <v>15354</v>
      </c>
      <c r="N45" s="59">
        <v>7672</v>
      </c>
      <c r="O45" s="59">
        <v>7682</v>
      </c>
      <c r="P45" s="153">
        <f t="shared" si="52"/>
        <v>8804</v>
      </c>
      <c r="Q45" s="59">
        <v>4522</v>
      </c>
      <c r="R45" s="60">
        <v>4282</v>
      </c>
      <c r="S45" s="110">
        <v>2345701</v>
      </c>
      <c r="T45" s="151">
        <f t="shared" si="53"/>
        <v>2279859</v>
      </c>
      <c r="U45" s="59">
        <v>1088595</v>
      </c>
      <c r="V45" s="59">
        <v>1191264</v>
      </c>
      <c r="W45" s="151">
        <f t="shared" si="54"/>
        <v>23611</v>
      </c>
      <c r="X45" s="59">
        <v>12256</v>
      </c>
      <c r="Y45" s="59">
        <v>11355</v>
      </c>
      <c r="Z45" s="151">
        <f t="shared" si="55"/>
        <v>12917</v>
      </c>
      <c r="AA45" s="59">
        <v>6509</v>
      </c>
      <c r="AB45" s="59">
        <v>6408</v>
      </c>
      <c r="AC45" s="195">
        <v>28433</v>
      </c>
      <c r="AD45" s="195">
        <v>13448</v>
      </c>
      <c r="AE45" s="153">
        <v>14985</v>
      </c>
      <c r="AF45" s="110">
        <v>2770562</v>
      </c>
      <c r="AG45" s="7">
        <v>2660023</v>
      </c>
      <c r="AH45" s="88">
        <f t="shared" si="56"/>
        <v>2648500</v>
      </c>
      <c r="AI45" s="59">
        <v>1267714</v>
      </c>
      <c r="AJ45" s="59">
        <v>1380786</v>
      </c>
      <c r="AK45" s="7">
        <v>46115</v>
      </c>
      <c r="AL45" s="88">
        <f t="shared" si="57"/>
        <v>45554</v>
      </c>
      <c r="AM45" s="59">
        <v>23856</v>
      </c>
      <c r="AN45" s="59">
        <v>21698</v>
      </c>
      <c r="AO45" s="7">
        <v>21458</v>
      </c>
      <c r="AP45" s="60">
        <v>11158</v>
      </c>
      <c r="AQ45" s="59">
        <v>10300</v>
      </c>
      <c r="AR45" s="92">
        <f t="shared" si="58"/>
        <v>55050</v>
      </c>
      <c r="AS45" s="110">
        <v>3164345</v>
      </c>
      <c r="AT45" s="7">
        <v>2919051</v>
      </c>
      <c r="AU45" s="196">
        <v>1410402</v>
      </c>
      <c r="AV45" s="196">
        <v>1508649</v>
      </c>
      <c r="AW45" s="88">
        <f t="shared" si="59"/>
        <v>2889703</v>
      </c>
      <c r="AX45" s="59">
        <v>1394839</v>
      </c>
      <c r="AY45" s="60">
        <v>1494864</v>
      </c>
      <c r="AZ45" s="7">
        <v>84577</v>
      </c>
      <c r="BA45" s="59">
        <v>43709</v>
      </c>
      <c r="BB45" s="59">
        <v>40868</v>
      </c>
      <c r="BC45" s="7">
        <v>64386</v>
      </c>
      <c r="BD45" s="59">
        <v>35515</v>
      </c>
      <c r="BE45" s="59">
        <v>28871</v>
      </c>
      <c r="BF45" s="195">
        <v>160717</v>
      </c>
      <c r="BG45" s="195">
        <v>81447</v>
      </c>
      <c r="BH45" s="153">
        <v>79270</v>
      </c>
      <c r="BI45" s="199">
        <v>3492345</v>
      </c>
      <c r="BJ45" s="60">
        <v>1707946</v>
      </c>
      <c r="BK45" s="60">
        <v>1784399</v>
      </c>
      <c r="BL45" s="67">
        <v>3135397</v>
      </c>
      <c r="BM45" s="67">
        <v>1530400</v>
      </c>
      <c r="BN45" s="67">
        <v>1604997</v>
      </c>
      <c r="BO45" s="67">
        <v>3059160</v>
      </c>
      <c r="BP45" s="67">
        <v>1490120</v>
      </c>
      <c r="BQ45" s="67">
        <v>1569040</v>
      </c>
      <c r="BR45" s="67">
        <v>138774</v>
      </c>
      <c r="BS45" s="67">
        <v>71802</v>
      </c>
      <c r="BT45" s="67">
        <v>66972</v>
      </c>
      <c r="BU45" s="67">
        <v>115403</v>
      </c>
      <c r="BV45" s="67">
        <v>61532</v>
      </c>
      <c r="BW45" s="67">
        <v>53871</v>
      </c>
      <c r="BX45" s="153">
        <f t="shared" si="60"/>
        <v>218174</v>
      </c>
      <c r="BY45" s="67">
        <v>105744</v>
      </c>
      <c r="BZ45" s="67">
        <v>112430</v>
      </c>
      <c r="CA45" s="210">
        <v>3385006</v>
      </c>
      <c r="CB45" s="7">
        <v>3065640</v>
      </c>
      <c r="CC45" s="59">
        <v>115506</v>
      </c>
      <c r="CD45" s="59">
        <v>203860</v>
      </c>
      <c r="CE45" s="59">
        <v>98809</v>
      </c>
      <c r="CF45" s="199">
        <v>3418723</v>
      </c>
      <c r="CG45" s="7">
        <v>3097087</v>
      </c>
      <c r="CH45" s="59">
        <v>119893</v>
      </c>
      <c r="CI45" s="59">
        <v>201743</v>
      </c>
      <c r="CJ45" s="59">
        <v>101618</v>
      </c>
      <c r="CK45" s="66">
        <v>3446808</v>
      </c>
      <c r="CL45" s="64">
        <v>3118528</v>
      </c>
      <c r="CM45" s="65">
        <v>121855</v>
      </c>
      <c r="CN45" s="65">
        <v>206425</v>
      </c>
      <c r="CO45" s="65">
        <v>103919</v>
      </c>
      <c r="CP45" s="66">
        <v>3492345</v>
      </c>
      <c r="CQ45" s="539">
        <v>3135397</v>
      </c>
      <c r="CR45" s="539">
        <v>138774</v>
      </c>
      <c r="CS45" s="65">
        <v>218174</v>
      </c>
      <c r="CT45" s="539">
        <v>115403</v>
      </c>
      <c r="CU45" s="66">
        <v>3527629</v>
      </c>
      <c r="CV45" s="539">
        <v>3156567</v>
      </c>
      <c r="CW45" s="539">
        <v>143417</v>
      </c>
      <c r="CX45" s="329">
        <f t="shared" si="61"/>
        <v>227645</v>
      </c>
      <c r="CY45" s="633">
        <v>119339</v>
      </c>
      <c r="CZ45" s="59">
        <v>3562974</v>
      </c>
      <c r="DA45" s="59">
        <v>3178359</v>
      </c>
      <c r="DB45" s="59">
        <v>148954</v>
      </c>
      <c r="DC45" s="59">
        <v>234576</v>
      </c>
      <c r="DD45" s="636">
        <v>122627</v>
      </c>
      <c r="DE45" s="59">
        <v>3596719</v>
      </c>
      <c r="DF45" s="59">
        <v>3116996</v>
      </c>
      <c r="DG45" s="1">
        <v>153624</v>
      </c>
      <c r="DH45" s="59">
        <v>246943</v>
      </c>
      <c r="DI45" s="59">
        <v>126091</v>
      </c>
    </row>
    <row r="46" spans="1:113" x14ac:dyDescent="0.2">
      <c r="A46" s="241" t="s">
        <v>32</v>
      </c>
      <c r="B46" s="12"/>
      <c r="C46" s="25"/>
      <c r="D46" s="58">
        <v>2492554</v>
      </c>
      <c r="E46" s="59">
        <v>1089432</v>
      </c>
      <c r="F46" s="59">
        <v>1199820</v>
      </c>
      <c r="G46" s="59">
        <v>94563</v>
      </c>
      <c r="H46" s="60">
        <v>108739</v>
      </c>
      <c r="I46" s="110">
        <v>2602279</v>
      </c>
      <c r="J46" s="153">
        <f t="shared" si="50"/>
        <v>2369585</v>
      </c>
      <c r="K46" s="59">
        <v>1107734</v>
      </c>
      <c r="L46" s="59">
        <v>1261851</v>
      </c>
      <c r="M46" s="153">
        <f t="shared" si="51"/>
        <v>224530</v>
      </c>
      <c r="N46" s="59">
        <v>100508</v>
      </c>
      <c r="O46" s="59">
        <v>124022</v>
      </c>
      <c r="P46" s="153">
        <f t="shared" si="52"/>
        <v>17013</v>
      </c>
      <c r="Q46" s="59">
        <v>8590</v>
      </c>
      <c r="R46" s="60">
        <v>8423</v>
      </c>
      <c r="S46" s="110">
        <v>2918656</v>
      </c>
      <c r="T46" s="151">
        <f t="shared" si="53"/>
        <v>2617804</v>
      </c>
      <c r="U46" s="59">
        <v>1218180</v>
      </c>
      <c r="V46" s="59">
        <v>1399624</v>
      </c>
      <c r="W46" s="151">
        <f t="shared" si="54"/>
        <v>254366</v>
      </c>
      <c r="X46" s="59">
        <v>111658</v>
      </c>
      <c r="Y46" s="59">
        <v>142708</v>
      </c>
      <c r="Z46" s="151">
        <f t="shared" si="55"/>
        <v>23734</v>
      </c>
      <c r="AA46" s="59">
        <v>11658</v>
      </c>
      <c r="AB46" s="59">
        <v>12076</v>
      </c>
      <c r="AC46" s="195">
        <v>21569</v>
      </c>
      <c r="AD46" s="195">
        <v>9719</v>
      </c>
      <c r="AE46" s="153">
        <v>11850</v>
      </c>
      <c r="AF46" s="110">
        <v>3291579</v>
      </c>
      <c r="AG46" s="7">
        <v>2939953</v>
      </c>
      <c r="AH46" s="88">
        <f t="shared" si="56"/>
        <v>2921263</v>
      </c>
      <c r="AI46" s="59">
        <v>1370878</v>
      </c>
      <c r="AJ46" s="59">
        <v>1550385</v>
      </c>
      <c r="AK46" s="7">
        <v>304820</v>
      </c>
      <c r="AL46" s="88">
        <f t="shared" si="57"/>
        <v>303658</v>
      </c>
      <c r="AM46" s="59">
        <v>132370</v>
      </c>
      <c r="AN46" s="59">
        <v>171288</v>
      </c>
      <c r="AO46" s="7">
        <v>30968</v>
      </c>
      <c r="AP46" s="60">
        <v>15308</v>
      </c>
      <c r="AQ46" s="59">
        <v>15660</v>
      </c>
      <c r="AR46" s="92">
        <f t="shared" si="58"/>
        <v>35690</v>
      </c>
      <c r="AS46" s="110">
        <v>3634906</v>
      </c>
      <c r="AT46" s="7">
        <v>3160532</v>
      </c>
      <c r="AU46" s="196">
        <v>1504852</v>
      </c>
      <c r="AV46" s="196">
        <v>1655680</v>
      </c>
      <c r="AW46" s="88">
        <f t="shared" si="59"/>
        <v>3129766</v>
      </c>
      <c r="AX46" s="59">
        <v>1489041</v>
      </c>
      <c r="AY46" s="60">
        <v>1640725</v>
      </c>
      <c r="AZ46" s="7">
        <v>353177</v>
      </c>
      <c r="BA46" s="59">
        <v>155597</v>
      </c>
      <c r="BB46" s="59">
        <v>197580</v>
      </c>
      <c r="BC46" s="7">
        <v>57240</v>
      </c>
      <c r="BD46" s="59">
        <v>29820</v>
      </c>
      <c r="BE46" s="59">
        <v>27420</v>
      </c>
      <c r="BF46" s="195">
        <v>121197</v>
      </c>
      <c r="BG46" s="195">
        <v>59595</v>
      </c>
      <c r="BH46" s="153">
        <v>61602</v>
      </c>
      <c r="BI46" s="199">
        <v>3943725</v>
      </c>
      <c r="BJ46" s="60">
        <v>1888392</v>
      </c>
      <c r="BK46" s="60">
        <v>2055333</v>
      </c>
      <c r="BL46" s="67">
        <v>3381757</v>
      </c>
      <c r="BM46" s="67">
        <v>1631400</v>
      </c>
      <c r="BN46" s="67">
        <v>1750357</v>
      </c>
      <c r="BO46" s="67">
        <v>3318343</v>
      </c>
      <c r="BP46" s="67">
        <v>1598481</v>
      </c>
      <c r="BQ46" s="67">
        <v>1719862</v>
      </c>
      <c r="BR46" s="67">
        <v>402225</v>
      </c>
      <c r="BS46" s="67">
        <v>179655</v>
      </c>
      <c r="BT46" s="67">
        <v>222570</v>
      </c>
      <c r="BU46" s="67">
        <v>101286</v>
      </c>
      <c r="BV46" s="67">
        <v>53048</v>
      </c>
      <c r="BW46" s="67">
        <v>48238</v>
      </c>
      <c r="BX46" s="153">
        <f t="shared" si="60"/>
        <v>159743</v>
      </c>
      <c r="BY46" s="67">
        <v>77337</v>
      </c>
      <c r="BZ46" s="67">
        <v>82406</v>
      </c>
      <c r="CA46" s="210">
        <v>3847339</v>
      </c>
      <c r="CB46" s="9">
        <v>3314760</v>
      </c>
      <c r="CC46" s="59">
        <v>384973</v>
      </c>
      <c r="CD46" s="59">
        <v>147606</v>
      </c>
      <c r="CE46" s="59">
        <v>86348</v>
      </c>
      <c r="CF46" s="199">
        <v>3886568</v>
      </c>
      <c r="CG46" s="7">
        <v>3346393</v>
      </c>
      <c r="CH46" s="59">
        <v>385934</v>
      </c>
      <c r="CI46" s="59">
        <v>154241</v>
      </c>
      <c r="CJ46" s="59">
        <v>89286</v>
      </c>
      <c r="CK46" s="66">
        <v>3925185</v>
      </c>
      <c r="CL46" s="64">
        <v>3379141</v>
      </c>
      <c r="CM46" s="65">
        <v>390342</v>
      </c>
      <c r="CN46" s="65">
        <v>155702</v>
      </c>
      <c r="CO46" s="65">
        <v>95298</v>
      </c>
      <c r="CP46" s="66">
        <v>3943725</v>
      </c>
      <c r="CQ46" s="539">
        <v>3381757</v>
      </c>
      <c r="CR46" s="539">
        <v>402225</v>
      </c>
      <c r="CS46" s="65">
        <v>159743</v>
      </c>
      <c r="CT46" s="539">
        <v>101286</v>
      </c>
      <c r="CU46" s="66">
        <v>3980669</v>
      </c>
      <c r="CV46" s="539">
        <v>3404567</v>
      </c>
      <c r="CW46" s="539">
        <v>412164</v>
      </c>
      <c r="CX46" s="329">
        <f t="shared" si="61"/>
        <v>163938</v>
      </c>
      <c r="CY46" s="633">
        <v>105248</v>
      </c>
      <c r="CZ46" s="59">
        <v>4005241</v>
      </c>
      <c r="DA46" s="59">
        <v>3419954</v>
      </c>
      <c r="DB46" s="59">
        <v>414382</v>
      </c>
      <c r="DC46" s="59">
        <v>170905</v>
      </c>
      <c r="DD46" s="636">
        <v>108232</v>
      </c>
      <c r="DE46" s="59">
        <v>4027255</v>
      </c>
      <c r="DF46" s="59">
        <v>3367577</v>
      </c>
      <c r="DG46" s="1">
        <v>415777</v>
      </c>
      <c r="DH46" s="59">
        <v>174428</v>
      </c>
      <c r="DI46" s="59">
        <v>110975</v>
      </c>
    </row>
    <row r="47" spans="1:113" x14ac:dyDescent="0.2">
      <c r="A47" s="241" t="s">
        <v>34</v>
      </c>
      <c r="B47" s="12"/>
      <c r="C47" s="25"/>
      <c r="D47" s="58">
        <v>791018</v>
      </c>
      <c r="E47" s="59">
        <v>377043</v>
      </c>
      <c r="F47" s="59">
        <v>396356</v>
      </c>
      <c r="G47" s="59">
        <v>8676</v>
      </c>
      <c r="H47" s="60">
        <v>8943</v>
      </c>
      <c r="I47" s="110">
        <v>804623</v>
      </c>
      <c r="J47" s="153">
        <f t="shared" si="50"/>
        <v>783464</v>
      </c>
      <c r="K47" s="59">
        <v>373415</v>
      </c>
      <c r="L47" s="59">
        <v>410049</v>
      </c>
      <c r="M47" s="153">
        <f t="shared" si="51"/>
        <v>16810</v>
      </c>
      <c r="N47" s="59">
        <v>7763</v>
      </c>
      <c r="O47" s="59">
        <v>9047</v>
      </c>
      <c r="P47" s="153">
        <f t="shared" si="52"/>
        <v>7954</v>
      </c>
      <c r="Q47" s="59">
        <v>4150</v>
      </c>
      <c r="R47" s="60">
        <v>3804</v>
      </c>
      <c r="S47" s="110">
        <v>912153</v>
      </c>
      <c r="T47" s="151">
        <f t="shared" si="53"/>
        <v>871368</v>
      </c>
      <c r="U47" s="59">
        <v>412473</v>
      </c>
      <c r="V47" s="59">
        <v>458895</v>
      </c>
      <c r="W47" s="151">
        <f t="shared" si="54"/>
        <v>21534</v>
      </c>
      <c r="X47" s="59">
        <v>9993</v>
      </c>
      <c r="Y47" s="59">
        <v>11541</v>
      </c>
      <c r="Z47" s="151">
        <f t="shared" si="55"/>
        <v>11281</v>
      </c>
      <c r="AA47" s="59">
        <v>5827</v>
      </c>
      <c r="AB47" s="59">
        <v>5454</v>
      </c>
      <c r="AC47" s="195">
        <v>7601</v>
      </c>
      <c r="AD47" s="195">
        <v>3374</v>
      </c>
      <c r="AE47" s="153">
        <v>4227</v>
      </c>
      <c r="AF47" s="110">
        <v>996049</v>
      </c>
      <c r="AG47" s="7">
        <v>946876</v>
      </c>
      <c r="AH47" s="88">
        <f t="shared" si="56"/>
        <v>938330</v>
      </c>
      <c r="AI47" s="59">
        <v>444571</v>
      </c>
      <c r="AJ47" s="59">
        <v>493759</v>
      </c>
      <c r="AK47" s="7">
        <v>29516</v>
      </c>
      <c r="AL47" s="88">
        <f t="shared" si="57"/>
        <v>29288</v>
      </c>
      <c r="AM47" s="59">
        <v>13576</v>
      </c>
      <c r="AN47" s="59">
        <v>15712</v>
      </c>
      <c r="AO47" s="7">
        <v>15988</v>
      </c>
      <c r="AP47" s="60">
        <v>8211</v>
      </c>
      <c r="AQ47" s="59">
        <v>7777</v>
      </c>
      <c r="AR47" s="92">
        <f t="shared" si="58"/>
        <v>12443</v>
      </c>
      <c r="AS47" s="110">
        <v>1087241</v>
      </c>
      <c r="AT47" s="7">
        <v>999326</v>
      </c>
      <c r="AU47" s="196">
        <v>479800</v>
      </c>
      <c r="AV47" s="196">
        <v>519526</v>
      </c>
      <c r="AW47" s="88">
        <f t="shared" si="59"/>
        <v>981129</v>
      </c>
      <c r="AX47" s="59">
        <v>470077</v>
      </c>
      <c r="AY47" s="60">
        <v>511052</v>
      </c>
      <c r="AZ47" s="7">
        <v>36058</v>
      </c>
      <c r="BA47" s="59">
        <v>17161</v>
      </c>
      <c r="BB47" s="59">
        <v>18897</v>
      </c>
      <c r="BC47" s="7">
        <v>43342</v>
      </c>
      <c r="BD47" s="59">
        <v>23966</v>
      </c>
      <c r="BE47" s="59">
        <v>19376</v>
      </c>
      <c r="BF47" s="195">
        <v>51857</v>
      </c>
      <c r="BG47" s="195">
        <v>26958</v>
      </c>
      <c r="BH47" s="153">
        <v>24899</v>
      </c>
      <c r="BI47" s="199">
        <v>1174907</v>
      </c>
      <c r="BJ47" s="60">
        <v>572859</v>
      </c>
      <c r="BK47" s="60">
        <v>602048</v>
      </c>
      <c r="BL47" s="67">
        <v>1067600</v>
      </c>
      <c r="BM47" s="67">
        <v>519108</v>
      </c>
      <c r="BN47" s="67">
        <v>548492</v>
      </c>
      <c r="BO47" s="67">
        <v>1019559</v>
      </c>
      <c r="BP47" s="67">
        <v>493623</v>
      </c>
      <c r="BQ47" s="67">
        <v>525936</v>
      </c>
      <c r="BR47" s="67">
        <v>44874</v>
      </c>
      <c r="BS47" s="67">
        <v>22906</v>
      </c>
      <c r="BT47" s="67">
        <v>21968</v>
      </c>
      <c r="BU47" s="67">
        <v>73811</v>
      </c>
      <c r="BV47" s="67">
        <v>39387</v>
      </c>
      <c r="BW47" s="67">
        <v>34424</v>
      </c>
      <c r="BX47" s="153">
        <f t="shared" si="60"/>
        <v>62433</v>
      </c>
      <c r="BY47" s="67">
        <v>30845</v>
      </c>
      <c r="BZ47" s="67">
        <v>31588</v>
      </c>
      <c r="CA47" s="210">
        <v>1131474</v>
      </c>
      <c r="CB47" s="9">
        <v>1030386</v>
      </c>
      <c r="CC47" s="59">
        <v>39230</v>
      </c>
      <c r="CD47" s="59">
        <v>61858</v>
      </c>
      <c r="CE47" s="59">
        <v>63524</v>
      </c>
      <c r="CF47" s="199">
        <v>1139886</v>
      </c>
      <c r="CG47" s="7">
        <v>1038461</v>
      </c>
      <c r="CH47" s="59">
        <v>39576</v>
      </c>
      <c r="CI47" s="59">
        <v>61849</v>
      </c>
      <c r="CJ47" s="59">
        <v>65777</v>
      </c>
      <c r="CK47" s="66">
        <v>1142562</v>
      </c>
      <c r="CL47" s="64">
        <v>1039956</v>
      </c>
      <c r="CM47" s="65">
        <v>40568</v>
      </c>
      <c r="CN47" s="65">
        <v>62038</v>
      </c>
      <c r="CO47" s="65">
        <v>67636</v>
      </c>
      <c r="CP47" s="66">
        <v>1174907</v>
      </c>
      <c r="CQ47" s="539">
        <v>1067600</v>
      </c>
      <c r="CR47" s="539">
        <v>44874</v>
      </c>
      <c r="CS47" s="65">
        <v>62433</v>
      </c>
      <c r="CT47" s="539">
        <v>73811</v>
      </c>
      <c r="CU47" s="66">
        <v>1186826</v>
      </c>
      <c r="CV47" s="539">
        <v>1078423</v>
      </c>
      <c r="CW47" s="539">
        <v>45547</v>
      </c>
      <c r="CX47" s="329">
        <f t="shared" si="61"/>
        <v>62856</v>
      </c>
      <c r="CY47" s="633">
        <v>77373</v>
      </c>
      <c r="CZ47" s="59">
        <v>1196710</v>
      </c>
      <c r="DA47" s="59">
        <v>1088596</v>
      </c>
      <c r="DB47" s="59">
        <v>46507</v>
      </c>
      <c r="DC47" s="59">
        <v>61041</v>
      </c>
      <c r="DD47" s="636">
        <v>80813</v>
      </c>
      <c r="DE47" s="59">
        <v>1205830</v>
      </c>
      <c r="DF47" s="59">
        <v>1034256</v>
      </c>
      <c r="DG47" s="1">
        <v>47031</v>
      </c>
      <c r="DH47" s="59">
        <v>63589</v>
      </c>
      <c r="DI47" s="59">
        <v>84027</v>
      </c>
    </row>
    <row r="48" spans="1:113" x14ac:dyDescent="0.2">
      <c r="A48" s="241" t="s">
        <v>40</v>
      </c>
      <c r="B48" s="12"/>
      <c r="C48" s="25"/>
      <c r="D48" s="58">
        <v>323615</v>
      </c>
      <c r="E48" s="59">
        <v>163301</v>
      </c>
      <c r="F48" s="59">
        <v>155824</v>
      </c>
      <c r="G48" s="59">
        <v>2183</v>
      </c>
      <c r="H48" s="60">
        <v>2307</v>
      </c>
      <c r="I48" s="110">
        <v>318339</v>
      </c>
      <c r="J48" s="153">
        <f t="shared" si="50"/>
        <v>312269</v>
      </c>
      <c r="K48" s="59">
        <v>155206</v>
      </c>
      <c r="L48" s="59">
        <v>157063</v>
      </c>
      <c r="M48" s="153">
        <f t="shared" si="51"/>
        <v>940</v>
      </c>
      <c r="N48" s="59">
        <v>547</v>
      </c>
      <c r="O48" s="59">
        <v>393</v>
      </c>
      <c r="P48" s="153">
        <f t="shared" si="52"/>
        <v>741</v>
      </c>
      <c r="Q48" s="59">
        <v>382</v>
      </c>
      <c r="R48" s="60">
        <v>359</v>
      </c>
      <c r="S48" s="110">
        <v>364601</v>
      </c>
      <c r="T48" s="151">
        <f t="shared" si="53"/>
        <v>353961</v>
      </c>
      <c r="U48" s="59">
        <v>174934</v>
      </c>
      <c r="V48" s="59">
        <v>179027</v>
      </c>
      <c r="W48" s="151">
        <f t="shared" si="54"/>
        <v>869</v>
      </c>
      <c r="X48" s="59">
        <v>582</v>
      </c>
      <c r="Y48" s="59">
        <v>287</v>
      </c>
      <c r="Z48" s="151">
        <f t="shared" si="55"/>
        <v>1163</v>
      </c>
      <c r="AA48" s="59">
        <v>602</v>
      </c>
      <c r="AB48" s="59">
        <v>561</v>
      </c>
      <c r="AC48" s="195">
        <v>8496</v>
      </c>
      <c r="AD48" s="195">
        <v>3855</v>
      </c>
      <c r="AE48" s="153">
        <v>4641</v>
      </c>
      <c r="AF48" s="110">
        <v>396550</v>
      </c>
      <c r="AG48" s="7">
        <v>381509</v>
      </c>
      <c r="AH48" s="88">
        <f t="shared" si="56"/>
        <v>380508</v>
      </c>
      <c r="AI48" s="59">
        <v>185199</v>
      </c>
      <c r="AJ48" s="59">
        <v>195309</v>
      </c>
      <c r="AK48" s="7">
        <v>1580</v>
      </c>
      <c r="AL48" s="88">
        <f t="shared" si="57"/>
        <v>1556</v>
      </c>
      <c r="AM48" s="59">
        <v>1024</v>
      </c>
      <c r="AN48" s="59">
        <v>532</v>
      </c>
      <c r="AO48" s="7">
        <v>1876</v>
      </c>
      <c r="AP48" s="60">
        <v>909</v>
      </c>
      <c r="AQ48" s="59">
        <v>967</v>
      </c>
      <c r="AR48" s="92">
        <f t="shared" si="58"/>
        <v>12610</v>
      </c>
      <c r="AS48" s="110">
        <v>408585</v>
      </c>
      <c r="AT48" s="7">
        <v>386469</v>
      </c>
      <c r="AU48" s="196">
        <v>188606</v>
      </c>
      <c r="AV48" s="196">
        <v>197863</v>
      </c>
      <c r="AW48" s="88">
        <f t="shared" si="59"/>
        <v>384576</v>
      </c>
      <c r="AX48" s="59">
        <v>187657</v>
      </c>
      <c r="AY48" s="60">
        <v>196919</v>
      </c>
      <c r="AZ48" s="7">
        <v>1467</v>
      </c>
      <c r="BA48" s="59">
        <v>924</v>
      </c>
      <c r="BB48" s="59">
        <v>543</v>
      </c>
      <c r="BC48" s="7">
        <v>3306</v>
      </c>
      <c r="BD48" s="59">
        <v>1591</v>
      </c>
      <c r="BE48" s="59">
        <v>1715</v>
      </c>
      <c r="BF48" s="195">
        <v>20649</v>
      </c>
      <c r="BG48" s="195">
        <v>9771</v>
      </c>
      <c r="BH48" s="153">
        <v>10878</v>
      </c>
      <c r="BI48" s="199">
        <v>436232</v>
      </c>
      <c r="BJ48" s="60">
        <v>216960</v>
      </c>
      <c r="BK48" s="60">
        <v>219272</v>
      </c>
      <c r="BL48" s="67">
        <v>406315</v>
      </c>
      <c r="BM48" s="67">
        <v>201979</v>
      </c>
      <c r="BN48" s="67">
        <v>204336</v>
      </c>
      <c r="BO48" s="67">
        <v>402668</v>
      </c>
      <c r="BP48" s="67">
        <v>200108</v>
      </c>
      <c r="BQ48" s="67">
        <v>202560</v>
      </c>
      <c r="BR48" s="67">
        <v>3438</v>
      </c>
      <c r="BS48" s="67">
        <v>2145</v>
      </c>
      <c r="BT48" s="67">
        <v>1293</v>
      </c>
      <c r="BU48" s="67">
        <v>5831</v>
      </c>
      <c r="BV48" s="67">
        <v>3052</v>
      </c>
      <c r="BW48" s="67">
        <v>2779</v>
      </c>
      <c r="BX48" s="153">
        <f t="shared" si="60"/>
        <v>26479</v>
      </c>
      <c r="BY48" s="67">
        <v>12836</v>
      </c>
      <c r="BZ48" s="67">
        <v>13643</v>
      </c>
      <c r="CA48" s="210">
        <v>411298</v>
      </c>
      <c r="CB48" s="7">
        <v>384809</v>
      </c>
      <c r="CC48" s="59">
        <v>2551</v>
      </c>
      <c r="CD48" s="59">
        <v>23938</v>
      </c>
      <c r="CE48" s="59">
        <v>4488</v>
      </c>
      <c r="CF48" s="199">
        <v>413437</v>
      </c>
      <c r="CG48" s="7">
        <v>386716</v>
      </c>
      <c r="CH48" s="59">
        <v>2516</v>
      </c>
      <c r="CI48" s="59">
        <v>24205</v>
      </c>
      <c r="CJ48" s="59">
        <v>5078</v>
      </c>
      <c r="CK48" s="66">
        <v>413790</v>
      </c>
      <c r="CL48" s="64">
        <v>385086</v>
      </c>
      <c r="CM48" s="65">
        <v>2571</v>
      </c>
      <c r="CN48" s="65">
        <v>26133</v>
      </c>
      <c r="CO48" s="65">
        <v>6248</v>
      </c>
      <c r="CP48" s="66">
        <v>436232</v>
      </c>
      <c r="CQ48" s="539">
        <v>406315</v>
      </c>
      <c r="CR48" s="539">
        <v>3438</v>
      </c>
      <c r="CS48" s="65">
        <v>26479</v>
      </c>
      <c r="CT48" s="539">
        <v>5831</v>
      </c>
      <c r="CU48" s="66">
        <v>442592</v>
      </c>
      <c r="CV48" s="539">
        <v>411393</v>
      </c>
      <c r="CW48" s="539"/>
      <c r="CX48" s="329">
        <f t="shared" si="61"/>
        <v>31199</v>
      </c>
      <c r="CY48" s="633"/>
      <c r="CZ48" s="59">
        <v>450055</v>
      </c>
      <c r="DA48" s="59">
        <v>417083</v>
      </c>
      <c r="DB48" s="59">
        <v>4245</v>
      </c>
      <c r="DC48" s="59">
        <v>28390</v>
      </c>
      <c r="DD48" s="636">
        <v>6470</v>
      </c>
      <c r="DE48" s="59">
        <v>457771</v>
      </c>
      <c r="DF48" s="59">
        <v>417650</v>
      </c>
      <c r="DG48" s="1">
        <v>4479</v>
      </c>
      <c r="DH48" s="59">
        <v>31065</v>
      </c>
      <c r="DI48" s="59">
        <v>7521</v>
      </c>
    </row>
    <row r="49" spans="1:113" x14ac:dyDescent="0.2">
      <c r="A49" s="241" t="s">
        <v>41</v>
      </c>
      <c r="B49" s="12"/>
      <c r="C49" s="25"/>
      <c r="D49" s="58">
        <v>5377547</v>
      </c>
      <c r="E49" s="59">
        <v>2398747</v>
      </c>
      <c r="F49" s="59">
        <v>2570087</v>
      </c>
      <c r="G49" s="59">
        <v>197938</v>
      </c>
      <c r="H49" s="60">
        <v>210775</v>
      </c>
      <c r="I49" s="110">
        <v>5700317</v>
      </c>
      <c r="J49" s="153">
        <f t="shared" si="50"/>
        <v>5219934</v>
      </c>
      <c r="K49" s="59">
        <v>2467295</v>
      </c>
      <c r="L49" s="59">
        <v>2752639</v>
      </c>
      <c r="M49" s="153">
        <f t="shared" si="51"/>
        <v>463963</v>
      </c>
      <c r="N49" s="59">
        <v>213747</v>
      </c>
      <c r="O49" s="59">
        <v>250216</v>
      </c>
      <c r="P49" s="153">
        <f t="shared" si="52"/>
        <v>37001</v>
      </c>
      <c r="Q49" s="59">
        <v>18749</v>
      </c>
      <c r="R49" s="60">
        <v>18252</v>
      </c>
      <c r="S49" s="110">
        <v>6291667</v>
      </c>
      <c r="T49" s="151">
        <f t="shared" si="53"/>
        <v>5647057</v>
      </c>
      <c r="U49" s="59">
        <v>2646095</v>
      </c>
      <c r="V49" s="59">
        <v>3000962</v>
      </c>
      <c r="W49" s="151">
        <f t="shared" si="54"/>
        <v>551628</v>
      </c>
      <c r="X49" s="59">
        <v>247223</v>
      </c>
      <c r="Y49" s="59">
        <v>304405</v>
      </c>
      <c r="Z49" s="151">
        <f t="shared" si="55"/>
        <v>53107</v>
      </c>
      <c r="AA49" s="59">
        <v>26618</v>
      </c>
      <c r="AB49" s="59">
        <v>26489</v>
      </c>
      <c r="AC49" s="195">
        <v>37444</v>
      </c>
      <c r="AD49" s="195">
        <v>16450</v>
      </c>
      <c r="AE49" s="153">
        <v>20994</v>
      </c>
      <c r="AF49" s="110">
        <v>6924764</v>
      </c>
      <c r="AG49" s="7">
        <v>6175347</v>
      </c>
      <c r="AH49" s="88">
        <f t="shared" si="56"/>
        <v>6139319</v>
      </c>
      <c r="AI49" s="59">
        <v>2881463</v>
      </c>
      <c r="AJ49" s="59">
        <v>3257856</v>
      </c>
      <c r="AK49" s="7">
        <v>656421</v>
      </c>
      <c r="AL49" s="88">
        <f t="shared" si="57"/>
        <v>653932</v>
      </c>
      <c r="AM49" s="59">
        <v>287470</v>
      </c>
      <c r="AN49" s="59">
        <v>366462</v>
      </c>
      <c r="AO49" s="7">
        <v>64820</v>
      </c>
      <c r="AP49" s="60">
        <v>32321</v>
      </c>
      <c r="AQ49" s="59">
        <v>32499</v>
      </c>
      <c r="AR49" s="92">
        <f t="shared" si="58"/>
        <v>66693</v>
      </c>
      <c r="AS49" s="110">
        <v>7411740</v>
      </c>
      <c r="AT49" s="7">
        <v>6444503</v>
      </c>
      <c r="AU49" s="196">
        <v>3059868</v>
      </c>
      <c r="AV49" s="196">
        <v>3384635</v>
      </c>
      <c r="AW49" s="88">
        <f t="shared" si="59"/>
        <v>6390358</v>
      </c>
      <c r="AX49" s="59">
        <v>3033056</v>
      </c>
      <c r="AY49" s="60">
        <v>3357302</v>
      </c>
      <c r="AZ49" s="7">
        <v>746177</v>
      </c>
      <c r="BA49" s="59">
        <v>335278</v>
      </c>
      <c r="BB49" s="59">
        <v>410899</v>
      </c>
      <c r="BC49" s="7">
        <v>106232</v>
      </c>
      <c r="BD49" s="59">
        <v>54319</v>
      </c>
      <c r="BE49" s="59">
        <v>51913</v>
      </c>
      <c r="BF49" s="195">
        <v>221060</v>
      </c>
      <c r="BG49" s="195">
        <v>108860</v>
      </c>
      <c r="BH49" s="153">
        <v>112200</v>
      </c>
      <c r="BI49" s="199">
        <v>7687669</v>
      </c>
      <c r="BJ49" s="60">
        <v>3670035</v>
      </c>
      <c r="BK49" s="60">
        <v>4017634</v>
      </c>
      <c r="BL49" s="67">
        <v>6589010</v>
      </c>
      <c r="BM49" s="67">
        <v>3161196</v>
      </c>
      <c r="BN49" s="67">
        <v>3427814</v>
      </c>
      <c r="BO49" s="67">
        <v>6476022</v>
      </c>
      <c r="BP49" s="67">
        <v>3103163</v>
      </c>
      <c r="BQ49" s="67">
        <v>3372859</v>
      </c>
      <c r="BR49" s="67">
        <v>837493</v>
      </c>
      <c r="BS49" s="67">
        <v>382491</v>
      </c>
      <c r="BT49" s="67">
        <v>455002</v>
      </c>
      <c r="BU49" s="67">
        <v>170917</v>
      </c>
      <c r="BV49" s="67">
        <v>88685</v>
      </c>
      <c r="BW49" s="67">
        <v>82232</v>
      </c>
      <c r="BX49" s="153">
        <f t="shared" si="60"/>
        <v>261166</v>
      </c>
      <c r="BY49" s="67">
        <v>126348</v>
      </c>
      <c r="BZ49" s="67">
        <v>134818</v>
      </c>
      <c r="CA49" s="210">
        <v>7598399</v>
      </c>
      <c r="CB49" s="7">
        <v>6548565</v>
      </c>
      <c r="CC49" s="59">
        <v>796488</v>
      </c>
      <c r="CD49" s="59">
        <v>253346</v>
      </c>
      <c r="CE49" s="59">
        <v>143785</v>
      </c>
      <c r="CF49" s="199">
        <v>7636835</v>
      </c>
      <c r="CG49" s="7">
        <v>6582144</v>
      </c>
      <c r="CH49" s="59">
        <v>804209</v>
      </c>
      <c r="CI49" s="59">
        <v>250482</v>
      </c>
      <c r="CJ49" s="59">
        <v>148500</v>
      </c>
      <c r="CK49" s="66">
        <v>7711350</v>
      </c>
      <c r="CL49" s="64">
        <v>6645259</v>
      </c>
      <c r="CM49" s="65">
        <v>813819</v>
      </c>
      <c r="CN49" s="65">
        <v>252272</v>
      </c>
      <c r="CO49" s="65">
        <v>159868</v>
      </c>
      <c r="CP49" s="66">
        <v>7687669</v>
      </c>
      <c r="CQ49" s="539">
        <v>6589010</v>
      </c>
      <c r="CR49" s="539">
        <v>837493</v>
      </c>
      <c r="CS49" s="65">
        <v>261166</v>
      </c>
      <c r="CT49" s="539">
        <v>170917</v>
      </c>
      <c r="CU49" s="66">
        <v>7718074</v>
      </c>
      <c r="CV49" s="539">
        <v>6600893</v>
      </c>
      <c r="CW49" s="539">
        <v>844656</v>
      </c>
      <c r="CX49" s="329">
        <f t="shared" si="61"/>
        <v>272525</v>
      </c>
      <c r="CY49" s="633">
        <v>176662</v>
      </c>
      <c r="CZ49" s="59">
        <v>7744886</v>
      </c>
      <c r="DA49" s="59">
        <v>6609825</v>
      </c>
      <c r="DB49" s="59">
        <v>851270</v>
      </c>
      <c r="DC49" s="59">
        <v>282156</v>
      </c>
      <c r="DD49" s="636">
        <v>183250</v>
      </c>
      <c r="DE49" s="59">
        <v>7776454</v>
      </c>
      <c r="DF49" s="59">
        <v>6505332</v>
      </c>
      <c r="DG49" s="1">
        <v>851891</v>
      </c>
      <c r="DH49" s="59">
        <v>296089</v>
      </c>
      <c r="DI49" s="59">
        <v>189557</v>
      </c>
    </row>
    <row r="50" spans="1:113" x14ac:dyDescent="0.2">
      <c r="A50" s="241" t="s">
        <v>45</v>
      </c>
      <c r="B50" s="12"/>
      <c r="C50" s="25"/>
      <c r="D50" s="58">
        <v>360135</v>
      </c>
      <c r="E50" s="59">
        <v>175791</v>
      </c>
      <c r="F50" s="59">
        <v>173690</v>
      </c>
      <c r="G50" s="59">
        <v>5326</v>
      </c>
      <c r="H50" s="60">
        <v>5328</v>
      </c>
      <c r="I50" s="110">
        <v>349497</v>
      </c>
      <c r="J50" s="153">
        <f t="shared" si="50"/>
        <v>337278</v>
      </c>
      <c r="K50" s="59">
        <v>164024</v>
      </c>
      <c r="L50" s="59">
        <v>173254</v>
      </c>
      <c r="M50" s="153">
        <f t="shared" si="51"/>
        <v>640</v>
      </c>
      <c r="N50" s="59">
        <v>373</v>
      </c>
      <c r="O50" s="59">
        <v>267</v>
      </c>
      <c r="P50" s="153">
        <f t="shared" si="52"/>
        <v>1059</v>
      </c>
      <c r="Q50" s="59">
        <v>564</v>
      </c>
      <c r="R50" s="60">
        <v>495</v>
      </c>
      <c r="S50" s="110">
        <v>389991</v>
      </c>
      <c r="T50" s="151">
        <f t="shared" si="53"/>
        <v>369880</v>
      </c>
      <c r="U50" s="59">
        <v>178526</v>
      </c>
      <c r="V50" s="59">
        <v>191354</v>
      </c>
      <c r="W50" s="151">
        <f t="shared" si="54"/>
        <v>793</v>
      </c>
      <c r="X50" s="59">
        <v>526</v>
      </c>
      <c r="Y50" s="59">
        <v>267</v>
      </c>
      <c r="Z50" s="151">
        <f t="shared" si="55"/>
        <v>1444</v>
      </c>
      <c r="AA50" s="59">
        <v>716</v>
      </c>
      <c r="AB50" s="59">
        <v>728</v>
      </c>
      <c r="AC50" s="195">
        <v>17761</v>
      </c>
      <c r="AD50" s="195">
        <v>8184</v>
      </c>
      <c r="AE50" s="153">
        <v>9577</v>
      </c>
      <c r="AF50" s="110">
        <v>430500</v>
      </c>
      <c r="AG50" s="7">
        <v>405575</v>
      </c>
      <c r="AH50" s="88">
        <f t="shared" si="56"/>
        <v>404560</v>
      </c>
      <c r="AI50" s="59">
        <v>194558</v>
      </c>
      <c r="AJ50" s="59">
        <v>210002</v>
      </c>
      <c r="AK50" s="7">
        <v>1425</v>
      </c>
      <c r="AL50" s="88">
        <f t="shared" si="57"/>
        <v>1420</v>
      </c>
      <c r="AM50" s="59">
        <v>984</v>
      </c>
      <c r="AN50" s="59">
        <v>436</v>
      </c>
      <c r="AO50" s="7">
        <v>2248</v>
      </c>
      <c r="AP50" s="60">
        <v>1223</v>
      </c>
      <c r="AQ50" s="59">
        <v>1025</v>
      </c>
      <c r="AR50" s="92">
        <f t="shared" si="58"/>
        <v>22272</v>
      </c>
      <c r="AS50" s="110">
        <v>474359</v>
      </c>
      <c r="AT50" s="7">
        <v>436738</v>
      </c>
      <c r="AU50" s="196">
        <v>211974</v>
      </c>
      <c r="AV50" s="196">
        <v>224764</v>
      </c>
      <c r="AW50" s="88">
        <f t="shared" si="59"/>
        <v>434428</v>
      </c>
      <c r="AX50" s="59">
        <v>210769</v>
      </c>
      <c r="AY50" s="60">
        <v>223659</v>
      </c>
      <c r="AZ50" s="7">
        <v>2280</v>
      </c>
      <c r="BA50" s="59">
        <v>1518</v>
      </c>
      <c r="BB50" s="59">
        <v>762</v>
      </c>
      <c r="BC50" s="7">
        <v>4638</v>
      </c>
      <c r="BD50" s="59">
        <v>2553</v>
      </c>
      <c r="BE50" s="59">
        <v>2085</v>
      </c>
      <c r="BF50" s="195">
        <v>35341</v>
      </c>
      <c r="BG50" s="195">
        <v>16850</v>
      </c>
      <c r="BH50" s="153">
        <v>18491</v>
      </c>
      <c r="BI50" s="199">
        <v>525495</v>
      </c>
      <c r="BJ50" s="60">
        <v>258389</v>
      </c>
      <c r="BK50" s="60">
        <v>267106</v>
      </c>
      <c r="BL50" s="67">
        <v>474113</v>
      </c>
      <c r="BM50" s="67">
        <v>233073</v>
      </c>
      <c r="BN50" s="67">
        <v>241040</v>
      </c>
      <c r="BO50" s="67">
        <v>468948</v>
      </c>
      <c r="BP50" s="67">
        <v>230491</v>
      </c>
      <c r="BQ50" s="67">
        <v>238457</v>
      </c>
      <c r="BR50" s="67">
        <v>4697</v>
      </c>
      <c r="BS50" s="67">
        <v>3081</v>
      </c>
      <c r="BT50" s="67">
        <v>1616</v>
      </c>
      <c r="BU50" s="67">
        <v>9667</v>
      </c>
      <c r="BV50" s="67">
        <v>5141</v>
      </c>
      <c r="BW50" s="67">
        <v>4526</v>
      </c>
      <c r="BX50" s="153">
        <f t="shared" si="60"/>
        <v>46685</v>
      </c>
      <c r="BY50" s="67">
        <v>22235</v>
      </c>
      <c r="BZ50" s="67">
        <v>24450</v>
      </c>
      <c r="CA50" s="210">
        <v>509779</v>
      </c>
      <c r="CB50" s="7">
        <v>464194</v>
      </c>
      <c r="CC50" s="59">
        <v>3499</v>
      </c>
      <c r="CD50" s="59">
        <v>42086</v>
      </c>
      <c r="CE50" s="59">
        <v>7923</v>
      </c>
      <c r="CF50" s="199">
        <v>516633</v>
      </c>
      <c r="CG50" s="7">
        <v>468284</v>
      </c>
      <c r="CH50" s="59">
        <v>3678</v>
      </c>
      <c r="CI50" s="59">
        <v>44671</v>
      </c>
      <c r="CJ50" s="59">
        <v>8634</v>
      </c>
      <c r="CK50" s="66">
        <v>520791</v>
      </c>
      <c r="CL50" s="64">
        <v>471071</v>
      </c>
      <c r="CM50" s="65">
        <v>3949</v>
      </c>
      <c r="CN50" s="65">
        <v>45771</v>
      </c>
      <c r="CO50" s="65">
        <v>9435</v>
      </c>
      <c r="CP50" s="66">
        <v>525495</v>
      </c>
      <c r="CQ50" s="539">
        <v>474113</v>
      </c>
      <c r="CR50" s="539">
        <v>4697</v>
      </c>
      <c r="CS50" s="65">
        <v>46685</v>
      </c>
      <c r="CT50" s="539">
        <v>9667</v>
      </c>
      <c r="CU50" s="66">
        <v>531543</v>
      </c>
      <c r="CV50" s="539">
        <v>478192</v>
      </c>
      <c r="CW50" s="539"/>
      <c r="CX50" s="329">
        <f t="shared" si="61"/>
        <v>53351</v>
      </c>
      <c r="CY50" s="633">
        <v>10146</v>
      </c>
      <c r="CZ50" s="59">
        <v>538464</v>
      </c>
      <c r="DA50" s="59">
        <v>482510</v>
      </c>
      <c r="DB50" s="59">
        <v>5700</v>
      </c>
      <c r="DC50" s="59">
        <v>50117</v>
      </c>
      <c r="DD50" s="636">
        <v>10608</v>
      </c>
      <c r="DE50" s="59">
        <v>544876</v>
      </c>
      <c r="DF50" s="59">
        <v>479646</v>
      </c>
      <c r="DG50" s="1">
        <v>6289</v>
      </c>
      <c r="DH50" s="59">
        <v>52290</v>
      </c>
      <c r="DI50" s="59">
        <v>11785</v>
      </c>
    </row>
    <row r="51" spans="1:113" x14ac:dyDescent="0.2">
      <c r="A51" s="245" t="s">
        <v>49</v>
      </c>
      <c r="B51" s="266"/>
      <c r="C51" s="406"/>
      <c r="D51" s="407">
        <v>2175370</v>
      </c>
      <c r="E51" s="408">
        <v>1047671</v>
      </c>
      <c r="F51" s="408">
        <v>1086932</v>
      </c>
      <c r="G51" s="408">
        <v>20671</v>
      </c>
      <c r="H51" s="408">
        <v>20096</v>
      </c>
      <c r="I51" s="409">
        <v>586058</v>
      </c>
      <c r="J51" s="410">
        <f t="shared" si="50"/>
        <v>580614</v>
      </c>
      <c r="K51" s="408">
        <v>286659</v>
      </c>
      <c r="L51" s="408">
        <v>293955</v>
      </c>
      <c r="M51" s="410">
        <f t="shared" si="51"/>
        <v>749</v>
      </c>
      <c r="N51" s="408">
        <v>424</v>
      </c>
      <c r="O51" s="408">
        <v>325</v>
      </c>
      <c r="P51" s="410">
        <f t="shared" si="52"/>
        <v>1970</v>
      </c>
      <c r="Q51" s="408">
        <v>969</v>
      </c>
      <c r="R51" s="408">
        <v>1001</v>
      </c>
      <c r="S51" s="409">
        <v>2705388</v>
      </c>
      <c r="T51" s="272">
        <f t="shared" si="53"/>
        <v>2578549</v>
      </c>
      <c r="U51" s="408">
        <v>1230480</v>
      </c>
      <c r="V51" s="408">
        <v>1348069</v>
      </c>
      <c r="W51" s="272">
        <f t="shared" si="54"/>
        <v>78052</v>
      </c>
      <c r="X51" s="408">
        <v>35511</v>
      </c>
      <c r="Y51" s="408">
        <v>42541</v>
      </c>
      <c r="Z51" s="272">
        <f t="shared" si="55"/>
        <v>24163</v>
      </c>
      <c r="AA51" s="408">
        <v>12508</v>
      </c>
      <c r="AB51" s="408">
        <v>11655</v>
      </c>
      <c r="AC51" s="410">
        <v>23823</v>
      </c>
      <c r="AD51" s="410">
        <v>10759</v>
      </c>
      <c r="AE51" s="410">
        <v>13064</v>
      </c>
      <c r="AF51" s="409">
        <v>3094226</v>
      </c>
      <c r="AG51" s="265">
        <v>2918275</v>
      </c>
      <c r="AH51" s="272">
        <f t="shared" si="56"/>
        <v>2898924</v>
      </c>
      <c r="AI51" s="408">
        <v>1385275</v>
      </c>
      <c r="AJ51" s="408">
        <v>1513649</v>
      </c>
      <c r="AK51" s="265">
        <v>115996</v>
      </c>
      <c r="AL51" s="272">
        <f t="shared" si="57"/>
        <v>115423</v>
      </c>
      <c r="AM51" s="408">
        <v>51378</v>
      </c>
      <c r="AN51" s="408">
        <v>64045</v>
      </c>
      <c r="AO51" s="265">
        <v>37462</v>
      </c>
      <c r="AP51" s="408">
        <v>19724</v>
      </c>
      <c r="AQ51" s="408">
        <v>17738</v>
      </c>
      <c r="AR51" s="411">
        <f t="shared" si="58"/>
        <v>42417</v>
      </c>
      <c r="AS51" s="409">
        <v>3475878</v>
      </c>
      <c r="AT51" s="265">
        <v>3192571</v>
      </c>
      <c r="AU51" s="412">
        <v>1544477</v>
      </c>
      <c r="AV51" s="412">
        <v>1648094</v>
      </c>
      <c r="AW51" s="272">
        <f t="shared" si="59"/>
        <v>3151316</v>
      </c>
      <c r="AX51" s="408">
        <v>1522410</v>
      </c>
      <c r="AY51" s="408">
        <v>1628906</v>
      </c>
      <c r="AZ51" s="265">
        <v>152052</v>
      </c>
      <c r="BA51" s="408">
        <v>69754</v>
      </c>
      <c r="BB51" s="408">
        <v>82298</v>
      </c>
      <c r="BC51" s="265">
        <v>86890</v>
      </c>
      <c r="BD51" s="408">
        <v>47833</v>
      </c>
      <c r="BE51" s="408">
        <v>39057</v>
      </c>
      <c r="BF51" s="410">
        <v>131255</v>
      </c>
      <c r="BG51" s="410">
        <v>66599</v>
      </c>
      <c r="BH51" s="410">
        <v>64656</v>
      </c>
      <c r="BI51" s="414">
        <v>3773536</v>
      </c>
      <c r="BJ51" s="408">
        <v>1843006</v>
      </c>
      <c r="BK51" s="408">
        <v>1930530</v>
      </c>
      <c r="BL51" s="407">
        <v>3415613</v>
      </c>
      <c r="BM51" s="407">
        <v>1670524</v>
      </c>
      <c r="BN51" s="407">
        <v>1745089</v>
      </c>
      <c r="BO51" s="407">
        <v>3309874</v>
      </c>
      <c r="BP51" s="407">
        <v>1614679</v>
      </c>
      <c r="BQ51" s="407">
        <v>1695195</v>
      </c>
      <c r="BR51" s="407">
        <v>189506</v>
      </c>
      <c r="BS51" s="407">
        <v>89009</v>
      </c>
      <c r="BT51" s="407">
        <v>100497</v>
      </c>
      <c r="BU51" s="407">
        <v>154427</v>
      </c>
      <c r="BV51" s="407">
        <v>82204</v>
      </c>
      <c r="BW51" s="407">
        <v>72223</v>
      </c>
      <c r="BX51" s="410">
        <f t="shared" si="60"/>
        <v>168417</v>
      </c>
      <c r="BY51" s="407">
        <v>83473</v>
      </c>
      <c r="BZ51" s="407">
        <v>84944</v>
      </c>
      <c r="CA51" s="413">
        <v>3692408</v>
      </c>
      <c r="CB51" s="265">
        <v>3334225</v>
      </c>
      <c r="CC51" s="408">
        <v>176577</v>
      </c>
      <c r="CD51" s="408">
        <v>181606</v>
      </c>
      <c r="CE51" s="408">
        <v>131232</v>
      </c>
      <c r="CF51" s="414">
        <v>3727936</v>
      </c>
      <c r="CG51" s="265">
        <v>3371349</v>
      </c>
      <c r="CH51" s="408">
        <v>178993</v>
      </c>
      <c r="CI51" s="408">
        <v>177594</v>
      </c>
      <c r="CJ51" s="408">
        <v>137057</v>
      </c>
      <c r="CK51" s="268">
        <v>3727557</v>
      </c>
      <c r="CL51" s="269">
        <v>3379870</v>
      </c>
      <c r="CM51" s="269">
        <v>180296</v>
      </c>
      <c r="CN51" s="269">
        <v>167391</v>
      </c>
      <c r="CO51" s="269">
        <v>140397</v>
      </c>
      <c r="CP51" s="268">
        <v>3773536</v>
      </c>
      <c r="CQ51" s="539">
        <v>3415613</v>
      </c>
      <c r="CR51" s="539">
        <v>189506</v>
      </c>
      <c r="CS51" s="65">
        <v>168417</v>
      </c>
      <c r="CT51" s="539">
        <v>154427</v>
      </c>
      <c r="CU51" s="268">
        <v>3803392</v>
      </c>
      <c r="CV51" s="539">
        <v>3435239</v>
      </c>
      <c r="CW51" s="539">
        <v>192901</v>
      </c>
      <c r="CX51" s="329">
        <f t="shared" si="61"/>
        <v>175252</v>
      </c>
      <c r="CY51" s="633">
        <v>160610</v>
      </c>
      <c r="CZ51" s="414">
        <v>3828580</v>
      </c>
      <c r="DA51" s="60">
        <v>3449256</v>
      </c>
      <c r="DB51" s="60">
        <v>194586</v>
      </c>
      <c r="DC51" s="60">
        <v>184150</v>
      </c>
      <c r="DD51" s="637">
        <v>165091</v>
      </c>
      <c r="DE51" s="408">
        <v>3853730</v>
      </c>
      <c r="DF51" s="59">
        <v>3350981</v>
      </c>
      <c r="DG51" s="1">
        <v>197513</v>
      </c>
      <c r="DH51" s="59">
        <v>190860</v>
      </c>
      <c r="DI51" s="59">
        <v>170948</v>
      </c>
    </row>
    <row r="52" spans="1:113" x14ac:dyDescent="0.2">
      <c r="A52" s="246" t="s">
        <v>185</v>
      </c>
      <c r="B52" s="567">
        <f>SUM(B54:B62)</f>
        <v>0</v>
      </c>
      <c r="C52" s="472">
        <f t="shared" ref="C52:CF52" si="62">SUM(C54:C62)</f>
        <v>0</v>
      </c>
      <c r="D52" s="467">
        <f t="shared" si="62"/>
        <v>26412632</v>
      </c>
      <c r="E52" s="467">
        <f t="shared" si="62"/>
        <v>11756596</v>
      </c>
      <c r="F52" s="467">
        <f t="shared" si="62"/>
        <v>12968033</v>
      </c>
      <c r="G52" s="467">
        <f t="shared" si="62"/>
        <v>785871</v>
      </c>
      <c r="H52" s="470">
        <f t="shared" si="62"/>
        <v>902132</v>
      </c>
      <c r="I52" s="469">
        <f t="shared" si="62"/>
        <v>26363705</v>
      </c>
      <c r="J52" s="470">
        <f t="shared" si="62"/>
        <v>24160219</v>
      </c>
      <c r="K52" s="467">
        <f t="shared" si="62"/>
        <v>11266736</v>
      </c>
      <c r="L52" s="467">
        <f t="shared" si="62"/>
        <v>12893483</v>
      </c>
      <c r="M52" s="470">
        <f t="shared" si="62"/>
        <v>2036980</v>
      </c>
      <c r="N52" s="467">
        <f t="shared" si="62"/>
        <v>901183</v>
      </c>
      <c r="O52" s="467">
        <f t="shared" si="62"/>
        <v>1135797</v>
      </c>
      <c r="P52" s="470">
        <f t="shared" si="62"/>
        <v>471544</v>
      </c>
      <c r="Q52" s="467">
        <f t="shared" si="62"/>
        <v>219860</v>
      </c>
      <c r="R52" s="470">
        <f t="shared" si="62"/>
        <v>251684</v>
      </c>
      <c r="S52" s="469">
        <f t="shared" si="62"/>
        <v>29903010</v>
      </c>
      <c r="T52" s="313">
        <f t="shared" si="62"/>
        <v>25741998</v>
      </c>
      <c r="U52" s="467">
        <f t="shared" si="62"/>
        <v>11924242</v>
      </c>
      <c r="V52" s="467">
        <f t="shared" si="62"/>
        <v>13817756</v>
      </c>
      <c r="W52" s="313">
        <f t="shared" si="62"/>
        <v>2471472</v>
      </c>
      <c r="X52" s="467">
        <f t="shared" si="62"/>
        <v>1066681</v>
      </c>
      <c r="Y52" s="467">
        <f t="shared" si="62"/>
        <v>1404791</v>
      </c>
      <c r="Z52" s="313">
        <f t="shared" si="62"/>
        <v>1272149</v>
      </c>
      <c r="AA52" s="467">
        <f t="shared" si="62"/>
        <v>575550</v>
      </c>
      <c r="AB52" s="467">
        <f t="shared" si="62"/>
        <v>696599</v>
      </c>
      <c r="AC52" s="467">
        <f t="shared" si="62"/>
        <v>387817</v>
      </c>
      <c r="AD52" s="467">
        <f t="shared" si="62"/>
        <v>185537</v>
      </c>
      <c r="AE52" s="470">
        <f t="shared" si="62"/>
        <v>202280</v>
      </c>
      <c r="AF52" s="469">
        <f t="shared" si="62"/>
        <v>33544628</v>
      </c>
      <c r="AG52" s="313">
        <f t="shared" si="62"/>
        <v>28550913</v>
      </c>
      <c r="AH52" s="308">
        <f t="shared" si="62"/>
        <v>27585554</v>
      </c>
      <c r="AI52" s="467">
        <f t="shared" si="62"/>
        <v>12907229</v>
      </c>
      <c r="AJ52" s="467">
        <f t="shared" si="62"/>
        <v>14678325</v>
      </c>
      <c r="AK52" s="313">
        <f t="shared" si="62"/>
        <v>3272364</v>
      </c>
      <c r="AL52" s="308">
        <f t="shared" si="62"/>
        <v>3078736</v>
      </c>
      <c r="AM52" s="467">
        <f t="shared" si="62"/>
        <v>1350186</v>
      </c>
      <c r="AN52" s="467">
        <f t="shared" si="62"/>
        <v>1728550</v>
      </c>
      <c r="AO52" s="313">
        <f t="shared" si="62"/>
        <v>1992289</v>
      </c>
      <c r="AP52" s="470">
        <f t="shared" si="62"/>
        <v>936979</v>
      </c>
      <c r="AQ52" s="467">
        <f t="shared" si="62"/>
        <v>1055310</v>
      </c>
      <c r="AR52" s="471">
        <f t="shared" si="62"/>
        <v>888049</v>
      </c>
      <c r="AS52" s="469">
        <f t="shared" si="62"/>
        <v>35828187</v>
      </c>
      <c r="AT52" s="313">
        <f t="shared" si="62"/>
        <v>28806226</v>
      </c>
      <c r="AU52" s="473">
        <f t="shared" si="62"/>
        <v>13572560</v>
      </c>
      <c r="AV52" s="473">
        <f t="shared" si="62"/>
        <v>15233666</v>
      </c>
      <c r="AW52" s="308">
        <f t="shared" si="62"/>
        <v>27513811</v>
      </c>
      <c r="AX52" s="467">
        <f t="shared" si="62"/>
        <v>12953383</v>
      </c>
      <c r="AY52" s="470">
        <f t="shared" si="62"/>
        <v>14560428</v>
      </c>
      <c r="AZ52" s="313">
        <f t="shared" si="62"/>
        <v>3578267</v>
      </c>
      <c r="BA52" s="467">
        <f t="shared" si="62"/>
        <v>1572989</v>
      </c>
      <c r="BB52" s="467">
        <f t="shared" si="62"/>
        <v>2005278</v>
      </c>
      <c r="BC52" s="313">
        <f t="shared" si="62"/>
        <v>2890852</v>
      </c>
      <c r="BD52" s="467">
        <f t="shared" si="62"/>
        <v>1377633</v>
      </c>
      <c r="BE52" s="467">
        <f t="shared" si="62"/>
        <v>1513219</v>
      </c>
      <c r="BF52" s="467">
        <f t="shared" si="62"/>
        <v>3443694</v>
      </c>
      <c r="BG52" s="467">
        <f t="shared" si="62"/>
        <v>1656275</v>
      </c>
      <c r="BH52" s="470">
        <f t="shared" si="62"/>
        <v>1787419</v>
      </c>
      <c r="BI52" s="543">
        <f t="shared" si="62"/>
        <v>37331839</v>
      </c>
      <c r="BJ52" s="545">
        <f t="shared" si="62"/>
        <v>17682995</v>
      </c>
      <c r="BK52" s="545">
        <f t="shared" si="62"/>
        <v>19648844</v>
      </c>
      <c r="BL52" s="545">
        <f t="shared" si="62"/>
        <v>29136805</v>
      </c>
      <c r="BM52" s="545">
        <f t="shared" si="62"/>
        <v>13896293</v>
      </c>
      <c r="BN52" s="545">
        <f t="shared" si="62"/>
        <v>15240512</v>
      </c>
      <c r="BO52" s="545">
        <f t="shared" si="62"/>
        <v>27155485</v>
      </c>
      <c r="BP52" s="545">
        <f t="shared" si="62"/>
        <v>12934422</v>
      </c>
      <c r="BQ52" s="545">
        <f t="shared" si="62"/>
        <v>14221063</v>
      </c>
      <c r="BR52" s="545">
        <f t="shared" si="62"/>
        <v>3968161</v>
      </c>
      <c r="BS52" s="545">
        <f t="shared" si="62"/>
        <v>1763837</v>
      </c>
      <c r="BT52" s="545">
        <f t="shared" si="62"/>
        <v>2204324</v>
      </c>
      <c r="BU52" s="545">
        <f t="shared" si="62"/>
        <v>3878207</v>
      </c>
      <c r="BV52" s="545">
        <f t="shared" si="62"/>
        <v>1875668</v>
      </c>
      <c r="BW52" s="545">
        <f t="shared" si="62"/>
        <v>2002539</v>
      </c>
      <c r="BX52" s="545">
        <f t="shared" si="62"/>
        <v>4226873</v>
      </c>
      <c r="BY52" s="545">
        <f t="shared" si="62"/>
        <v>2022865</v>
      </c>
      <c r="BZ52" s="545">
        <f t="shared" si="62"/>
        <v>2204008</v>
      </c>
      <c r="CA52" s="474">
        <f t="shared" si="62"/>
        <v>36754583</v>
      </c>
      <c r="CB52" s="313">
        <f t="shared" si="62"/>
        <v>28833920</v>
      </c>
      <c r="CC52" s="467">
        <f t="shared" si="62"/>
        <v>3778223</v>
      </c>
      <c r="CD52" s="467">
        <f t="shared" si="62"/>
        <v>4142440</v>
      </c>
      <c r="CE52" s="467">
        <f t="shared" si="62"/>
        <v>3518606</v>
      </c>
      <c r="CF52" s="469">
        <f t="shared" si="62"/>
        <v>36956222</v>
      </c>
      <c r="CG52" s="313">
        <f t="shared" ref="CG52:CP52" si="63">SUM(CG54:CG62)</f>
        <v>28983056</v>
      </c>
      <c r="CH52" s="467">
        <f t="shared" si="63"/>
        <v>3831288</v>
      </c>
      <c r="CI52" s="468">
        <f t="shared" si="63"/>
        <v>4141878</v>
      </c>
      <c r="CJ52" s="467">
        <f t="shared" si="63"/>
        <v>3609675</v>
      </c>
      <c r="CK52" s="307">
        <f t="shared" si="63"/>
        <v>37309828</v>
      </c>
      <c r="CL52" s="280">
        <f t="shared" si="63"/>
        <v>29331717</v>
      </c>
      <c r="CM52" s="329">
        <f t="shared" si="63"/>
        <v>3909288</v>
      </c>
      <c r="CN52" s="329">
        <f t="shared" si="63"/>
        <v>4068823</v>
      </c>
      <c r="CO52" s="329">
        <f t="shared" si="63"/>
        <v>3670627</v>
      </c>
      <c r="CP52" s="382">
        <f t="shared" si="63"/>
        <v>37331839</v>
      </c>
      <c r="CQ52" s="548">
        <f t="shared" ref="CQ52:DI52" si="64">SUM(CQ54:CQ62)</f>
        <v>29136805</v>
      </c>
      <c r="CR52" s="548">
        <f t="shared" si="64"/>
        <v>3968161</v>
      </c>
      <c r="CS52" s="548">
        <f t="shared" si="64"/>
        <v>4226873</v>
      </c>
      <c r="CT52" s="548">
        <f t="shared" si="64"/>
        <v>3878207</v>
      </c>
      <c r="CU52" s="382">
        <f t="shared" si="64"/>
        <v>37604771</v>
      </c>
      <c r="CV52" s="548">
        <f t="shared" si="64"/>
        <v>29200519</v>
      </c>
      <c r="CW52" s="548">
        <f t="shared" si="64"/>
        <v>3996137</v>
      </c>
      <c r="CX52" s="548">
        <f t="shared" si="64"/>
        <v>4408115</v>
      </c>
      <c r="CY52" s="627">
        <f t="shared" si="64"/>
        <v>3992365</v>
      </c>
      <c r="CZ52" s="641">
        <f t="shared" si="64"/>
        <v>37884737</v>
      </c>
      <c r="DA52" s="641">
        <f t="shared" si="64"/>
        <v>29276009</v>
      </c>
      <c r="DB52" s="641">
        <f t="shared" si="64"/>
        <v>4064719</v>
      </c>
      <c r="DC52" s="641">
        <f t="shared" si="64"/>
        <v>4539731</v>
      </c>
      <c r="DD52" s="638">
        <f t="shared" si="64"/>
        <v>4127880</v>
      </c>
      <c r="DE52" s="638">
        <f t="shared" si="64"/>
        <v>38161301</v>
      </c>
      <c r="DF52" s="638">
        <f t="shared" si="64"/>
        <v>27220663</v>
      </c>
      <c r="DG52" s="638">
        <f t="shared" si="64"/>
        <v>4125519</v>
      </c>
      <c r="DH52" s="638">
        <f t="shared" si="64"/>
        <v>4698005</v>
      </c>
      <c r="DI52" s="638">
        <f t="shared" si="64"/>
        <v>4250663</v>
      </c>
    </row>
    <row r="53" spans="1:113" x14ac:dyDescent="0.2">
      <c r="A53" s="246" t="s">
        <v>182</v>
      </c>
      <c r="B53" s="12"/>
      <c r="C53" s="25"/>
      <c r="E53" s="58"/>
      <c r="F53" s="58"/>
      <c r="G53" s="58"/>
      <c r="H53" s="67"/>
      <c r="J53" s="153"/>
      <c r="K53" s="58"/>
      <c r="L53" s="58"/>
      <c r="M53" s="153"/>
      <c r="N53" s="58"/>
      <c r="O53" s="58"/>
      <c r="P53" s="153"/>
      <c r="Q53" s="58"/>
      <c r="R53" s="67"/>
      <c r="S53" s="110"/>
      <c r="T53" s="151"/>
      <c r="U53" s="58"/>
      <c r="V53" s="58"/>
      <c r="W53" s="151"/>
      <c r="X53" s="58"/>
      <c r="Y53" s="58"/>
      <c r="Z53" s="151"/>
      <c r="AA53" s="58"/>
      <c r="AB53" s="58"/>
      <c r="AC53" s="195"/>
      <c r="AD53" s="195"/>
      <c r="AE53" s="153"/>
      <c r="AG53" s="7"/>
      <c r="AH53" s="88"/>
      <c r="AI53" s="58"/>
      <c r="AJ53" s="58"/>
      <c r="AK53" s="7"/>
      <c r="AL53" s="88"/>
      <c r="AM53" s="58"/>
      <c r="AN53" s="58"/>
      <c r="AO53" s="7"/>
      <c r="AP53" s="67"/>
      <c r="AQ53" s="58"/>
      <c r="AR53" s="92"/>
      <c r="AT53" s="7"/>
      <c r="AU53" s="196"/>
      <c r="AV53" s="196"/>
      <c r="AW53" s="88"/>
      <c r="AX53" s="58"/>
      <c r="AY53" s="67"/>
      <c r="AZ53" s="7"/>
      <c r="BA53" s="58"/>
      <c r="BB53" s="58"/>
      <c r="BC53" s="7"/>
      <c r="BD53" s="58"/>
      <c r="BE53" s="58"/>
      <c r="BF53" s="195"/>
      <c r="BG53" s="195"/>
      <c r="BH53" s="153"/>
      <c r="BI53" s="110"/>
      <c r="BJ53" s="67"/>
      <c r="BK53" s="67"/>
      <c r="BL53" s="153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153"/>
      <c r="BY53" s="67"/>
      <c r="BZ53" s="67"/>
      <c r="CA53" s="211"/>
      <c r="CB53" s="7"/>
      <c r="CC53" s="58"/>
      <c r="CD53" s="58"/>
      <c r="CE53" s="58"/>
      <c r="CF53" s="110"/>
      <c r="CG53" s="7"/>
      <c r="CH53" s="58"/>
      <c r="CJ53" s="58"/>
      <c r="CK53" s="66"/>
      <c r="CL53" s="64"/>
      <c r="CM53" s="65"/>
      <c r="CN53" s="65"/>
      <c r="CO53" s="65"/>
      <c r="CP53" s="66"/>
      <c r="CQ53" s="539"/>
      <c r="CR53" s="539"/>
      <c r="CS53" s="65"/>
      <c r="CT53" s="539"/>
      <c r="CU53" s="66"/>
      <c r="CV53" s="539"/>
      <c r="CW53" s="539"/>
      <c r="CX53" s="539"/>
      <c r="CY53" s="633"/>
      <c r="CZ53" s="59"/>
      <c r="DA53" s="59"/>
      <c r="DB53" s="59"/>
      <c r="DC53" s="59"/>
      <c r="DD53" s="636"/>
      <c r="DH53" s="59">
        <v>0</v>
      </c>
    </row>
    <row r="54" spans="1:113" x14ac:dyDescent="0.2">
      <c r="A54" s="241" t="s">
        <v>21</v>
      </c>
      <c r="B54" s="12"/>
      <c r="C54" s="25"/>
      <c r="D54" s="58">
        <v>1481788</v>
      </c>
      <c r="E54" s="59">
        <v>685062</v>
      </c>
      <c r="F54" s="59">
        <v>742278</v>
      </c>
      <c r="G54" s="59">
        <v>26370</v>
      </c>
      <c r="H54" s="60">
        <v>28078</v>
      </c>
      <c r="I54" s="110">
        <v>363914</v>
      </c>
      <c r="J54" s="153">
        <f t="shared" ref="J54:J63" si="65">+K54+L54</f>
        <v>359407</v>
      </c>
      <c r="K54" s="59">
        <v>175424</v>
      </c>
      <c r="L54" s="59">
        <v>183983</v>
      </c>
      <c r="M54" s="153">
        <f t="shared" ref="M54:M63" si="66">+N54+O54</f>
        <v>3509</v>
      </c>
      <c r="N54" s="59">
        <v>1870</v>
      </c>
      <c r="O54" s="59">
        <v>1639</v>
      </c>
      <c r="P54" s="153">
        <f t="shared" ref="P54:P63" si="67">+Q54+R54</f>
        <v>2647</v>
      </c>
      <c r="Q54" s="59">
        <v>1338</v>
      </c>
      <c r="R54" s="60">
        <v>1309</v>
      </c>
      <c r="S54" s="110">
        <v>1900164</v>
      </c>
      <c r="T54" s="151">
        <f t="shared" ref="T54:T63" si="68">+U54+V54</f>
        <v>1728898</v>
      </c>
      <c r="U54" s="59">
        <v>808551</v>
      </c>
      <c r="V54" s="59">
        <v>920347</v>
      </c>
      <c r="W54" s="151">
        <f t="shared" ref="W54:W63" si="69">+X54+Y54</f>
        <v>103180</v>
      </c>
      <c r="X54" s="59">
        <v>45959</v>
      </c>
      <c r="Y54" s="59">
        <v>57221</v>
      </c>
      <c r="Z54" s="151">
        <f t="shared" ref="Z54:Z63" si="70">+AA54+AB54</f>
        <v>52819</v>
      </c>
      <c r="AA54" s="59">
        <v>24214</v>
      </c>
      <c r="AB54" s="59">
        <v>28605</v>
      </c>
      <c r="AC54" s="195">
        <v>13933</v>
      </c>
      <c r="AD54" s="195">
        <v>6586</v>
      </c>
      <c r="AE54" s="153">
        <v>7347</v>
      </c>
      <c r="AF54" s="110">
        <v>2198963</v>
      </c>
      <c r="AG54" s="7">
        <v>1970621</v>
      </c>
      <c r="AH54" s="88">
        <f t="shared" ref="AH54:AH63" si="71">+AI54+AJ54</f>
        <v>1917625</v>
      </c>
      <c r="AI54" s="59">
        <v>906006</v>
      </c>
      <c r="AJ54" s="59">
        <v>1011619</v>
      </c>
      <c r="AK54" s="7">
        <v>152611</v>
      </c>
      <c r="AL54" s="88">
        <f t="shared" ref="AL54:AL63" si="72">+AM54+AN54</f>
        <v>148011</v>
      </c>
      <c r="AM54" s="59">
        <v>66536</v>
      </c>
      <c r="AN54" s="59">
        <v>81475</v>
      </c>
      <c r="AO54" s="7">
        <v>99987</v>
      </c>
      <c r="AP54" s="60">
        <v>47305</v>
      </c>
      <c r="AQ54" s="59">
        <v>52682</v>
      </c>
      <c r="AR54" s="92">
        <f t="shared" ref="AR54:AR63" si="73">+AF54-AH54-AL54-AO54</f>
        <v>33340</v>
      </c>
      <c r="AS54" s="110">
        <v>2295617</v>
      </c>
      <c r="AT54" s="7">
        <v>1949130</v>
      </c>
      <c r="AU54" s="196">
        <v>918577</v>
      </c>
      <c r="AV54" s="196">
        <v>1030553</v>
      </c>
      <c r="AW54" s="88">
        <f t="shared" ref="AW54:AW63" si="74">+AX54+AY54</f>
        <v>1872347</v>
      </c>
      <c r="AX54" s="59">
        <v>882129</v>
      </c>
      <c r="AY54" s="60">
        <v>990218</v>
      </c>
      <c r="AZ54" s="7">
        <v>175527</v>
      </c>
      <c r="BA54" s="59">
        <v>78248</v>
      </c>
      <c r="BB54" s="59">
        <v>97279</v>
      </c>
      <c r="BC54" s="7">
        <v>162962</v>
      </c>
      <c r="BD54" s="59">
        <v>77821</v>
      </c>
      <c r="BE54" s="59">
        <v>85141</v>
      </c>
      <c r="BF54" s="195">
        <v>170960</v>
      </c>
      <c r="BG54" s="195">
        <v>82828</v>
      </c>
      <c r="BH54" s="153">
        <v>88132</v>
      </c>
      <c r="BI54" s="199">
        <v>2416034</v>
      </c>
      <c r="BJ54" s="60">
        <v>1145190</v>
      </c>
      <c r="BK54" s="60">
        <v>1270844</v>
      </c>
      <c r="BL54" s="67">
        <v>1977571</v>
      </c>
      <c r="BM54" s="67">
        <v>939579</v>
      </c>
      <c r="BN54" s="67">
        <v>1037992</v>
      </c>
      <c r="BO54" s="67">
        <v>1841393</v>
      </c>
      <c r="BP54" s="67">
        <v>874429</v>
      </c>
      <c r="BQ54" s="67">
        <v>966964</v>
      </c>
      <c r="BR54" s="67">
        <v>212312</v>
      </c>
      <c r="BS54" s="67">
        <v>96465</v>
      </c>
      <c r="BT54" s="67">
        <v>115847</v>
      </c>
      <c r="BU54" s="67">
        <v>250283</v>
      </c>
      <c r="BV54" s="67">
        <v>121462</v>
      </c>
      <c r="BW54" s="67">
        <v>128821</v>
      </c>
      <c r="BX54" s="153">
        <f t="shared" ref="BX54:BX63" si="75">+BY54+BZ54</f>
        <v>226151</v>
      </c>
      <c r="BY54" s="67">
        <v>109146</v>
      </c>
      <c r="BZ54" s="67">
        <v>117005</v>
      </c>
      <c r="CA54" s="210">
        <v>2349541</v>
      </c>
      <c r="CB54" s="7">
        <v>1949134</v>
      </c>
      <c r="CC54" s="59">
        <v>193345</v>
      </c>
      <c r="CD54" s="59">
        <v>207062</v>
      </c>
      <c r="CE54" s="59">
        <v>215830</v>
      </c>
      <c r="CF54" s="199">
        <v>2352649</v>
      </c>
      <c r="CG54" s="7">
        <v>1945562</v>
      </c>
      <c r="CH54" s="59">
        <v>195496</v>
      </c>
      <c r="CI54" s="59">
        <v>211591</v>
      </c>
      <c r="CJ54" s="59">
        <v>222944</v>
      </c>
      <c r="CK54" s="66">
        <v>2354216</v>
      </c>
      <c r="CL54" s="64">
        <v>1942113</v>
      </c>
      <c r="CM54" s="65">
        <v>200395</v>
      </c>
      <c r="CN54" s="65">
        <v>211708</v>
      </c>
      <c r="CO54" s="65">
        <v>227369</v>
      </c>
      <c r="CP54" s="66">
        <v>2416034</v>
      </c>
      <c r="CQ54" s="539">
        <v>1977571</v>
      </c>
      <c r="CR54" s="539">
        <v>212312</v>
      </c>
      <c r="CS54" s="65">
        <v>226151</v>
      </c>
      <c r="CT54" s="539">
        <v>250283</v>
      </c>
      <c r="CU54" s="66">
        <v>2431432</v>
      </c>
      <c r="CV54" s="539">
        <v>1979605</v>
      </c>
      <c r="CW54" s="539">
        <v>217328</v>
      </c>
      <c r="CX54" s="329">
        <f t="shared" ref="CX54:CX63" si="76">CU54-CV54-CW54</f>
        <v>234499</v>
      </c>
      <c r="CY54" s="64">
        <v>260375</v>
      </c>
      <c r="CZ54" s="110">
        <v>2446413</v>
      </c>
      <c r="DA54" s="60">
        <v>1988469</v>
      </c>
      <c r="DB54" s="60">
        <v>221131</v>
      </c>
      <c r="DC54" s="60">
        <v>235936</v>
      </c>
      <c r="DD54" s="636">
        <v>270364</v>
      </c>
      <c r="DE54" s="59">
        <v>2456170</v>
      </c>
      <c r="DF54" s="59">
        <v>1831338</v>
      </c>
      <c r="DG54" s="1">
        <v>225319</v>
      </c>
      <c r="DH54" s="59">
        <v>243420</v>
      </c>
      <c r="DI54" s="59">
        <v>280417</v>
      </c>
    </row>
    <row r="55" spans="1:113" x14ac:dyDescent="0.2">
      <c r="A55" s="241" t="s">
        <v>28</v>
      </c>
      <c r="B55" s="12"/>
      <c r="C55" s="25"/>
      <c r="D55" s="58">
        <v>534318</v>
      </c>
      <c r="E55" s="59">
        <v>256569</v>
      </c>
      <c r="F55" s="59">
        <v>275189</v>
      </c>
      <c r="G55" s="59">
        <v>1385</v>
      </c>
      <c r="H55" s="60">
        <v>1175</v>
      </c>
      <c r="I55" s="110">
        <v>537823</v>
      </c>
      <c r="J55" s="153">
        <f t="shared" si="65"/>
        <v>535465</v>
      </c>
      <c r="K55" s="59">
        <v>252031</v>
      </c>
      <c r="L55" s="59">
        <v>283434</v>
      </c>
      <c r="M55" s="153">
        <f t="shared" si="66"/>
        <v>1100</v>
      </c>
      <c r="N55" s="59">
        <v>613</v>
      </c>
      <c r="O55" s="59">
        <v>487</v>
      </c>
      <c r="P55" s="153">
        <f t="shared" si="67"/>
        <v>1515</v>
      </c>
      <c r="Q55" s="59">
        <v>754</v>
      </c>
      <c r="R55" s="60">
        <v>761</v>
      </c>
      <c r="S55" s="110">
        <v>661840</v>
      </c>
      <c r="T55" s="151">
        <f t="shared" si="68"/>
        <v>654438</v>
      </c>
      <c r="U55" s="59">
        <v>307328</v>
      </c>
      <c r="V55" s="59">
        <v>347110</v>
      </c>
      <c r="W55" s="151">
        <f t="shared" si="69"/>
        <v>1502</v>
      </c>
      <c r="X55" s="59">
        <v>936</v>
      </c>
      <c r="Y55" s="59">
        <v>566</v>
      </c>
      <c r="Z55" s="151">
        <f t="shared" si="70"/>
        <v>2144</v>
      </c>
      <c r="AA55" s="59">
        <v>978</v>
      </c>
      <c r="AB55" s="59">
        <v>1166</v>
      </c>
      <c r="AC55" s="195">
        <v>3611</v>
      </c>
      <c r="AD55" s="195">
        <v>1584</v>
      </c>
      <c r="AE55" s="153">
        <v>2027</v>
      </c>
      <c r="AF55" s="110">
        <v>795613</v>
      </c>
      <c r="AG55" s="7">
        <v>785535</v>
      </c>
      <c r="AH55" s="88">
        <f t="shared" si="71"/>
        <v>783021</v>
      </c>
      <c r="AI55" s="59">
        <v>370457</v>
      </c>
      <c r="AJ55" s="59">
        <v>412564</v>
      </c>
      <c r="AK55" s="7">
        <v>2524</v>
      </c>
      <c r="AL55" s="88">
        <f t="shared" si="72"/>
        <v>2424</v>
      </c>
      <c r="AM55" s="59">
        <v>1602</v>
      </c>
      <c r="AN55" s="59">
        <v>822</v>
      </c>
      <c r="AO55" s="7">
        <v>3374</v>
      </c>
      <c r="AP55" s="60">
        <v>1663</v>
      </c>
      <c r="AQ55" s="59">
        <v>1711</v>
      </c>
      <c r="AR55" s="92">
        <f t="shared" si="73"/>
        <v>6794</v>
      </c>
      <c r="AS55" s="110">
        <v>869893</v>
      </c>
      <c r="AT55" s="7">
        <v>849811</v>
      </c>
      <c r="AU55" s="196">
        <v>403727</v>
      </c>
      <c r="AV55" s="196">
        <v>446084</v>
      </c>
      <c r="AW55" s="88">
        <f t="shared" si="74"/>
        <v>846759</v>
      </c>
      <c r="AX55" s="59">
        <v>402242</v>
      </c>
      <c r="AY55" s="60">
        <v>444517</v>
      </c>
      <c r="AZ55" s="7">
        <v>2882</v>
      </c>
      <c r="BA55" s="59">
        <v>1686</v>
      </c>
      <c r="BB55" s="59">
        <v>1196</v>
      </c>
      <c r="BC55" s="7">
        <v>4504</v>
      </c>
      <c r="BD55" s="59">
        <v>2287</v>
      </c>
      <c r="BE55" s="59">
        <v>2217</v>
      </c>
      <c r="BF55" s="195">
        <v>17200</v>
      </c>
      <c r="BG55" s="195">
        <v>7813</v>
      </c>
      <c r="BH55" s="153">
        <v>9387</v>
      </c>
      <c r="BI55" s="199">
        <v>934836</v>
      </c>
      <c r="BJ55" s="60">
        <v>447915</v>
      </c>
      <c r="BK55" s="60">
        <v>486921</v>
      </c>
      <c r="BL55" s="67">
        <v>904336</v>
      </c>
      <c r="BM55" s="67">
        <v>433087</v>
      </c>
      <c r="BN55" s="67">
        <v>471249</v>
      </c>
      <c r="BO55" s="67">
        <v>898964</v>
      </c>
      <c r="BP55" s="67">
        <v>430489</v>
      </c>
      <c r="BQ55" s="67">
        <v>468475</v>
      </c>
      <c r="BR55" s="67">
        <v>6164</v>
      </c>
      <c r="BS55" s="67">
        <v>3756</v>
      </c>
      <c r="BT55" s="67">
        <v>2408</v>
      </c>
      <c r="BU55" s="67">
        <v>8023</v>
      </c>
      <c r="BV55" s="67">
        <v>4118</v>
      </c>
      <c r="BW55" s="67">
        <v>3905</v>
      </c>
      <c r="BX55" s="153">
        <f t="shared" si="75"/>
        <v>24336</v>
      </c>
      <c r="BY55" s="67">
        <v>11072</v>
      </c>
      <c r="BZ55" s="67">
        <v>13264</v>
      </c>
      <c r="CA55" s="210">
        <v>917697</v>
      </c>
      <c r="CB55" s="7">
        <v>888671</v>
      </c>
      <c r="CC55" s="59">
        <v>5624</v>
      </c>
      <c r="CD55" s="59">
        <v>23402</v>
      </c>
      <c r="CE55" s="59">
        <v>7545</v>
      </c>
      <c r="CF55" s="199">
        <v>922980</v>
      </c>
      <c r="CG55" s="7">
        <v>892722</v>
      </c>
      <c r="CH55" s="59">
        <v>5829</v>
      </c>
      <c r="CI55" s="59">
        <v>24429</v>
      </c>
      <c r="CJ55" s="59">
        <v>7648</v>
      </c>
      <c r="CK55" s="66">
        <v>923997</v>
      </c>
      <c r="CL55" s="64">
        <v>892626</v>
      </c>
      <c r="CM55" s="65">
        <v>6327</v>
      </c>
      <c r="CN55" s="65">
        <v>25044</v>
      </c>
      <c r="CO55" s="65">
        <v>8288</v>
      </c>
      <c r="CP55" s="66">
        <v>934836</v>
      </c>
      <c r="CQ55" s="539">
        <v>904336</v>
      </c>
      <c r="CR55" s="539">
        <v>6164</v>
      </c>
      <c r="CS55" s="65">
        <v>24336</v>
      </c>
      <c r="CT55" s="539">
        <v>8023</v>
      </c>
      <c r="CU55" s="66">
        <v>938148</v>
      </c>
      <c r="CV55" s="539">
        <v>907275</v>
      </c>
      <c r="CW55" s="539"/>
      <c r="CX55" s="329">
        <f t="shared" si="76"/>
        <v>30873</v>
      </c>
      <c r="CY55" s="633"/>
      <c r="CZ55" s="639">
        <v>942582</v>
      </c>
      <c r="DA55" s="59">
        <v>910558</v>
      </c>
      <c r="DB55" s="59">
        <v>6517</v>
      </c>
      <c r="DC55" s="639">
        <v>25271</v>
      </c>
      <c r="DD55" s="640">
        <v>8602</v>
      </c>
      <c r="DE55" s="59">
        <v>947986</v>
      </c>
      <c r="DF55" s="59">
        <v>908114</v>
      </c>
      <c r="DG55" s="1">
        <v>6753</v>
      </c>
      <c r="DH55" s="59">
        <v>26086</v>
      </c>
      <c r="DI55" s="59">
        <v>9221</v>
      </c>
    </row>
    <row r="56" spans="1:113" x14ac:dyDescent="0.2">
      <c r="A56" s="241" t="s">
        <v>29</v>
      </c>
      <c r="B56" s="12"/>
      <c r="C56" s="25"/>
      <c r="D56" s="58">
        <v>3010617</v>
      </c>
      <c r="E56" s="59">
        <v>1374809</v>
      </c>
      <c r="F56" s="59">
        <v>1570932</v>
      </c>
      <c r="G56" s="59">
        <v>31714</v>
      </c>
      <c r="H56" s="60">
        <v>33162</v>
      </c>
      <c r="I56" s="110">
        <v>3142463</v>
      </c>
      <c r="J56" s="153">
        <f t="shared" si="65"/>
        <v>3047638</v>
      </c>
      <c r="K56" s="59">
        <v>1403034</v>
      </c>
      <c r="L56" s="59">
        <v>1644604</v>
      </c>
      <c r="M56" s="153">
        <f t="shared" si="66"/>
        <v>77680</v>
      </c>
      <c r="N56" s="59">
        <v>34863</v>
      </c>
      <c r="O56" s="59">
        <v>42817</v>
      </c>
      <c r="P56" s="153">
        <f t="shared" si="67"/>
        <v>26479</v>
      </c>
      <c r="Q56" s="59">
        <v>13162</v>
      </c>
      <c r="R56" s="60">
        <v>13317</v>
      </c>
      <c r="S56" s="110">
        <v>3463256</v>
      </c>
      <c r="T56" s="151">
        <f t="shared" si="68"/>
        <v>3256063</v>
      </c>
      <c r="U56" s="59">
        <v>1490165</v>
      </c>
      <c r="V56" s="59">
        <v>1765898</v>
      </c>
      <c r="W56" s="151">
        <f t="shared" si="69"/>
        <v>105770</v>
      </c>
      <c r="X56" s="59">
        <v>47738</v>
      </c>
      <c r="Y56" s="59">
        <v>58032</v>
      </c>
      <c r="Z56" s="151">
        <f t="shared" si="70"/>
        <v>59240</v>
      </c>
      <c r="AA56" s="59">
        <v>27250</v>
      </c>
      <c r="AB56" s="59">
        <v>31990</v>
      </c>
      <c r="AC56" s="195">
        <v>33606</v>
      </c>
      <c r="AD56" s="195">
        <v>15893</v>
      </c>
      <c r="AE56" s="153">
        <v>17713</v>
      </c>
      <c r="AF56" s="110">
        <v>3962223</v>
      </c>
      <c r="AG56" s="7">
        <v>3642335</v>
      </c>
      <c r="AH56" s="88">
        <f t="shared" si="71"/>
        <v>3582343</v>
      </c>
      <c r="AI56" s="59">
        <v>1665793</v>
      </c>
      <c r="AJ56" s="59">
        <v>1916550</v>
      </c>
      <c r="AK56" s="7">
        <v>165326</v>
      </c>
      <c r="AL56" s="88">
        <f t="shared" si="72"/>
        <v>154743</v>
      </c>
      <c r="AM56" s="59">
        <v>72343</v>
      </c>
      <c r="AN56" s="59">
        <v>82400</v>
      </c>
      <c r="AO56" s="7">
        <v>128976</v>
      </c>
      <c r="AP56" s="60">
        <v>61346</v>
      </c>
      <c r="AQ56" s="59">
        <v>67630</v>
      </c>
      <c r="AR56" s="92">
        <f t="shared" si="73"/>
        <v>96161</v>
      </c>
      <c r="AS56" s="110">
        <v>4273275</v>
      </c>
      <c r="AT56" s="7">
        <v>3731483</v>
      </c>
      <c r="AU56" s="196">
        <v>1747587</v>
      </c>
      <c r="AV56" s="196">
        <v>1983896</v>
      </c>
      <c r="AW56" s="88">
        <f t="shared" si="74"/>
        <v>3642659</v>
      </c>
      <c r="AX56" s="59">
        <v>1704986</v>
      </c>
      <c r="AY56" s="60">
        <v>1937673</v>
      </c>
      <c r="AZ56" s="7">
        <v>193880</v>
      </c>
      <c r="BA56" s="59">
        <v>89038</v>
      </c>
      <c r="BB56" s="59">
        <v>104842</v>
      </c>
      <c r="BC56" s="7">
        <v>211195</v>
      </c>
      <c r="BD56" s="59">
        <v>99562</v>
      </c>
      <c r="BE56" s="59">
        <v>111633</v>
      </c>
      <c r="BF56" s="195">
        <v>347912</v>
      </c>
      <c r="BG56" s="195">
        <v>166895</v>
      </c>
      <c r="BH56" s="153">
        <v>181017</v>
      </c>
      <c r="BI56" s="199">
        <v>4418255</v>
      </c>
      <c r="BJ56" s="60">
        <v>2086879</v>
      </c>
      <c r="BK56" s="60">
        <v>2331376</v>
      </c>
      <c r="BL56" s="67">
        <v>3719419</v>
      </c>
      <c r="BM56" s="67">
        <v>1757319</v>
      </c>
      <c r="BN56" s="67">
        <v>1962100</v>
      </c>
      <c r="BO56" s="67">
        <v>3565125</v>
      </c>
      <c r="BP56" s="67">
        <v>1684618</v>
      </c>
      <c r="BQ56" s="67">
        <v>1880507</v>
      </c>
      <c r="BR56" s="67">
        <v>257490</v>
      </c>
      <c r="BS56" s="67">
        <v>118921</v>
      </c>
      <c r="BT56" s="67">
        <v>138569</v>
      </c>
      <c r="BU56" s="67">
        <v>317753</v>
      </c>
      <c r="BV56" s="67">
        <v>150998</v>
      </c>
      <c r="BW56" s="67">
        <v>166755</v>
      </c>
      <c r="BX56" s="153">
        <f t="shared" si="75"/>
        <v>441346</v>
      </c>
      <c r="BY56" s="67">
        <v>210639</v>
      </c>
      <c r="BZ56" s="67">
        <v>230707</v>
      </c>
      <c r="CA56" s="210">
        <v>4355378</v>
      </c>
      <c r="CB56" s="7">
        <v>3721604</v>
      </c>
      <c r="CC56" s="59">
        <v>225920</v>
      </c>
      <c r="CD56" s="59">
        <v>407854</v>
      </c>
      <c r="CE56" s="59">
        <v>275814</v>
      </c>
      <c r="CF56" s="199">
        <v>4373025</v>
      </c>
      <c r="CG56" s="7">
        <v>3725760</v>
      </c>
      <c r="CH56" s="59">
        <v>231909</v>
      </c>
      <c r="CI56" s="59">
        <v>415356</v>
      </c>
      <c r="CJ56" s="59">
        <v>287276</v>
      </c>
      <c r="CK56" s="66">
        <v>4447683</v>
      </c>
      <c r="CL56" s="64">
        <v>3784712</v>
      </c>
      <c r="CM56" s="65">
        <v>241307</v>
      </c>
      <c r="CN56" s="65">
        <v>421664</v>
      </c>
      <c r="CO56" s="65">
        <v>299501</v>
      </c>
      <c r="CP56" s="66">
        <v>4418255</v>
      </c>
      <c r="CQ56" s="539">
        <v>3719419</v>
      </c>
      <c r="CR56" s="539">
        <v>257490</v>
      </c>
      <c r="CS56" s="65">
        <v>441346</v>
      </c>
      <c r="CT56" s="539">
        <v>317753</v>
      </c>
      <c r="CU56" s="66">
        <v>4460708</v>
      </c>
      <c r="CV56" s="539">
        <v>3737359</v>
      </c>
      <c r="CW56" s="539">
        <v>262745</v>
      </c>
      <c r="CX56" s="329">
        <f t="shared" si="76"/>
        <v>460604</v>
      </c>
      <c r="CY56" s="633">
        <v>331060</v>
      </c>
      <c r="CZ56" s="59">
        <v>4509799</v>
      </c>
      <c r="DA56" s="59">
        <v>3759870</v>
      </c>
      <c r="DB56" s="59">
        <v>271080</v>
      </c>
      <c r="DC56" s="59">
        <v>478116</v>
      </c>
      <c r="DD56" s="636">
        <v>345563</v>
      </c>
      <c r="DE56" s="59">
        <v>4556615</v>
      </c>
      <c r="DF56" s="59">
        <v>3604939</v>
      </c>
      <c r="DG56" s="1">
        <v>280392</v>
      </c>
      <c r="DH56" s="59">
        <v>497307</v>
      </c>
      <c r="DI56" s="59">
        <v>362602</v>
      </c>
    </row>
    <row r="57" spans="1:113" x14ac:dyDescent="0.2">
      <c r="A57" s="241" t="s">
        <v>36</v>
      </c>
      <c r="B57" s="7"/>
      <c r="C57" s="25"/>
      <c r="D57" s="58">
        <v>345230</v>
      </c>
      <c r="E57" s="59">
        <v>163947</v>
      </c>
      <c r="F57" s="59">
        <v>180074</v>
      </c>
      <c r="G57" s="59">
        <v>674</v>
      </c>
      <c r="H57" s="60">
        <v>535</v>
      </c>
      <c r="I57" s="110">
        <v>397681</v>
      </c>
      <c r="J57" s="153">
        <f t="shared" si="65"/>
        <v>396037</v>
      </c>
      <c r="K57" s="59">
        <v>187330</v>
      </c>
      <c r="L57" s="59">
        <v>208707</v>
      </c>
      <c r="M57" s="153">
        <f t="shared" si="66"/>
        <v>1005</v>
      </c>
      <c r="N57" s="59">
        <v>561</v>
      </c>
      <c r="O57" s="59">
        <v>444</v>
      </c>
      <c r="P57" s="153">
        <f t="shared" si="67"/>
        <v>1081</v>
      </c>
      <c r="Q57" s="59">
        <v>624</v>
      </c>
      <c r="R57" s="60">
        <v>457</v>
      </c>
      <c r="S57" s="110">
        <v>541953</v>
      </c>
      <c r="T57" s="151">
        <f t="shared" si="68"/>
        <v>535022</v>
      </c>
      <c r="U57" s="59">
        <v>253311</v>
      </c>
      <c r="V57" s="59">
        <v>281711</v>
      </c>
      <c r="W57" s="151">
        <f t="shared" si="69"/>
        <v>1825</v>
      </c>
      <c r="X57" s="59">
        <v>1050</v>
      </c>
      <c r="Y57" s="59">
        <v>775</v>
      </c>
      <c r="Z57" s="151">
        <f t="shared" si="70"/>
        <v>2433</v>
      </c>
      <c r="AA57" s="59">
        <v>1266</v>
      </c>
      <c r="AB57" s="59">
        <v>1167</v>
      </c>
      <c r="AC57" s="195">
        <v>2515</v>
      </c>
      <c r="AD57" s="195">
        <v>1077</v>
      </c>
      <c r="AE57" s="153">
        <v>1438</v>
      </c>
      <c r="AF57" s="110">
        <v>713894</v>
      </c>
      <c r="AG57" s="7">
        <v>702321</v>
      </c>
      <c r="AH57" s="88">
        <f t="shared" si="71"/>
        <v>698363</v>
      </c>
      <c r="AI57" s="59">
        <v>335429</v>
      </c>
      <c r="AJ57" s="59">
        <v>362934</v>
      </c>
      <c r="AK57" s="7">
        <v>3581</v>
      </c>
      <c r="AL57" s="88">
        <f t="shared" si="72"/>
        <v>3339</v>
      </c>
      <c r="AM57" s="59">
        <v>1882</v>
      </c>
      <c r="AN57" s="59">
        <v>1457</v>
      </c>
      <c r="AO57" s="7">
        <v>5695</v>
      </c>
      <c r="AP57" s="60">
        <v>2875</v>
      </c>
      <c r="AQ57" s="59">
        <v>2820</v>
      </c>
      <c r="AR57" s="238">
        <f t="shared" si="73"/>
        <v>6497</v>
      </c>
      <c r="AS57" s="110">
        <v>823987</v>
      </c>
      <c r="AT57" s="7">
        <v>796816</v>
      </c>
      <c r="AU57" s="196">
        <v>383984</v>
      </c>
      <c r="AV57" s="196">
        <v>412832</v>
      </c>
      <c r="AW57" s="88">
        <f t="shared" si="74"/>
        <v>790941</v>
      </c>
      <c r="AX57" s="59">
        <v>381075</v>
      </c>
      <c r="AY57" s="60">
        <v>409866</v>
      </c>
      <c r="AZ57" s="7">
        <v>5127</v>
      </c>
      <c r="BA57" s="59">
        <v>2921</v>
      </c>
      <c r="BB57" s="59">
        <v>2206</v>
      </c>
      <c r="BC57" s="7">
        <v>9910</v>
      </c>
      <c r="BD57" s="59">
        <v>4937</v>
      </c>
      <c r="BE57" s="59">
        <v>4973</v>
      </c>
      <c r="BF57" s="195">
        <v>22044</v>
      </c>
      <c r="BG57" s="195">
        <v>10865</v>
      </c>
      <c r="BH57" s="153">
        <v>11179</v>
      </c>
      <c r="BI57" s="199">
        <v>901717</v>
      </c>
      <c r="BJ57" s="60">
        <v>437613</v>
      </c>
      <c r="BK57" s="60">
        <v>464104</v>
      </c>
      <c r="BL57" s="67">
        <v>861756</v>
      </c>
      <c r="BM57" s="67">
        <v>417534</v>
      </c>
      <c r="BN57" s="67">
        <v>444222</v>
      </c>
      <c r="BO57" s="67">
        <v>849238</v>
      </c>
      <c r="BP57" s="67">
        <v>411186</v>
      </c>
      <c r="BQ57" s="67">
        <v>438052</v>
      </c>
      <c r="BR57" s="67">
        <v>7709</v>
      </c>
      <c r="BS57" s="67">
        <v>4469</v>
      </c>
      <c r="BT57" s="67">
        <v>3240</v>
      </c>
      <c r="BU57" s="67">
        <v>17898</v>
      </c>
      <c r="BV57" s="67">
        <v>8918</v>
      </c>
      <c r="BW57" s="67">
        <v>8980</v>
      </c>
      <c r="BX57" s="153">
        <f t="shared" si="75"/>
        <v>32252</v>
      </c>
      <c r="BY57" s="67">
        <v>15610</v>
      </c>
      <c r="BZ57" s="67">
        <v>16642</v>
      </c>
      <c r="CA57" s="210">
        <v>889007</v>
      </c>
      <c r="CB57" s="9">
        <v>853036</v>
      </c>
      <c r="CC57" s="59">
        <v>6607</v>
      </c>
      <c r="CD57" s="59">
        <v>29364</v>
      </c>
      <c r="CE57" s="59">
        <v>16548</v>
      </c>
      <c r="CF57" s="199">
        <v>895988</v>
      </c>
      <c r="CG57" s="7">
        <v>859179</v>
      </c>
      <c r="CH57" s="59">
        <v>6626</v>
      </c>
      <c r="CI57" s="59">
        <v>30183</v>
      </c>
      <c r="CJ57" s="59">
        <v>17311</v>
      </c>
      <c r="CK57" s="66">
        <v>897543</v>
      </c>
      <c r="CL57" s="64">
        <v>859993</v>
      </c>
      <c r="CM57" s="65">
        <v>7494</v>
      </c>
      <c r="CN57" s="65">
        <v>30056</v>
      </c>
      <c r="CO57" s="65">
        <v>17948</v>
      </c>
      <c r="CP57" s="66">
        <v>901717</v>
      </c>
      <c r="CQ57" s="539">
        <v>861756</v>
      </c>
      <c r="CR57" s="539">
        <v>7709</v>
      </c>
      <c r="CS57" s="65">
        <v>32252</v>
      </c>
      <c r="CT57" s="539">
        <v>17898</v>
      </c>
      <c r="CU57" s="66">
        <v>907555</v>
      </c>
      <c r="CV57" s="539">
        <v>866067</v>
      </c>
      <c r="CW57" s="539"/>
      <c r="CX57" s="329">
        <f t="shared" si="76"/>
        <v>41488</v>
      </c>
      <c r="CY57" s="633">
        <v>18400</v>
      </c>
      <c r="CZ57" s="59">
        <v>913752</v>
      </c>
      <c r="DA57" s="59">
        <v>870701</v>
      </c>
      <c r="DB57" s="59">
        <v>8856</v>
      </c>
      <c r="DC57" s="59">
        <v>34059</v>
      </c>
      <c r="DD57" s="636">
        <v>19389</v>
      </c>
      <c r="DE57" s="59">
        <v>919616</v>
      </c>
      <c r="DF57" s="59">
        <v>859770</v>
      </c>
      <c r="DG57" s="1">
        <v>9355</v>
      </c>
      <c r="DH57" s="59">
        <v>35656</v>
      </c>
      <c r="DI57" s="59">
        <v>20728</v>
      </c>
    </row>
    <row r="58" spans="1:113" x14ac:dyDescent="0.2">
      <c r="A58" s="241" t="s">
        <v>37</v>
      </c>
      <c r="B58" s="7"/>
      <c r="C58" s="25"/>
      <c r="D58" s="58">
        <v>3599856</v>
      </c>
      <c r="E58" s="59">
        <v>1594217</v>
      </c>
      <c r="F58" s="59">
        <v>1732878</v>
      </c>
      <c r="G58" s="59">
        <v>128549</v>
      </c>
      <c r="H58" s="60">
        <v>144212</v>
      </c>
      <c r="I58" s="110">
        <v>4056606</v>
      </c>
      <c r="J58" s="153">
        <f t="shared" si="65"/>
        <v>3676734</v>
      </c>
      <c r="K58" s="59">
        <v>1729099</v>
      </c>
      <c r="L58" s="59">
        <v>1947635</v>
      </c>
      <c r="M58" s="153">
        <f t="shared" si="66"/>
        <v>359390</v>
      </c>
      <c r="N58" s="59">
        <v>161957</v>
      </c>
      <c r="O58" s="59">
        <v>197433</v>
      </c>
      <c r="P58" s="153">
        <f t="shared" si="67"/>
        <v>50911</v>
      </c>
      <c r="Q58" s="59">
        <v>25524</v>
      </c>
      <c r="R58" s="60">
        <v>25387</v>
      </c>
      <c r="S58" s="110">
        <v>4504247</v>
      </c>
      <c r="T58" s="151">
        <f t="shared" si="68"/>
        <v>3731717</v>
      </c>
      <c r="U58" s="59">
        <v>1737707</v>
      </c>
      <c r="V58" s="59">
        <v>1994010</v>
      </c>
      <c r="W58" s="151">
        <f t="shared" si="69"/>
        <v>460259</v>
      </c>
      <c r="X58" s="59">
        <v>201148</v>
      </c>
      <c r="Y58" s="59">
        <v>259111</v>
      </c>
      <c r="Z58" s="151">
        <f t="shared" si="70"/>
        <v>241006</v>
      </c>
      <c r="AA58" s="59">
        <v>111781</v>
      </c>
      <c r="AB58" s="59">
        <v>129225</v>
      </c>
      <c r="AC58" s="195">
        <v>67987</v>
      </c>
      <c r="AD58" s="195">
        <v>31673</v>
      </c>
      <c r="AE58" s="153">
        <v>36314</v>
      </c>
      <c r="AF58" s="110">
        <v>5166233</v>
      </c>
      <c r="AG58" s="7">
        <v>4245109</v>
      </c>
      <c r="AH58" s="88">
        <f t="shared" si="71"/>
        <v>4004957</v>
      </c>
      <c r="AI58" s="59">
        <v>1881669</v>
      </c>
      <c r="AJ58" s="59">
        <v>2123288</v>
      </c>
      <c r="AK58" s="7">
        <v>601708</v>
      </c>
      <c r="AL58" s="88">
        <f t="shared" si="72"/>
        <v>578235</v>
      </c>
      <c r="AM58" s="59">
        <v>257870</v>
      </c>
      <c r="AN58" s="59">
        <v>320365</v>
      </c>
      <c r="AO58" s="7">
        <v>408561</v>
      </c>
      <c r="AP58" s="60">
        <v>199243</v>
      </c>
      <c r="AQ58" s="59">
        <v>209318</v>
      </c>
      <c r="AR58" s="238">
        <f t="shared" si="73"/>
        <v>174480</v>
      </c>
      <c r="AS58" s="110">
        <v>5657799</v>
      </c>
      <c r="AT58" s="7">
        <v>4280235</v>
      </c>
      <c r="AU58" s="196">
        <v>2018347</v>
      </c>
      <c r="AV58" s="196">
        <v>2261888</v>
      </c>
      <c r="AW58" s="88">
        <f t="shared" si="74"/>
        <v>3949630</v>
      </c>
      <c r="AX58" s="59">
        <v>1857700</v>
      </c>
      <c r="AY58" s="60">
        <v>2091930</v>
      </c>
      <c r="AZ58" s="7">
        <v>677910</v>
      </c>
      <c r="BA58" s="59">
        <v>302940</v>
      </c>
      <c r="BB58" s="59">
        <v>374970</v>
      </c>
      <c r="BC58" s="7">
        <v>638900</v>
      </c>
      <c r="BD58" s="59">
        <v>312539</v>
      </c>
      <c r="BE58" s="59">
        <v>326361</v>
      </c>
      <c r="BF58" s="195">
        <v>699654</v>
      </c>
      <c r="BG58" s="195">
        <v>341499</v>
      </c>
      <c r="BH58" s="153">
        <v>358155</v>
      </c>
      <c r="BI58" s="199">
        <v>5925769</v>
      </c>
      <c r="BJ58" s="60">
        <v>2808768</v>
      </c>
      <c r="BK58" s="60">
        <v>3117001</v>
      </c>
      <c r="BL58" s="67">
        <v>4298036</v>
      </c>
      <c r="BM58" s="67">
        <v>2047316</v>
      </c>
      <c r="BN58" s="67">
        <v>2250720</v>
      </c>
      <c r="BO58" s="67">
        <v>3770490</v>
      </c>
      <c r="BP58" s="67">
        <v>1789527</v>
      </c>
      <c r="BQ58" s="67">
        <v>1980963</v>
      </c>
      <c r="BR58" s="67">
        <v>739700</v>
      </c>
      <c r="BS58" s="67">
        <v>329935</v>
      </c>
      <c r="BT58" s="67">
        <v>409765</v>
      </c>
      <c r="BU58" s="67">
        <v>887369</v>
      </c>
      <c r="BV58" s="67">
        <v>437977</v>
      </c>
      <c r="BW58" s="67">
        <v>449392</v>
      </c>
      <c r="BX58" s="153">
        <f t="shared" si="75"/>
        <v>888033</v>
      </c>
      <c r="BY58" s="67">
        <v>431517</v>
      </c>
      <c r="BZ58" s="67">
        <v>456516</v>
      </c>
      <c r="CA58" s="210">
        <v>5835145</v>
      </c>
      <c r="CB58" s="7">
        <v>4223844</v>
      </c>
      <c r="CC58" s="59">
        <v>719845</v>
      </c>
      <c r="CD58" s="59">
        <v>891456</v>
      </c>
      <c r="CE58" s="59">
        <v>805857</v>
      </c>
      <c r="CF58" s="199">
        <v>5836774</v>
      </c>
      <c r="CG58" s="7">
        <v>4238903</v>
      </c>
      <c r="CH58" s="59">
        <v>723910</v>
      </c>
      <c r="CI58" s="59">
        <v>873961</v>
      </c>
      <c r="CJ58" s="59">
        <v>822594</v>
      </c>
      <c r="CK58" s="66">
        <v>5868846</v>
      </c>
      <c r="CL58" s="64">
        <v>4280469</v>
      </c>
      <c r="CM58" s="65">
        <v>736320</v>
      </c>
      <c r="CN58" s="65">
        <v>852057</v>
      </c>
      <c r="CO58" s="65">
        <v>833152</v>
      </c>
      <c r="CP58" s="66">
        <v>5925769</v>
      </c>
      <c r="CQ58" s="539">
        <v>4298036</v>
      </c>
      <c r="CR58" s="539">
        <v>739700</v>
      </c>
      <c r="CS58" s="65">
        <v>888033</v>
      </c>
      <c r="CT58" s="539">
        <v>887369</v>
      </c>
      <c r="CU58" s="66">
        <v>5967686</v>
      </c>
      <c r="CV58" s="539">
        <v>4303802</v>
      </c>
      <c r="CW58" s="539">
        <v>744715</v>
      </c>
      <c r="CX58" s="329">
        <f t="shared" si="76"/>
        <v>919169</v>
      </c>
      <c r="CY58" s="633">
        <v>916955</v>
      </c>
      <c r="CZ58" s="59">
        <v>6013231</v>
      </c>
      <c r="DA58" s="59">
        <v>4312623</v>
      </c>
      <c r="DB58" s="59">
        <v>754780</v>
      </c>
      <c r="DC58" s="59">
        <v>945828</v>
      </c>
      <c r="DD58" s="636">
        <v>946662</v>
      </c>
      <c r="DE58" s="59">
        <v>6047398</v>
      </c>
      <c r="DF58" s="59">
        <v>3727372</v>
      </c>
      <c r="DG58" s="1">
        <v>763196</v>
      </c>
      <c r="DH58" s="59">
        <v>973634</v>
      </c>
      <c r="DI58" s="59">
        <v>974504</v>
      </c>
    </row>
    <row r="59" spans="1:113" x14ac:dyDescent="0.2">
      <c r="A59" s="241" t="s">
        <v>39</v>
      </c>
      <c r="B59" s="7"/>
      <c r="C59" s="25"/>
      <c r="D59" s="58">
        <v>10124045</v>
      </c>
      <c r="E59" s="59">
        <v>4418558</v>
      </c>
      <c r="F59" s="59">
        <v>4881136</v>
      </c>
      <c r="G59" s="59">
        <v>376495</v>
      </c>
      <c r="H59" s="60">
        <v>447856</v>
      </c>
      <c r="I59" s="110">
        <v>10418555</v>
      </c>
      <c r="J59" s="153">
        <f t="shared" si="65"/>
        <v>9237969</v>
      </c>
      <c r="K59" s="59">
        <v>4295956</v>
      </c>
      <c r="L59" s="59">
        <v>4942013</v>
      </c>
      <c r="M59" s="153">
        <f t="shared" si="66"/>
        <v>1076959</v>
      </c>
      <c r="N59" s="59">
        <v>469062</v>
      </c>
      <c r="O59" s="59">
        <v>607897</v>
      </c>
      <c r="P59" s="153">
        <f t="shared" si="67"/>
        <v>370090</v>
      </c>
      <c r="Q59" s="59">
        <v>168554</v>
      </c>
      <c r="R59" s="60">
        <v>201536</v>
      </c>
      <c r="S59" s="110">
        <v>10721012</v>
      </c>
      <c r="T59" s="151">
        <f t="shared" si="68"/>
        <v>8427574</v>
      </c>
      <c r="U59" s="59">
        <v>3891366</v>
      </c>
      <c r="V59" s="59">
        <v>4536208</v>
      </c>
      <c r="W59" s="151">
        <f t="shared" si="69"/>
        <v>1229222</v>
      </c>
      <c r="X59" s="59">
        <v>521643</v>
      </c>
      <c r="Y59" s="59">
        <v>707579</v>
      </c>
      <c r="Z59" s="151">
        <f t="shared" si="70"/>
        <v>836373</v>
      </c>
      <c r="AA59" s="59">
        <v>372027</v>
      </c>
      <c r="AB59" s="59">
        <v>464346</v>
      </c>
      <c r="AC59" s="195">
        <v>216223</v>
      </c>
      <c r="AD59" s="195">
        <v>105597</v>
      </c>
      <c r="AE59" s="153">
        <v>110626</v>
      </c>
      <c r="AF59" s="110">
        <v>11818569</v>
      </c>
      <c r="AG59" s="7">
        <v>9141878</v>
      </c>
      <c r="AH59" s="88">
        <f t="shared" si="71"/>
        <v>8595826</v>
      </c>
      <c r="AI59" s="59">
        <v>4017931</v>
      </c>
      <c r="AJ59" s="59">
        <v>4577895</v>
      </c>
      <c r="AK59" s="7">
        <v>1683534</v>
      </c>
      <c r="AL59" s="88">
        <f t="shared" si="72"/>
        <v>1536617</v>
      </c>
      <c r="AM59" s="59">
        <v>661756</v>
      </c>
      <c r="AN59" s="59">
        <v>874861</v>
      </c>
      <c r="AO59" s="7">
        <v>1216655</v>
      </c>
      <c r="AP59" s="60">
        <v>560683</v>
      </c>
      <c r="AQ59" s="59">
        <v>655972</v>
      </c>
      <c r="AR59" s="238">
        <f t="shared" si="73"/>
        <v>469471</v>
      </c>
      <c r="AS59" s="110">
        <v>12542536</v>
      </c>
      <c r="AT59" s="7">
        <v>8937643</v>
      </c>
      <c r="AU59" s="196">
        <v>4211002</v>
      </c>
      <c r="AV59" s="196">
        <v>4726641</v>
      </c>
      <c r="AW59" s="88">
        <f t="shared" si="74"/>
        <v>8252226</v>
      </c>
      <c r="AX59" s="59">
        <v>3886593</v>
      </c>
      <c r="AY59" s="60">
        <v>4365633</v>
      </c>
      <c r="AZ59" s="7">
        <v>1784786</v>
      </c>
      <c r="BA59" s="59">
        <v>768667</v>
      </c>
      <c r="BB59" s="59">
        <v>1016119</v>
      </c>
      <c r="BC59" s="7">
        <v>1627113</v>
      </c>
      <c r="BD59" s="59">
        <v>763996</v>
      </c>
      <c r="BE59" s="59">
        <v>863117</v>
      </c>
      <c r="BF59" s="195">
        <v>1820107</v>
      </c>
      <c r="BG59" s="195">
        <v>869386</v>
      </c>
      <c r="BH59" s="153">
        <v>950721</v>
      </c>
      <c r="BI59" s="199">
        <v>12993461</v>
      </c>
      <c r="BJ59" s="60">
        <v>6122250</v>
      </c>
      <c r="BK59" s="60">
        <v>6871211</v>
      </c>
      <c r="BL59" s="67">
        <v>8988658</v>
      </c>
      <c r="BM59" s="67">
        <v>4295350</v>
      </c>
      <c r="BN59" s="67">
        <v>4693308</v>
      </c>
      <c r="BO59" s="67">
        <v>8068205</v>
      </c>
      <c r="BP59" s="67">
        <v>3851665</v>
      </c>
      <c r="BQ59" s="67">
        <v>4216540</v>
      </c>
      <c r="BR59" s="67">
        <v>1897917</v>
      </c>
      <c r="BS59" s="67">
        <v>825193</v>
      </c>
      <c r="BT59" s="67">
        <v>1072724</v>
      </c>
      <c r="BU59" s="67">
        <v>1981336</v>
      </c>
      <c r="BV59" s="67">
        <v>945315</v>
      </c>
      <c r="BW59" s="67">
        <v>1036021</v>
      </c>
      <c r="BX59" s="153">
        <f t="shared" si="75"/>
        <v>2106886</v>
      </c>
      <c r="BY59" s="67">
        <v>1001707</v>
      </c>
      <c r="BZ59" s="67">
        <v>1105179</v>
      </c>
      <c r="CA59" s="210">
        <v>12866461</v>
      </c>
      <c r="CB59" s="7">
        <v>8907502</v>
      </c>
      <c r="CC59" s="59">
        <v>1833015</v>
      </c>
      <c r="CD59" s="59">
        <v>2125944</v>
      </c>
      <c r="CE59" s="59">
        <v>1859467</v>
      </c>
      <c r="CF59" s="199">
        <v>12998952</v>
      </c>
      <c r="CG59" s="7">
        <v>9011265</v>
      </c>
      <c r="CH59" s="59">
        <v>1866360</v>
      </c>
      <c r="CI59" s="59">
        <v>2121327</v>
      </c>
      <c r="CJ59" s="59">
        <v>1897879</v>
      </c>
      <c r="CK59" s="66">
        <v>13119163</v>
      </c>
      <c r="CL59" s="64">
        <v>9162106</v>
      </c>
      <c r="CM59" s="65">
        <v>1899710</v>
      </c>
      <c r="CN59" s="65">
        <v>2057347</v>
      </c>
      <c r="CO59" s="65">
        <v>1905296</v>
      </c>
      <c r="CP59" s="66">
        <v>12993461</v>
      </c>
      <c r="CQ59" s="539">
        <v>8988658</v>
      </c>
      <c r="CR59" s="539">
        <v>1897917</v>
      </c>
      <c r="CS59" s="65">
        <v>2106886</v>
      </c>
      <c r="CT59" s="539">
        <v>1981336</v>
      </c>
      <c r="CU59" s="66">
        <v>13095501</v>
      </c>
      <c r="CV59" s="539">
        <v>8989777</v>
      </c>
      <c r="CW59" s="539">
        <v>1913105</v>
      </c>
      <c r="CX59" s="329">
        <f t="shared" si="76"/>
        <v>2192619</v>
      </c>
      <c r="CY59" s="633">
        <v>2033519</v>
      </c>
      <c r="CZ59" s="59">
        <v>13205241</v>
      </c>
      <c r="DA59" s="59">
        <v>8998675</v>
      </c>
      <c r="DB59" s="59">
        <v>1927835</v>
      </c>
      <c r="DC59" s="59">
        <v>2278731</v>
      </c>
      <c r="DD59" s="636">
        <v>2081458</v>
      </c>
      <c r="DE59" s="59">
        <v>13319715</v>
      </c>
      <c r="DF59" s="59">
        <v>8088223</v>
      </c>
      <c r="DG59" s="1">
        <v>1953447</v>
      </c>
      <c r="DH59" s="59">
        <v>2340009</v>
      </c>
      <c r="DI59" s="59">
        <v>2125509</v>
      </c>
    </row>
    <row r="60" spans="1:113" x14ac:dyDescent="0.2">
      <c r="A60" s="241" t="s">
        <v>43</v>
      </c>
      <c r="B60" s="7"/>
      <c r="C60" s="25"/>
      <c r="D60" s="58">
        <v>6605713</v>
      </c>
      <c r="E60" s="59">
        <v>2932677</v>
      </c>
      <c r="F60" s="59">
        <v>3215041</v>
      </c>
      <c r="G60" s="59">
        <v>215620</v>
      </c>
      <c r="H60" s="60">
        <v>242375</v>
      </c>
      <c r="I60" s="110">
        <v>6689938</v>
      </c>
      <c r="J60" s="153">
        <f t="shared" si="65"/>
        <v>6165323</v>
      </c>
      <c r="K60" s="59">
        <v>2877021</v>
      </c>
      <c r="L60" s="59">
        <v>3288302</v>
      </c>
      <c r="M60" s="153">
        <f t="shared" si="66"/>
        <v>505902</v>
      </c>
      <c r="N60" s="59">
        <v>226900</v>
      </c>
      <c r="O60" s="59">
        <v>279002</v>
      </c>
      <c r="P60" s="153">
        <f t="shared" si="67"/>
        <v>14809</v>
      </c>
      <c r="Q60" s="59">
        <v>7865</v>
      </c>
      <c r="R60" s="60">
        <v>6944</v>
      </c>
      <c r="S60" s="110">
        <v>7240244</v>
      </c>
      <c r="T60" s="151">
        <f t="shared" si="68"/>
        <v>6569880</v>
      </c>
      <c r="U60" s="59">
        <v>3046937</v>
      </c>
      <c r="V60" s="59">
        <v>3522943</v>
      </c>
      <c r="W60" s="151">
        <f t="shared" si="69"/>
        <v>556745</v>
      </c>
      <c r="X60" s="59">
        <v>242051</v>
      </c>
      <c r="Y60" s="59">
        <v>314694</v>
      </c>
      <c r="Z60" s="151">
        <f t="shared" si="70"/>
        <v>67281</v>
      </c>
      <c r="AA60" s="59">
        <v>32809</v>
      </c>
      <c r="AB60" s="59">
        <v>34472</v>
      </c>
      <c r="AC60" s="195">
        <v>44003</v>
      </c>
      <c r="AD60" s="195">
        <v>20501</v>
      </c>
      <c r="AE60" s="153">
        <v>23502</v>
      </c>
      <c r="AF60" s="110">
        <v>7872932</v>
      </c>
      <c r="AG60" s="7">
        <v>7093821</v>
      </c>
      <c r="AH60" s="88">
        <f t="shared" si="71"/>
        <v>7046175</v>
      </c>
      <c r="AI60" s="59">
        <v>3281952</v>
      </c>
      <c r="AJ60" s="59">
        <v>3764223</v>
      </c>
      <c r="AK60" s="7">
        <v>642101</v>
      </c>
      <c r="AL60" s="88">
        <f t="shared" si="72"/>
        <v>636329</v>
      </c>
      <c r="AM60" s="59">
        <v>278883</v>
      </c>
      <c r="AN60" s="59">
        <v>357446</v>
      </c>
      <c r="AO60" s="7">
        <v>105723</v>
      </c>
      <c r="AP60" s="60">
        <v>52386</v>
      </c>
      <c r="AQ60" s="59">
        <v>53337</v>
      </c>
      <c r="AR60" s="238">
        <f t="shared" si="73"/>
        <v>84705</v>
      </c>
      <c r="AS60" s="110">
        <v>8266284</v>
      </c>
      <c r="AT60" s="7">
        <v>7251898</v>
      </c>
      <c r="AU60" s="196">
        <v>3415089</v>
      </c>
      <c r="AV60" s="196">
        <v>3836809</v>
      </c>
      <c r="AW60" s="88">
        <f t="shared" si="74"/>
        <v>7167883</v>
      </c>
      <c r="AX60" s="59">
        <v>3372764</v>
      </c>
      <c r="AY60" s="60">
        <v>3795119</v>
      </c>
      <c r="AZ60" s="7">
        <v>712522</v>
      </c>
      <c r="BA60" s="59">
        <v>317065</v>
      </c>
      <c r="BB60" s="59">
        <v>395457</v>
      </c>
      <c r="BC60" s="7">
        <v>190906</v>
      </c>
      <c r="BD60" s="59">
        <v>95472</v>
      </c>
      <c r="BE60" s="59">
        <v>95434</v>
      </c>
      <c r="BF60" s="195">
        <v>301864</v>
      </c>
      <c r="BG60" s="195">
        <v>147352</v>
      </c>
      <c r="BH60" s="153">
        <v>154512</v>
      </c>
      <c r="BI60" s="199">
        <v>8604107</v>
      </c>
      <c r="BJ60" s="60">
        <v>4094268</v>
      </c>
      <c r="BK60" s="60">
        <v>4509839</v>
      </c>
      <c r="BL60" s="67">
        <v>7365132</v>
      </c>
      <c r="BM60" s="67">
        <v>3521133</v>
      </c>
      <c r="BN60" s="67">
        <v>3843999</v>
      </c>
      <c r="BO60" s="67">
        <v>7171347</v>
      </c>
      <c r="BP60" s="67">
        <v>3422518</v>
      </c>
      <c r="BQ60" s="67">
        <v>3748829</v>
      </c>
      <c r="BR60" s="67">
        <v>809294</v>
      </c>
      <c r="BS60" s="67">
        <v>366659</v>
      </c>
      <c r="BT60" s="67">
        <v>442635</v>
      </c>
      <c r="BU60" s="67">
        <v>345692</v>
      </c>
      <c r="BV60" s="67">
        <v>173492</v>
      </c>
      <c r="BW60" s="67">
        <v>172200</v>
      </c>
      <c r="BX60" s="153">
        <f t="shared" si="75"/>
        <v>429681</v>
      </c>
      <c r="BY60" s="67">
        <v>206476</v>
      </c>
      <c r="BZ60" s="67">
        <v>223205</v>
      </c>
      <c r="CA60" s="210">
        <v>8404685</v>
      </c>
      <c r="CB60" s="7">
        <v>7263817</v>
      </c>
      <c r="CC60" s="59">
        <v>760573</v>
      </c>
      <c r="CD60" s="59">
        <v>380295</v>
      </c>
      <c r="CE60" s="59">
        <v>272999</v>
      </c>
      <c r="CF60" s="199">
        <v>8439935</v>
      </c>
      <c r="CG60" s="7">
        <v>7283363</v>
      </c>
      <c r="CH60" s="59">
        <v>766713</v>
      </c>
      <c r="CI60" s="59">
        <v>389859</v>
      </c>
      <c r="CJ60" s="59">
        <v>287877</v>
      </c>
      <c r="CK60" s="66">
        <v>8560797</v>
      </c>
      <c r="CL60" s="64">
        <v>7382791</v>
      </c>
      <c r="CM60" s="65">
        <v>782228</v>
      </c>
      <c r="CN60" s="65">
        <v>395778</v>
      </c>
      <c r="CO60" s="65">
        <v>309817</v>
      </c>
      <c r="CP60" s="66">
        <v>8604107</v>
      </c>
      <c r="CQ60" s="539">
        <v>7365132</v>
      </c>
      <c r="CR60" s="539">
        <v>809294</v>
      </c>
      <c r="CS60" s="65">
        <v>429681</v>
      </c>
      <c r="CT60" s="539">
        <v>345692</v>
      </c>
      <c r="CU60" s="66">
        <v>8662492</v>
      </c>
      <c r="CV60" s="539">
        <v>7393266</v>
      </c>
      <c r="CW60" s="539">
        <v>823639</v>
      </c>
      <c r="CX60" s="329">
        <f t="shared" si="76"/>
        <v>445587</v>
      </c>
      <c r="CY60" s="633">
        <v>364850</v>
      </c>
      <c r="CZ60" s="59">
        <v>8708982</v>
      </c>
      <c r="DA60" s="59">
        <v>7410721</v>
      </c>
      <c r="DB60" s="59">
        <v>834775</v>
      </c>
      <c r="DC60" s="59">
        <v>461484</v>
      </c>
      <c r="DD60" s="636">
        <v>382140</v>
      </c>
      <c r="DE60" s="59">
        <v>8764132</v>
      </c>
      <c r="DF60" s="59">
        <v>7210730</v>
      </c>
      <c r="DG60" s="1">
        <v>845396</v>
      </c>
      <c r="DH60" s="59">
        <v>485450</v>
      </c>
      <c r="DI60" s="59">
        <v>401015</v>
      </c>
    </row>
    <row r="61" spans="1:113" x14ac:dyDescent="0.2">
      <c r="A61" s="241" t="s">
        <v>44</v>
      </c>
      <c r="B61" s="7"/>
      <c r="C61" s="25"/>
      <c r="D61" s="58">
        <v>498159</v>
      </c>
      <c r="E61" s="59">
        <v>229413</v>
      </c>
      <c r="F61" s="59">
        <v>259386</v>
      </c>
      <c r="G61" s="59">
        <v>4822</v>
      </c>
      <c r="H61" s="60">
        <v>4538</v>
      </c>
      <c r="I61" s="110">
        <v>524082</v>
      </c>
      <c r="J61" s="153">
        <f t="shared" si="65"/>
        <v>509738</v>
      </c>
      <c r="K61" s="59">
        <v>236938</v>
      </c>
      <c r="L61" s="59">
        <v>272800</v>
      </c>
      <c r="M61" s="153">
        <f t="shared" si="66"/>
        <v>11088</v>
      </c>
      <c r="N61" s="59">
        <v>5179</v>
      </c>
      <c r="O61" s="59">
        <v>5909</v>
      </c>
      <c r="P61" s="153">
        <f t="shared" si="67"/>
        <v>2784</v>
      </c>
      <c r="Q61" s="59">
        <v>1438</v>
      </c>
      <c r="R61" s="60">
        <v>1346</v>
      </c>
      <c r="S61" s="110">
        <v>575243</v>
      </c>
      <c r="T61" s="151">
        <f t="shared" si="68"/>
        <v>546826</v>
      </c>
      <c r="U61" s="59">
        <v>250843</v>
      </c>
      <c r="V61" s="59">
        <v>295983</v>
      </c>
      <c r="W61" s="151">
        <f t="shared" si="69"/>
        <v>12487</v>
      </c>
      <c r="X61" s="59">
        <v>5858</v>
      </c>
      <c r="Y61" s="59">
        <v>6629</v>
      </c>
      <c r="Z61" s="151">
        <f t="shared" si="70"/>
        <v>9228</v>
      </c>
      <c r="AA61" s="59">
        <v>4438</v>
      </c>
      <c r="AB61" s="59">
        <v>4790</v>
      </c>
      <c r="AC61" s="195">
        <v>4625</v>
      </c>
      <c r="AD61" s="195">
        <v>2095</v>
      </c>
      <c r="AE61" s="153">
        <v>2530</v>
      </c>
      <c r="AF61" s="110">
        <v>658956</v>
      </c>
      <c r="AG61" s="7">
        <v>615822</v>
      </c>
      <c r="AH61" s="88">
        <f t="shared" si="71"/>
        <v>605366</v>
      </c>
      <c r="AI61" s="59">
        <v>280303</v>
      </c>
      <c r="AJ61" s="59">
        <v>325063</v>
      </c>
      <c r="AK61" s="7">
        <v>20042</v>
      </c>
      <c r="AL61" s="88">
        <f t="shared" si="72"/>
        <v>18131</v>
      </c>
      <c r="AM61" s="59">
        <v>8756</v>
      </c>
      <c r="AN61" s="59">
        <v>9375</v>
      </c>
      <c r="AO61" s="7">
        <v>21432</v>
      </c>
      <c r="AP61" s="60">
        <v>10519</v>
      </c>
      <c r="AQ61" s="59">
        <v>10913</v>
      </c>
      <c r="AR61" s="238">
        <f t="shared" si="73"/>
        <v>14027</v>
      </c>
      <c r="AS61" s="110">
        <v>694573</v>
      </c>
      <c r="AT61" s="7">
        <v>615023</v>
      </c>
      <c r="AU61" s="196">
        <v>285683</v>
      </c>
      <c r="AV61" s="196">
        <v>329340</v>
      </c>
      <c r="AW61" s="88">
        <f t="shared" si="74"/>
        <v>599057</v>
      </c>
      <c r="AX61" s="59">
        <v>278238</v>
      </c>
      <c r="AY61" s="60">
        <v>320819</v>
      </c>
      <c r="AZ61" s="7">
        <v>24358</v>
      </c>
      <c r="BA61" s="59">
        <v>11660</v>
      </c>
      <c r="BB61" s="59">
        <v>12698</v>
      </c>
      <c r="BC61" s="7">
        <v>42790</v>
      </c>
      <c r="BD61" s="59">
        <v>19796</v>
      </c>
      <c r="BE61" s="59">
        <v>22994</v>
      </c>
      <c r="BF61" s="195">
        <v>55192</v>
      </c>
      <c r="BG61" s="195">
        <v>25618</v>
      </c>
      <c r="BH61" s="153">
        <v>29574</v>
      </c>
      <c r="BI61" s="199">
        <v>708650</v>
      </c>
      <c r="BJ61" s="60">
        <v>333191</v>
      </c>
      <c r="BK61" s="60">
        <v>375459</v>
      </c>
      <c r="BL61" s="67">
        <v>607044</v>
      </c>
      <c r="BM61" s="67">
        <v>284970</v>
      </c>
      <c r="BN61" s="67">
        <v>322074</v>
      </c>
      <c r="BO61" s="67">
        <v>579512</v>
      </c>
      <c r="BP61" s="67">
        <v>271839</v>
      </c>
      <c r="BQ61" s="67">
        <v>307673</v>
      </c>
      <c r="BR61" s="67">
        <v>34761</v>
      </c>
      <c r="BS61" s="67">
        <v>16828</v>
      </c>
      <c r="BT61" s="67">
        <v>17933</v>
      </c>
      <c r="BU61" s="67">
        <v>65014</v>
      </c>
      <c r="BV61" s="67">
        <v>30813</v>
      </c>
      <c r="BW61" s="67">
        <v>34201</v>
      </c>
      <c r="BX61" s="153">
        <f t="shared" si="75"/>
        <v>66845</v>
      </c>
      <c r="BY61" s="67">
        <v>31393</v>
      </c>
      <c r="BZ61" s="67">
        <v>35452</v>
      </c>
      <c r="CA61" s="210">
        <v>711837</v>
      </c>
      <c r="CB61" s="7">
        <v>613524</v>
      </c>
      <c r="CC61" s="59">
        <v>31553</v>
      </c>
      <c r="CD61" s="59">
        <v>66760</v>
      </c>
      <c r="CE61" s="59">
        <v>60235</v>
      </c>
      <c r="CF61" s="199">
        <v>708457</v>
      </c>
      <c r="CG61" s="7">
        <v>611585</v>
      </c>
      <c r="CH61" s="59">
        <v>32115</v>
      </c>
      <c r="CI61" s="59">
        <v>64757</v>
      </c>
      <c r="CJ61" s="59">
        <v>61673</v>
      </c>
      <c r="CK61" s="66">
        <v>714086</v>
      </c>
      <c r="CL61" s="64">
        <v>616236</v>
      </c>
      <c r="CM61" s="65">
        <v>33234</v>
      </c>
      <c r="CN61" s="65">
        <v>64616</v>
      </c>
      <c r="CO61" s="65">
        <v>64382</v>
      </c>
      <c r="CP61" s="66">
        <v>708650</v>
      </c>
      <c r="CQ61" s="539">
        <v>607044</v>
      </c>
      <c r="CR61" s="539">
        <v>34761</v>
      </c>
      <c r="CS61" s="65">
        <v>66845</v>
      </c>
      <c r="CT61" s="539">
        <v>65014</v>
      </c>
      <c r="CU61" s="66">
        <v>709399</v>
      </c>
      <c r="CV61" s="539">
        <v>606344</v>
      </c>
      <c r="CW61" s="539">
        <v>34605</v>
      </c>
      <c r="CX61" s="329">
        <f t="shared" si="76"/>
        <v>68450</v>
      </c>
      <c r="CY61" s="633">
        <v>67206</v>
      </c>
      <c r="CZ61" s="59">
        <v>710902</v>
      </c>
      <c r="DA61" s="59">
        <v>605656</v>
      </c>
      <c r="DB61" s="59">
        <v>36846</v>
      </c>
      <c r="DC61" s="59">
        <v>68220</v>
      </c>
      <c r="DD61" s="636">
        <v>69032</v>
      </c>
      <c r="DE61" s="59">
        <v>714525</v>
      </c>
      <c r="DF61" s="59">
        <v>574641</v>
      </c>
      <c r="DG61" s="1">
        <v>38449</v>
      </c>
      <c r="DH61" s="59">
        <v>69621</v>
      </c>
      <c r="DI61" s="59">
        <v>71427</v>
      </c>
    </row>
    <row r="62" spans="1:113" x14ac:dyDescent="0.2">
      <c r="A62" s="245" t="s">
        <v>47</v>
      </c>
      <c r="B62" s="265"/>
      <c r="C62" s="25"/>
      <c r="D62" s="407">
        <v>212906</v>
      </c>
      <c r="E62" s="408">
        <v>101344</v>
      </c>
      <c r="F62" s="408">
        <v>111119</v>
      </c>
      <c r="G62" s="408">
        <v>242</v>
      </c>
      <c r="H62" s="408">
        <v>201</v>
      </c>
      <c r="I62" s="409">
        <v>232643</v>
      </c>
      <c r="J62" s="410">
        <f t="shared" si="65"/>
        <v>231908</v>
      </c>
      <c r="K62" s="408">
        <v>109903</v>
      </c>
      <c r="L62" s="408">
        <v>122005</v>
      </c>
      <c r="M62" s="410">
        <f t="shared" si="66"/>
        <v>347</v>
      </c>
      <c r="N62" s="408">
        <v>178</v>
      </c>
      <c r="O62" s="408">
        <v>169</v>
      </c>
      <c r="P62" s="410">
        <f t="shared" si="67"/>
        <v>1228</v>
      </c>
      <c r="Q62" s="408">
        <v>601</v>
      </c>
      <c r="R62" s="408">
        <v>627</v>
      </c>
      <c r="S62" s="110">
        <v>295051</v>
      </c>
      <c r="T62" s="272">
        <f t="shared" si="68"/>
        <v>291580</v>
      </c>
      <c r="U62" s="408">
        <v>138034</v>
      </c>
      <c r="V62" s="408">
        <v>153546</v>
      </c>
      <c r="W62" s="272">
        <f t="shared" si="69"/>
        <v>482</v>
      </c>
      <c r="X62" s="408">
        <v>298</v>
      </c>
      <c r="Y62" s="408">
        <v>184</v>
      </c>
      <c r="Z62" s="272">
        <f t="shared" si="70"/>
        <v>1625</v>
      </c>
      <c r="AA62" s="408">
        <v>787</v>
      </c>
      <c r="AB62" s="408">
        <v>838</v>
      </c>
      <c r="AC62" s="410">
        <v>1314</v>
      </c>
      <c r="AD62" s="410">
        <v>531</v>
      </c>
      <c r="AE62" s="410">
        <v>783</v>
      </c>
      <c r="AF62" s="409">
        <v>357245</v>
      </c>
      <c r="AG62" s="265">
        <v>353471</v>
      </c>
      <c r="AH62" s="272">
        <f t="shared" si="71"/>
        <v>351878</v>
      </c>
      <c r="AI62" s="408">
        <v>167689</v>
      </c>
      <c r="AJ62" s="408">
        <v>184189</v>
      </c>
      <c r="AK62" s="265">
        <v>937</v>
      </c>
      <c r="AL62" s="272">
        <f t="shared" si="72"/>
        <v>907</v>
      </c>
      <c r="AM62" s="408">
        <v>558</v>
      </c>
      <c r="AN62" s="408">
        <v>349</v>
      </c>
      <c r="AO62" s="265">
        <v>1886</v>
      </c>
      <c r="AP62" s="408">
        <v>959</v>
      </c>
      <c r="AQ62" s="408">
        <v>927</v>
      </c>
      <c r="AR62" s="419">
        <f t="shared" si="73"/>
        <v>2574</v>
      </c>
      <c r="AS62" s="409">
        <v>404223</v>
      </c>
      <c r="AT62" s="265">
        <v>394187</v>
      </c>
      <c r="AU62" s="412">
        <v>188564</v>
      </c>
      <c r="AV62" s="412">
        <v>205623</v>
      </c>
      <c r="AW62" s="272">
        <f t="shared" si="74"/>
        <v>392309</v>
      </c>
      <c r="AX62" s="408">
        <v>187656</v>
      </c>
      <c r="AY62" s="408">
        <v>204653</v>
      </c>
      <c r="AZ62" s="265">
        <v>1275</v>
      </c>
      <c r="BA62" s="408">
        <v>764</v>
      </c>
      <c r="BB62" s="408">
        <v>511</v>
      </c>
      <c r="BC62" s="265">
        <v>2572</v>
      </c>
      <c r="BD62" s="408">
        <v>1223</v>
      </c>
      <c r="BE62" s="408">
        <v>1349</v>
      </c>
      <c r="BF62" s="410">
        <v>8761</v>
      </c>
      <c r="BG62" s="410">
        <v>4019</v>
      </c>
      <c r="BH62" s="410">
        <v>4742</v>
      </c>
      <c r="BI62" s="414">
        <v>429010</v>
      </c>
      <c r="BJ62" s="408">
        <v>206921</v>
      </c>
      <c r="BK62" s="408">
        <v>222089</v>
      </c>
      <c r="BL62" s="407">
        <v>414853</v>
      </c>
      <c r="BM62" s="407">
        <v>200005</v>
      </c>
      <c r="BN62" s="407">
        <v>214848</v>
      </c>
      <c r="BO62" s="407">
        <v>411211</v>
      </c>
      <c r="BP62" s="407">
        <v>198151</v>
      </c>
      <c r="BQ62" s="407">
        <v>213060</v>
      </c>
      <c r="BR62" s="407">
        <v>2814</v>
      </c>
      <c r="BS62" s="407">
        <v>1611</v>
      </c>
      <c r="BT62" s="407">
        <v>1203</v>
      </c>
      <c r="BU62" s="407">
        <v>4839</v>
      </c>
      <c r="BV62" s="407">
        <v>2575</v>
      </c>
      <c r="BW62" s="407">
        <v>2264</v>
      </c>
      <c r="BX62" s="410">
        <f t="shared" si="75"/>
        <v>11343</v>
      </c>
      <c r="BY62" s="407">
        <v>5305</v>
      </c>
      <c r="BZ62" s="407">
        <v>6038</v>
      </c>
      <c r="CA62" s="413">
        <v>424832</v>
      </c>
      <c r="CB62" s="265">
        <v>412788</v>
      </c>
      <c r="CC62" s="408">
        <v>1741</v>
      </c>
      <c r="CD62" s="408">
        <v>10303</v>
      </c>
      <c r="CE62" s="408">
        <v>4311</v>
      </c>
      <c r="CF62" s="414">
        <v>427462</v>
      </c>
      <c r="CG62" s="265">
        <v>414717</v>
      </c>
      <c r="CH62" s="408">
        <v>2330</v>
      </c>
      <c r="CI62" s="408">
        <v>10415</v>
      </c>
      <c r="CJ62" s="408">
        <v>4473</v>
      </c>
      <c r="CK62" s="268">
        <v>423497</v>
      </c>
      <c r="CL62" s="269">
        <v>410671</v>
      </c>
      <c r="CM62" s="269">
        <v>2273</v>
      </c>
      <c r="CN62" s="269">
        <v>10553</v>
      </c>
      <c r="CO62" s="269">
        <v>4874</v>
      </c>
      <c r="CP62" s="268">
        <v>429010</v>
      </c>
      <c r="CQ62" s="539">
        <v>414853</v>
      </c>
      <c r="CR62" s="539">
        <v>2814</v>
      </c>
      <c r="CS62" s="65">
        <v>11343</v>
      </c>
      <c r="CT62" s="539">
        <v>4839</v>
      </c>
      <c r="CU62" s="268">
        <v>431850</v>
      </c>
      <c r="CV62" s="539">
        <v>417024</v>
      </c>
      <c r="CW62" s="539"/>
      <c r="CX62" s="329">
        <f t="shared" si="76"/>
        <v>14826</v>
      </c>
      <c r="CY62" s="633"/>
      <c r="CZ62" s="414">
        <v>433835</v>
      </c>
      <c r="DA62" s="408">
        <v>418736</v>
      </c>
      <c r="DB62" s="408">
        <v>2899</v>
      </c>
      <c r="DC62" s="408">
        <v>12086</v>
      </c>
      <c r="DD62" s="637">
        <v>4670</v>
      </c>
      <c r="DE62" s="59">
        <v>435144</v>
      </c>
      <c r="DF62" s="59">
        <v>415536</v>
      </c>
      <c r="DG62" s="1">
        <v>3212</v>
      </c>
      <c r="DH62" s="59">
        <v>26822</v>
      </c>
      <c r="DI62" s="59">
        <v>5240</v>
      </c>
    </row>
    <row r="63" spans="1:113" x14ac:dyDescent="0.2">
      <c r="A63" s="145" t="s">
        <v>62</v>
      </c>
      <c r="B63" s="257"/>
      <c r="C63" s="257"/>
      <c r="D63" s="420">
        <v>460797</v>
      </c>
      <c r="E63" s="420">
        <v>105258</v>
      </c>
      <c r="F63" s="420">
        <v>133448</v>
      </c>
      <c r="G63" s="420">
        <v>104300</v>
      </c>
      <c r="H63" s="420">
        <v>117791</v>
      </c>
      <c r="I63" s="421">
        <v>423051</v>
      </c>
      <c r="J63" s="422">
        <f t="shared" si="65"/>
        <v>149346</v>
      </c>
      <c r="K63" s="420">
        <v>65368</v>
      </c>
      <c r="L63" s="420">
        <v>83978</v>
      </c>
      <c r="M63" s="422">
        <f t="shared" si="66"/>
        <v>268602</v>
      </c>
      <c r="N63" s="420">
        <v>123244</v>
      </c>
      <c r="O63" s="420">
        <v>145358</v>
      </c>
      <c r="P63" s="422">
        <f t="shared" si="67"/>
        <v>8412</v>
      </c>
      <c r="Q63" s="420">
        <v>3512</v>
      </c>
      <c r="R63" s="420">
        <v>4900</v>
      </c>
      <c r="S63" s="420">
        <v>398653</v>
      </c>
      <c r="T63" s="261">
        <f t="shared" si="68"/>
        <v>124112</v>
      </c>
      <c r="U63" s="420">
        <v>57252</v>
      </c>
      <c r="V63" s="420">
        <v>66860</v>
      </c>
      <c r="W63" s="261">
        <f t="shared" si="69"/>
        <v>257501</v>
      </c>
      <c r="X63" s="420">
        <v>113454</v>
      </c>
      <c r="Y63" s="420">
        <v>144047</v>
      </c>
      <c r="Z63" s="261">
        <f t="shared" si="70"/>
        <v>10991</v>
      </c>
      <c r="AA63" s="420">
        <v>4783</v>
      </c>
      <c r="AB63" s="420">
        <v>6208</v>
      </c>
      <c r="AC63" s="422">
        <v>5127</v>
      </c>
      <c r="AD63" s="422">
        <v>2329</v>
      </c>
      <c r="AE63" s="422">
        <v>2798</v>
      </c>
      <c r="AF63" s="421">
        <v>409131</v>
      </c>
      <c r="AG63" s="257">
        <v>131977</v>
      </c>
      <c r="AH63" s="261">
        <f t="shared" si="71"/>
        <v>123477</v>
      </c>
      <c r="AI63" s="420">
        <v>60664</v>
      </c>
      <c r="AJ63" s="420">
        <v>62813</v>
      </c>
      <c r="AK63" s="257">
        <v>259928</v>
      </c>
      <c r="AL63" s="261">
        <f t="shared" si="72"/>
        <v>257976</v>
      </c>
      <c r="AM63" s="420">
        <v>112098</v>
      </c>
      <c r="AN63" s="420">
        <v>145878</v>
      </c>
      <c r="AO63" s="257">
        <v>18836</v>
      </c>
      <c r="AP63" s="420">
        <v>9166</v>
      </c>
      <c r="AQ63" s="420">
        <v>9670</v>
      </c>
      <c r="AR63" s="423">
        <f t="shared" si="73"/>
        <v>8842</v>
      </c>
      <c r="AS63" s="421">
        <v>384535</v>
      </c>
      <c r="AT63" s="257">
        <v>128854</v>
      </c>
      <c r="AU63" s="53">
        <v>65234</v>
      </c>
      <c r="AV63" s="53">
        <v>63620</v>
      </c>
      <c r="AW63" s="261">
        <f t="shared" si="74"/>
        <v>118159</v>
      </c>
      <c r="AX63" s="420">
        <v>59765</v>
      </c>
      <c r="AY63" s="420">
        <v>58394</v>
      </c>
      <c r="AZ63" s="257">
        <v>223292</v>
      </c>
      <c r="BA63" s="420">
        <v>96844</v>
      </c>
      <c r="BB63" s="420">
        <v>126448</v>
      </c>
      <c r="BC63" s="257">
        <v>26423</v>
      </c>
      <c r="BD63" s="420">
        <v>13724</v>
      </c>
      <c r="BE63" s="420">
        <v>12699</v>
      </c>
      <c r="BF63" s="422">
        <v>32389</v>
      </c>
      <c r="BG63" s="422">
        <v>15942</v>
      </c>
      <c r="BH63" s="422">
        <v>16447</v>
      </c>
      <c r="BI63" s="421">
        <v>405733</v>
      </c>
      <c r="BJ63" s="420">
        <v>190231</v>
      </c>
      <c r="BK63" s="420">
        <v>215502</v>
      </c>
      <c r="BL63" s="420">
        <v>169059</v>
      </c>
      <c r="BM63" s="420">
        <v>86023</v>
      </c>
      <c r="BN63" s="420">
        <v>83036</v>
      </c>
      <c r="BO63" s="420">
        <v>148066</v>
      </c>
      <c r="BP63" s="420">
        <v>75203</v>
      </c>
      <c r="BQ63" s="420">
        <v>72863</v>
      </c>
      <c r="BR63" s="420">
        <v>203485</v>
      </c>
      <c r="BS63" s="420">
        <v>88769</v>
      </c>
      <c r="BT63" s="420">
        <v>114716</v>
      </c>
      <c r="BU63" s="420">
        <v>33409</v>
      </c>
      <c r="BV63" s="420">
        <v>17321</v>
      </c>
      <c r="BW63" s="420">
        <v>16088</v>
      </c>
      <c r="BX63" s="422">
        <f t="shared" si="75"/>
        <v>33189</v>
      </c>
      <c r="BY63" s="420">
        <v>15439</v>
      </c>
      <c r="BZ63" s="420">
        <v>17750</v>
      </c>
      <c r="CA63" s="424">
        <v>397937</v>
      </c>
      <c r="CB63" s="257">
        <v>145805</v>
      </c>
      <c r="CC63" s="420">
        <v>213410</v>
      </c>
      <c r="CD63" s="420">
        <v>38722</v>
      </c>
      <c r="CE63" s="420">
        <v>31295</v>
      </c>
      <c r="CF63" s="226">
        <v>401222</v>
      </c>
      <c r="CG63" s="257">
        <v>153410</v>
      </c>
      <c r="CH63" s="420">
        <v>211544</v>
      </c>
      <c r="CI63" s="425">
        <v>36268</v>
      </c>
      <c r="CJ63" s="420">
        <v>31651</v>
      </c>
      <c r="CK63" s="426">
        <v>407887</v>
      </c>
      <c r="CL63" s="258">
        <v>163066</v>
      </c>
      <c r="CM63" s="258">
        <v>212759</v>
      </c>
      <c r="CN63" s="258">
        <v>32062</v>
      </c>
      <c r="CO63" s="258">
        <v>31601</v>
      </c>
      <c r="CP63" s="426">
        <v>405733</v>
      </c>
      <c r="CQ63" s="258">
        <v>169059</v>
      </c>
      <c r="CR63" s="258">
        <v>203485</v>
      </c>
      <c r="CS63" s="258">
        <v>33189</v>
      </c>
      <c r="CT63" s="258">
        <v>33409</v>
      </c>
      <c r="CU63" s="426">
        <v>416691</v>
      </c>
      <c r="CV63" s="258">
        <v>176738</v>
      </c>
      <c r="CW63" s="258">
        <v>204941</v>
      </c>
      <c r="CX63" s="323">
        <f t="shared" si="76"/>
        <v>35012</v>
      </c>
      <c r="CY63" s="635">
        <v>35406</v>
      </c>
      <c r="CZ63" s="414">
        <v>428597</v>
      </c>
      <c r="DA63" s="425">
        <v>182413</v>
      </c>
      <c r="DB63" s="425">
        <v>207133</v>
      </c>
      <c r="DC63" s="425">
        <v>38946</v>
      </c>
      <c r="DD63" s="637">
        <v>37471</v>
      </c>
      <c r="DE63" s="59">
        <v>442952</v>
      </c>
      <c r="DF63" s="59">
        <v>170875</v>
      </c>
      <c r="DG63" s="1">
        <v>208666</v>
      </c>
      <c r="DH63" s="59">
        <v>26178</v>
      </c>
      <c r="DI63" s="59">
        <v>40033</v>
      </c>
    </row>
    <row r="64" spans="1:113" x14ac:dyDescent="0.2">
      <c r="B64" s="7"/>
      <c r="C64" s="7"/>
      <c r="E64" s="58"/>
      <c r="F64" s="58"/>
      <c r="G64" s="58"/>
      <c r="H64" s="67"/>
      <c r="J64" s="153"/>
      <c r="K64" s="58"/>
      <c r="L64" s="58"/>
      <c r="M64" s="153"/>
      <c r="N64" s="58"/>
      <c r="O64" s="58"/>
      <c r="P64" s="153"/>
      <c r="Q64" s="58"/>
      <c r="R64" s="67"/>
      <c r="S64" s="67"/>
      <c r="T64" s="151"/>
      <c r="U64" s="58"/>
      <c r="V64" s="58"/>
      <c r="W64" s="151"/>
      <c r="X64" s="58"/>
      <c r="Y64" s="58"/>
      <c r="Z64" s="151"/>
      <c r="AA64" s="58"/>
      <c r="AB64" s="58"/>
      <c r="AC64" s="195"/>
      <c r="AD64" s="195"/>
      <c r="AE64" s="153"/>
      <c r="AG64" s="7"/>
      <c r="AH64" s="88"/>
      <c r="AI64" s="58"/>
      <c r="AJ64" s="58"/>
      <c r="AK64" s="7"/>
      <c r="AL64" s="88"/>
      <c r="AM64" s="58"/>
      <c r="AN64" s="58"/>
      <c r="AO64" s="7"/>
      <c r="AP64" s="67"/>
      <c r="AQ64" s="58"/>
      <c r="AR64" s="238"/>
      <c r="AT64" s="7"/>
      <c r="AU64" s="196"/>
      <c r="AV64" s="196"/>
      <c r="AW64" s="88"/>
      <c r="AX64" s="58"/>
      <c r="AY64" s="67"/>
      <c r="AZ64" s="7"/>
      <c r="BA64" s="58"/>
      <c r="BB64" s="58"/>
      <c r="BC64" s="7"/>
      <c r="BD64" s="58"/>
      <c r="BE64" s="58"/>
      <c r="BF64" s="195"/>
      <c r="BG64" s="195"/>
      <c r="BH64" s="153"/>
      <c r="BI64" s="58"/>
      <c r="BJ64" s="58"/>
      <c r="BK64" s="58"/>
      <c r="BL64" s="153"/>
      <c r="BM64" s="153"/>
      <c r="BN64" s="153"/>
      <c r="BO64" s="153"/>
      <c r="BP64" s="153"/>
      <c r="BQ64" s="153"/>
      <c r="BR64" s="153"/>
      <c r="BS64" s="153"/>
      <c r="BT64" s="153"/>
      <c r="BU64" s="153"/>
      <c r="BV64" s="153"/>
      <c r="BW64" s="153"/>
      <c r="BX64" s="153"/>
      <c r="BY64" s="153"/>
      <c r="BZ64" s="153"/>
      <c r="CA64" s="67"/>
      <c r="CB64" s="7"/>
      <c r="CC64" s="58"/>
      <c r="CD64" s="58"/>
      <c r="CE64" s="58"/>
      <c r="CF64" s="67"/>
      <c r="CG64" s="7"/>
      <c r="CH64" s="58"/>
      <c r="CJ64" s="58"/>
      <c r="CL64" s="65"/>
      <c r="CM64" s="65"/>
      <c r="CN64" s="65"/>
      <c r="CO64" s="65"/>
    </row>
    <row r="65" spans="2:109" ht="373.5" customHeight="1" x14ac:dyDescent="0.2">
      <c r="B65" s="561" t="s">
        <v>99</v>
      </c>
      <c r="C65" s="68"/>
      <c r="D65" s="69"/>
      <c r="E65" s="82" t="s">
        <v>85</v>
      </c>
      <c r="F65" s="69" t="s">
        <v>83</v>
      </c>
      <c r="G65" s="68"/>
      <c r="H65" s="68"/>
      <c r="I65" s="69" t="s">
        <v>74</v>
      </c>
      <c r="J65" s="69"/>
      <c r="K65" s="70" t="s">
        <v>82</v>
      </c>
      <c r="L65" s="68" t="s">
        <v>83</v>
      </c>
      <c r="M65" s="69"/>
      <c r="N65" s="71"/>
      <c r="O65" s="71"/>
      <c r="P65" s="69"/>
      <c r="Q65" s="71"/>
      <c r="R65" s="71"/>
      <c r="S65" s="69" t="s">
        <v>84</v>
      </c>
      <c r="T65" s="81" t="s">
        <v>85</v>
      </c>
      <c r="U65" s="68" t="s">
        <v>83</v>
      </c>
      <c r="W65" s="68"/>
      <c r="Z65" s="68"/>
      <c r="AF65" s="69" t="s">
        <v>98</v>
      </c>
      <c r="AG65" s="82" t="s">
        <v>85</v>
      </c>
      <c r="AH65" s="68" t="s">
        <v>83</v>
      </c>
      <c r="AK65" s="68"/>
      <c r="AL65" s="82"/>
      <c r="AO65" s="68"/>
      <c r="AR65" s="93"/>
      <c r="AS65" s="69" t="s">
        <v>97</v>
      </c>
      <c r="AT65" s="82" t="s">
        <v>85</v>
      </c>
      <c r="AU65" s="2"/>
      <c r="AV65" s="2"/>
      <c r="AW65" s="68" t="s">
        <v>83</v>
      </c>
      <c r="AZ65" s="68"/>
      <c r="BC65" s="68"/>
      <c r="BF65" s="69"/>
      <c r="BG65" s="96"/>
      <c r="BH65" s="69"/>
      <c r="BI65" s="556" t="s">
        <v>195</v>
      </c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200" t="s">
        <v>149</v>
      </c>
      <c r="CB65" s="68"/>
      <c r="CF65" s="200" t="s">
        <v>168</v>
      </c>
      <c r="CG65" s="68"/>
      <c r="CK65" s="200" t="s">
        <v>187</v>
      </c>
      <c r="CP65" s="541" t="s">
        <v>195</v>
      </c>
      <c r="CQ65" s="200" t="s">
        <v>196</v>
      </c>
      <c r="CR65" s="200" t="s">
        <v>197</v>
      </c>
      <c r="CU65" s="200" t="s">
        <v>196</v>
      </c>
      <c r="CV65" s="200"/>
      <c r="CW65" s="200"/>
      <c r="CZ65" s="645" t="s">
        <v>221</v>
      </c>
      <c r="DE65" s="200" t="s">
        <v>230</v>
      </c>
    </row>
    <row r="66" spans="2:109" x14ac:dyDescent="0.2">
      <c r="B66" s="248"/>
      <c r="C66" s="65"/>
      <c r="S66" s="99"/>
      <c r="T66" s="72"/>
      <c r="W66" s="22"/>
      <c r="Z66" s="22"/>
      <c r="AG66" s="99"/>
      <c r="AH66" s="99"/>
      <c r="AI66" s="58"/>
      <c r="AJ66" s="58"/>
      <c r="AK66" s="99"/>
      <c r="AL66" s="99"/>
      <c r="AM66" s="58"/>
      <c r="AN66" s="58"/>
      <c r="AO66" s="99"/>
      <c r="AR66" s="104"/>
      <c r="AT66" s="72"/>
      <c r="AW66" s="73"/>
      <c r="AZ66" s="72"/>
      <c r="BC66" s="72"/>
      <c r="CB66" s="72"/>
      <c r="CG66" s="72"/>
    </row>
    <row r="67" spans="2:109" x14ac:dyDescent="0.2">
      <c r="C67" s="65"/>
      <c r="S67" s="99"/>
      <c r="T67" s="72"/>
      <c r="W67" s="22"/>
      <c r="Z67" s="22"/>
      <c r="AG67" s="100"/>
      <c r="AH67" s="100"/>
      <c r="AI67" s="58"/>
      <c r="AJ67" s="58"/>
      <c r="AK67" s="100"/>
      <c r="AL67" s="100"/>
      <c r="AM67" s="58"/>
      <c r="AN67" s="58"/>
      <c r="AO67" s="100"/>
      <c r="AR67" s="102"/>
      <c r="AT67" s="72"/>
      <c r="AW67" s="76"/>
      <c r="AZ67" s="72"/>
      <c r="BC67" s="72"/>
      <c r="CB67" s="72"/>
      <c r="CG67" s="72"/>
    </row>
    <row r="68" spans="2:109" x14ac:dyDescent="0.2">
      <c r="B68" s="64"/>
      <c r="C68" s="65"/>
      <c r="D68" s="77"/>
      <c r="S68" s="99"/>
      <c r="T68" s="72"/>
      <c r="W68" s="22"/>
      <c r="Z68" s="22"/>
      <c r="AG68" s="100"/>
      <c r="AH68" s="100"/>
      <c r="AI68" s="58"/>
      <c r="AJ68" s="58"/>
      <c r="AK68" s="100"/>
      <c r="AL68" s="100"/>
      <c r="AM68" s="58"/>
      <c r="AN68" s="58"/>
      <c r="AO68" s="100"/>
      <c r="AR68" s="102"/>
      <c r="AT68" s="72"/>
      <c r="AW68" s="76"/>
      <c r="AZ68" s="72"/>
      <c r="BC68" s="72"/>
      <c r="CB68" s="72"/>
      <c r="CG68" s="72"/>
    </row>
    <row r="69" spans="2:109" x14ac:dyDescent="0.2">
      <c r="B69" s="64"/>
      <c r="C69" s="65"/>
      <c r="D69" s="77"/>
      <c r="S69" s="99"/>
      <c r="T69" s="72"/>
      <c r="W69" s="22"/>
      <c r="Z69" s="22"/>
      <c r="AG69" s="100"/>
      <c r="AH69" s="100"/>
      <c r="AI69" s="58"/>
      <c r="AJ69" s="58"/>
      <c r="AK69" s="100"/>
      <c r="AL69" s="100"/>
      <c r="AM69" s="58"/>
      <c r="AN69" s="58"/>
      <c r="AO69" s="100"/>
      <c r="AR69" s="102"/>
      <c r="AT69" s="72"/>
      <c r="AW69" s="76"/>
      <c r="AZ69" s="72"/>
      <c r="BC69" s="72"/>
      <c r="CB69" s="72"/>
      <c r="CG69" s="72"/>
    </row>
    <row r="70" spans="2:109" x14ac:dyDescent="0.2">
      <c r="B70" s="64"/>
      <c r="C70" s="65"/>
      <c r="D70" s="77"/>
      <c r="S70" s="99"/>
      <c r="T70" s="72"/>
      <c r="W70" s="22"/>
      <c r="Z70" s="22"/>
      <c r="AG70" s="101"/>
      <c r="AH70" s="101"/>
      <c r="AI70" s="58"/>
      <c r="AJ70" s="58"/>
      <c r="AK70" s="101"/>
      <c r="AL70" s="101"/>
      <c r="AM70" s="58"/>
      <c r="AN70" s="58"/>
      <c r="AO70" s="101"/>
      <c r="AR70" s="103"/>
      <c r="AT70" s="72"/>
      <c r="AW70" s="78"/>
      <c r="AZ70" s="72"/>
      <c r="BC70" s="72"/>
      <c r="CB70" s="72"/>
      <c r="CG70" s="72"/>
    </row>
    <row r="71" spans="2:109" x14ac:dyDescent="0.2">
      <c r="B71" s="64"/>
      <c r="C71" s="65"/>
      <c r="D71" s="77"/>
      <c r="S71" s="99"/>
      <c r="T71" s="72"/>
      <c r="W71" s="22"/>
      <c r="Z71" s="22"/>
      <c r="AG71" s="101"/>
      <c r="AH71" s="101"/>
      <c r="AI71" s="58"/>
      <c r="AJ71" s="58"/>
      <c r="AK71" s="101"/>
      <c r="AL71" s="101"/>
      <c r="AM71" s="58"/>
      <c r="AN71" s="58"/>
      <c r="AO71" s="101"/>
      <c r="AR71" s="103"/>
      <c r="AT71" s="72"/>
      <c r="AW71" s="78"/>
      <c r="AZ71" s="72"/>
      <c r="BC71" s="72"/>
      <c r="CB71" s="72"/>
      <c r="CG71" s="72"/>
    </row>
    <row r="72" spans="2:109" x14ac:dyDescent="0.2">
      <c r="B72" s="64"/>
      <c r="C72" s="65"/>
      <c r="S72" s="99"/>
      <c r="T72" s="72"/>
      <c r="W72" s="22"/>
      <c r="Z72" s="22"/>
      <c r="AG72" s="72"/>
      <c r="AH72" s="72"/>
      <c r="AK72" s="72"/>
      <c r="AL72" s="72"/>
      <c r="AO72" s="72"/>
      <c r="AR72" s="94"/>
      <c r="AT72" s="72"/>
      <c r="AW72" s="72"/>
      <c r="AZ72" s="72"/>
      <c r="BC72" s="72"/>
      <c r="CB72" s="72"/>
      <c r="CG72" s="72"/>
    </row>
    <row r="73" spans="2:109" x14ac:dyDescent="0.2">
      <c r="B73" s="64"/>
      <c r="C73" s="65"/>
      <c r="S73" s="99"/>
      <c r="T73" s="72"/>
      <c r="W73" s="22"/>
      <c r="Z73" s="22"/>
      <c r="AG73" s="72"/>
      <c r="AH73" s="72"/>
      <c r="AK73" s="72"/>
      <c r="AL73" s="72"/>
      <c r="AO73" s="72"/>
      <c r="AR73" s="94"/>
      <c r="AT73" s="72"/>
      <c r="AW73" s="72"/>
      <c r="AZ73" s="72"/>
      <c r="BC73" s="72"/>
      <c r="CB73" s="72"/>
      <c r="CG73" s="72"/>
    </row>
    <row r="74" spans="2:109" x14ac:dyDescent="0.2">
      <c r="B74" s="64"/>
      <c r="C74" s="65"/>
      <c r="S74" s="99"/>
      <c r="T74" s="72"/>
      <c r="W74" s="22"/>
      <c r="Z74" s="22"/>
      <c r="AG74" s="72"/>
      <c r="AH74" s="72"/>
      <c r="AK74" s="72"/>
      <c r="AL74" s="72"/>
      <c r="AO74" s="72"/>
      <c r="AR74" s="94"/>
      <c r="AT74" s="72"/>
      <c r="AW74" s="72"/>
      <c r="AZ74" s="72"/>
      <c r="BC74" s="72"/>
      <c r="CB74" s="72"/>
      <c r="CG74" s="72"/>
    </row>
    <row r="75" spans="2:109" x14ac:dyDescent="0.2">
      <c r="B75" s="64"/>
      <c r="C75" s="65"/>
      <c r="S75" s="99"/>
      <c r="T75" s="72"/>
      <c r="W75" s="22"/>
      <c r="Z75" s="22"/>
      <c r="AG75" s="72"/>
      <c r="AH75" s="72"/>
      <c r="AK75" s="72"/>
      <c r="AL75" s="72"/>
      <c r="AO75" s="72"/>
      <c r="AR75" s="94"/>
      <c r="AT75" s="72"/>
      <c r="AW75" s="72"/>
      <c r="AZ75" s="72"/>
      <c r="BC75" s="72"/>
      <c r="CB75" s="72"/>
      <c r="CG75" s="72"/>
    </row>
    <row r="76" spans="2:109" x14ac:dyDescent="0.2">
      <c r="B76" s="64"/>
      <c r="C76" s="65"/>
      <c r="S76" s="99"/>
      <c r="T76" s="72"/>
      <c r="W76" s="22"/>
      <c r="Z76" s="22"/>
      <c r="AG76" s="72"/>
      <c r="AH76" s="72"/>
      <c r="AK76" s="72"/>
      <c r="AL76" s="72"/>
      <c r="AO76" s="72"/>
      <c r="AR76" s="94"/>
      <c r="AT76" s="72"/>
      <c r="AW76" s="72"/>
      <c r="AZ76" s="72"/>
      <c r="BC76" s="72"/>
      <c r="CB76" s="72"/>
      <c r="CG76" s="72"/>
    </row>
    <row r="77" spans="2:109" x14ac:dyDescent="0.2">
      <c r="B77" s="64"/>
      <c r="C77" s="65"/>
      <c r="S77" s="99"/>
      <c r="T77" s="72"/>
      <c r="W77" s="22"/>
      <c r="Z77" s="22"/>
      <c r="AG77" s="72"/>
      <c r="AH77" s="72"/>
      <c r="AK77" s="72"/>
      <c r="AL77" s="72"/>
      <c r="AO77" s="72"/>
      <c r="AR77" s="94"/>
      <c r="AT77" s="72"/>
      <c r="AW77" s="72"/>
      <c r="AZ77" s="72"/>
      <c r="BC77" s="72"/>
      <c r="CB77" s="72"/>
      <c r="CG77" s="72"/>
    </row>
    <row r="78" spans="2:109" x14ac:dyDescent="0.2">
      <c r="B78" s="64"/>
      <c r="C78" s="65"/>
      <c r="S78" s="135"/>
      <c r="T78" s="64"/>
      <c r="W78" s="65"/>
      <c r="Z78" s="65"/>
      <c r="AG78" s="72"/>
      <c r="AH78" s="72"/>
      <c r="AK78" s="72"/>
      <c r="AL78" s="72"/>
      <c r="AO78" s="72"/>
      <c r="AR78" s="94"/>
      <c r="AT78" s="72"/>
      <c r="AW78" s="72"/>
      <c r="AZ78" s="72"/>
      <c r="BC78" s="72"/>
      <c r="CB78" s="72"/>
      <c r="CG78" s="72"/>
    </row>
    <row r="79" spans="2:109" x14ac:dyDescent="0.2">
      <c r="B79" s="64"/>
      <c r="C79" s="65"/>
      <c r="S79" s="135"/>
      <c r="T79" s="64"/>
      <c r="W79" s="65"/>
      <c r="Z79" s="65"/>
      <c r="AG79" s="72"/>
      <c r="AH79" s="72"/>
      <c r="AK79" s="72"/>
      <c r="AL79" s="72"/>
      <c r="AO79" s="72"/>
      <c r="AR79" s="94"/>
      <c r="AT79" s="72"/>
      <c r="AW79" s="72"/>
      <c r="AZ79" s="72"/>
      <c r="BC79" s="72"/>
      <c r="CB79" s="72"/>
      <c r="CG79" s="72"/>
    </row>
    <row r="80" spans="2:109" x14ac:dyDescent="0.2">
      <c r="AO80" s="72"/>
      <c r="BC80" s="72"/>
      <c r="CB80" s="72"/>
      <c r="CG80" s="72"/>
    </row>
    <row r="81" spans="33:85" x14ac:dyDescent="0.2">
      <c r="AG81" s="72"/>
      <c r="AH81" s="72"/>
      <c r="AK81" s="72"/>
      <c r="AL81" s="72"/>
      <c r="AO81" s="72"/>
      <c r="AR81" s="94"/>
      <c r="AT81" s="72"/>
      <c r="AW81" s="72"/>
      <c r="AZ81" s="72"/>
      <c r="BC81" s="72"/>
      <c r="CB81" s="72"/>
      <c r="CG81" s="72"/>
    </row>
    <row r="82" spans="33:85" x14ac:dyDescent="0.2">
      <c r="AG82" s="72"/>
      <c r="AH82" s="72"/>
      <c r="AK82" s="72"/>
      <c r="AL82" s="72"/>
      <c r="AO82" s="72"/>
      <c r="AR82" s="94"/>
      <c r="AT82" s="72"/>
      <c r="AW82" s="72"/>
      <c r="AZ82" s="72"/>
      <c r="BC82" s="72"/>
      <c r="CB82" s="72"/>
      <c r="CG82" s="72"/>
    </row>
  </sheetData>
  <phoneticPr fontId="8" type="noConversion"/>
  <pageMargins left="0.75" right="0.75" top="1" bottom="1" header="0.5" footer="0.5"/>
  <pageSetup orientation="portrait" r:id="rId1"/>
  <headerFooter alignWithMargins="0"/>
  <ignoredErrors>
    <ignoredError sqref="DH23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OC90"/>
  <sheetViews>
    <sheetView zoomScale="90" zoomScaleNormal="90" workbookViewId="0">
      <pane xSplit="1" ySplit="4" topLeftCell="MJ5" activePane="bottomRight" state="frozen"/>
      <selection pane="topRight" activeCell="B1" sqref="B1"/>
      <selection pane="bottomLeft" activeCell="A5" sqref="A5"/>
      <selection pane="bottomRight" activeCell="IB1" sqref="IB1"/>
    </sheetView>
  </sheetViews>
  <sheetFormatPr defaultRowHeight="12.75" x14ac:dyDescent="0.2"/>
  <cols>
    <col min="1" max="1" width="15.88671875" style="2" customWidth="1"/>
    <col min="2" max="6" width="9.5546875" style="2" customWidth="1"/>
    <col min="7" max="11" width="9.21875" style="2" hidden="1" customWidth="1"/>
    <col min="12" max="16" width="9.109375" style="2" hidden="1" customWidth="1"/>
    <col min="17" max="31" width="9.109375" style="5" customWidth="1"/>
    <col min="32" max="38" width="9.109375" style="2" customWidth="1"/>
    <col min="39" max="41" width="8.44140625" style="2" customWidth="1"/>
    <col min="42" max="43" width="9.109375" style="2" customWidth="1"/>
    <col min="44" max="46" width="8.44140625" style="2" customWidth="1"/>
    <col min="47" max="47" width="9.44140625" style="2" customWidth="1"/>
    <col min="48" max="48" width="9.77734375" style="2" customWidth="1"/>
    <col min="49" max="51" width="8.44140625" style="2" customWidth="1"/>
    <col min="52" max="52" width="9.21875" style="2" bestFit="1" customWidth="1"/>
    <col min="53" max="56" width="8.44140625" style="2" customWidth="1"/>
    <col min="57" max="57" width="10.44140625" style="2" customWidth="1"/>
    <col min="58" max="62" width="10.109375" style="2" customWidth="1"/>
    <col min="63" max="63" width="9.44140625" style="2" customWidth="1"/>
    <col min="64" max="64" width="9.88671875" style="2" customWidth="1"/>
    <col min="65" max="65" width="9.6640625" style="2" customWidth="1"/>
    <col min="66" max="67" width="9.77734375" style="2" customWidth="1"/>
    <col min="68" max="70" width="10.109375" style="2" bestFit="1" customWidth="1"/>
    <col min="71" max="73" width="10.33203125" style="2" customWidth="1"/>
    <col min="74" max="75" width="10.109375" style="2" bestFit="1" customWidth="1"/>
    <col min="76" max="90" width="10.109375" style="2" customWidth="1"/>
    <col min="91" max="95" width="10.109375" style="205" customWidth="1"/>
    <col min="96" max="104" width="10.109375" style="2" customWidth="1"/>
    <col min="105" max="115" width="10.109375" style="514" customWidth="1"/>
    <col min="116" max="116" width="10.77734375" style="2" customWidth="1"/>
    <col min="117" max="117" width="10.88671875" style="2" bestFit="1" customWidth="1"/>
    <col min="118" max="118" width="10.109375" style="2" bestFit="1" customWidth="1"/>
    <col min="119" max="120" width="9" style="2" bestFit="1" customWidth="1"/>
    <col min="121" max="122" width="9.44140625" style="2" customWidth="1"/>
    <col min="123" max="125" width="10.109375" style="2" bestFit="1" customWidth="1"/>
    <col min="126" max="127" width="9.88671875" style="2" customWidth="1"/>
    <col min="128" max="130" width="10.109375" style="2" bestFit="1" customWidth="1"/>
    <col min="131" max="131" width="11.21875" style="2" customWidth="1"/>
    <col min="132" max="132" width="9.88671875" style="2" customWidth="1"/>
    <col min="133" max="135" width="10.109375" style="2" bestFit="1" customWidth="1"/>
    <col min="136" max="136" width="11.21875" style="2" customWidth="1"/>
    <col min="137" max="137" width="9.88671875" style="2" customWidth="1"/>
    <col min="138" max="140" width="10.109375" style="2" bestFit="1" customWidth="1"/>
    <col min="141" max="150" width="10.109375" style="2" customWidth="1"/>
    <col min="151" max="152" width="9" style="2" customWidth="1"/>
    <col min="153" max="155" width="7.5546875" style="2" customWidth="1"/>
    <col min="156" max="156" width="9.6640625" style="2" customWidth="1"/>
    <col min="157" max="158" width="8.5546875" style="2" customWidth="1"/>
    <col min="159" max="159" width="7.5546875" style="2" customWidth="1"/>
    <col min="160" max="160" width="9.88671875" style="2" customWidth="1"/>
    <col min="161" max="165" width="10.5546875" style="205" customWidth="1"/>
    <col min="166" max="166" width="11.33203125" style="205" customWidth="1"/>
    <col min="167" max="190" width="10.5546875" style="205" customWidth="1"/>
    <col min="191" max="210" width="11.33203125" style="205" customWidth="1"/>
    <col min="211" max="212" width="9.33203125" style="2" customWidth="1"/>
    <col min="213" max="215" width="8.44140625" style="2" customWidth="1"/>
    <col min="216" max="220" width="9.33203125" style="2" customWidth="1"/>
    <col min="221" max="235" width="10.5546875" style="205" customWidth="1"/>
    <col min="236" max="237" width="8.5546875" style="248" customWidth="1"/>
    <col min="238" max="249" width="9" style="33" customWidth="1"/>
    <col min="250" max="250" width="9.44140625" style="33" bestFit="1" customWidth="1"/>
    <col min="251" max="258" width="9" style="33" customWidth="1"/>
    <col min="259" max="259" width="9.88671875" style="33" bestFit="1" customWidth="1"/>
    <col min="260" max="260" width="9.44140625" style="33" bestFit="1" customWidth="1"/>
    <col min="261" max="261" width="9" style="33" customWidth="1"/>
    <col min="262" max="262" width="9.44140625" style="248" bestFit="1" customWidth="1"/>
    <col min="263" max="263" width="9.44140625" style="33" bestFit="1" customWidth="1"/>
    <col min="264" max="266" width="9" style="33" customWidth="1"/>
    <col min="267" max="267" width="8.5546875" style="248" customWidth="1"/>
    <col min="268" max="269" width="9" style="33" customWidth="1"/>
    <col min="270" max="270" width="8.5546875" style="248" customWidth="1"/>
    <col min="271" max="275" width="9" style="33" customWidth="1"/>
    <col min="276" max="278" width="9" style="121" customWidth="1"/>
    <col min="279" max="281" width="9" style="33" customWidth="1"/>
    <col min="282" max="282" width="9.88671875" style="2" customWidth="1"/>
    <col min="283" max="283" width="9.88671875" style="33" customWidth="1"/>
    <col min="284" max="284" width="10.109375" style="33" customWidth="1"/>
    <col min="285" max="286" width="9.88671875" style="2" customWidth="1"/>
    <col min="287" max="287" width="10.109375" style="33" customWidth="1"/>
    <col min="288" max="288" width="9.88671875" style="33" customWidth="1"/>
    <col min="289" max="290" width="9" style="33" customWidth="1"/>
    <col min="291" max="291" width="10.109375" style="2" bestFit="1" customWidth="1"/>
    <col min="292" max="292" width="9.88671875" style="2" customWidth="1"/>
    <col min="293" max="294" width="9" style="33" customWidth="1"/>
    <col min="295" max="295" width="10.109375" style="2" bestFit="1" customWidth="1"/>
    <col min="296" max="297" width="9" style="33" customWidth="1"/>
    <col min="298" max="298" width="10.109375" style="2" bestFit="1" customWidth="1"/>
    <col min="299" max="300" width="9" style="255" customWidth="1"/>
    <col min="301" max="303" width="9" style="254" customWidth="1"/>
    <col min="304" max="306" width="9" style="255" customWidth="1"/>
    <col min="307" max="310" width="9" style="33" customWidth="1"/>
    <col min="311" max="311" width="10.44140625" style="34" customWidth="1"/>
    <col min="312" max="313" width="9.44140625" style="33" customWidth="1"/>
    <col min="314" max="314" width="12.21875" style="5" customWidth="1"/>
    <col min="315" max="316" width="10.6640625" style="5" customWidth="1"/>
    <col min="317" max="317" width="10.6640625" style="142" customWidth="1"/>
    <col min="318" max="319" width="9.88671875" style="33" customWidth="1"/>
    <col min="320" max="320" width="10.109375" style="5" bestFit="1" customWidth="1"/>
    <col min="321" max="322" width="9" style="33" customWidth="1"/>
    <col min="323" max="323" width="10.109375" style="5" bestFit="1" customWidth="1"/>
    <col min="324" max="325" width="9" style="33" customWidth="1"/>
    <col min="326" max="326" width="10.109375" style="5" bestFit="1" customWidth="1"/>
    <col min="327" max="328" width="10.109375" style="2" bestFit="1" customWidth="1"/>
    <col min="329" max="329" width="11.109375" style="34" customWidth="1"/>
    <col min="330" max="330" width="11.21875" style="33" customWidth="1"/>
    <col min="331" max="332" width="9" style="33" customWidth="1"/>
    <col min="333" max="333" width="10.6640625" style="5" customWidth="1"/>
    <col min="334" max="336" width="10.109375" style="2" customWidth="1"/>
    <col min="337" max="337" width="10.21875" style="2" customWidth="1"/>
    <col min="338" max="338" width="10.109375" style="2" customWidth="1"/>
    <col min="339" max="339" width="10.109375" style="205" customWidth="1"/>
    <col min="340" max="340" width="10.88671875" style="205" bestFit="1" customWidth="1"/>
    <col min="341" max="342" width="10.109375" style="205" bestFit="1" customWidth="1"/>
    <col min="343" max="363" width="11.6640625" style="205" customWidth="1"/>
    <col min="364" max="365" width="9.33203125" style="2" customWidth="1"/>
    <col min="366" max="368" width="8.5546875" style="2" customWidth="1"/>
    <col min="369" max="369" width="9.6640625" style="2" customWidth="1"/>
    <col min="370" max="370" width="9" style="2" customWidth="1"/>
    <col min="371" max="372" width="7.5546875" style="2" customWidth="1"/>
    <col min="373" max="373" width="9" style="2" customWidth="1"/>
    <col min="374" max="374" width="9.6640625" style="2" customWidth="1"/>
    <col min="375" max="375" width="9" style="2" customWidth="1"/>
    <col min="376" max="376" width="8.6640625" style="2" customWidth="1"/>
    <col min="377" max="377" width="8.44140625" style="2" bestFit="1" customWidth="1"/>
    <col min="378" max="378" width="9" style="2" customWidth="1"/>
    <col min="379" max="379" width="9.6640625" style="2" customWidth="1"/>
    <col min="380" max="380" width="9" style="2" customWidth="1"/>
    <col min="381" max="381" width="8.6640625" style="2" customWidth="1"/>
    <col min="382" max="382" width="8.44140625" style="2" bestFit="1" customWidth="1"/>
    <col min="383" max="383" width="9" style="2" customWidth="1"/>
    <col min="384" max="384" width="9.6640625" style="2" customWidth="1"/>
    <col min="385" max="385" width="10.88671875" style="2" customWidth="1"/>
    <col min="386" max="388" width="8.88671875" style="2"/>
    <col min="389" max="389" width="10.44140625" style="2" customWidth="1"/>
    <col min="390" max="390" width="9.21875" style="2" bestFit="1" customWidth="1"/>
    <col min="391" max="16384" width="8.88671875" style="2"/>
  </cols>
  <sheetData>
    <row r="1" spans="1:393" s="1" customFormat="1" x14ac:dyDescent="0.2">
      <c r="B1" s="42" t="s">
        <v>51</v>
      </c>
      <c r="C1" s="36"/>
      <c r="D1" s="36"/>
      <c r="E1" s="36"/>
      <c r="F1" s="36"/>
      <c r="G1" s="4"/>
      <c r="H1" s="4"/>
      <c r="I1" s="4"/>
      <c r="J1" s="4"/>
      <c r="K1" s="4"/>
      <c r="L1" s="4"/>
      <c r="M1" s="4"/>
      <c r="N1" s="4"/>
      <c r="O1" s="4"/>
      <c r="P1" s="4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39" t="s">
        <v>52</v>
      </c>
      <c r="AG1" s="4"/>
      <c r="AH1" s="4"/>
      <c r="AI1" s="4"/>
      <c r="AJ1" s="4"/>
      <c r="AK1" s="4"/>
      <c r="AL1" s="4"/>
      <c r="AM1" s="4"/>
      <c r="AN1" s="4"/>
      <c r="AO1" s="40"/>
      <c r="AP1" s="4"/>
      <c r="AQ1" s="4"/>
      <c r="AR1" s="4"/>
      <c r="AS1" s="4"/>
      <c r="AT1" s="40"/>
      <c r="AU1" s="4"/>
      <c r="AV1" s="4"/>
      <c r="AW1" s="4"/>
      <c r="AX1" s="4"/>
      <c r="AY1" s="4"/>
      <c r="AZ1" s="4"/>
      <c r="BA1" s="4"/>
      <c r="BB1" s="4"/>
      <c r="BC1" s="4"/>
      <c r="BD1" s="4"/>
      <c r="BE1" s="4" t="s">
        <v>212</v>
      </c>
      <c r="BF1" s="4"/>
      <c r="BG1" s="4"/>
      <c r="BH1" s="4"/>
      <c r="BI1" s="4"/>
      <c r="BJ1" s="42" t="s">
        <v>210</v>
      </c>
      <c r="BK1" s="21"/>
      <c r="BL1" s="21"/>
      <c r="BM1" s="21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552"/>
      <c r="CN1" s="552"/>
      <c r="CO1" s="552"/>
      <c r="CP1" s="552"/>
      <c r="CQ1" s="552"/>
      <c r="CR1" s="4"/>
      <c r="CS1" s="4"/>
      <c r="CT1" s="4"/>
      <c r="CU1" s="4"/>
      <c r="CV1" s="4"/>
      <c r="CW1" s="4"/>
      <c r="CX1" s="4"/>
      <c r="CY1" s="4"/>
      <c r="CZ1" s="4"/>
      <c r="DA1" s="515"/>
      <c r="DB1" s="515"/>
      <c r="DC1" s="515"/>
      <c r="DD1" s="515"/>
      <c r="DE1" s="515"/>
      <c r="DF1" s="515"/>
      <c r="DG1" s="515"/>
      <c r="DH1" s="515"/>
      <c r="DI1" s="515"/>
      <c r="DJ1" s="515"/>
      <c r="DK1" s="515"/>
      <c r="DL1" s="41" t="s">
        <v>67</v>
      </c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725"/>
      <c r="EQ1" s="4"/>
      <c r="ER1" s="4"/>
      <c r="ES1" s="4"/>
      <c r="ET1" s="4"/>
      <c r="EU1" s="42" t="s">
        <v>53</v>
      </c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551" t="s">
        <v>194</v>
      </c>
      <c r="FZ1" s="36"/>
      <c r="GA1" s="36"/>
      <c r="GB1" s="36"/>
      <c r="GC1" s="36"/>
      <c r="GD1" s="36"/>
      <c r="GE1" s="36"/>
      <c r="GF1" s="36"/>
      <c r="GG1" s="36"/>
      <c r="GH1" s="36"/>
      <c r="GJ1" s="552"/>
      <c r="GK1" s="552"/>
      <c r="GL1" s="552"/>
      <c r="GM1" s="552"/>
      <c r="GN1" s="590"/>
      <c r="GO1" s="591"/>
      <c r="GP1" s="591"/>
      <c r="GQ1" s="591"/>
      <c r="GR1" s="591"/>
      <c r="GS1" s="591"/>
      <c r="GT1" s="591"/>
      <c r="GU1" s="591"/>
      <c r="GV1" s="591"/>
      <c r="GW1" s="591"/>
      <c r="GX1" s="591"/>
      <c r="GY1" s="591"/>
      <c r="GZ1" s="591"/>
      <c r="HA1" s="591"/>
      <c r="HB1" s="591"/>
      <c r="HC1" s="41" t="s">
        <v>188</v>
      </c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38" t="s">
        <v>56</v>
      </c>
      <c r="IC1" s="37"/>
      <c r="ID1" s="38"/>
      <c r="IE1" s="38"/>
      <c r="IF1" s="38"/>
      <c r="IG1" s="38"/>
      <c r="IH1" s="27"/>
      <c r="II1" s="27"/>
      <c r="IJ1" s="38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  <c r="IW1" s="27"/>
      <c r="IX1" s="27"/>
      <c r="IY1" s="38"/>
      <c r="IZ1" s="27"/>
      <c r="JA1" s="27"/>
      <c r="JB1" s="37"/>
      <c r="JC1" s="27"/>
      <c r="JD1" s="27"/>
      <c r="JE1" s="27"/>
      <c r="JF1" s="27"/>
      <c r="JG1" s="37"/>
      <c r="JH1" s="27"/>
      <c r="JI1" s="27"/>
      <c r="JJ1" s="37"/>
      <c r="JK1" s="27"/>
      <c r="JL1" s="27"/>
      <c r="JM1" s="27"/>
      <c r="JN1" s="27"/>
      <c r="JO1" s="27"/>
      <c r="JP1" s="117"/>
      <c r="JQ1" s="117"/>
      <c r="JR1" s="117"/>
      <c r="JS1" s="27"/>
      <c r="JT1" s="27"/>
      <c r="JU1" s="27"/>
      <c r="JV1" s="37"/>
      <c r="JW1" s="27"/>
      <c r="JX1" s="27"/>
      <c r="JY1" s="37"/>
      <c r="JZ1" s="37"/>
      <c r="KA1" s="154"/>
      <c r="KB1" s="154"/>
      <c r="KC1" s="154"/>
      <c r="KD1" s="154"/>
      <c r="KE1" s="37"/>
      <c r="KF1" s="37"/>
      <c r="KG1" s="154"/>
      <c r="KH1" s="32"/>
      <c r="KI1" s="37"/>
      <c r="KJ1" s="33"/>
      <c r="KK1" s="32"/>
      <c r="KL1" s="37"/>
      <c r="KM1" s="31"/>
      <c r="KN1" s="31"/>
      <c r="KO1" s="125"/>
      <c r="KP1" s="125"/>
      <c r="KQ1" s="125"/>
      <c r="KR1" s="31"/>
      <c r="KS1" s="31"/>
      <c r="KT1" s="31"/>
      <c r="KU1" s="32"/>
      <c r="KV1" s="32"/>
      <c r="KW1" s="32"/>
      <c r="KX1" s="32"/>
      <c r="KY1" s="107"/>
      <c r="KZ1" s="32"/>
      <c r="LA1" s="32"/>
      <c r="LB1" s="131"/>
      <c r="LC1" s="131"/>
      <c r="LD1" s="131"/>
      <c r="LE1" s="137"/>
      <c r="LF1" s="32"/>
      <c r="LG1" s="32"/>
      <c r="LH1" s="131"/>
      <c r="LI1" s="32"/>
      <c r="LJ1" s="32"/>
      <c r="LK1" s="131"/>
      <c r="LL1" s="32"/>
      <c r="LM1" s="32"/>
      <c r="LN1" s="131"/>
      <c r="LR1" s="32"/>
      <c r="LS1" s="32"/>
      <c r="LT1" s="154"/>
      <c r="LU1" s="131"/>
      <c r="LV1" s="4"/>
      <c r="LW1" s="546"/>
      <c r="LX1" s="4"/>
      <c r="LY1" s="4"/>
      <c r="LZ1" s="4"/>
      <c r="MA1" s="206"/>
      <c r="MB1" s="546"/>
      <c r="MC1" s="205"/>
      <c r="MD1" s="205"/>
      <c r="ME1" s="205"/>
      <c r="MF1" s="552"/>
      <c r="MG1" s="552"/>
      <c r="MH1" s="552"/>
      <c r="MI1" s="552"/>
      <c r="MJ1" s="575"/>
      <c r="MK1" s="552"/>
      <c r="ML1" s="552"/>
      <c r="MM1" s="552"/>
      <c r="MN1" s="552"/>
      <c r="MO1" s="575"/>
      <c r="MP1" s="552"/>
      <c r="MQ1" s="552"/>
      <c r="MR1" s="552"/>
      <c r="MS1" s="552"/>
      <c r="MT1" s="552"/>
      <c r="MU1" s="552"/>
      <c r="MV1" s="552"/>
      <c r="MW1" s="552"/>
      <c r="MX1" s="552"/>
      <c r="MY1" s="552"/>
      <c r="MZ1" s="42" t="s">
        <v>54</v>
      </c>
      <c r="NA1" s="21"/>
      <c r="NB1" s="21"/>
      <c r="NC1" s="21"/>
      <c r="ND1" s="21"/>
      <c r="NE1" s="21"/>
      <c r="NF1" s="21"/>
      <c r="NG1" s="21"/>
      <c r="NH1" s="21"/>
      <c r="NI1" s="43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1" t="s">
        <v>219</v>
      </c>
    </row>
    <row r="2" spans="1:393" s="1" customFormat="1" x14ac:dyDescent="0.2">
      <c r="B2" s="49">
        <v>1980</v>
      </c>
      <c r="C2" s="47"/>
      <c r="D2" s="47"/>
      <c r="E2" s="47"/>
      <c r="F2" s="50"/>
      <c r="G2" s="47">
        <v>1990</v>
      </c>
      <c r="H2" s="47"/>
      <c r="I2" s="47"/>
      <c r="J2" s="47"/>
      <c r="K2" s="50"/>
      <c r="L2" s="47">
        <v>2000</v>
      </c>
      <c r="M2" s="47"/>
      <c r="N2" s="47"/>
      <c r="O2" s="47"/>
      <c r="P2" s="50"/>
      <c r="Q2" s="613" t="s">
        <v>204</v>
      </c>
      <c r="R2" s="133"/>
      <c r="S2" s="133"/>
      <c r="T2" s="133"/>
      <c r="U2" s="56"/>
      <c r="V2" s="55" t="s">
        <v>215</v>
      </c>
      <c r="W2" s="55"/>
      <c r="X2" s="55"/>
      <c r="Y2" s="55"/>
      <c r="Z2" s="55"/>
      <c r="AA2" s="716" t="s">
        <v>222</v>
      </c>
      <c r="AB2" s="716"/>
      <c r="AC2" s="716"/>
      <c r="AD2" s="716"/>
      <c r="AE2" s="716"/>
      <c r="AF2" s="46">
        <v>1990</v>
      </c>
      <c r="AG2" s="47"/>
      <c r="AH2" s="47"/>
      <c r="AI2" s="47"/>
      <c r="AJ2" s="50"/>
      <c r="AK2" s="47">
        <v>2000</v>
      </c>
      <c r="AL2" s="47"/>
      <c r="AM2" s="47"/>
      <c r="AN2" s="47"/>
      <c r="AO2" s="50"/>
      <c r="AP2" s="218" t="s">
        <v>204</v>
      </c>
      <c r="AQ2" s="47"/>
      <c r="AR2" s="47"/>
      <c r="AS2" s="47"/>
      <c r="AT2" s="50"/>
      <c r="AU2" s="133" t="s">
        <v>218</v>
      </c>
      <c r="AV2" s="47"/>
      <c r="AW2" s="47"/>
      <c r="AX2" s="47"/>
      <c r="AY2" s="47"/>
      <c r="AZ2" s="47"/>
      <c r="BA2" s="47"/>
      <c r="BB2" s="47"/>
      <c r="BC2" s="47"/>
      <c r="BD2" s="47"/>
      <c r="BE2" s="573" t="s">
        <v>211</v>
      </c>
      <c r="BF2" s="47"/>
      <c r="BG2" s="47"/>
      <c r="BH2" s="47"/>
      <c r="BI2" s="47"/>
      <c r="BJ2" s="49">
        <v>1940</v>
      </c>
      <c r="BK2" s="47">
        <v>1950</v>
      </c>
      <c r="BL2" s="47">
        <v>1960</v>
      </c>
      <c r="BM2" s="47">
        <v>1970</v>
      </c>
      <c r="BN2" s="49">
        <v>1980</v>
      </c>
      <c r="BO2" s="47"/>
      <c r="BP2" s="47"/>
      <c r="BQ2" s="47"/>
      <c r="BR2" s="50"/>
      <c r="BS2" s="47">
        <v>1990</v>
      </c>
      <c r="BT2" s="47"/>
      <c r="BU2" s="47"/>
      <c r="BV2" s="47"/>
      <c r="BW2" s="50"/>
      <c r="BX2" s="47">
        <v>2000</v>
      </c>
      <c r="BY2" s="47"/>
      <c r="BZ2" s="47"/>
      <c r="CA2" s="47"/>
      <c r="CB2" s="54"/>
      <c r="CC2" s="212" t="s">
        <v>148</v>
      </c>
      <c r="CD2" s="47"/>
      <c r="CE2" s="47"/>
      <c r="CF2" s="47"/>
      <c r="CG2" s="47"/>
      <c r="CH2" s="197" t="s">
        <v>167</v>
      </c>
      <c r="CI2" s="47"/>
      <c r="CJ2" s="47"/>
      <c r="CK2" s="47"/>
      <c r="CL2" s="47"/>
      <c r="CM2" s="404" t="s">
        <v>180</v>
      </c>
      <c r="CN2" s="146"/>
      <c r="CO2" s="146"/>
      <c r="CP2" s="146"/>
      <c r="CQ2" s="146"/>
      <c r="CR2" s="573" t="s">
        <v>204</v>
      </c>
      <c r="CS2" s="47"/>
      <c r="CT2" s="47"/>
      <c r="CU2" s="47"/>
      <c r="CV2" s="50"/>
      <c r="CW2" s="573" t="s">
        <v>213</v>
      </c>
      <c r="CX2" s="47"/>
      <c r="CY2" s="47"/>
      <c r="CZ2" s="47"/>
      <c r="DA2" s="586"/>
      <c r="DB2" s="625" t="s">
        <v>218</v>
      </c>
      <c r="DC2" s="586"/>
      <c r="DD2" s="586"/>
      <c r="DE2" s="586"/>
      <c r="DF2" s="586"/>
      <c r="DG2" s="586"/>
      <c r="DH2" s="586"/>
      <c r="DI2" s="586"/>
      <c r="DJ2" s="586"/>
      <c r="DK2" s="586"/>
      <c r="DL2" s="573">
        <v>1980</v>
      </c>
      <c r="DM2" s="218"/>
      <c r="DN2" s="218"/>
      <c r="DO2" s="218"/>
      <c r="DP2" s="574"/>
      <c r="DQ2" s="218">
        <v>1990</v>
      </c>
      <c r="DR2" s="47"/>
      <c r="DS2" s="47"/>
      <c r="DT2" s="47"/>
      <c r="DU2" s="50"/>
      <c r="DV2" s="47">
        <v>2000</v>
      </c>
      <c r="DW2" s="47"/>
      <c r="DX2" s="47"/>
      <c r="DY2" s="47"/>
      <c r="DZ2" s="50"/>
      <c r="EA2" s="148" t="s">
        <v>204</v>
      </c>
      <c r="EB2" s="47"/>
      <c r="EC2" s="47"/>
      <c r="ED2" s="47"/>
      <c r="EE2" s="50"/>
      <c r="EF2" s="148" t="s">
        <v>213</v>
      </c>
      <c r="EG2" s="47"/>
      <c r="EH2" s="47"/>
      <c r="EI2" s="47"/>
      <c r="EJ2" s="50"/>
      <c r="EK2" s="625" t="s">
        <v>218</v>
      </c>
      <c r="EL2" s="47"/>
      <c r="EM2" s="47"/>
      <c r="EN2" s="47"/>
      <c r="EO2" s="47"/>
      <c r="EP2" s="133"/>
      <c r="EQ2" s="47"/>
      <c r="ER2" s="47"/>
      <c r="ES2" s="47"/>
      <c r="ET2" s="47"/>
      <c r="EU2" s="185">
        <v>1990</v>
      </c>
      <c r="EV2" s="183"/>
      <c r="EW2" s="183"/>
      <c r="EX2" s="183"/>
      <c r="EY2" s="184"/>
      <c r="EZ2" s="183">
        <v>2000</v>
      </c>
      <c r="FA2" s="183"/>
      <c r="FB2" s="183"/>
      <c r="FC2" s="183"/>
      <c r="FD2" s="184"/>
      <c r="FE2" s="573" t="s">
        <v>204</v>
      </c>
      <c r="FF2" s="47"/>
      <c r="FG2" s="47"/>
      <c r="FH2" s="47"/>
      <c r="FI2" s="54"/>
      <c r="FJ2" s="513" t="s">
        <v>213</v>
      </c>
      <c r="FK2" s="47"/>
      <c r="FL2" s="47"/>
      <c r="FM2" s="47"/>
      <c r="FN2" s="47"/>
      <c r="FO2" s="47" t="s">
        <v>218</v>
      </c>
      <c r="FP2" s="47"/>
      <c r="FQ2" s="47"/>
      <c r="FR2" s="47"/>
      <c r="FS2" s="47"/>
      <c r="FT2" s="717" t="s">
        <v>224</v>
      </c>
      <c r="FU2" s="47"/>
      <c r="FV2" s="47"/>
      <c r="FW2" s="47"/>
      <c r="FX2" s="47"/>
      <c r="FY2" s="132">
        <v>1990</v>
      </c>
      <c r="FZ2" s="133"/>
      <c r="GA2" s="133"/>
      <c r="GB2" s="133"/>
      <c r="GC2" s="133"/>
      <c r="GD2" s="57">
        <v>2000</v>
      </c>
      <c r="GE2" s="133"/>
      <c r="GF2" s="133"/>
      <c r="GG2" s="133"/>
      <c r="GH2" s="608"/>
      <c r="GI2" s="42" t="s">
        <v>204</v>
      </c>
      <c r="GJ2" s="47"/>
      <c r="GK2" s="47"/>
      <c r="GL2" s="47"/>
      <c r="GM2" s="50"/>
      <c r="GN2" s="592" t="s">
        <v>213</v>
      </c>
      <c r="GO2" s="133"/>
      <c r="GP2" s="133"/>
      <c r="GQ2" s="133"/>
      <c r="GR2" s="56"/>
      <c r="GS2" s="625" t="s">
        <v>218</v>
      </c>
      <c r="GT2" s="133"/>
      <c r="GU2" s="133"/>
      <c r="GV2" s="133"/>
      <c r="GW2" s="56"/>
      <c r="GX2" s="717" t="s">
        <v>224</v>
      </c>
      <c r="GY2" s="133"/>
      <c r="GZ2" s="133"/>
      <c r="HA2" s="133"/>
      <c r="HB2" s="133"/>
      <c r="HC2" s="185">
        <v>1990</v>
      </c>
      <c r="HD2" s="183"/>
      <c r="HE2" s="183"/>
      <c r="HF2" s="183"/>
      <c r="HG2" s="184"/>
      <c r="HH2" s="183">
        <v>2000</v>
      </c>
      <c r="HI2" s="47"/>
      <c r="HJ2" s="47"/>
      <c r="HK2" s="47"/>
      <c r="HL2" s="47"/>
      <c r="HM2" s="573" t="s">
        <v>204</v>
      </c>
      <c r="HN2" s="47"/>
      <c r="HO2" s="47"/>
      <c r="HP2" s="47"/>
      <c r="HQ2" s="50"/>
      <c r="HR2" s="573" t="s">
        <v>213</v>
      </c>
      <c r="HS2" s="47"/>
      <c r="HT2" s="47"/>
      <c r="HU2" s="47"/>
      <c r="HV2" s="50"/>
      <c r="HW2" s="716" t="s">
        <v>224</v>
      </c>
      <c r="HX2" s="54"/>
      <c r="HY2" s="54"/>
      <c r="HZ2" s="54"/>
      <c r="IA2" s="54"/>
      <c r="IB2" s="46" t="s">
        <v>16</v>
      </c>
      <c r="IC2" s="47">
        <v>1950</v>
      </c>
      <c r="ID2" s="112" t="s">
        <v>100</v>
      </c>
      <c r="IE2" s="182"/>
      <c r="IF2" s="182"/>
      <c r="IG2" s="182"/>
      <c r="IH2" s="27"/>
      <c r="II2" s="27"/>
      <c r="IJ2" s="182"/>
      <c r="IK2" s="27"/>
      <c r="IL2" s="27"/>
      <c r="IM2" s="224">
        <v>1970</v>
      </c>
      <c r="IN2" s="182"/>
      <c r="IO2" s="182"/>
      <c r="IP2" s="182"/>
      <c r="IQ2" s="27"/>
      <c r="IR2" s="27"/>
      <c r="IS2" s="182"/>
      <c r="IT2" s="27"/>
      <c r="IU2" s="27"/>
      <c r="IV2" s="182"/>
      <c r="IW2" s="27"/>
      <c r="IX2" s="27"/>
      <c r="IY2" s="224">
        <v>1980</v>
      </c>
      <c r="IZ2" s="182"/>
      <c r="JA2" s="182"/>
      <c r="JB2" s="54"/>
      <c r="JC2" s="27"/>
      <c r="JD2" s="27"/>
      <c r="JE2" s="27"/>
      <c r="JF2" s="27"/>
      <c r="JG2" s="54"/>
      <c r="JH2" s="27"/>
      <c r="JI2" s="27"/>
      <c r="JJ2" s="54"/>
      <c r="JK2" s="27"/>
      <c r="JL2" s="27"/>
      <c r="JM2" s="114"/>
      <c r="JN2" s="114"/>
      <c r="JO2" s="114"/>
      <c r="JP2" s="118"/>
      <c r="JQ2" s="118"/>
      <c r="JR2" s="118"/>
      <c r="JS2" s="122"/>
      <c r="JT2" s="122"/>
      <c r="JU2" s="122"/>
      <c r="JV2" s="49">
        <v>1990</v>
      </c>
      <c r="JW2" s="182"/>
      <c r="JX2" s="182"/>
      <c r="JY2" s="47"/>
      <c r="JZ2" s="47"/>
      <c r="KA2" s="106"/>
      <c r="KB2" s="106"/>
      <c r="KC2" s="106"/>
      <c r="KD2" s="106"/>
      <c r="KE2" s="47"/>
      <c r="KF2" s="47"/>
      <c r="KG2" s="106"/>
      <c r="KH2" s="27"/>
      <c r="KI2" s="47"/>
      <c r="KJ2" s="27"/>
      <c r="KK2" s="27"/>
      <c r="KL2" s="47"/>
      <c r="KM2" s="86"/>
      <c r="KN2" s="86"/>
      <c r="KO2" s="126"/>
      <c r="KP2" s="126"/>
      <c r="KQ2" s="126"/>
      <c r="KR2" s="86"/>
      <c r="KS2" s="86"/>
      <c r="KT2" s="86"/>
      <c r="KU2" s="27"/>
      <c r="KV2" s="27"/>
      <c r="KW2" s="27"/>
      <c r="KX2" s="27"/>
      <c r="KY2" s="132">
        <v>2000</v>
      </c>
      <c r="KZ2" s="27"/>
      <c r="LA2" s="27"/>
      <c r="LB2" s="133"/>
      <c r="LC2" s="133"/>
      <c r="LD2" s="133"/>
      <c r="LE2" s="143"/>
      <c r="LF2" s="27"/>
      <c r="LG2" s="27"/>
      <c r="LH2" s="133"/>
      <c r="LI2" s="27"/>
      <c r="LJ2" s="27"/>
      <c r="LK2" s="133"/>
      <c r="LL2" s="27"/>
      <c r="LM2" s="27"/>
      <c r="LN2" s="27"/>
      <c r="LO2" s="27"/>
      <c r="LP2" s="27"/>
      <c r="LQ2" s="215" t="s">
        <v>148</v>
      </c>
      <c r="LR2" s="27"/>
      <c r="LS2" s="27"/>
      <c r="LT2" s="106"/>
      <c r="LU2" s="133"/>
      <c r="LV2" s="197" t="s">
        <v>167</v>
      </c>
      <c r="LW2" s="47"/>
      <c r="LX2" s="47"/>
      <c r="LY2" s="47"/>
      <c r="LZ2" s="47"/>
      <c r="MA2" s="404" t="s">
        <v>180</v>
      </c>
      <c r="MB2" s="146"/>
      <c r="MC2" s="146"/>
      <c r="MD2" s="146"/>
      <c r="ME2" s="146"/>
      <c r="MF2" s="573" t="s">
        <v>204</v>
      </c>
      <c r="MG2" s="47"/>
      <c r="MH2" s="47"/>
      <c r="MI2" s="47"/>
      <c r="MJ2" s="48"/>
      <c r="MK2" s="573" t="s">
        <v>213</v>
      </c>
      <c r="ML2" s="47"/>
      <c r="MM2" s="47"/>
      <c r="MN2" s="47"/>
      <c r="MO2" s="48"/>
      <c r="MP2" s="625" t="s">
        <v>218</v>
      </c>
      <c r="MQ2" s="47"/>
      <c r="MR2" s="47"/>
      <c r="MS2" s="47"/>
      <c r="MT2" s="47"/>
      <c r="MU2" s="717" t="s">
        <v>224</v>
      </c>
      <c r="MV2" s="47"/>
      <c r="MW2" s="47"/>
      <c r="MX2" s="47"/>
      <c r="MY2" s="47"/>
      <c r="MZ2" s="49">
        <v>1990</v>
      </c>
      <c r="NA2" s="47"/>
      <c r="NB2" s="47"/>
      <c r="NC2" s="47"/>
      <c r="ND2" s="48"/>
      <c r="NE2" s="47">
        <v>2000</v>
      </c>
      <c r="NF2" s="47"/>
      <c r="NG2" s="47"/>
      <c r="NH2" s="47"/>
      <c r="NI2" s="48"/>
      <c r="NJ2" s="573" t="s">
        <v>204</v>
      </c>
      <c r="NK2" s="47"/>
      <c r="NL2" s="47"/>
      <c r="NM2" s="47"/>
      <c r="NN2" s="47"/>
      <c r="NO2" s="42" t="s">
        <v>213</v>
      </c>
      <c r="NP2" s="47"/>
      <c r="NQ2" s="47"/>
      <c r="NR2" s="47"/>
      <c r="NS2" s="47"/>
      <c r="NT2" s="630" t="s">
        <v>218</v>
      </c>
      <c r="NU2" s="626"/>
      <c r="NV2" s="626"/>
      <c r="NW2" s="626"/>
      <c r="NX2" s="626"/>
      <c r="NY2" s="724" t="s">
        <v>224</v>
      </c>
      <c r="NZ2" s="2"/>
      <c r="OA2" s="2"/>
    </row>
    <row r="3" spans="1:393" s="1" customFormat="1" x14ac:dyDescent="0.2">
      <c r="B3" s="49"/>
      <c r="C3" s="47"/>
      <c r="D3" s="47"/>
      <c r="E3" s="47"/>
      <c r="F3" s="50"/>
      <c r="G3" s="47"/>
      <c r="H3" s="47"/>
      <c r="I3" s="47"/>
      <c r="J3" s="47"/>
      <c r="K3" s="50"/>
      <c r="L3" s="47"/>
      <c r="M3" s="47"/>
      <c r="N3" s="47"/>
      <c r="O3" s="47"/>
      <c r="P3" s="50"/>
      <c r="Q3" s="133"/>
      <c r="R3" s="593"/>
      <c r="S3" s="133"/>
      <c r="T3" s="133"/>
      <c r="U3" s="56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4"/>
      <c r="AG3" s="47"/>
      <c r="AH3" s="47"/>
      <c r="AI3" s="47"/>
      <c r="AJ3" s="50"/>
      <c r="AK3" s="47"/>
      <c r="AL3" s="47"/>
      <c r="AM3" s="47"/>
      <c r="AN3" s="47"/>
      <c r="AO3" s="50"/>
      <c r="AP3" s="47"/>
      <c r="AQ3" s="219"/>
      <c r="AR3" s="47"/>
      <c r="AS3" s="47"/>
      <c r="AT3" s="50"/>
      <c r="AU3" s="47"/>
      <c r="AV3" s="47"/>
      <c r="AW3" s="47"/>
      <c r="AX3" s="47"/>
      <c r="AY3" s="47"/>
      <c r="AZ3" s="717" t="s">
        <v>223</v>
      </c>
      <c r="BA3" s="47"/>
      <c r="BB3" s="47"/>
      <c r="BC3" s="47"/>
      <c r="BD3" s="47"/>
      <c r="BE3" s="49"/>
      <c r="BF3" s="219"/>
      <c r="BG3" s="47"/>
      <c r="BH3" s="47"/>
      <c r="BI3" s="47"/>
      <c r="BJ3" s="49"/>
      <c r="BK3" s="47"/>
      <c r="BL3" s="47"/>
      <c r="BM3" s="47"/>
      <c r="BN3" s="49"/>
      <c r="BO3" s="47"/>
      <c r="BP3" s="47"/>
      <c r="BQ3" s="47"/>
      <c r="BR3" s="50"/>
      <c r="BS3" s="47"/>
      <c r="BT3" s="47"/>
      <c r="BU3" s="47"/>
      <c r="BV3" s="47"/>
      <c r="BW3" s="50"/>
      <c r="BX3" s="47"/>
      <c r="BY3" s="219"/>
      <c r="BZ3" s="47"/>
      <c r="CA3" s="47"/>
      <c r="CB3" s="54"/>
      <c r="CC3" s="212"/>
      <c r="CD3" s="225"/>
      <c r="CE3" s="191"/>
      <c r="CF3" s="191"/>
      <c r="CG3" s="191"/>
      <c r="CH3" s="226"/>
      <c r="CI3" s="191"/>
      <c r="CJ3" s="191"/>
      <c r="CK3" s="191"/>
      <c r="CL3" s="191"/>
      <c r="CM3" s="572"/>
      <c r="CN3" s="191"/>
      <c r="CO3" s="191"/>
      <c r="CP3" s="191"/>
      <c r="CQ3" s="191"/>
      <c r="CR3" s="49"/>
      <c r="CS3" s="219"/>
      <c r="CT3" s="47"/>
      <c r="CU3" s="47"/>
      <c r="CV3" s="50"/>
      <c r="CW3" s="49"/>
      <c r="CX3" s="219"/>
      <c r="CY3" s="47"/>
      <c r="CZ3" s="47"/>
      <c r="DA3" s="586"/>
      <c r="DB3" s="586"/>
      <c r="DC3" s="586"/>
      <c r="DD3" s="586"/>
      <c r="DE3" s="586"/>
      <c r="DF3" s="586"/>
      <c r="DG3" s="717" t="s">
        <v>223</v>
      </c>
      <c r="DH3" s="586"/>
      <c r="DI3" s="586"/>
      <c r="DJ3" s="586"/>
      <c r="DK3" s="586"/>
      <c r="DL3" s="49"/>
      <c r="DM3" s="47"/>
      <c r="DN3" s="47"/>
      <c r="DO3" s="47"/>
      <c r="DP3" s="50"/>
      <c r="DQ3" s="47"/>
      <c r="DR3" s="47"/>
      <c r="DS3" s="47"/>
      <c r="DT3" s="47"/>
      <c r="DU3" s="50"/>
      <c r="DV3" s="47"/>
      <c r="DW3" s="47"/>
      <c r="DX3" s="47"/>
      <c r="DY3" s="47"/>
      <c r="DZ3" s="50"/>
      <c r="EA3" s="47"/>
      <c r="EB3" s="47"/>
      <c r="EC3" s="47"/>
      <c r="ED3" s="47"/>
      <c r="EE3" s="50"/>
      <c r="EF3" s="47"/>
      <c r="EG3" s="47"/>
      <c r="EH3" s="47"/>
      <c r="EI3" s="47"/>
      <c r="EJ3" s="50"/>
      <c r="EK3" s="47"/>
      <c r="EL3" s="47"/>
      <c r="EM3" s="47"/>
      <c r="EN3" s="47"/>
      <c r="EO3" s="47"/>
      <c r="EP3" s="717" t="s">
        <v>223</v>
      </c>
      <c r="EQ3" s="47"/>
      <c r="ER3" s="47"/>
      <c r="ES3" s="47"/>
      <c r="ET3" s="47"/>
      <c r="EU3" s="550"/>
      <c r="EV3" s="186"/>
      <c r="EW3" s="47"/>
      <c r="EX3" s="47"/>
      <c r="EY3" s="48"/>
      <c r="EZ3" s="47"/>
      <c r="FA3" s="47"/>
      <c r="FB3" s="186"/>
      <c r="FC3" s="47"/>
      <c r="FD3" s="48"/>
      <c r="FE3" s="49"/>
      <c r="FF3" s="219"/>
      <c r="FG3" s="47"/>
      <c r="FH3" s="47"/>
      <c r="FI3" s="54"/>
      <c r="FJ3" s="49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550"/>
      <c r="FZ3" s="186"/>
      <c r="GA3" s="47"/>
      <c r="GB3" s="47"/>
      <c r="GC3" s="47"/>
      <c r="GD3" s="49"/>
      <c r="GE3" s="47"/>
      <c r="GF3" s="186"/>
      <c r="GG3" s="47"/>
      <c r="GH3" s="48"/>
      <c r="GI3" s="49"/>
      <c r="GJ3" s="219"/>
      <c r="GK3" s="47"/>
      <c r="GL3" s="47"/>
      <c r="GM3" s="50"/>
      <c r="GN3" s="132"/>
      <c r="GO3" s="593"/>
      <c r="GP3" s="133"/>
      <c r="GQ3" s="133"/>
      <c r="GR3" s="56"/>
      <c r="GS3" s="133"/>
      <c r="GT3" s="133"/>
      <c r="GU3" s="133"/>
      <c r="GV3" s="133"/>
      <c r="GW3" s="608"/>
      <c r="GX3" s="133"/>
      <c r="GY3" s="133"/>
      <c r="GZ3" s="133"/>
      <c r="HA3" s="133"/>
      <c r="HB3" s="133"/>
      <c r="HC3" s="49"/>
      <c r="HD3" s="47"/>
      <c r="HE3" s="186"/>
      <c r="HF3" s="47"/>
      <c r="HG3" s="48"/>
      <c r="HH3" s="47"/>
      <c r="HI3" s="186"/>
      <c r="HJ3" s="47"/>
      <c r="HK3" s="47"/>
      <c r="HL3" s="47"/>
      <c r="HM3" s="49"/>
      <c r="HN3" s="219"/>
      <c r="HO3" s="47"/>
      <c r="HP3" s="47"/>
      <c r="HQ3" s="50"/>
      <c r="HR3" s="49"/>
      <c r="HS3" s="219"/>
      <c r="HT3" s="47"/>
      <c r="HU3" s="47"/>
      <c r="HV3" s="50"/>
      <c r="HW3" s="47"/>
      <c r="HX3" s="47"/>
      <c r="HY3" s="47"/>
      <c r="HZ3" s="47"/>
      <c r="IA3" s="47"/>
      <c r="IB3" s="49"/>
      <c r="IC3" s="47"/>
      <c r="ID3" s="112"/>
      <c r="IE3" s="113"/>
      <c r="IF3" s="113"/>
      <c r="IG3" s="113"/>
      <c r="IH3" s="28"/>
      <c r="II3" s="28"/>
      <c r="IJ3" s="113"/>
      <c r="IK3" s="28"/>
      <c r="IL3" s="28"/>
      <c r="IM3" s="223"/>
      <c r="IN3" s="113"/>
      <c r="IO3" s="113"/>
      <c r="IP3" s="113"/>
      <c r="IQ3" s="28"/>
      <c r="IR3" s="28"/>
      <c r="IS3" s="113"/>
      <c r="IT3" s="28"/>
      <c r="IU3" s="28"/>
      <c r="IV3" s="113"/>
      <c r="IW3" s="28"/>
      <c r="IX3" s="28"/>
      <c r="IY3" s="223"/>
      <c r="IZ3" s="113"/>
      <c r="JA3" s="113"/>
      <c r="JB3" s="47"/>
      <c r="JC3" s="28"/>
      <c r="JD3" s="28"/>
      <c r="JE3" s="28"/>
      <c r="JF3" s="28"/>
      <c r="JG3" s="47"/>
      <c r="JH3" s="28"/>
      <c r="JI3" s="28"/>
      <c r="JJ3" s="47"/>
      <c r="JK3" s="28"/>
      <c r="JL3" s="28"/>
      <c r="JM3" s="116"/>
      <c r="JN3" s="116"/>
      <c r="JO3" s="116"/>
      <c r="JP3" s="119" t="s">
        <v>114</v>
      </c>
      <c r="JQ3" s="119"/>
      <c r="JR3" s="119"/>
      <c r="JS3" s="123"/>
      <c r="JT3" s="123"/>
      <c r="JU3" s="123"/>
      <c r="JV3" s="49"/>
      <c r="JW3" s="113"/>
      <c r="JX3" s="113"/>
      <c r="JY3" s="47"/>
      <c r="JZ3" s="84"/>
      <c r="KA3" s="28"/>
      <c r="KB3" s="28"/>
      <c r="KC3" s="28"/>
      <c r="KD3" s="28"/>
      <c r="KE3" s="47"/>
      <c r="KF3" s="84"/>
      <c r="KG3" s="28"/>
      <c r="KH3" s="28"/>
      <c r="KI3" s="84"/>
      <c r="KJ3" s="28"/>
      <c r="KK3" s="28"/>
      <c r="KL3" s="47"/>
      <c r="KM3" s="86"/>
      <c r="KN3" s="86"/>
      <c r="KO3" s="127" t="s">
        <v>114</v>
      </c>
      <c r="KP3" s="128"/>
      <c r="KQ3" s="128"/>
      <c r="KR3" s="87"/>
      <c r="KS3" s="87"/>
      <c r="KT3" s="87"/>
      <c r="KU3" s="28"/>
      <c r="KV3" s="28"/>
      <c r="KW3" s="28"/>
      <c r="KX3" s="28"/>
      <c r="KY3" s="134"/>
      <c r="KZ3" s="144"/>
      <c r="LA3" s="144"/>
      <c r="LB3" s="98"/>
      <c r="LC3" s="133"/>
      <c r="LD3" s="133"/>
      <c r="LE3" s="138"/>
      <c r="LF3" s="28"/>
      <c r="LG3" s="28"/>
      <c r="LH3" s="133"/>
      <c r="LI3" s="28"/>
      <c r="LJ3" s="28"/>
      <c r="LK3" s="133"/>
      <c r="LL3" s="28"/>
      <c r="LM3" s="28"/>
      <c r="LN3" s="28"/>
      <c r="LO3" s="28"/>
      <c r="LP3" s="28"/>
      <c r="LQ3" s="216"/>
      <c r="LR3" s="222"/>
      <c r="LS3" s="222"/>
      <c r="LT3" s="230"/>
      <c r="LU3" s="178"/>
      <c r="LV3" s="197"/>
      <c r="LW3" s="191"/>
      <c r="LX3" s="191"/>
      <c r="LY3" s="225"/>
      <c r="LZ3" s="191"/>
      <c r="MA3" s="197"/>
      <c r="MB3" s="191"/>
      <c r="MC3" s="191"/>
      <c r="MD3" s="225"/>
      <c r="ME3" s="191"/>
      <c r="MF3" s="49"/>
      <c r="MG3" s="219"/>
      <c r="MH3" s="47"/>
      <c r="MI3" s="47"/>
      <c r="MJ3" s="50"/>
      <c r="MK3" s="49"/>
      <c r="ML3" s="219"/>
      <c r="MM3" s="47"/>
      <c r="MN3" s="47"/>
      <c r="MO3" s="50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9"/>
      <c r="NA3" s="47"/>
      <c r="NB3" s="47"/>
      <c r="NC3" s="47"/>
      <c r="ND3" s="48"/>
      <c r="NE3" s="47"/>
      <c r="NF3" s="47"/>
      <c r="NG3" s="47"/>
      <c r="NH3" s="47"/>
      <c r="NI3" s="48"/>
      <c r="NJ3" s="49"/>
      <c r="NK3" s="219"/>
      <c r="NL3" s="47"/>
      <c r="NM3" s="47"/>
      <c r="NN3" s="54"/>
      <c r="NO3" s="49"/>
      <c r="NP3" s="219"/>
      <c r="NQ3" s="47"/>
      <c r="NR3" s="47"/>
      <c r="NS3" s="54"/>
      <c r="NT3" s="626"/>
      <c r="NU3" s="626"/>
      <c r="NV3" s="626"/>
      <c r="NW3" s="626"/>
      <c r="NX3" s="626"/>
      <c r="NY3" s="2"/>
      <c r="NZ3" s="2"/>
      <c r="OA3" s="2"/>
    </row>
    <row r="4" spans="1:393" s="1" customFormat="1" ht="48" customHeight="1" x14ac:dyDescent="0.2">
      <c r="B4" s="46" t="s">
        <v>57</v>
      </c>
      <c r="C4" s="54" t="s">
        <v>58</v>
      </c>
      <c r="D4" s="54" t="s">
        <v>59</v>
      </c>
      <c r="E4" s="54" t="s">
        <v>60</v>
      </c>
      <c r="F4" s="50" t="s">
        <v>61</v>
      </c>
      <c r="G4" s="54" t="s">
        <v>57</v>
      </c>
      <c r="H4" s="54" t="s">
        <v>58</v>
      </c>
      <c r="I4" s="54" t="s">
        <v>59</v>
      </c>
      <c r="J4" s="54" t="s">
        <v>60</v>
      </c>
      <c r="K4" s="50" t="s">
        <v>61</v>
      </c>
      <c r="L4" s="54" t="s">
        <v>57</v>
      </c>
      <c r="M4" s="54" t="s">
        <v>58</v>
      </c>
      <c r="N4" s="54" t="s">
        <v>59</v>
      </c>
      <c r="O4" s="54" t="s">
        <v>60</v>
      </c>
      <c r="P4" s="50" t="s">
        <v>61</v>
      </c>
      <c r="Q4" s="55" t="s">
        <v>57</v>
      </c>
      <c r="R4" s="55" t="s">
        <v>205</v>
      </c>
      <c r="S4" s="55" t="s">
        <v>206</v>
      </c>
      <c r="T4" s="55" t="s">
        <v>60</v>
      </c>
      <c r="U4" s="56" t="s">
        <v>207</v>
      </c>
      <c r="V4" s="55" t="s">
        <v>57</v>
      </c>
      <c r="W4" s="55" t="s">
        <v>216</v>
      </c>
      <c r="X4" s="55" t="s">
        <v>217</v>
      </c>
      <c r="Y4" s="55" t="s">
        <v>60</v>
      </c>
      <c r="Z4" s="55" t="s">
        <v>61</v>
      </c>
      <c r="AA4" s="55" t="s">
        <v>57</v>
      </c>
      <c r="AB4" s="55" t="s">
        <v>216</v>
      </c>
      <c r="AC4" s="55" t="s">
        <v>217</v>
      </c>
      <c r="AD4" s="55" t="s">
        <v>60</v>
      </c>
      <c r="AE4" s="55" t="s">
        <v>61</v>
      </c>
      <c r="AF4" s="54" t="s">
        <v>57</v>
      </c>
      <c r="AG4" s="54" t="s">
        <v>58</v>
      </c>
      <c r="AH4" s="54" t="s">
        <v>59</v>
      </c>
      <c r="AI4" s="54" t="s">
        <v>60</v>
      </c>
      <c r="AJ4" s="50" t="s">
        <v>61</v>
      </c>
      <c r="AK4" s="54" t="s">
        <v>57</v>
      </c>
      <c r="AL4" s="54" t="s">
        <v>58</v>
      </c>
      <c r="AM4" s="54" t="s">
        <v>59</v>
      </c>
      <c r="AN4" s="54" t="s">
        <v>60</v>
      </c>
      <c r="AO4" s="50" t="s">
        <v>61</v>
      </c>
      <c r="AP4" s="54" t="s">
        <v>57</v>
      </c>
      <c r="AQ4" s="54" t="s">
        <v>205</v>
      </c>
      <c r="AR4" s="54" t="s">
        <v>206</v>
      </c>
      <c r="AS4" s="54" t="s">
        <v>60</v>
      </c>
      <c r="AT4" s="50" t="s">
        <v>207</v>
      </c>
      <c r="AU4" s="54" t="s">
        <v>57</v>
      </c>
      <c r="AV4" s="54" t="s">
        <v>205</v>
      </c>
      <c r="AW4" s="54" t="s">
        <v>206</v>
      </c>
      <c r="AX4" s="54" t="s">
        <v>60</v>
      </c>
      <c r="AY4" s="50" t="s">
        <v>207</v>
      </c>
      <c r="AZ4" s="54" t="s">
        <v>57</v>
      </c>
      <c r="BA4" s="54" t="s">
        <v>205</v>
      </c>
      <c r="BB4" s="54" t="s">
        <v>206</v>
      </c>
      <c r="BC4" s="54" t="s">
        <v>60</v>
      </c>
      <c r="BD4" s="50" t="s">
        <v>207</v>
      </c>
      <c r="BE4" s="46" t="s">
        <v>57</v>
      </c>
      <c r="BF4" s="54" t="s">
        <v>205</v>
      </c>
      <c r="BG4" s="54" t="s">
        <v>206</v>
      </c>
      <c r="BH4" s="54" t="s">
        <v>60</v>
      </c>
      <c r="BI4" s="54" t="s">
        <v>207</v>
      </c>
      <c r="BJ4" s="46"/>
      <c r="BK4" s="54"/>
      <c r="BL4" s="54"/>
      <c r="BM4" s="54"/>
      <c r="BN4" s="46" t="s">
        <v>57</v>
      </c>
      <c r="BO4" s="54" t="s">
        <v>58</v>
      </c>
      <c r="BP4" s="54" t="s">
        <v>59</v>
      </c>
      <c r="BQ4" s="54" t="s">
        <v>60</v>
      </c>
      <c r="BR4" s="50" t="s">
        <v>61</v>
      </c>
      <c r="BS4" s="54" t="s">
        <v>57</v>
      </c>
      <c r="BT4" s="54" t="s">
        <v>58</v>
      </c>
      <c r="BU4" s="54" t="s">
        <v>59</v>
      </c>
      <c r="BV4" s="54" t="s">
        <v>60</v>
      </c>
      <c r="BW4" s="50" t="s">
        <v>61</v>
      </c>
      <c r="BX4" s="54" t="s">
        <v>57</v>
      </c>
      <c r="BY4" s="54" t="s">
        <v>58</v>
      </c>
      <c r="BZ4" s="54" t="s">
        <v>59</v>
      </c>
      <c r="CA4" s="54" t="s">
        <v>60</v>
      </c>
      <c r="CB4" s="54" t="s">
        <v>61</v>
      </c>
      <c r="CC4" s="213" t="s">
        <v>57</v>
      </c>
      <c r="CD4" s="84" t="s">
        <v>174</v>
      </c>
      <c r="CE4" s="84" t="s">
        <v>175</v>
      </c>
      <c r="CF4" s="84" t="s">
        <v>178</v>
      </c>
      <c r="CG4" s="72" t="s">
        <v>60</v>
      </c>
      <c r="CH4" s="74" t="s">
        <v>57</v>
      </c>
      <c r="CI4" s="84" t="s">
        <v>174</v>
      </c>
      <c r="CJ4" s="84" t="s">
        <v>175</v>
      </c>
      <c r="CK4" s="84" t="s">
        <v>178</v>
      </c>
      <c r="CL4" s="72" t="s">
        <v>60</v>
      </c>
      <c r="CM4" s="74" t="s">
        <v>57</v>
      </c>
      <c r="CN4" s="84" t="s">
        <v>174</v>
      </c>
      <c r="CO4" s="84" t="s">
        <v>175</v>
      </c>
      <c r="CP4" s="84" t="s">
        <v>178</v>
      </c>
      <c r="CQ4" s="72" t="s">
        <v>60</v>
      </c>
      <c r="CR4" s="46" t="s">
        <v>57</v>
      </c>
      <c r="CS4" s="54" t="s">
        <v>205</v>
      </c>
      <c r="CT4" s="54" t="s">
        <v>206</v>
      </c>
      <c r="CU4" s="54" t="s">
        <v>60</v>
      </c>
      <c r="CV4" s="50" t="s">
        <v>207</v>
      </c>
      <c r="CW4" s="46" t="s">
        <v>57</v>
      </c>
      <c r="CX4" s="54" t="s">
        <v>205</v>
      </c>
      <c r="CY4" s="54" t="s">
        <v>206</v>
      </c>
      <c r="CZ4" s="54" t="s">
        <v>60</v>
      </c>
      <c r="DA4" s="54" t="s">
        <v>207</v>
      </c>
      <c r="DB4" s="46" t="s">
        <v>57</v>
      </c>
      <c r="DC4" s="54" t="s">
        <v>205</v>
      </c>
      <c r="DD4" s="54" t="s">
        <v>206</v>
      </c>
      <c r="DE4" s="54" t="s">
        <v>60</v>
      </c>
      <c r="DF4" s="54" t="s">
        <v>207</v>
      </c>
      <c r="DG4" s="46" t="s">
        <v>57</v>
      </c>
      <c r="DH4" s="54" t="s">
        <v>205</v>
      </c>
      <c r="DI4" s="54" t="s">
        <v>206</v>
      </c>
      <c r="DJ4" s="54" t="s">
        <v>60</v>
      </c>
      <c r="DK4" s="54" t="s">
        <v>207</v>
      </c>
      <c r="DL4" s="46" t="s">
        <v>57</v>
      </c>
      <c r="DM4" s="54" t="s">
        <v>58</v>
      </c>
      <c r="DN4" s="54" t="s">
        <v>59</v>
      </c>
      <c r="DO4" s="54" t="s">
        <v>60</v>
      </c>
      <c r="DP4" s="50" t="s">
        <v>61</v>
      </c>
      <c r="DQ4" s="54" t="s">
        <v>57</v>
      </c>
      <c r="DR4" s="54" t="s">
        <v>58</v>
      </c>
      <c r="DS4" s="54" t="s">
        <v>59</v>
      </c>
      <c r="DT4" s="54" t="s">
        <v>60</v>
      </c>
      <c r="DU4" s="50" t="s">
        <v>61</v>
      </c>
      <c r="DV4" s="54" t="s">
        <v>57</v>
      </c>
      <c r="DW4" s="54" t="s">
        <v>58</v>
      </c>
      <c r="DX4" s="54" t="s">
        <v>59</v>
      </c>
      <c r="DY4" s="54" t="s">
        <v>60</v>
      </c>
      <c r="DZ4" s="50" t="s">
        <v>61</v>
      </c>
      <c r="EA4" s="54" t="s">
        <v>57</v>
      </c>
      <c r="EB4" s="54" t="s">
        <v>205</v>
      </c>
      <c r="EC4" s="54" t="s">
        <v>206</v>
      </c>
      <c r="ED4" s="54" t="s">
        <v>60</v>
      </c>
      <c r="EE4" s="50" t="s">
        <v>207</v>
      </c>
      <c r="EF4" s="54" t="s">
        <v>57</v>
      </c>
      <c r="EG4" s="54" t="s">
        <v>205</v>
      </c>
      <c r="EH4" s="54" t="s">
        <v>206</v>
      </c>
      <c r="EI4" s="54" t="s">
        <v>60</v>
      </c>
      <c r="EJ4" s="50" t="s">
        <v>207</v>
      </c>
      <c r="EK4" s="54" t="s">
        <v>57</v>
      </c>
      <c r="EL4" s="54" t="s">
        <v>205</v>
      </c>
      <c r="EM4" s="54" t="s">
        <v>206</v>
      </c>
      <c r="EN4" s="54" t="s">
        <v>60</v>
      </c>
      <c r="EO4" s="54" t="s">
        <v>207</v>
      </c>
      <c r="EP4" s="54" t="s">
        <v>57</v>
      </c>
      <c r="EQ4" s="54" t="s">
        <v>205</v>
      </c>
      <c r="ER4" s="54" t="s">
        <v>206</v>
      </c>
      <c r="ES4" s="54" t="s">
        <v>60</v>
      </c>
      <c r="ET4" s="54" t="s">
        <v>207</v>
      </c>
      <c r="EU4" s="57" t="s">
        <v>57</v>
      </c>
      <c r="EV4" s="55" t="s">
        <v>58</v>
      </c>
      <c r="EW4" s="55" t="s">
        <v>59</v>
      </c>
      <c r="EX4" s="55" t="s">
        <v>60</v>
      </c>
      <c r="EY4" s="56" t="s">
        <v>61</v>
      </c>
      <c r="EZ4" s="55" t="s">
        <v>57</v>
      </c>
      <c r="FA4" s="55" t="s">
        <v>58</v>
      </c>
      <c r="FB4" s="55" t="s">
        <v>59</v>
      </c>
      <c r="FC4" s="55" t="s">
        <v>60</v>
      </c>
      <c r="FD4" s="56" t="s">
        <v>61</v>
      </c>
      <c r="FE4" s="46" t="s">
        <v>57</v>
      </c>
      <c r="FF4" s="54" t="s">
        <v>205</v>
      </c>
      <c r="FG4" s="54" t="s">
        <v>206</v>
      </c>
      <c r="FH4" s="54" t="s">
        <v>60</v>
      </c>
      <c r="FI4" s="54" t="s">
        <v>207</v>
      </c>
      <c r="FJ4" s="46" t="s">
        <v>57</v>
      </c>
      <c r="FK4" s="54" t="s">
        <v>205</v>
      </c>
      <c r="FL4" s="54" t="s">
        <v>206</v>
      </c>
      <c r="FM4" s="54" t="s">
        <v>60</v>
      </c>
      <c r="FN4" s="54" t="s">
        <v>207</v>
      </c>
      <c r="FO4" s="46" t="s">
        <v>57</v>
      </c>
      <c r="FP4" s="54" t="s">
        <v>205</v>
      </c>
      <c r="FQ4" s="54" t="s">
        <v>206</v>
      </c>
      <c r="FR4" s="54" t="s">
        <v>60</v>
      </c>
      <c r="FS4" s="54" t="s">
        <v>207</v>
      </c>
      <c r="FT4" s="46" t="s">
        <v>57</v>
      </c>
      <c r="FU4" s="54" t="s">
        <v>205</v>
      </c>
      <c r="FV4" s="54" t="s">
        <v>206</v>
      </c>
      <c r="FW4" s="54" t="s">
        <v>60</v>
      </c>
      <c r="FX4" s="54" t="s">
        <v>207</v>
      </c>
      <c r="FY4" s="57" t="s">
        <v>57</v>
      </c>
      <c r="FZ4" s="55" t="s">
        <v>58</v>
      </c>
      <c r="GA4" s="55" t="s">
        <v>59</v>
      </c>
      <c r="GB4" s="55" t="s">
        <v>60</v>
      </c>
      <c r="GC4" s="55" t="s">
        <v>61</v>
      </c>
      <c r="GD4" s="57" t="s">
        <v>57</v>
      </c>
      <c r="GE4" s="55" t="s">
        <v>58</v>
      </c>
      <c r="GF4" s="55" t="s">
        <v>59</v>
      </c>
      <c r="GG4" s="55" t="s">
        <v>60</v>
      </c>
      <c r="GH4" s="56" t="s">
        <v>61</v>
      </c>
      <c r="GI4" s="46" t="s">
        <v>57</v>
      </c>
      <c r="GJ4" s="54" t="s">
        <v>205</v>
      </c>
      <c r="GK4" s="54" t="s">
        <v>206</v>
      </c>
      <c r="GL4" s="54" t="s">
        <v>60</v>
      </c>
      <c r="GM4" s="50" t="s">
        <v>207</v>
      </c>
      <c r="GN4" s="57" t="s">
        <v>57</v>
      </c>
      <c r="GO4" s="55" t="s">
        <v>205</v>
      </c>
      <c r="GP4" s="55" t="s">
        <v>206</v>
      </c>
      <c r="GQ4" s="55" t="s">
        <v>60</v>
      </c>
      <c r="GR4" s="56" t="s">
        <v>207</v>
      </c>
      <c r="GS4" s="55" t="s">
        <v>57</v>
      </c>
      <c r="GT4" s="55" t="s">
        <v>205</v>
      </c>
      <c r="GU4" s="55" t="s">
        <v>217</v>
      </c>
      <c r="GV4" s="55" t="s">
        <v>60</v>
      </c>
      <c r="GW4" s="56" t="s">
        <v>207</v>
      </c>
      <c r="GX4" s="55" t="s">
        <v>57</v>
      </c>
      <c r="GY4" s="55" t="s">
        <v>205</v>
      </c>
      <c r="GZ4" s="55" t="s">
        <v>217</v>
      </c>
      <c r="HA4" s="55" t="s">
        <v>60</v>
      </c>
      <c r="HB4" s="55" t="s">
        <v>207</v>
      </c>
      <c r="HC4" s="57" t="s">
        <v>57</v>
      </c>
      <c r="HD4" s="55" t="s">
        <v>58</v>
      </c>
      <c r="HE4" s="55" t="s">
        <v>59</v>
      </c>
      <c r="HF4" s="55" t="s">
        <v>60</v>
      </c>
      <c r="HG4" s="56" t="s">
        <v>61</v>
      </c>
      <c r="HH4" s="55" t="s">
        <v>57</v>
      </c>
      <c r="HI4" s="55" t="s">
        <v>58</v>
      </c>
      <c r="HJ4" s="55" t="s">
        <v>59</v>
      </c>
      <c r="HK4" s="55" t="s">
        <v>60</v>
      </c>
      <c r="HL4" s="55" t="s">
        <v>61</v>
      </c>
      <c r="HM4" s="46" t="s">
        <v>57</v>
      </c>
      <c r="HN4" s="54" t="s">
        <v>205</v>
      </c>
      <c r="HO4" s="54" t="s">
        <v>206</v>
      </c>
      <c r="HP4" s="54" t="s">
        <v>60</v>
      </c>
      <c r="HQ4" s="50" t="s">
        <v>207</v>
      </c>
      <c r="HR4" s="46" t="s">
        <v>57</v>
      </c>
      <c r="HS4" s="54" t="s">
        <v>205</v>
      </c>
      <c r="HT4" s="54" t="s">
        <v>206</v>
      </c>
      <c r="HU4" s="54" t="s">
        <v>60</v>
      </c>
      <c r="HV4" s="50" t="s">
        <v>207</v>
      </c>
      <c r="HW4" s="46" t="s">
        <v>57</v>
      </c>
      <c r="HX4" s="54" t="s">
        <v>205</v>
      </c>
      <c r="HY4" s="54" t="s">
        <v>206</v>
      </c>
      <c r="HZ4" s="54" t="s">
        <v>60</v>
      </c>
      <c r="IA4" s="50" t="s">
        <v>207</v>
      </c>
      <c r="IB4" s="46"/>
      <c r="IC4" s="54"/>
      <c r="ID4" s="111" t="s">
        <v>105</v>
      </c>
      <c r="IE4" s="30" t="s">
        <v>106</v>
      </c>
      <c r="IF4" s="30" t="s">
        <v>107</v>
      </c>
      <c r="IG4" s="30" t="s">
        <v>101</v>
      </c>
      <c r="IH4" s="30" t="s">
        <v>77</v>
      </c>
      <c r="II4" s="30" t="s">
        <v>71</v>
      </c>
      <c r="IJ4" s="30" t="s">
        <v>102</v>
      </c>
      <c r="IK4" s="30" t="s">
        <v>72</v>
      </c>
      <c r="IL4" s="30" t="s">
        <v>73</v>
      </c>
      <c r="IM4" s="111" t="s">
        <v>105</v>
      </c>
      <c r="IN4" s="30" t="s">
        <v>106</v>
      </c>
      <c r="IO4" s="30" t="s">
        <v>107</v>
      </c>
      <c r="IP4" s="30" t="s">
        <v>101</v>
      </c>
      <c r="IQ4" s="30" t="s">
        <v>77</v>
      </c>
      <c r="IR4" s="30" t="s">
        <v>71</v>
      </c>
      <c r="IS4" s="30" t="s">
        <v>103</v>
      </c>
      <c r="IT4" s="30" t="s">
        <v>78</v>
      </c>
      <c r="IU4" s="30" t="s">
        <v>79</v>
      </c>
      <c r="IV4" s="30" t="s">
        <v>104</v>
      </c>
      <c r="IW4" s="30" t="s">
        <v>80</v>
      </c>
      <c r="IX4" s="30" t="s">
        <v>81</v>
      </c>
      <c r="IY4" s="111" t="s">
        <v>105</v>
      </c>
      <c r="IZ4" s="30" t="s">
        <v>106</v>
      </c>
      <c r="JA4" s="30" t="s">
        <v>107</v>
      </c>
      <c r="JB4" s="55" t="s">
        <v>58</v>
      </c>
      <c r="JC4" s="30" t="s">
        <v>77</v>
      </c>
      <c r="JD4" s="30" t="s">
        <v>71</v>
      </c>
      <c r="JE4" s="30" t="s">
        <v>108</v>
      </c>
      <c r="JF4" s="30" t="s">
        <v>109</v>
      </c>
      <c r="JG4" s="55" t="s">
        <v>59</v>
      </c>
      <c r="JH4" s="30" t="s">
        <v>78</v>
      </c>
      <c r="JI4" s="30" t="s">
        <v>79</v>
      </c>
      <c r="JJ4" s="55" t="s">
        <v>60</v>
      </c>
      <c r="JK4" s="30" t="s">
        <v>80</v>
      </c>
      <c r="JL4" s="30" t="s">
        <v>81</v>
      </c>
      <c r="JM4" s="115" t="s">
        <v>115</v>
      </c>
      <c r="JN4" s="115" t="s">
        <v>116</v>
      </c>
      <c r="JO4" s="115" t="s">
        <v>117</v>
      </c>
      <c r="JP4" s="120" t="s">
        <v>118</v>
      </c>
      <c r="JQ4" s="120" t="s">
        <v>119</v>
      </c>
      <c r="JR4" s="120" t="s">
        <v>120</v>
      </c>
      <c r="JS4" s="124" t="s">
        <v>86</v>
      </c>
      <c r="JT4" s="124" t="s">
        <v>87</v>
      </c>
      <c r="JU4" s="124" t="s">
        <v>88</v>
      </c>
      <c r="JV4" s="57" t="s">
        <v>57</v>
      </c>
      <c r="JW4" s="30" t="s">
        <v>106</v>
      </c>
      <c r="JX4" s="30" t="s">
        <v>107</v>
      </c>
      <c r="JY4" s="55" t="s">
        <v>58</v>
      </c>
      <c r="JZ4" s="54" t="s">
        <v>92</v>
      </c>
      <c r="KA4" s="30" t="s">
        <v>121</v>
      </c>
      <c r="KB4" s="53" t="s">
        <v>122</v>
      </c>
      <c r="KC4" s="30" t="s">
        <v>108</v>
      </c>
      <c r="KD4" s="30" t="s">
        <v>109</v>
      </c>
      <c r="KE4" s="55" t="s">
        <v>59</v>
      </c>
      <c r="KF4" s="54" t="s">
        <v>95</v>
      </c>
      <c r="KG4" s="30" t="s">
        <v>123</v>
      </c>
      <c r="KH4" s="30" t="s">
        <v>124</v>
      </c>
      <c r="KI4" s="55" t="s">
        <v>60</v>
      </c>
      <c r="KJ4" s="30" t="s">
        <v>80</v>
      </c>
      <c r="KK4" s="30" t="s">
        <v>81</v>
      </c>
      <c r="KL4" s="55" t="s">
        <v>61</v>
      </c>
      <c r="KM4" s="130" t="s">
        <v>116</v>
      </c>
      <c r="KN4" s="130" t="s">
        <v>117</v>
      </c>
      <c r="KO4" s="129" t="s">
        <v>118</v>
      </c>
      <c r="KP4" s="129" t="s">
        <v>119</v>
      </c>
      <c r="KQ4" s="129" t="s">
        <v>120</v>
      </c>
      <c r="KR4" s="29" t="s">
        <v>86</v>
      </c>
      <c r="KS4" s="29" t="s">
        <v>87</v>
      </c>
      <c r="KT4" s="29" t="s">
        <v>88</v>
      </c>
      <c r="KU4" s="30" t="s">
        <v>110</v>
      </c>
      <c r="KV4" s="30" t="s">
        <v>111</v>
      </c>
      <c r="KW4" s="30" t="s">
        <v>112</v>
      </c>
      <c r="KX4" s="30" t="s">
        <v>113</v>
      </c>
      <c r="KY4" s="97" t="s">
        <v>57</v>
      </c>
      <c r="KZ4" s="30" t="s">
        <v>127</v>
      </c>
      <c r="LA4" s="30" t="s">
        <v>128</v>
      </c>
      <c r="LB4" s="55" t="s">
        <v>126</v>
      </c>
      <c r="LC4" s="55" t="s">
        <v>127</v>
      </c>
      <c r="LD4" s="55" t="s">
        <v>128</v>
      </c>
      <c r="LE4" s="139" t="s">
        <v>125</v>
      </c>
      <c r="LF4" s="30" t="s">
        <v>121</v>
      </c>
      <c r="LG4" s="30" t="s">
        <v>122</v>
      </c>
      <c r="LH4" s="55" t="s">
        <v>129</v>
      </c>
      <c r="LI4" s="30" t="s">
        <v>78</v>
      </c>
      <c r="LJ4" s="30" t="s">
        <v>79</v>
      </c>
      <c r="LK4" s="55" t="s">
        <v>60</v>
      </c>
      <c r="LL4" s="30" t="s">
        <v>80</v>
      </c>
      <c r="LM4" s="30" t="s">
        <v>81</v>
      </c>
      <c r="LN4" s="231" t="s">
        <v>131</v>
      </c>
      <c r="LO4" s="30" t="s">
        <v>87</v>
      </c>
      <c r="LP4" s="30" t="s">
        <v>88</v>
      </c>
      <c r="LQ4" s="217" t="s">
        <v>57</v>
      </c>
      <c r="LR4" s="538" t="s">
        <v>169</v>
      </c>
      <c r="LS4" s="84" t="s">
        <v>170</v>
      </c>
      <c r="LT4" s="84" t="s">
        <v>177</v>
      </c>
      <c r="LU4" s="55" t="s">
        <v>60</v>
      </c>
      <c r="LV4" s="74" t="s">
        <v>57</v>
      </c>
      <c r="LW4" s="547" t="s">
        <v>172</v>
      </c>
      <c r="LX4" s="84" t="s">
        <v>173</v>
      </c>
      <c r="LY4" s="84" t="s">
        <v>177</v>
      </c>
      <c r="LZ4" s="72" t="s">
        <v>60</v>
      </c>
      <c r="MA4" s="74" t="s">
        <v>57</v>
      </c>
      <c r="MB4" s="84" t="s">
        <v>172</v>
      </c>
      <c r="MC4" s="84" t="s">
        <v>173</v>
      </c>
      <c r="MD4" s="84" t="s">
        <v>177</v>
      </c>
      <c r="ME4" s="72" t="s">
        <v>60</v>
      </c>
      <c r="MF4" s="46" t="s">
        <v>57</v>
      </c>
      <c r="MG4" s="54" t="s">
        <v>205</v>
      </c>
      <c r="MH4" s="54" t="s">
        <v>206</v>
      </c>
      <c r="MI4" s="54" t="s">
        <v>60</v>
      </c>
      <c r="MJ4" s="50" t="s">
        <v>207</v>
      </c>
      <c r="MK4" s="46" t="s">
        <v>57</v>
      </c>
      <c r="ML4" s="54" t="s">
        <v>205</v>
      </c>
      <c r="MM4" s="54" t="s">
        <v>206</v>
      </c>
      <c r="MN4" s="54" t="s">
        <v>60</v>
      </c>
      <c r="MO4" s="50" t="s">
        <v>207</v>
      </c>
      <c r="MP4" s="46" t="s">
        <v>57</v>
      </c>
      <c r="MQ4" s="54" t="s">
        <v>205</v>
      </c>
      <c r="MR4" s="54" t="s">
        <v>206</v>
      </c>
      <c r="MS4" s="54" t="s">
        <v>60</v>
      </c>
      <c r="MT4" s="50" t="s">
        <v>207</v>
      </c>
      <c r="MU4" s="46" t="s">
        <v>57</v>
      </c>
      <c r="MV4" s="54" t="s">
        <v>205</v>
      </c>
      <c r="MW4" s="54" t="s">
        <v>206</v>
      </c>
      <c r="MX4" s="54" t="s">
        <v>60</v>
      </c>
      <c r="MY4" s="50" t="s">
        <v>207</v>
      </c>
      <c r="MZ4" s="57" t="s">
        <v>57</v>
      </c>
      <c r="NA4" s="55" t="s">
        <v>58</v>
      </c>
      <c r="NB4" s="55" t="s">
        <v>59</v>
      </c>
      <c r="NC4" s="55" t="s">
        <v>60</v>
      </c>
      <c r="ND4" s="56" t="s">
        <v>61</v>
      </c>
      <c r="NE4" s="55" t="s">
        <v>57</v>
      </c>
      <c r="NF4" s="55" t="s">
        <v>58</v>
      </c>
      <c r="NG4" s="55" t="s">
        <v>59</v>
      </c>
      <c r="NH4" s="55" t="s">
        <v>60</v>
      </c>
      <c r="NI4" s="56" t="s">
        <v>61</v>
      </c>
      <c r="NJ4" s="46" t="s">
        <v>57</v>
      </c>
      <c r="NK4" s="54" t="s">
        <v>205</v>
      </c>
      <c r="NL4" s="54" t="s">
        <v>206</v>
      </c>
      <c r="NM4" s="54" t="s">
        <v>60</v>
      </c>
      <c r="NN4" s="54" t="s">
        <v>207</v>
      </c>
      <c r="NO4" s="46" t="s">
        <v>57</v>
      </c>
      <c r="NP4" s="54" t="s">
        <v>205</v>
      </c>
      <c r="NQ4" s="54" t="s">
        <v>206</v>
      </c>
      <c r="NR4" s="54" t="s">
        <v>60</v>
      </c>
      <c r="NS4" s="54" t="s">
        <v>207</v>
      </c>
      <c r="NT4" s="46" t="s">
        <v>57</v>
      </c>
      <c r="NU4" s="54" t="s">
        <v>205</v>
      </c>
      <c r="NV4" s="54" t="s">
        <v>206</v>
      </c>
      <c r="NW4" s="54" t="s">
        <v>60</v>
      </c>
      <c r="NX4" s="50" t="s">
        <v>207</v>
      </c>
      <c r="NY4" s="46" t="s">
        <v>57</v>
      </c>
      <c r="NZ4" s="54" t="s">
        <v>205</v>
      </c>
      <c r="OA4" s="54" t="s">
        <v>206</v>
      </c>
      <c r="OB4" s="54" t="s">
        <v>60</v>
      </c>
      <c r="OC4" s="50" t="s">
        <v>207</v>
      </c>
    </row>
    <row r="5" spans="1:393" s="1" customFormat="1" x14ac:dyDescent="0.2">
      <c r="A5" s="276" t="s">
        <v>181</v>
      </c>
      <c r="B5" s="314">
        <v>24257683</v>
      </c>
      <c r="C5" s="315">
        <v>17510678</v>
      </c>
      <c r="D5" s="315">
        <v>3507219</v>
      </c>
      <c r="E5" s="315">
        <v>2710825</v>
      </c>
      <c r="F5" s="316">
        <v>502997</v>
      </c>
      <c r="G5" s="296">
        <f>+G6+G24+G39+G53+G64</f>
        <v>16502211</v>
      </c>
      <c r="H5" s="296">
        <f t="shared" ref="H5:K5" si="0">+H6+H24+H39+H53+H64</f>
        <v>11806669</v>
      </c>
      <c r="I5" s="296">
        <f t="shared" si="0"/>
        <v>2306445</v>
      </c>
      <c r="J5" s="296">
        <f t="shared" si="0"/>
        <v>3445912</v>
      </c>
      <c r="K5" s="297">
        <f t="shared" si="0"/>
        <v>2389097</v>
      </c>
      <c r="L5" s="296">
        <f>+L6+L24+L39+L53+L64</f>
        <v>13755477</v>
      </c>
      <c r="M5" s="296">
        <f t="shared" ref="M5" si="1">+M6+M24+M39+M53+M64</f>
        <v>8439716</v>
      </c>
      <c r="N5" s="296">
        <f t="shared" ref="N5" si="2">+N6+N24+N39+N53+N64</f>
        <v>1571844</v>
      </c>
      <c r="O5" s="296">
        <f t="shared" ref="O5" si="3">+O6+O24+O39+O53+O64</f>
        <v>4995869</v>
      </c>
      <c r="P5" s="297">
        <f t="shared" ref="P5" si="4">+P6+P24+P39+P53+P64</f>
        <v>3685625</v>
      </c>
      <c r="Q5" s="594">
        <f>+Q6+Q24+Q39+Q53+Q64</f>
        <v>12562778</v>
      </c>
      <c r="R5" s="594">
        <f t="shared" ref="R5:U5" si="5">+R6+R24+R39+R53+R64</f>
        <v>7906714</v>
      </c>
      <c r="S5" s="594">
        <f t="shared" si="5"/>
        <v>1278964</v>
      </c>
      <c r="T5" s="594">
        <f t="shared" si="5"/>
        <v>6090299</v>
      </c>
      <c r="U5" s="595">
        <f t="shared" si="5"/>
        <v>3377100</v>
      </c>
      <c r="V5" s="594">
        <f>+V6+V24+V39+V53+V64</f>
        <v>12299194</v>
      </c>
      <c r="W5" s="594">
        <f t="shared" ref="W5" si="6">+W6+W24+W39+W53+W64</f>
        <v>7716254</v>
      </c>
      <c r="X5" s="594">
        <f t="shared" ref="X5" si="7">+X6+X24+X39+X53+X64</f>
        <v>1211703</v>
      </c>
      <c r="Y5" s="594">
        <f t="shared" ref="Y5" si="8">+Y6+Y24+Y39+Y53+Y64</f>
        <v>6172886</v>
      </c>
      <c r="Z5" s="595">
        <f t="shared" ref="Z5:AA5" si="9">+Z6+Z24+Z39+Z53+Z64</f>
        <v>3369896</v>
      </c>
      <c r="AA5" s="595">
        <f t="shared" si="9"/>
        <v>12198000</v>
      </c>
      <c r="AB5" s="595">
        <f t="shared" ref="AB5:AC5" si="10">+AB6+AB24+AB39+AB53+AB64</f>
        <v>3760668</v>
      </c>
      <c r="AC5" s="595">
        <f t="shared" si="10"/>
        <v>1187883</v>
      </c>
      <c r="AD5" s="595">
        <f t="shared" ref="AD5:AE5" si="11">+AD6+AD24+AD39+AD53+AD64</f>
        <v>6197285</v>
      </c>
      <c r="AE5" s="595">
        <f t="shared" si="11"/>
        <v>3362046</v>
      </c>
      <c r="AF5" s="296">
        <f>+AF6+AF24+AF39+AF53+AF64</f>
        <v>22841507</v>
      </c>
      <c r="AG5" s="296">
        <f t="shared" ref="AG5" si="12">+AG6+AG24+AG39+AG53+AG64</f>
        <v>17355153</v>
      </c>
      <c r="AH5" s="296">
        <f t="shared" ref="AH5" si="13">+AH6+AH24+AH39+AH53+AH64</f>
        <v>3881407</v>
      </c>
      <c r="AI5" s="296">
        <f t="shared" ref="AI5" si="14">+AI6+AI24+AI39+AI53+AI64</f>
        <v>2188309</v>
      </c>
      <c r="AJ5" s="297">
        <f t="shared" ref="AJ5" si="15">+AJ6+AJ24+AJ39+AJ53+AJ64</f>
        <v>1604947</v>
      </c>
      <c r="AK5" s="296">
        <f>+AK6+AK24+AK39+AK53+AK64</f>
        <v>21960148</v>
      </c>
      <c r="AL5" s="296">
        <f t="shared" ref="AL5" si="16">+AL6+AL24+AL39+AL53+AL64</f>
        <v>15058521</v>
      </c>
      <c r="AM5" s="296">
        <f t="shared" ref="AM5" si="17">+AM6+AM24+AM39+AM53+AM64</f>
        <v>3918908</v>
      </c>
      <c r="AN5" s="296">
        <f t="shared" ref="AN5" si="18">+AN6+AN24+AN39+AN53+AN64</f>
        <v>3553051</v>
      </c>
      <c r="AO5" s="297">
        <f t="shared" ref="AO5" si="19">+AO6+AO24+AO39+AO53+AO64</f>
        <v>2916505</v>
      </c>
      <c r="AP5" s="296">
        <f>+AP6+AP24+AP39+AP53+AP64</f>
        <v>17125417</v>
      </c>
      <c r="AQ5" s="296">
        <f t="shared" ref="AQ5:AT5" si="20">+AQ6+AQ24+AQ39+AQ53+AQ64</f>
        <v>11605879</v>
      </c>
      <c r="AR5" s="296">
        <f t="shared" si="20"/>
        <v>3032382</v>
      </c>
      <c r="AS5" s="296">
        <f t="shared" si="20"/>
        <v>4077583</v>
      </c>
      <c r="AT5" s="297">
        <f t="shared" si="20"/>
        <v>2487156</v>
      </c>
      <c r="AU5" s="297">
        <f t="shared" ref="AU5:AZ5" si="21">+AU6+AU24+AU39+AU53+AU64</f>
        <v>16728246</v>
      </c>
      <c r="AV5" s="297">
        <f t="shared" si="21"/>
        <v>11249240</v>
      </c>
      <c r="AW5" s="297">
        <f t="shared" si="21"/>
        <v>2966711</v>
      </c>
      <c r="AX5" s="297">
        <f t="shared" si="21"/>
        <v>4215302</v>
      </c>
      <c r="AY5" s="297">
        <f t="shared" si="21"/>
        <v>2509944</v>
      </c>
      <c r="AZ5" s="297">
        <f t="shared" si="21"/>
        <v>16434993</v>
      </c>
      <c r="BA5" s="297">
        <f t="shared" ref="BA5:BB5" si="22">+BA6+BA24+BA39+BA53+BA64</f>
        <v>8336651</v>
      </c>
      <c r="BB5" s="297">
        <f t="shared" si="22"/>
        <v>2910708</v>
      </c>
      <c r="BC5" s="297">
        <f t="shared" ref="BC5:BD5" si="23">+BC6+BC24+BC39+BC53+BC64</f>
        <v>4238441</v>
      </c>
      <c r="BD5" s="297">
        <f t="shared" si="23"/>
        <v>2496399</v>
      </c>
      <c r="BE5" s="510">
        <f t="shared" ref="BE5" si="24">+BE6+BE24+BE39+BE53+BE64</f>
        <v>29428089</v>
      </c>
      <c r="BF5" s="296">
        <f t="shared" ref="BF5:BI5" si="25">+BF6+BF24+BF39+BF53+BF64</f>
        <v>19238641</v>
      </c>
      <c r="BG5" s="296">
        <f t="shared" si="25"/>
        <v>4235330</v>
      </c>
      <c r="BH5" s="296">
        <f t="shared" si="25"/>
        <v>10325387</v>
      </c>
      <c r="BI5" s="296">
        <f t="shared" si="25"/>
        <v>5954118</v>
      </c>
      <c r="BJ5" s="580">
        <v>18034195</v>
      </c>
      <c r="BK5" s="317">
        <v>29206900</v>
      </c>
      <c r="BL5" s="317">
        <v>40822827</v>
      </c>
      <c r="BM5" s="317">
        <v>57526047</v>
      </c>
      <c r="BN5" s="14">
        <v>88300490</v>
      </c>
      <c r="BO5" s="318">
        <v>76722382.368000001</v>
      </c>
      <c r="BP5" s="318">
        <v>6665530.8799999999</v>
      </c>
      <c r="BQ5" s="318">
        <v>2965287.6</v>
      </c>
      <c r="BR5" s="319">
        <v>1913824.52</v>
      </c>
      <c r="BS5" s="296">
        <f>+BS6+BS24+BS39+BS53+BS64</f>
        <v>119524718</v>
      </c>
      <c r="BT5" s="296">
        <f t="shared" ref="BT5" si="26">+BT6+BT24+BT39+BT53+BT64</f>
        <v>102861486</v>
      </c>
      <c r="BU5" s="296">
        <f t="shared" ref="BU5" si="27">+BU6+BU24+BU39+BU53+BU64</f>
        <v>10573382</v>
      </c>
      <c r="BV5" s="296">
        <f t="shared" ref="BV5" si="28">+BV6+BV24+BV39+BV53+BV64</f>
        <v>5592572</v>
      </c>
      <c r="BW5" s="297">
        <f t="shared" ref="BW5" si="29">+BW6+BW24+BW39+BW53+BW64</f>
        <v>6089850</v>
      </c>
      <c r="BX5" s="296">
        <f>+BX6+BX24+BX39+BX53+BX64</f>
        <v>146496014</v>
      </c>
      <c r="BY5" s="296">
        <f t="shared" ref="BY5" si="30">+BY6+BY24+BY39+BY53+BY64</f>
        <v>119587422</v>
      </c>
      <c r="BZ5" s="296">
        <f t="shared" ref="BZ5" si="31">+BZ6+BZ24+BZ39+BZ53+BZ64</f>
        <v>14283820</v>
      </c>
      <c r="CA5" s="296">
        <f t="shared" ref="CA5" si="32">+CA6+CA24+CA39+CA53+CA64</f>
        <v>9440212</v>
      </c>
      <c r="CB5" s="296">
        <f t="shared" ref="CB5" si="33">+CB6+CB24+CB39+CB53+CB64</f>
        <v>12358566</v>
      </c>
      <c r="CC5" s="501">
        <f>+CC6+CC24+CC39+CC53+CC64</f>
        <v>164397924</v>
      </c>
      <c r="CD5" s="296">
        <f t="shared" ref="CD5" si="34">+CD6+CD24+CD39+CD53+CD64</f>
        <v>130387267</v>
      </c>
      <c r="CE5" s="296">
        <f t="shared" ref="CE5" si="35">+CE6+CE24+CE39+CE53+CE64</f>
        <v>17320855</v>
      </c>
      <c r="CF5" s="296">
        <f t="shared" ref="CF5" si="36">+CF6+CF24+CF39+CF53+CF64</f>
        <v>16689802</v>
      </c>
      <c r="CG5" s="297">
        <f t="shared" ref="CG5" si="37">+CG6+CG24+CG39+CG53+CG64</f>
        <v>14360084</v>
      </c>
      <c r="CH5" s="296">
        <f>+CH6+CH24+CH39+CH53+CH64</f>
        <v>167190402</v>
      </c>
      <c r="CI5" s="296">
        <f t="shared" ref="CI5" si="38">+CI6+CI24+CI39+CI53+CI64</f>
        <v>132726994</v>
      </c>
      <c r="CJ5" s="296">
        <f t="shared" ref="CJ5" si="39">+CJ6+CJ24+CJ39+CJ53+CJ64</f>
        <v>17740884</v>
      </c>
      <c r="CK5" s="296">
        <f t="shared" ref="CK5" si="40">+CK6+CK24+CK39+CK53+CK64</f>
        <v>16722524</v>
      </c>
      <c r="CL5" s="297">
        <f t="shared" ref="CL5" si="41">+CL6+CL24+CL39+CL53+CL64</f>
        <v>14963027</v>
      </c>
      <c r="CM5" s="296">
        <f>+CM6+CM24+CM39+CM53+CM64</f>
        <v>169695758</v>
      </c>
      <c r="CN5" s="296">
        <f t="shared" ref="CN5" si="42">+CN6+CN24+CN39+CN53+CN64</f>
        <v>134880643</v>
      </c>
      <c r="CO5" s="296">
        <f t="shared" ref="CO5" si="43">+CO6+CO24+CO39+CO53+CO64</f>
        <v>18248417</v>
      </c>
      <c r="CP5" s="296">
        <f t="shared" ref="CP5" si="44">+CP6+CP24+CP39+CP53+CP64</f>
        <v>16566698</v>
      </c>
      <c r="CQ5" s="296">
        <f t="shared" ref="CQ5" si="45">+CQ6+CQ24+CQ39+CQ53+CQ64</f>
        <v>15343854</v>
      </c>
      <c r="CR5" s="510">
        <f>+CR6+CR24+CR39+CR53+CR64</f>
        <v>172364998</v>
      </c>
      <c r="CS5" s="296">
        <f t="shared" ref="CS5:CV5" si="46">+CS6+CS24+CS39+CS53+CS64</f>
        <v>136490551</v>
      </c>
      <c r="CT5" s="296">
        <f t="shared" si="46"/>
        <v>18856790</v>
      </c>
      <c r="CU5" s="296">
        <f t="shared" si="46"/>
        <v>16298339</v>
      </c>
      <c r="CV5" s="296">
        <f t="shared" si="46"/>
        <v>14385490</v>
      </c>
      <c r="CW5" s="510">
        <f>+CW6+CW24+CW39+CW53+CW64</f>
        <v>174961280.70700002</v>
      </c>
      <c r="CX5" s="296">
        <f t="shared" ref="CX5:DA5" si="47">+CX6+CX24+CX39+CX53+CX64</f>
        <v>138179898.06</v>
      </c>
      <c r="CY5" s="296">
        <f t="shared" si="47"/>
        <v>19262373.876000002</v>
      </c>
      <c r="CZ5" s="296">
        <f t="shared" si="47"/>
        <v>17007150.676000003</v>
      </c>
      <c r="DA5" s="297">
        <f t="shared" si="47"/>
        <v>17519008.771000002</v>
      </c>
      <c r="DB5" s="297">
        <f t="shared" ref="DB5" si="48">+DB6+DB24+DB39+DB53+DB64</f>
        <v>177569763</v>
      </c>
      <c r="DC5" s="296">
        <f t="shared" ref="DC5:DD5" si="49">+DC6+DC24+DC39+DC53+DC64</f>
        <v>139885535</v>
      </c>
      <c r="DD5" s="296">
        <f t="shared" si="49"/>
        <v>19721613</v>
      </c>
      <c r="DE5" s="296">
        <f t="shared" ref="DE5:DF5" si="50">+DE6+DE24+DE39+DE53+DE64</f>
        <v>17772491</v>
      </c>
      <c r="DF5" s="296">
        <f t="shared" si="50"/>
        <v>17940060</v>
      </c>
      <c r="DG5" s="296">
        <f t="shared" ref="DG5:DH5" si="51">+DG6+DG24+DG39+DG53+DG64</f>
        <v>180164623</v>
      </c>
      <c r="DH5" s="296">
        <f t="shared" si="51"/>
        <v>128814010</v>
      </c>
      <c r="DI5" s="296">
        <f t="shared" ref="DI5:DJ5" si="52">+DI6+DI24+DI39+DI53+DI64</f>
        <v>20152240</v>
      </c>
      <c r="DJ5" s="296">
        <f t="shared" si="52"/>
        <v>18513091</v>
      </c>
      <c r="DK5" s="296">
        <f t="shared" ref="DK5" si="53">+DK6+DK24+DK39+DK53+DK64</f>
        <v>10562962</v>
      </c>
      <c r="DL5" s="259">
        <v>20794975</v>
      </c>
      <c r="DM5" s="315">
        <v>17743111</v>
      </c>
      <c r="DN5" s="315">
        <v>1763300</v>
      </c>
      <c r="DO5" s="315">
        <v>806118</v>
      </c>
      <c r="DP5" s="316">
        <v>460650</v>
      </c>
      <c r="DQ5" s="296">
        <f>+DQ6+DQ24+DQ39+DQ53+DQ64</f>
        <v>39571702</v>
      </c>
      <c r="DR5" s="296">
        <f t="shared" ref="DR5" si="54">+DR6+DR24+DR39+DR53+DR64</f>
        <v>33524828</v>
      </c>
      <c r="DS5" s="296">
        <f t="shared" ref="DS5" si="55">+DS6+DS24+DS39+DS53+DS64</f>
        <v>3987410</v>
      </c>
      <c r="DT5" s="296">
        <f t="shared" ref="DT5" si="56">+DT6+DT24+DT39+DT53+DT64</f>
        <v>2145181</v>
      </c>
      <c r="DU5" s="297">
        <f t="shared" ref="DU5" si="57">+DU6+DU24+DU39+DU53+DU64</f>
        <v>2059464</v>
      </c>
      <c r="DV5" s="296">
        <f>+DV6+DV24+DV39+DV53+DV64</f>
        <v>49864428</v>
      </c>
      <c r="DW5" s="296">
        <f t="shared" ref="DW5" si="58">+DW6+DW24+DW39+DW53+DW64</f>
        <v>40079327</v>
      </c>
      <c r="DX5" s="296">
        <f t="shared" ref="DX5" si="59">+DX6+DX24+DX39+DX53+DX64</f>
        <v>5581877</v>
      </c>
      <c r="DY5" s="296">
        <f t="shared" ref="DY5" si="60">+DY6+DY24+DY39+DY53+DY64</f>
        <v>3579767</v>
      </c>
      <c r="DZ5" s="297">
        <f t="shared" ref="DZ5:EE5" si="61">+DZ6+DZ24+DZ39+DZ53+DZ64</f>
        <v>4101654</v>
      </c>
      <c r="EA5" s="296">
        <f t="shared" si="61"/>
        <v>58313760</v>
      </c>
      <c r="EB5" s="296">
        <f t="shared" si="61"/>
        <v>45623498</v>
      </c>
      <c r="EC5" s="296">
        <f t="shared" si="61"/>
        <v>7441762</v>
      </c>
      <c r="ED5" s="296">
        <f t="shared" si="61"/>
        <v>5925587</v>
      </c>
      <c r="EE5" s="297">
        <f t="shared" si="61"/>
        <v>5248500</v>
      </c>
      <c r="EF5" s="296">
        <f t="shared" ref="EF5:EJ5" si="62">+EF6+EF24+EF39+EF53+EF64</f>
        <v>59135974.840999998</v>
      </c>
      <c r="EG5" s="296">
        <f t="shared" si="62"/>
        <v>46145601.186000004</v>
      </c>
      <c r="EH5" s="296">
        <f t="shared" si="62"/>
        <v>7611490.4570000004</v>
      </c>
      <c r="EI5" s="296">
        <f t="shared" si="62"/>
        <v>6194049.0950000007</v>
      </c>
      <c r="EJ5" s="297">
        <f t="shared" si="62"/>
        <v>5378883.1979999989</v>
      </c>
      <c r="EK5" s="297">
        <f t="shared" ref="EK5:EL5" si="63">+EK6+EK24+EK39+EK53+EK64</f>
        <v>59995776</v>
      </c>
      <c r="EL5" s="297">
        <f t="shared" si="63"/>
        <v>46658304</v>
      </c>
      <c r="EM5" s="297">
        <f t="shared" ref="EM5:EN5" si="64">+EM6+EM24+EM39+EM53+EM64</f>
        <v>7812520</v>
      </c>
      <c r="EN5" s="297">
        <f t="shared" si="64"/>
        <v>6488159</v>
      </c>
      <c r="EO5" s="297">
        <f t="shared" ref="EO5:EP5" si="65">+EO6+EO24+EO39+EO53+EO64</f>
        <v>5515594</v>
      </c>
      <c r="EP5" s="297">
        <f t="shared" si="65"/>
        <v>60817386</v>
      </c>
      <c r="EQ5" s="297">
        <f t="shared" ref="EQ5:ER5" si="66">+EQ6+EQ24+EQ39+EQ53+EQ64</f>
        <v>42552250</v>
      </c>
      <c r="ER5" s="297">
        <f t="shared" si="66"/>
        <v>7999771</v>
      </c>
      <c r="ES5" s="297">
        <f t="shared" ref="ES5:ET5" si="67">+ES6+ES24+ES39+ES53+ES64</f>
        <v>6753349</v>
      </c>
      <c r="ET5" s="297">
        <f t="shared" si="67"/>
        <v>5679312</v>
      </c>
      <c r="EU5" s="510">
        <f>+EU6+EU24+EU39+EU53+EU64</f>
        <v>9791925</v>
      </c>
      <c r="EV5" s="296">
        <f t="shared" ref="EV5" si="68">+EV6+EV24+EV39+EV53+EV64</f>
        <v>8303582</v>
      </c>
      <c r="EW5" s="296">
        <f t="shared" ref="EW5" si="69">+EW6+EW24+EW39+EW53+EW64</f>
        <v>886118</v>
      </c>
      <c r="EX5" s="296">
        <f t="shared" ref="EX5" si="70">+EX6+EX24+EX39+EX53+EX64</f>
        <v>542709</v>
      </c>
      <c r="EY5" s="297">
        <f t="shared" ref="EY5" si="71">+EY6+EY24+EY39+EY53+EY64</f>
        <v>602225</v>
      </c>
      <c r="EZ5" s="296">
        <f>+EZ6+EZ24+EZ39+EZ53+EZ64</f>
        <v>11512833</v>
      </c>
      <c r="FA5" s="296">
        <f t="shared" ref="FA5" si="72">+FA6+FA24+FA39+FA53+FA64</f>
        <v>9315598</v>
      </c>
      <c r="FB5" s="296">
        <f t="shared" ref="FB5" si="73">+FB6+FB24+FB39+FB53+FB64</f>
        <v>1139850</v>
      </c>
      <c r="FC5" s="296">
        <f t="shared" ref="FC5" si="74">+FC6+FC24+FC39+FC53+FC64</f>
        <v>773800</v>
      </c>
      <c r="FD5" s="297">
        <f t="shared" ref="FD5" si="75">+FD6+FD24+FD39+FD53+FD64</f>
        <v>1037012</v>
      </c>
      <c r="FE5" s="296">
        <f>+FE6+FE24+FE39+FE53+FE64</f>
        <v>15274031</v>
      </c>
      <c r="FF5" s="296">
        <f t="shared" ref="FF5:FI5" si="76">+FF6+FF24+FF39+FF53+FF64</f>
        <v>12126207</v>
      </c>
      <c r="FG5" s="296">
        <f t="shared" si="76"/>
        <v>1718562</v>
      </c>
      <c r="FH5" s="296">
        <f t="shared" si="76"/>
        <v>1432023</v>
      </c>
      <c r="FI5" s="296">
        <f t="shared" si="76"/>
        <v>1429262</v>
      </c>
      <c r="FJ5" s="296">
        <f>+FJ6+FJ24+FJ39+FJ53+FJ64</f>
        <v>0</v>
      </c>
      <c r="FK5" s="296">
        <f t="shared" ref="FK5:FY5" si="77">+FK6+FK24+FK39+FK53+FK64</f>
        <v>0</v>
      </c>
      <c r="FL5" s="296">
        <f t="shared" si="77"/>
        <v>0</v>
      </c>
      <c r="FM5" s="296">
        <f t="shared" si="77"/>
        <v>0</v>
      </c>
      <c r="FN5" s="297">
        <f t="shared" si="77"/>
        <v>0</v>
      </c>
      <c r="FO5" s="297">
        <f t="shared" ref="FO5:FS5" si="78">+FO6+FO24+FO39+FO53+FO64</f>
        <v>16069996</v>
      </c>
      <c r="FP5" s="297">
        <f t="shared" si="78"/>
        <v>12740859</v>
      </c>
      <c r="FQ5" s="297">
        <f t="shared" si="78"/>
        <v>1806418</v>
      </c>
      <c r="FR5" s="297">
        <f t="shared" si="78"/>
        <v>1576537</v>
      </c>
      <c r="FS5" s="297">
        <f t="shared" si="78"/>
        <v>1520758</v>
      </c>
      <c r="FT5" s="297">
        <f t="shared" ref="FT5:FU5" si="79">+FT6+FT24+FT39+FT53+FT64</f>
        <v>16557369</v>
      </c>
      <c r="FU5" s="297">
        <f t="shared" si="79"/>
        <v>11941569</v>
      </c>
      <c r="FV5" s="297">
        <f t="shared" ref="FV5:FW5" si="80">+FV6+FV24+FV39+FV53+FV64</f>
        <v>1871216</v>
      </c>
      <c r="FW5" s="297">
        <f t="shared" si="80"/>
        <v>1655549</v>
      </c>
      <c r="FX5" s="297">
        <f t="shared" ref="FX5" si="81">+FX6+FX24+FX39+FX53+FX64</f>
        <v>1593339</v>
      </c>
      <c r="FY5" s="510">
        <f t="shared" si="77"/>
        <v>42102178</v>
      </c>
      <c r="FZ5" s="296">
        <f t="shared" ref="FZ5:GH5" si="82">+FZ6+FZ24+FZ39+FZ53+FZ64</f>
        <v>36749038</v>
      </c>
      <c r="GA5" s="296">
        <f t="shared" si="82"/>
        <v>2791496</v>
      </c>
      <c r="GB5" s="296">
        <f t="shared" si="82"/>
        <v>1570468</v>
      </c>
      <c r="GC5" s="296">
        <f t="shared" si="82"/>
        <v>2561644</v>
      </c>
      <c r="GD5" s="510">
        <f t="shared" si="82"/>
        <v>55975438</v>
      </c>
      <c r="GE5" s="296">
        <f t="shared" si="82"/>
        <v>46607161</v>
      </c>
      <c r="GF5" s="296">
        <f t="shared" si="82"/>
        <v>3958714</v>
      </c>
      <c r="GG5" s="296">
        <f t="shared" si="82"/>
        <v>2660996</v>
      </c>
      <c r="GH5" s="296">
        <f t="shared" si="82"/>
        <v>5327165</v>
      </c>
      <c r="GI5" s="296">
        <f>+GI6+GI24+GI39+GI53+GI64</f>
        <v>61474625</v>
      </c>
      <c r="GJ5" s="296">
        <f t="shared" ref="GJ5:GM5" si="83">+GJ6+GJ24+GJ39+GJ53+GJ64</f>
        <v>49573243</v>
      </c>
      <c r="GK5" s="296">
        <f t="shared" si="83"/>
        <v>4955109</v>
      </c>
      <c r="GL5" s="296">
        <f t="shared" si="83"/>
        <v>4301201</v>
      </c>
      <c r="GM5" s="297">
        <f t="shared" si="83"/>
        <v>6946273</v>
      </c>
      <c r="GN5" s="594">
        <f>+GN6+GN24+GN39+GN53+GN64</f>
        <v>0</v>
      </c>
      <c r="GO5" s="594">
        <f t="shared" ref="GO5:GR5" si="84">+GO6+GO24+GO39+GO53+GO64</f>
        <v>0</v>
      </c>
      <c r="GP5" s="594">
        <f t="shared" si="84"/>
        <v>0</v>
      </c>
      <c r="GQ5" s="594">
        <f t="shared" si="84"/>
        <v>0</v>
      </c>
      <c r="GR5" s="595">
        <f t="shared" si="84"/>
        <v>0</v>
      </c>
      <c r="GS5" s="595">
        <f t="shared" ref="GS5:GW5" si="85">+GS6+GS24+GS39+GS53+GS64</f>
        <v>75233878</v>
      </c>
      <c r="GT5" s="595">
        <f t="shared" si="85"/>
        <v>60355024</v>
      </c>
      <c r="GU5" s="595">
        <f t="shared" si="85"/>
        <v>6194935</v>
      </c>
      <c r="GV5" s="595">
        <f t="shared" si="85"/>
        <v>5341217</v>
      </c>
      <c r="GW5" s="595">
        <f t="shared" si="85"/>
        <v>8677368</v>
      </c>
      <c r="GX5" s="595">
        <f t="shared" ref="GX5:GY5" si="86">+GX6+GX24+GX39+GX53+GX64</f>
        <v>228739157</v>
      </c>
      <c r="GY5" s="595">
        <f t="shared" si="86"/>
        <v>57745369</v>
      </c>
      <c r="GZ5" s="595">
        <f t="shared" ref="GZ5:HA5" si="87">+GZ6+GZ24+GZ39+GZ53+GZ64</f>
        <v>6441567</v>
      </c>
      <c r="HA5" s="595">
        <f t="shared" si="87"/>
        <v>5621250</v>
      </c>
      <c r="HB5" s="595">
        <f t="shared" ref="HB5" si="88">+HB6+HB24+HB39+HB53+HB64</f>
        <v>4978467</v>
      </c>
      <c r="HC5" s="296">
        <f>+HC6+HC24+HC39+HC53+HC64</f>
        <v>20832567</v>
      </c>
      <c r="HD5" s="296">
        <f t="shared" ref="HD5" si="89">+HD6+HD24+HD39+HD53+HD64</f>
        <v>18337917</v>
      </c>
      <c r="HE5" s="296">
        <f t="shared" ref="HE5" si="90">+HE6+HE24+HE39+HE53+HE64</f>
        <v>1261090</v>
      </c>
      <c r="HF5" s="296">
        <f t="shared" ref="HF5" si="91">+HF6+HF24+HF39+HF53+HF64</f>
        <v>658197</v>
      </c>
      <c r="HG5" s="297">
        <f t="shared" ref="HG5" si="92">+HG6+HG24+HG39+HG53+HG64</f>
        <v>1233560</v>
      </c>
      <c r="HH5" s="296">
        <f>+HH6+HH24+HH39+HH53+HH64</f>
        <v>28317792</v>
      </c>
      <c r="HI5" s="296">
        <f t="shared" ref="HI5" si="93">+HI6+HI24+HI39+HI53+HI64</f>
        <v>23734685</v>
      </c>
      <c r="HJ5" s="296">
        <f t="shared" ref="HJ5" si="94">+HJ6+HJ24+HJ39+HJ53+HJ64</f>
        <v>1869240</v>
      </c>
      <c r="HK5" s="296">
        <f t="shared" ref="HK5" si="95">+HK6+HK24+HK39+HK53+HK64</f>
        <v>1202931</v>
      </c>
      <c r="HL5" s="296">
        <f t="shared" ref="HL5" si="96">+HL6+HL24+HL39+HL53+HL64</f>
        <v>2673172</v>
      </c>
      <c r="HM5" s="296">
        <f>+HM6+HM24+HM39+HM53+HM64</f>
        <v>35654477</v>
      </c>
      <c r="HN5" s="296">
        <f t="shared" ref="HN5:HQ5" si="97">+HN6+HN24+HN39+HN53+HN64</f>
        <v>28811962</v>
      </c>
      <c r="HO5" s="296">
        <f t="shared" si="97"/>
        <v>2689108</v>
      </c>
      <c r="HP5" s="296">
        <f t="shared" si="97"/>
        <v>2358158</v>
      </c>
      <c r="HQ5" s="296">
        <f t="shared" si="97"/>
        <v>4153407</v>
      </c>
      <c r="HR5" s="296">
        <f>+HR6+HR24+HR39+HR53+HR64</f>
        <v>36287839.023999996</v>
      </c>
      <c r="HS5" s="296">
        <f t="shared" ref="HS5:HV5" si="98">+HS6+HS24+HS39+HS53+HS64</f>
        <v>29266831.604000002</v>
      </c>
      <c r="HT5" s="296">
        <f t="shared" si="98"/>
        <v>2748776.4449999998</v>
      </c>
      <c r="HU5" s="296">
        <f t="shared" si="98"/>
        <v>2444532.5970000005</v>
      </c>
      <c r="HV5" s="296">
        <f t="shared" si="98"/>
        <v>4272230.9750000006</v>
      </c>
      <c r="HW5" s="296">
        <f t="shared" ref="HW5:HX5" si="99">+HW6+HW24+HW39+HW53+HW64</f>
        <v>37970801</v>
      </c>
      <c r="HX5" s="296">
        <f t="shared" si="99"/>
        <v>28528394</v>
      </c>
      <c r="HY5" s="296">
        <f t="shared" ref="HY5:HZ5" si="100">+HY6+HY24+HY39+HY53+HY64</f>
        <v>2923977</v>
      </c>
      <c r="HZ5" s="296">
        <f t="shared" si="100"/>
        <v>2714933</v>
      </c>
      <c r="IA5" s="296">
        <f t="shared" ref="IA5" si="101">+IA6+IA24+IA39+IA53+IA64</f>
        <v>4547197</v>
      </c>
      <c r="IB5" s="320">
        <v>3407331</v>
      </c>
      <c r="IC5" s="321">
        <v>5284580</v>
      </c>
      <c r="ID5" s="322">
        <f t="shared" ref="ID5:IL5" si="102">+ID6+ID24+ID39+ID53+ID64</f>
        <v>7626349</v>
      </c>
      <c r="IE5" s="323">
        <f t="shared" si="102"/>
        <v>4640033</v>
      </c>
      <c r="IF5" s="323">
        <f t="shared" si="102"/>
        <v>2986316</v>
      </c>
      <c r="IG5" s="323">
        <f t="shared" si="102"/>
        <v>7278920</v>
      </c>
      <c r="IH5" s="323">
        <f t="shared" si="102"/>
        <v>4476723</v>
      </c>
      <c r="II5" s="323">
        <f t="shared" si="102"/>
        <v>2802197</v>
      </c>
      <c r="IJ5" s="323">
        <f t="shared" si="102"/>
        <v>347429</v>
      </c>
      <c r="IK5" s="323">
        <f t="shared" si="102"/>
        <v>163310</v>
      </c>
      <c r="IL5" s="323">
        <f t="shared" si="102"/>
        <v>184119</v>
      </c>
      <c r="IM5" s="322">
        <f t="shared" ref="IM5" si="103">+IM6+IM24+IM39+IM53+IM64</f>
        <v>11405835</v>
      </c>
      <c r="IN5" s="323">
        <f t="shared" ref="IN5" si="104">+IN6+IN24+IN39+IN53+IN64</f>
        <v>6833500</v>
      </c>
      <c r="IO5" s="323">
        <f t="shared" ref="IO5" si="105">+IO6+IO24+IO39+IO53+IO64</f>
        <v>4572335</v>
      </c>
      <c r="IP5" s="323">
        <f t="shared" ref="IP5" si="106">+IP6+IP24+IP39+IP53+IP64</f>
        <v>10721545</v>
      </c>
      <c r="IQ5" s="323">
        <f t="shared" ref="IQ5" si="107">+IQ6+IQ24+IQ39+IQ53+IQ64</f>
        <v>6492633</v>
      </c>
      <c r="IR5" s="323">
        <f t="shared" ref="IR5" si="108">+IR6+IR24+IR39+IR53+IR64</f>
        <v>4228912</v>
      </c>
      <c r="IS5" s="323">
        <f t="shared" ref="IS5" si="109">+IS6+IS24+IS39+IS53+IS64</f>
        <v>450964</v>
      </c>
      <c r="IT5" s="323">
        <f t="shared" ref="IT5" si="110">+IT6+IT24+IT39+IT53+IT64</f>
        <v>193257</v>
      </c>
      <c r="IU5" s="323">
        <f t="shared" ref="IU5" si="111">+IU6+IU24+IU39+IU53+IU64</f>
        <v>257707</v>
      </c>
      <c r="IV5" s="323">
        <f t="shared" ref="IV5" si="112">+IV6+IV24+IV39+IV53+IV64</f>
        <v>233326</v>
      </c>
      <c r="IW5" s="323">
        <f t="shared" ref="IW5" si="113">+IW6+IW24+IW39+IW53+IW64</f>
        <v>147610</v>
      </c>
      <c r="IX5" s="323">
        <f t="shared" ref="IX5" si="114">+IX6+IX24+IX39+IX53+IX64</f>
        <v>85716</v>
      </c>
      <c r="IY5" s="322">
        <f t="shared" ref="IY5" si="115">+IY6+IY24+IY39+IY53+IY64</f>
        <v>21558480</v>
      </c>
      <c r="IZ5" s="323">
        <f t="shared" ref="IZ5" si="116">+IZ6+IZ24+IZ39+IZ53+IZ64</f>
        <v>12524713</v>
      </c>
      <c r="JA5" s="323">
        <f t="shared" ref="JA5" si="117">+JA6+JA24+JA39+JA53+JA64</f>
        <v>9033767</v>
      </c>
      <c r="JB5" s="324">
        <f t="shared" ref="JB5" si="118">+JB6+JB24+JB39+JB53+JB64</f>
        <v>19593574</v>
      </c>
      <c r="JC5" s="323">
        <f t="shared" ref="JC5" si="119">+JC6+JC24+JC39+JC53+JC64</f>
        <v>11298163</v>
      </c>
      <c r="JD5" s="323">
        <f t="shared" ref="JD5" si="120">+JD6+JD24+JD39+JD53+JD64</f>
        <v>7894891</v>
      </c>
      <c r="JE5" s="323">
        <f t="shared" ref="JE5" si="121">+JE6+JE24+JE39+JE53+JE64</f>
        <v>1226550</v>
      </c>
      <c r="JF5" s="323">
        <f t="shared" ref="JF5" si="122">+JF6+JF24+JF39+JF53+JF64</f>
        <v>1138876</v>
      </c>
      <c r="JG5" s="324">
        <f t="shared" ref="JG5" si="123">+JG6+JG24+JG39+JG53+JG64</f>
        <v>1091552</v>
      </c>
      <c r="JH5" s="323">
        <f t="shared" ref="JH5" si="124">+JH6+JH24+JH39+JH53+JH64</f>
        <v>491466</v>
      </c>
      <c r="JI5" s="323">
        <f t="shared" ref="JI5" si="125">+JI6+JI24+JI39+JI53+JI64</f>
        <v>600086</v>
      </c>
      <c r="JJ5" s="324">
        <f t="shared" ref="JJ5" si="126">+JJ6+JJ24+JJ39+JJ53+JJ64</f>
        <v>514747</v>
      </c>
      <c r="JK5" s="323">
        <f t="shared" ref="JK5" si="127">+JK6+JK24+JK39+JK53+JK64</f>
        <v>304242</v>
      </c>
      <c r="JL5" s="323">
        <f t="shared" ref="JL5" si="128">+JL6+JL24+JL39+JL53+JL64</f>
        <v>210505</v>
      </c>
      <c r="JM5" s="323">
        <f t="shared" ref="JM5" si="129">+JM6+JM24+JM39+JM53+JM64</f>
        <v>759127</v>
      </c>
      <c r="JN5" s="323">
        <f t="shared" ref="JN5" si="130">+JN6+JN24+JN39+JN53+JN64</f>
        <v>430842</v>
      </c>
      <c r="JO5" s="323">
        <f t="shared" ref="JO5" si="131">+JO6+JO24+JO39+JO53+JO64</f>
        <v>328285</v>
      </c>
      <c r="JP5" s="323">
        <f t="shared" ref="JP5" si="132">+JP6+JP24+JP39+JP53+JP64</f>
        <v>24263</v>
      </c>
      <c r="JQ5" s="323">
        <f t="shared" ref="JQ5" si="133">+JQ6+JQ24+JQ39+JQ53+JQ64</f>
        <v>15778</v>
      </c>
      <c r="JR5" s="323">
        <f t="shared" ref="JR5" si="134">+JR6+JR24+JR39+JR53+JR64</f>
        <v>8485</v>
      </c>
      <c r="JS5" s="323">
        <f t="shared" ref="JS5" si="135">+JS6+JS24+JS39+JS53+JS64</f>
        <v>734864</v>
      </c>
      <c r="JT5" s="323">
        <f t="shared" ref="JT5" si="136">+JT6+JT24+JT39+JT53+JT64</f>
        <v>415064</v>
      </c>
      <c r="JU5" s="323">
        <f t="shared" ref="JU5" si="137">+JU6+JU24+JU39+JU53+JU64</f>
        <v>319800</v>
      </c>
      <c r="JV5" s="302">
        <f t="shared" ref="JV5" si="138">+JV6+JV24+JV39+JV53+JV64</f>
        <v>32310253</v>
      </c>
      <c r="JW5" s="323">
        <f t="shared" ref="JW5" si="139">+JW6+JW24+JW39+JW53+JW64</f>
        <v>17554647</v>
      </c>
      <c r="JX5" s="323">
        <f t="shared" ref="JX5" si="140">+JX6+JX24+JX39+JX53+JX64</f>
        <v>14755606</v>
      </c>
      <c r="JY5" s="303">
        <f t="shared" ref="JY5" si="141">+JY6+JY24+JY39+JY53+JY64</f>
        <v>28445456</v>
      </c>
      <c r="JZ5" s="295">
        <f t="shared" ref="JZ5" si="142">+JZ6+JZ24+JZ39+JZ53+JZ64</f>
        <v>27744576</v>
      </c>
      <c r="KA5" s="323">
        <f t="shared" ref="KA5" si="143">+KA6+KA24+KA39+KA53+KA64</f>
        <v>15292021</v>
      </c>
      <c r="KB5" s="323">
        <f t="shared" ref="KB5" si="144">+KB6+KB24+KB39+KB53+KB64</f>
        <v>12452555</v>
      </c>
      <c r="KC5" s="323">
        <f t="shared" ref="KC5" si="145">+KC6+KC24+KC39+KC53+KC64</f>
        <v>2262626</v>
      </c>
      <c r="KD5" s="323">
        <f t="shared" ref="KD5" si="146">+KD6+KD24+KD39+KD53+KD64</f>
        <v>2303051</v>
      </c>
      <c r="KE5" s="303">
        <f t="shared" ref="KE5" si="147">+KE6+KE24+KE39+KE53+KE64</f>
        <v>1905378</v>
      </c>
      <c r="KF5" s="295">
        <f t="shared" ref="KF5" si="148">+KF6+KF24+KF39+KF53+KF64</f>
        <v>1873462</v>
      </c>
      <c r="KG5" s="323">
        <f t="shared" ref="KG5" si="149">+KG6+KG24+KG39+KG53+KG64</f>
        <v>806722</v>
      </c>
      <c r="KH5" s="323">
        <f t="shared" ref="KH5" si="150">+KH6+KH24+KH39+KH53+KH64</f>
        <v>1066740</v>
      </c>
      <c r="KI5" s="303">
        <f t="shared" ref="KI5" si="151">+KI6+KI24+KI39+KI53+KI64</f>
        <v>1028759</v>
      </c>
      <c r="KJ5" s="323">
        <f t="shared" ref="KJ5" si="152">+KJ6+KJ24+KJ39+KJ53+KJ64</f>
        <v>557874</v>
      </c>
      <c r="KK5" s="323">
        <f t="shared" ref="KK5" si="153">+KK6+KK24+KK39+KK53+KK64</f>
        <v>470885</v>
      </c>
      <c r="KL5" s="304">
        <f t="shared" ref="KL5" si="154">+KL6+KL24+KL39+KL53+KL64</f>
        <v>1959419</v>
      </c>
      <c r="KM5" s="325">
        <f t="shared" ref="KM5" si="155">+KM6+KM24+KM39+KM53+KM64</f>
        <v>898030</v>
      </c>
      <c r="KN5" s="325">
        <f t="shared" ref="KN5" si="156">+KN6+KN24+KN39+KN53+KN64</f>
        <v>765426</v>
      </c>
      <c r="KO5" s="325">
        <f t="shared" ref="KO5" si="157">+KO6+KO24+KO39+KO53+KO64</f>
        <v>17006</v>
      </c>
      <c r="KP5" s="325">
        <f t="shared" ref="KP5" si="158">+KP6+KP24+KP39+KP53+KP64</f>
        <v>7689</v>
      </c>
      <c r="KQ5" s="325">
        <f t="shared" ref="KQ5" si="159">+KQ6+KQ24+KQ39+KQ53+KQ64</f>
        <v>9317</v>
      </c>
      <c r="KR5" s="325">
        <f t="shared" ref="KR5" si="160">+KR6+KR24+KR39+KR53+KR64</f>
        <v>1646450</v>
      </c>
      <c r="KS5" s="325">
        <f t="shared" ref="KS5" si="161">+KS6+KS24+KS39+KS53+KS64</f>
        <v>890341</v>
      </c>
      <c r="KT5" s="325">
        <f t="shared" ref="KT5" si="162">+KT6+KT24+KT39+KT53+KT64</f>
        <v>756109</v>
      </c>
      <c r="KU5" s="323">
        <f t="shared" ref="KU5" si="163">+KU6+KU24+KU39+KU53+KU64</f>
        <v>49086</v>
      </c>
      <c r="KV5" s="323">
        <f t="shared" ref="KV5" si="164">+KV6+KV24+KV39+KV53+KV64</f>
        <v>46160</v>
      </c>
      <c r="KW5" s="323">
        <f t="shared" ref="KW5" si="165">+KW6+KW24+KW39+KW53+KW64</f>
        <v>841255</v>
      </c>
      <c r="KX5" s="323">
        <f t="shared" ref="KX5" si="166">+KX6+KX24+KX39+KX53+KX64</f>
        <v>709949</v>
      </c>
      <c r="KY5" s="326">
        <f t="shared" ref="KY5" si="167">+KY6+KY24+KY39+KY53+KY64</f>
        <v>44462605</v>
      </c>
      <c r="KZ5" s="323">
        <f t="shared" ref="KZ5" si="168">+KZ6+KZ24+KZ39+KZ53+KZ64</f>
        <v>22725125</v>
      </c>
      <c r="LA5" s="323">
        <f t="shared" ref="LA5" si="169">+LA6+LA24+LA39+LA53+LA64</f>
        <v>21737480</v>
      </c>
      <c r="LB5" s="305">
        <f t="shared" ref="LB5" si="170">+LB6+LB24+LB39+LB53+LB64</f>
        <v>37291563</v>
      </c>
      <c r="LC5" s="305">
        <f t="shared" ref="LC5" si="171">+LC6+LC24+LC39+LC53+LC64</f>
        <v>19346754</v>
      </c>
      <c r="LD5" s="305">
        <f t="shared" ref="LD5" si="172">+LD6+LD24+LD39+LD53+LD64</f>
        <v>17944809</v>
      </c>
      <c r="LE5" s="305">
        <f t="shared" ref="LE5" si="173">+LE6+LE24+LE39+LE53+LE64</f>
        <v>36060622</v>
      </c>
      <c r="LF5" s="323">
        <f t="shared" ref="LF5" si="174">+LF6+LF24+LF39+LF53+LF64</f>
        <v>18737073</v>
      </c>
      <c r="LG5" s="323">
        <f t="shared" ref="LG5" si="175">+LG6+LG24+LG39+LG53+LG64</f>
        <v>17323549</v>
      </c>
      <c r="LH5" s="305">
        <f t="shared" ref="LH5" si="176">+LH6+LH24+LH39+LH53+LH64</f>
        <v>2831269</v>
      </c>
      <c r="LI5" s="323">
        <f t="shared" ref="LI5" si="177">+LI6+LI24+LI39+LI53+LI64</f>
        <v>1176692</v>
      </c>
      <c r="LJ5" s="323">
        <f t="shared" ref="LJ5" si="178">+LJ6+LJ24+LJ39+LJ53+LJ64</f>
        <v>1654577</v>
      </c>
      <c r="LK5" s="305">
        <f t="shared" ref="LK5" si="179">+LK6+LK24+LK39+LK53+LK64</f>
        <v>1908039</v>
      </c>
      <c r="LL5" s="323">
        <f t="shared" ref="LL5" si="180">+LL6+LL24+LL39+LL53+LL64</f>
        <v>933014</v>
      </c>
      <c r="LM5" s="323">
        <f t="shared" ref="LM5" si="181">+LM6+LM24+LM39+LM53+LM64</f>
        <v>975025</v>
      </c>
      <c r="LN5" s="305">
        <f t="shared" ref="LN5" si="182">+LN6+LN24+LN39+LN53+LN64</f>
        <v>4339773</v>
      </c>
      <c r="LO5" s="305">
        <f t="shared" ref="LO5" si="183">+LO6+LO24+LO39+LO53+LO64</f>
        <v>2201679</v>
      </c>
      <c r="LP5" s="305">
        <f t="shared" ref="LP5" si="184">+LP6+LP24+LP39+LP53+LP64</f>
        <v>2138094</v>
      </c>
      <c r="LQ5" s="327">
        <f t="shared" ref="LQ5" si="185">+LQ6+LQ24+LQ39+LQ53+LQ64</f>
        <v>52859997</v>
      </c>
      <c r="LR5" s="323">
        <f t="shared" ref="LR5" si="186">+LR6+LR24+LR39+LR53+LR64</f>
        <v>43096155</v>
      </c>
      <c r="LS5" s="323">
        <f t="shared" ref="LS5" si="187">+LS6+LS24+LS39+LS53+LS64</f>
        <v>5405655</v>
      </c>
      <c r="LT5" s="323">
        <f t="shared" ref="LT5" si="188">+LT6+LT24+LT39+LT53+LT64</f>
        <v>6089874</v>
      </c>
      <c r="LU5" s="305">
        <f t="shared" ref="LU5" si="189">+LU6+LU24+LU39+LU53+LU64</f>
        <v>2942378</v>
      </c>
      <c r="LV5" s="306">
        <f t="shared" ref="LV5" si="190">+LV6+LV24+LV39+LV53+LV64</f>
        <v>54221942</v>
      </c>
      <c r="LW5" s="295">
        <f t="shared" ref="LW5" si="191">+LW6+LW24+LW39+LW53+LW64</f>
        <v>44163351</v>
      </c>
      <c r="LX5" s="295">
        <f t="shared" ref="LX5" si="192">+LX6+LX24+LX39+LX53+LX64</f>
        <v>3820189</v>
      </c>
      <c r="LY5" s="328">
        <f t="shared" ref="LY5" si="193">+LY6+LY24+LY39+LY53+LY64</f>
        <v>6238402</v>
      </c>
      <c r="LZ5" s="295">
        <f t="shared" ref="LZ5" si="194">+LZ6+LZ24+LZ39+LZ53+LZ64</f>
        <v>3118016</v>
      </c>
      <c r="MA5" s="322">
        <f t="shared" ref="MA5" si="195">+MA6+MA24+MA39+MA53+MA64</f>
        <v>55491484</v>
      </c>
      <c r="MB5" s="323">
        <f t="shared" ref="MB5" si="196">+MB6+MB24+MB39+MB53+MB64</f>
        <v>45207721</v>
      </c>
      <c r="MC5" s="323">
        <f t="shared" ref="MC5" si="197">+MC6+MC24+MC39+MC53+MC64</f>
        <v>3950515</v>
      </c>
      <c r="MD5" s="323">
        <f t="shared" ref="MD5" si="198">+MD6+MD24+MD39+MD53+MD64</f>
        <v>6333248</v>
      </c>
      <c r="ME5" s="323">
        <f t="shared" ref="ME5:MF5" si="199">+ME6+ME24+ME39+ME53+ME64</f>
        <v>3212087</v>
      </c>
      <c r="MF5" s="322">
        <f t="shared" si="199"/>
        <v>56589087</v>
      </c>
      <c r="MG5" s="323">
        <f t="shared" ref="MG5:MJ5" si="200">+MG6+MG24+MG39+MG53+MG64</f>
        <v>45728587</v>
      </c>
      <c r="MH5" s="323">
        <f t="shared" si="200"/>
        <v>4125522</v>
      </c>
      <c r="MI5" s="323">
        <f>+MI6+MI24+MI39+MI53+MI64</f>
        <v>6734978</v>
      </c>
      <c r="MJ5" s="323">
        <f t="shared" si="200"/>
        <v>3447016</v>
      </c>
      <c r="MK5" s="510">
        <f>+MK6+MK24+MK39+MK53+MK64</f>
        <v>57720749.875</v>
      </c>
      <c r="ML5" s="296">
        <f t="shared" ref="ML5:MO5" si="201">+ML6+ML24+ML39+ML53+ML64</f>
        <v>46568177.143000007</v>
      </c>
      <c r="MM5" s="296">
        <f t="shared" si="201"/>
        <v>4238436.8599999994</v>
      </c>
      <c r="MN5" s="296">
        <f t="shared" si="201"/>
        <v>3567013.5639999993</v>
      </c>
      <c r="MO5" s="296">
        <f t="shared" si="201"/>
        <v>6914135.8720000004</v>
      </c>
      <c r="MP5" s="296">
        <f t="shared" ref="MP5:MT5" si="202">+MP6+MP24+MP39+MP53+MP64</f>
        <v>59163882</v>
      </c>
      <c r="MQ5" s="296">
        <f t="shared" si="202"/>
        <v>47614165</v>
      </c>
      <c r="MR5" s="296">
        <f t="shared" si="202"/>
        <v>4388517</v>
      </c>
      <c r="MS5" s="296">
        <f t="shared" si="202"/>
        <v>3764680</v>
      </c>
      <c r="MT5" s="296">
        <f t="shared" si="202"/>
        <v>7156610</v>
      </c>
      <c r="MU5" s="296">
        <f t="shared" ref="MU5:MV5" si="203">+MU6+MU24+MU39+MU53+MU64</f>
        <v>60785108</v>
      </c>
      <c r="MV5" s="296">
        <f t="shared" si="203"/>
        <v>45803800</v>
      </c>
      <c r="MW5" s="296">
        <f t="shared" ref="MW5:MX5" si="204">+MW6+MW24+MW39+MW53+MW64</f>
        <v>4570351</v>
      </c>
      <c r="MX5" s="296">
        <f t="shared" si="204"/>
        <v>3965701</v>
      </c>
      <c r="MY5" s="296">
        <f t="shared" ref="MY5" si="205">+MY6+MY24+MY39+MY53+MY64</f>
        <v>4106569</v>
      </c>
      <c r="MZ5" s="510">
        <f>+MZ6+MZ24+MZ39+MZ53+MZ64</f>
        <v>11477686</v>
      </c>
      <c r="NA5" s="296">
        <f t="shared" ref="NA5" si="206">+NA6+NA24+NA39+NA53+NA64</f>
        <v>10107539</v>
      </c>
      <c r="NB5" s="296">
        <f t="shared" ref="NB5" si="207">+NB6+NB24+NB39+NB53+NB64</f>
        <v>644288</v>
      </c>
      <c r="NC5" s="296">
        <f t="shared" ref="NC5" si="208">+NC6+NC24+NC39+NC53+NC64</f>
        <v>369562</v>
      </c>
      <c r="ND5" s="297">
        <f t="shared" ref="ND5" si="209">+ND6+ND24+ND39+ND53+ND64</f>
        <v>725859</v>
      </c>
      <c r="NE5" s="296">
        <f>+NE6+NE24+NE39+NE53+NE64</f>
        <v>16144813</v>
      </c>
      <c r="NF5" s="296">
        <f t="shared" ref="NF5" si="210">+NF6+NF24+NF39+NF53+NF64</f>
        <v>13556878</v>
      </c>
      <c r="NG5" s="296">
        <f t="shared" ref="NG5" si="211">+NG6+NG24+NG39+NG53+NG64</f>
        <v>949624</v>
      </c>
      <c r="NH5" s="296">
        <f t="shared" ref="NH5" si="212">+NH6+NH24+NH39+NH53+NH64</f>
        <v>684265</v>
      </c>
      <c r="NI5" s="296">
        <f t="shared" ref="NI5:NJ5" si="213">+NI6+NI24+NI39+NI53+NI64</f>
        <v>1616981</v>
      </c>
      <c r="NJ5" s="510">
        <f t="shared" si="213"/>
        <v>20934610</v>
      </c>
      <c r="NK5" s="296">
        <f t="shared" ref="NK5:NO5" si="214">+NK6+NK24+NK39+NK53+NK64</f>
        <v>16916625</v>
      </c>
      <c r="NL5" s="296">
        <f t="shared" si="214"/>
        <v>1436414</v>
      </c>
      <c r="NM5" s="296">
        <f t="shared" si="214"/>
        <v>1088858</v>
      </c>
      <c r="NN5" s="296">
        <f t="shared" si="214"/>
        <v>2581571</v>
      </c>
      <c r="NO5" s="510">
        <f t="shared" si="214"/>
        <v>21432910.851</v>
      </c>
      <c r="NP5" s="296">
        <f t="shared" ref="NP5:NS5" si="215">+NP6+NP24+NP39+NP53+NP64</f>
        <v>17301345.539000001</v>
      </c>
      <c r="NQ5" s="296">
        <f t="shared" si="215"/>
        <v>1489660.415</v>
      </c>
      <c r="NR5" s="296">
        <f t="shared" si="215"/>
        <v>1122480.9670000002</v>
      </c>
      <c r="NS5" s="297">
        <f t="shared" si="215"/>
        <v>2641904.8969999999</v>
      </c>
      <c r="NT5" s="296">
        <f t="shared" ref="NT5:NU5" si="216">+NT6+NT24+NT39+NT53+NT64</f>
        <v>22073005</v>
      </c>
      <c r="NU5" s="296">
        <f t="shared" si="216"/>
        <v>17727106</v>
      </c>
      <c r="NV5" s="296">
        <f t="shared" ref="NV5:NW5" si="217">+NV6+NV24+NV39+NV53+NV64</f>
        <v>1557817</v>
      </c>
      <c r="NW5" s="296">
        <f t="shared" si="217"/>
        <v>1188964</v>
      </c>
      <c r="NX5" s="297">
        <f t="shared" ref="NX5:NY5" si="218">+NX6+NX24+NX39+NX53+NX64</f>
        <v>2786721</v>
      </c>
      <c r="NY5" s="297">
        <f t="shared" si="218"/>
        <v>22814307</v>
      </c>
      <c r="NZ5" s="297">
        <f t="shared" ref="NZ5:OA5" si="219">+NZ6+NZ24+NZ39+NZ53+NZ64</f>
        <v>17275406</v>
      </c>
      <c r="OA5" s="297">
        <f t="shared" si="219"/>
        <v>1646374</v>
      </c>
      <c r="OB5" s="297">
        <f t="shared" ref="OB5:OC5" si="220">+OB6+OB24+OB39+OB53+OB64</f>
        <v>1250768</v>
      </c>
      <c r="OC5" s="297">
        <f t="shared" si="220"/>
        <v>2942709</v>
      </c>
    </row>
    <row r="6" spans="1:393" s="1" customFormat="1" x14ac:dyDescent="0.2">
      <c r="A6" s="239" t="s">
        <v>63</v>
      </c>
      <c r="B6" s="279">
        <f>SUM(B8:B23)</f>
        <v>9738075</v>
      </c>
      <c r="C6" s="280">
        <f t="shared" ref="C6:K6" si="221">SUM(C8:C23)</f>
        <v>5995415</v>
      </c>
      <c r="D6" s="280">
        <f t="shared" si="221"/>
        <v>2715068</v>
      </c>
      <c r="E6" s="280">
        <f t="shared" si="221"/>
        <v>931469</v>
      </c>
      <c r="F6" s="280">
        <f t="shared" si="221"/>
        <v>90177</v>
      </c>
      <c r="G6" s="279">
        <f>SUM(G8:G23)</f>
        <v>6794920</v>
      </c>
      <c r="H6" s="280">
        <f t="shared" si="221"/>
        <v>4780029</v>
      </c>
      <c r="I6" s="280">
        <f t="shared" si="221"/>
        <v>1471663</v>
      </c>
      <c r="J6" s="280">
        <f t="shared" si="221"/>
        <v>1125155</v>
      </c>
      <c r="K6" s="280">
        <f t="shared" si="221"/>
        <v>543228</v>
      </c>
      <c r="L6" s="279">
        <f>SUM(L8:L23)</f>
        <v>5526318</v>
      </c>
      <c r="M6" s="280">
        <f t="shared" ref="M6:P6" si="222">SUM(M8:M23)</f>
        <v>3620101</v>
      </c>
      <c r="N6" s="280">
        <f t="shared" si="222"/>
        <v>1008783</v>
      </c>
      <c r="O6" s="280">
        <f t="shared" si="222"/>
        <v>1688685</v>
      </c>
      <c r="P6" s="280">
        <f t="shared" si="222"/>
        <v>897434</v>
      </c>
      <c r="Q6" s="596">
        <f>SUM(Q8:Q23)</f>
        <v>5052500</v>
      </c>
      <c r="R6" s="311">
        <f t="shared" ref="R6:U6" si="223">SUM(R8:R23)</f>
        <v>3371252</v>
      </c>
      <c r="S6" s="311">
        <f t="shared" si="223"/>
        <v>780302</v>
      </c>
      <c r="T6" s="311">
        <f t="shared" si="223"/>
        <v>2190894</v>
      </c>
      <c r="U6" s="311">
        <f t="shared" si="223"/>
        <v>900946</v>
      </c>
      <c r="V6" s="596">
        <f>SUM(V8:V23)</f>
        <v>4912994</v>
      </c>
      <c r="W6" s="311">
        <f t="shared" ref="W6" si="224">SUM(W8:W23)</f>
        <v>3319429</v>
      </c>
      <c r="X6" s="311">
        <f t="shared" ref="X6" si="225">SUM(X8:X23)</f>
        <v>731073</v>
      </c>
      <c r="Y6" s="311">
        <f t="shared" ref="Y6" si="226">SUM(Y8:Y23)</f>
        <v>2230645</v>
      </c>
      <c r="Z6" s="311">
        <f t="shared" ref="Z6:AA6" si="227">SUM(Z8:Z23)</f>
        <v>861799</v>
      </c>
      <c r="AA6" s="311">
        <f t="shared" si="227"/>
        <v>4846309</v>
      </c>
      <c r="AB6" s="311">
        <f t="shared" ref="AB6:AC6" si="228">SUM(AB8:AB23)</f>
        <v>1680696</v>
      </c>
      <c r="AC6" s="311">
        <f t="shared" si="228"/>
        <v>707516</v>
      </c>
      <c r="AD6" s="311">
        <f t="shared" ref="AD6:AE6" si="229">SUM(AD8:AD23)</f>
        <v>2238949</v>
      </c>
      <c r="AE6" s="311">
        <f t="shared" si="229"/>
        <v>832826</v>
      </c>
      <c r="AF6" s="279">
        <f>SUM(AF8:AF23)</f>
        <v>8707077</v>
      </c>
      <c r="AG6" s="280">
        <f t="shared" ref="AG6:AJ6" si="230">SUM(AG8:AG23)</f>
        <v>6357912</v>
      </c>
      <c r="AH6" s="280">
        <f t="shared" si="230"/>
        <v>2013351</v>
      </c>
      <c r="AI6" s="280">
        <f t="shared" si="230"/>
        <v>612099</v>
      </c>
      <c r="AJ6" s="280">
        <f t="shared" si="230"/>
        <v>335814</v>
      </c>
      <c r="AK6" s="279">
        <f>SUM(AK8:AK23)</f>
        <v>8845118</v>
      </c>
      <c r="AL6" s="280">
        <f t="shared" ref="AL6:BR6" si="231">SUM(AL8:AL23)</f>
        <v>5977603</v>
      </c>
      <c r="AM6" s="280">
        <f t="shared" si="231"/>
        <v>2143225</v>
      </c>
      <c r="AN6" s="280">
        <f t="shared" si="231"/>
        <v>1157592</v>
      </c>
      <c r="AO6" s="280">
        <f t="shared" si="231"/>
        <v>724290</v>
      </c>
      <c r="AP6" s="279">
        <f>SUM(AP8:AP23)</f>
        <v>7224483</v>
      </c>
      <c r="AQ6" s="280">
        <f t="shared" ref="AQ6:AT6" si="232">SUM(AQ8:AQ23)</f>
        <v>4812676</v>
      </c>
      <c r="AR6" s="280">
        <f t="shared" si="232"/>
        <v>1756497</v>
      </c>
      <c r="AS6" s="280">
        <f t="shared" si="232"/>
        <v>1417122</v>
      </c>
      <c r="AT6" s="280">
        <f t="shared" si="232"/>
        <v>655310</v>
      </c>
      <c r="AU6" s="280">
        <f t="shared" ref="AU6:BE6" si="233">SUM(AU8:AU23)</f>
        <v>7089820</v>
      </c>
      <c r="AV6" s="280">
        <f t="shared" si="233"/>
        <v>4726419</v>
      </c>
      <c r="AW6" s="280">
        <f t="shared" si="233"/>
        <v>1723086</v>
      </c>
      <c r="AX6" s="280">
        <f t="shared" si="233"/>
        <v>1480072</v>
      </c>
      <c r="AY6" s="280">
        <f t="shared" si="233"/>
        <v>639368</v>
      </c>
      <c r="AZ6" s="280">
        <f t="shared" ref="AZ6:BA6" si="234">SUM(AZ8:AZ23)</f>
        <v>6964416</v>
      </c>
      <c r="BA6" s="280">
        <f t="shared" si="234"/>
        <v>3538223</v>
      </c>
      <c r="BB6" s="280">
        <f t="shared" ref="BB6:BC6" si="235">SUM(BB8:BB23)</f>
        <v>1691910</v>
      </c>
      <c r="BC6" s="280">
        <f t="shared" si="235"/>
        <v>1492953</v>
      </c>
      <c r="BD6" s="280">
        <f t="shared" ref="BD6" si="236">SUM(BD8:BD23)</f>
        <v>616259</v>
      </c>
      <c r="BE6" s="307">
        <f t="shared" si="233"/>
        <v>12170148</v>
      </c>
      <c r="BF6" s="280">
        <f t="shared" ref="BF6:BI6" si="237">SUM(BF8:BF23)</f>
        <v>8111647</v>
      </c>
      <c r="BG6" s="280">
        <f t="shared" si="237"/>
        <v>2494163</v>
      </c>
      <c r="BH6" s="280">
        <f t="shared" si="237"/>
        <v>3682387</v>
      </c>
      <c r="BI6" s="280">
        <f t="shared" si="237"/>
        <v>1564338</v>
      </c>
      <c r="BJ6" s="307">
        <f>SUM(BJ8:BJ23)</f>
        <v>4072893</v>
      </c>
      <c r="BK6" s="280">
        <f t="shared" si="231"/>
        <v>6292090</v>
      </c>
      <c r="BL6" s="280">
        <f t="shared" si="231"/>
        <v>9997417</v>
      </c>
      <c r="BM6" s="280">
        <f t="shared" si="231"/>
        <v>14790732</v>
      </c>
      <c r="BN6" s="279">
        <f>SUM(BN8:BN23)</f>
        <v>26045603</v>
      </c>
      <c r="BO6" s="280">
        <f t="shared" si="231"/>
        <v>21678999.625999998</v>
      </c>
      <c r="BP6" s="280">
        <f t="shared" si="231"/>
        <v>2895346.4440000001</v>
      </c>
      <c r="BQ6" s="280">
        <f t="shared" si="231"/>
        <v>908591.29700000002</v>
      </c>
      <c r="BR6" s="280">
        <f t="shared" si="231"/>
        <v>307511.52200000006</v>
      </c>
      <c r="BS6" s="279">
        <f>SUM(BS8:BS23)</f>
        <v>38424457</v>
      </c>
      <c r="BT6" s="280">
        <f t="shared" ref="BT6:BW6" si="238">SUM(BT8:BT23)</f>
        <v>32208884</v>
      </c>
      <c r="BU6" s="280">
        <f t="shared" si="238"/>
        <v>4996875</v>
      </c>
      <c r="BV6" s="280">
        <f t="shared" si="238"/>
        <v>1796611</v>
      </c>
      <c r="BW6" s="280">
        <f t="shared" si="238"/>
        <v>1218698</v>
      </c>
      <c r="BX6" s="279">
        <f>SUM(BX8:BX23)</f>
        <v>50165562</v>
      </c>
      <c r="BY6" s="280">
        <f t="shared" ref="BY6:CB6" si="239">SUM(BY8:BY23)</f>
        <v>39797423</v>
      </c>
      <c r="BZ6" s="280">
        <f t="shared" si="239"/>
        <v>7464519</v>
      </c>
      <c r="CA6" s="280">
        <f t="shared" si="239"/>
        <v>3346601</v>
      </c>
      <c r="CB6" s="280">
        <f t="shared" si="239"/>
        <v>2903620</v>
      </c>
      <c r="CC6" s="477">
        <f>SUM(CC8:CC23)</f>
        <v>57888206</v>
      </c>
      <c r="CD6" s="280">
        <f t="shared" ref="CD6:CG6" si="240">SUM(CD8:CD23)</f>
        <v>44500385</v>
      </c>
      <c r="CE6" s="280">
        <f t="shared" si="240"/>
        <v>9324710</v>
      </c>
      <c r="CF6" s="280">
        <f t="shared" si="240"/>
        <v>4063111</v>
      </c>
      <c r="CG6" s="280">
        <f t="shared" si="240"/>
        <v>5137655</v>
      </c>
      <c r="CH6" s="279">
        <f>SUM(CH8:CH23)</f>
        <v>59200533</v>
      </c>
      <c r="CI6" s="280">
        <f t="shared" ref="CI6:CL6" si="241">SUM(CI8:CI23)</f>
        <v>45524676</v>
      </c>
      <c r="CJ6" s="280">
        <f t="shared" si="241"/>
        <v>9609281</v>
      </c>
      <c r="CK6" s="280">
        <f t="shared" si="241"/>
        <v>4066576</v>
      </c>
      <c r="CL6" s="280">
        <f t="shared" si="241"/>
        <v>5399587</v>
      </c>
      <c r="CM6" s="279">
        <f>SUM(CM8:CM23)</f>
        <v>60351009</v>
      </c>
      <c r="CN6" s="280">
        <f t="shared" ref="CN6:CQ6" si="242">SUM(CN8:CN23)</f>
        <v>46369819</v>
      </c>
      <c r="CO6" s="280">
        <f t="shared" si="242"/>
        <v>9944061</v>
      </c>
      <c r="CP6" s="280">
        <f t="shared" si="242"/>
        <v>4037129</v>
      </c>
      <c r="CQ6" s="280">
        <f t="shared" si="242"/>
        <v>5603707</v>
      </c>
      <c r="CR6" s="307">
        <f>SUM(CR8:CR23)</f>
        <v>61863790</v>
      </c>
      <c r="CS6" s="280">
        <f t="shared" ref="CS6:CV6" si="243">SUM(CS8:CS23)</f>
        <v>47374240</v>
      </c>
      <c r="CT6" s="280">
        <f t="shared" si="243"/>
        <v>10340409</v>
      </c>
      <c r="CU6" s="280">
        <f t="shared" si="243"/>
        <v>6075792</v>
      </c>
      <c r="CV6" s="280">
        <f t="shared" si="243"/>
        <v>3350252</v>
      </c>
      <c r="CW6" s="307">
        <f>SUM(CW8:CW23)</f>
        <v>63019593.373999998</v>
      </c>
      <c r="CX6" s="280">
        <f t="shared" ref="CX6:DA6" si="244">SUM(CX8:CX23)</f>
        <v>48124399.611000001</v>
      </c>
      <c r="CY6" s="280">
        <f t="shared" si="244"/>
        <v>10621223.862000002</v>
      </c>
      <c r="CZ6" s="280">
        <f t="shared" si="244"/>
        <v>6363433.8280000016</v>
      </c>
      <c r="DA6" s="310">
        <f t="shared" si="244"/>
        <v>4273969.9010000015</v>
      </c>
      <c r="DB6" s="310">
        <f t="shared" ref="DB6" si="245">SUM(DB8:DB23)</f>
        <v>64211904</v>
      </c>
      <c r="DC6" s="280">
        <f t="shared" ref="DC6:DD6" si="246">SUM(DC8:DC23)</f>
        <v>48952480</v>
      </c>
      <c r="DD6" s="280">
        <f t="shared" si="246"/>
        <v>10907710</v>
      </c>
      <c r="DE6" s="280">
        <f t="shared" ref="DE6:DF6" si="247">SUM(DE8:DE23)</f>
        <v>6676166</v>
      </c>
      <c r="DF6" s="280">
        <f t="shared" si="247"/>
        <v>4341160</v>
      </c>
      <c r="DG6" s="280">
        <f t="shared" ref="DG6:DH6" si="248">SUM(DG8:DG23)</f>
        <v>65399021</v>
      </c>
      <c r="DH6" s="280">
        <f t="shared" si="248"/>
        <v>44169488</v>
      </c>
      <c r="DI6" s="280">
        <f t="shared" ref="DI6:DJ6" si="249">SUM(DI8:DI23)</f>
        <v>11192709</v>
      </c>
      <c r="DJ6" s="280">
        <f t="shared" si="249"/>
        <v>6976687</v>
      </c>
      <c r="DK6" s="280">
        <f t="shared" ref="DK6" si="250">SUM(DK8:DK23)</f>
        <v>2685123</v>
      </c>
      <c r="DL6" s="279">
        <f>SUM(DL8:DL23)</f>
        <v>6187696</v>
      </c>
      <c r="DM6" s="280">
        <f t="shared" ref="DM6:DP6" si="251">SUM(DM8:DM23)</f>
        <v>5170230</v>
      </c>
      <c r="DN6" s="280">
        <f t="shared" si="251"/>
        <v>698211</v>
      </c>
      <c r="DO6" s="280">
        <f t="shared" si="251"/>
        <v>242770</v>
      </c>
      <c r="DP6" s="280">
        <f t="shared" si="251"/>
        <v>70559</v>
      </c>
      <c r="DQ6" s="279">
        <f>SUM(DQ8:DQ23)</f>
        <v>12734835</v>
      </c>
      <c r="DR6" s="280">
        <f t="shared" ref="DR6:DU6" si="252">SUM(DR8:DR23)</f>
        <v>10576488</v>
      </c>
      <c r="DS6" s="280">
        <f t="shared" si="252"/>
        <v>1752812</v>
      </c>
      <c r="DT6" s="280">
        <f t="shared" si="252"/>
        <v>676325</v>
      </c>
      <c r="DU6" s="280">
        <f t="shared" si="252"/>
        <v>405535</v>
      </c>
      <c r="DV6" s="279">
        <f>SUM(DV8:DV23)</f>
        <v>17128355</v>
      </c>
      <c r="DW6" s="280">
        <f t="shared" ref="DW6:DZ6" si="253">SUM(DW8:DW23)</f>
        <v>13387528</v>
      </c>
      <c r="DX6" s="280">
        <f t="shared" si="253"/>
        <v>2784593</v>
      </c>
      <c r="DY6" s="280">
        <f t="shared" si="253"/>
        <v>1233192</v>
      </c>
      <c r="DZ6" s="280">
        <f t="shared" si="253"/>
        <v>956234</v>
      </c>
      <c r="EA6" s="279">
        <f t="shared" ref="EA6:EE6" si="254">SUM(EA8:EA23)</f>
        <v>21147709</v>
      </c>
      <c r="EB6" s="280">
        <f t="shared" si="254"/>
        <v>15916317</v>
      </c>
      <c r="EC6" s="280">
        <f t="shared" si="254"/>
        <v>3967091</v>
      </c>
      <c r="ED6" s="280">
        <f t="shared" si="254"/>
        <v>2135214</v>
      </c>
      <c r="EE6" s="280">
        <f t="shared" si="254"/>
        <v>1264301</v>
      </c>
      <c r="EF6" s="279">
        <f t="shared" ref="EF6:EJ6" si="255">SUM(EF8:EF23)</f>
        <v>21516735.212000001</v>
      </c>
      <c r="EG6" s="280">
        <f t="shared" si="255"/>
        <v>16130813.506999997</v>
      </c>
      <c r="EH6" s="280">
        <f t="shared" si="255"/>
        <v>4082336.139</v>
      </c>
      <c r="EI6" s="280">
        <f t="shared" si="255"/>
        <v>2236603.4169999999</v>
      </c>
      <c r="EJ6" s="280">
        <f t="shared" si="255"/>
        <v>1303585.5660000008</v>
      </c>
      <c r="EK6" s="280">
        <f t="shared" ref="EK6:EL6" si="256">SUM(EK8:EK23)</f>
        <v>21929977</v>
      </c>
      <c r="EL6" s="280">
        <f t="shared" si="256"/>
        <v>16386312</v>
      </c>
      <c r="EM6" s="280">
        <f t="shared" ref="EM6:EN6" si="257">SUM(EM8:EM23)</f>
        <v>4207045</v>
      </c>
      <c r="EN6" s="280">
        <f t="shared" si="257"/>
        <v>2346651</v>
      </c>
      <c r="EO6" s="280">
        <f t="shared" ref="EO6:EP6" si="258">SUM(EO8:EO23)</f>
        <v>1332207</v>
      </c>
      <c r="EP6" s="280">
        <f t="shared" si="258"/>
        <v>22318861</v>
      </c>
      <c r="EQ6" s="280">
        <f t="shared" ref="EQ6:ER6" si="259">SUM(EQ8:EQ23)</f>
        <v>14696699</v>
      </c>
      <c r="ER6" s="280">
        <f t="shared" si="259"/>
        <v>4327209</v>
      </c>
      <c r="ES6" s="280">
        <f t="shared" ref="ES6:ET6" si="260">SUM(ES8:ES23)</f>
        <v>2446183</v>
      </c>
      <c r="ET6" s="280">
        <f t="shared" si="260"/>
        <v>1361253</v>
      </c>
      <c r="EU6" s="307">
        <f>SUM(EU8:EU23)</f>
        <v>2870950</v>
      </c>
      <c r="EV6" s="280">
        <f t="shared" ref="EV6:EY6" si="261">SUM(EV8:EV23)</f>
        <v>2381689</v>
      </c>
      <c r="EW6" s="280">
        <f t="shared" si="261"/>
        <v>382009</v>
      </c>
      <c r="EX6" s="280">
        <f t="shared" si="261"/>
        <v>170565</v>
      </c>
      <c r="EY6" s="280">
        <f t="shared" si="261"/>
        <v>107252</v>
      </c>
      <c r="EZ6" s="279">
        <f>SUM(EZ8:EZ23)</f>
        <v>3627173</v>
      </c>
      <c r="FA6" s="280">
        <f t="shared" ref="FA6:FD6" si="262">SUM(FA8:FA23)</f>
        <v>2862109</v>
      </c>
      <c r="FB6" s="280">
        <f t="shared" si="262"/>
        <v>542138</v>
      </c>
      <c r="FC6" s="280">
        <f t="shared" si="262"/>
        <v>268873</v>
      </c>
      <c r="FD6" s="280">
        <f t="shared" si="262"/>
        <v>222926</v>
      </c>
      <c r="FE6" s="279">
        <f>SUM(FE8:FE23)</f>
        <v>5209298</v>
      </c>
      <c r="FF6" s="280">
        <f t="shared" ref="FF6:FI6" si="263">SUM(FF8:FF23)</f>
        <v>3977715</v>
      </c>
      <c r="FG6" s="280">
        <f t="shared" si="263"/>
        <v>902062</v>
      </c>
      <c r="FH6" s="280">
        <f t="shared" si="263"/>
        <v>540734</v>
      </c>
      <c r="FI6" s="280">
        <f t="shared" si="263"/>
        <v>329521</v>
      </c>
      <c r="FJ6" s="279">
        <f>SUM(FJ8:FJ23)</f>
        <v>0</v>
      </c>
      <c r="FK6" s="280">
        <f t="shared" ref="FK6:FY6" si="264">SUM(FK8:FK23)</f>
        <v>0</v>
      </c>
      <c r="FL6" s="280">
        <f t="shared" si="264"/>
        <v>0</v>
      </c>
      <c r="FM6" s="280">
        <f t="shared" si="264"/>
        <v>0</v>
      </c>
      <c r="FN6" s="310">
        <f t="shared" si="264"/>
        <v>0</v>
      </c>
      <c r="FO6" s="310">
        <f t="shared" ref="FO6:FS6" si="265">SUM(FO8:FO23)</f>
        <v>5548086</v>
      </c>
      <c r="FP6" s="310">
        <f t="shared" si="265"/>
        <v>4218809</v>
      </c>
      <c r="FQ6" s="310">
        <f t="shared" si="265"/>
        <v>966909</v>
      </c>
      <c r="FR6" s="310">
        <f t="shared" si="265"/>
        <v>598859</v>
      </c>
      <c r="FS6" s="310">
        <f t="shared" si="265"/>
        <v>361457</v>
      </c>
      <c r="FT6" s="310">
        <f t="shared" ref="FT6:FU6" si="266">SUM(FT8:FT23)</f>
        <v>5735384</v>
      </c>
      <c r="FU6" s="310">
        <f t="shared" si="266"/>
        <v>3844961</v>
      </c>
      <c r="FV6" s="310">
        <f t="shared" ref="FV6:FW6" si="267">SUM(FV8:FV23)</f>
        <v>1009813</v>
      </c>
      <c r="FW6" s="310">
        <f t="shared" si="267"/>
        <v>629831</v>
      </c>
      <c r="FX6" s="310">
        <f t="shared" ref="FX6" si="268">SUM(FX8:FX23)</f>
        <v>374258</v>
      </c>
      <c r="FY6" s="279">
        <f t="shared" si="264"/>
        <v>12911287</v>
      </c>
      <c r="FZ6" s="280">
        <f t="shared" ref="FZ6:GH6" si="269">SUM(FZ8:FZ23)</f>
        <v>11159463</v>
      </c>
      <c r="GA6" s="280">
        <f t="shared" si="269"/>
        <v>1273811</v>
      </c>
      <c r="GB6" s="280">
        <f t="shared" si="269"/>
        <v>548188</v>
      </c>
      <c r="GC6" s="280">
        <f t="shared" si="269"/>
        <v>478013</v>
      </c>
      <c r="GD6" s="279">
        <f t="shared" si="269"/>
        <v>18112798</v>
      </c>
      <c r="GE6" s="280">
        <f t="shared" si="269"/>
        <v>14927326</v>
      </c>
      <c r="GF6" s="280">
        <f t="shared" si="269"/>
        <v>1992280</v>
      </c>
      <c r="GG6" s="280">
        <f t="shared" si="269"/>
        <v>1033061</v>
      </c>
      <c r="GH6" s="280">
        <f t="shared" si="269"/>
        <v>1193192</v>
      </c>
      <c r="GI6" s="279">
        <f>SUM(GI8:GI23)</f>
        <v>20847575</v>
      </c>
      <c r="GJ6" s="280">
        <f t="shared" ref="GJ6:GM6" si="270">SUM(GJ8:GJ23)</f>
        <v>16570602</v>
      </c>
      <c r="GK6" s="280">
        <f t="shared" si="270"/>
        <v>2639218</v>
      </c>
      <c r="GL6" s="280">
        <f t="shared" si="270"/>
        <v>1727654</v>
      </c>
      <c r="GM6" s="280">
        <f t="shared" si="270"/>
        <v>1637755</v>
      </c>
      <c r="GN6" s="596">
        <f>SUM(GN8:GN23)</f>
        <v>0</v>
      </c>
      <c r="GO6" s="311">
        <f t="shared" ref="GO6:GR6" si="271">SUM(GO8:GO23)</f>
        <v>0</v>
      </c>
      <c r="GP6" s="311">
        <f t="shared" si="271"/>
        <v>0</v>
      </c>
      <c r="GQ6" s="311">
        <f t="shared" si="271"/>
        <v>0</v>
      </c>
      <c r="GR6" s="311">
        <f t="shared" si="271"/>
        <v>0</v>
      </c>
      <c r="GS6" s="311">
        <f t="shared" ref="GS6:GW6" si="272">SUM(GS8:GS23)</f>
        <v>25617944</v>
      </c>
      <c r="GT6" s="311">
        <f t="shared" si="272"/>
        <v>20162256</v>
      </c>
      <c r="GU6" s="311">
        <f t="shared" si="272"/>
        <v>3368256</v>
      </c>
      <c r="GV6" s="311">
        <f t="shared" si="272"/>
        <v>2154744</v>
      </c>
      <c r="GW6" s="721">
        <f t="shared" si="272"/>
        <v>2084741</v>
      </c>
      <c r="GX6" s="311">
        <f t="shared" ref="GX6:GY6" si="273">SUM(GX8:GX23)</f>
        <v>80916701</v>
      </c>
      <c r="GY6" s="311">
        <f t="shared" si="273"/>
        <v>18863911</v>
      </c>
      <c r="GZ6" s="311">
        <f t="shared" ref="GZ6:HA6" si="274">SUM(GZ8:GZ23)</f>
        <v>3528009</v>
      </c>
      <c r="HA6" s="311">
        <f t="shared" si="274"/>
        <v>2271111</v>
      </c>
      <c r="HB6" s="311">
        <f t="shared" ref="HB6" si="275">SUM(HB8:HB23)</f>
        <v>1273875</v>
      </c>
      <c r="HC6" s="279">
        <f>SUM(HC8:HC23)</f>
        <v>6573082</v>
      </c>
      <c r="HD6" s="280">
        <f t="shared" ref="HD6:HG6" si="276">SUM(HD8:HD23)</f>
        <v>5753449</v>
      </c>
      <c r="HE6" s="280">
        <f t="shared" si="276"/>
        <v>599921</v>
      </c>
      <c r="HF6" s="280">
        <f t="shared" si="276"/>
        <v>242832</v>
      </c>
      <c r="HG6" s="280">
        <f t="shared" si="276"/>
        <v>219712</v>
      </c>
      <c r="HH6" s="279">
        <f>SUM(HH8:HH23)</f>
        <v>9336380</v>
      </c>
      <c r="HI6" s="280">
        <f t="shared" ref="HI6:HL6" si="277">SUM(HI8:HI23)</f>
        <v>7778900</v>
      </c>
      <c r="HJ6" s="280">
        <f t="shared" si="277"/>
        <v>980391</v>
      </c>
      <c r="HK6" s="280">
        <f t="shared" si="277"/>
        <v>483313</v>
      </c>
      <c r="HL6" s="280">
        <f t="shared" si="277"/>
        <v>577089</v>
      </c>
      <c r="HM6" s="279">
        <f>SUM(HM8:HM23)</f>
        <v>12184080</v>
      </c>
      <c r="HN6" s="280">
        <f t="shared" ref="HN6:HQ6" si="278">SUM(HN8:HN23)</f>
        <v>9776798</v>
      </c>
      <c r="HO6" s="280">
        <f t="shared" si="278"/>
        <v>1461251</v>
      </c>
      <c r="HP6" s="280">
        <f t="shared" si="278"/>
        <v>970553</v>
      </c>
      <c r="HQ6" s="280">
        <f t="shared" si="278"/>
        <v>946031</v>
      </c>
      <c r="HR6" s="279">
        <f>SUM(HR8:HR23)</f>
        <v>12438148.312999999</v>
      </c>
      <c r="HS6" s="280">
        <f t="shared" ref="HS6:HV6" si="279">SUM(HS8:HS23)</f>
        <v>9947738.6849999987</v>
      </c>
      <c r="HT6" s="280">
        <f t="shared" si="279"/>
        <v>1511822.335</v>
      </c>
      <c r="HU6" s="280">
        <f t="shared" si="279"/>
        <v>1010565.547</v>
      </c>
      <c r="HV6" s="280">
        <f t="shared" si="279"/>
        <v>978587.29299999983</v>
      </c>
      <c r="HW6" s="280">
        <f t="shared" ref="HW6:HX6" si="280">SUM(HW8:HW23)</f>
        <v>13126723</v>
      </c>
      <c r="HX6" s="280">
        <f t="shared" si="280"/>
        <v>9506503</v>
      </c>
      <c r="HY6" s="280">
        <f t="shared" ref="HY6:HZ6" si="281">SUM(HY8:HY23)</f>
        <v>1621229</v>
      </c>
      <c r="HZ6" s="280">
        <f t="shared" si="281"/>
        <v>1131815</v>
      </c>
      <c r="IA6" s="280">
        <f t="shared" ref="IA6" si="282">SUM(IA8:IA23)</f>
        <v>1068523</v>
      </c>
      <c r="IB6" s="300">
        <f t="shared" ref="IB6:IL6" si="283">SUM(IB8:IB23)</f>
        <v>790723</v>
      </c>
      <c r="IC6" s="301">
        <f t="shared" si="283"/>
        <v>1262875</v>
      </c>
      <c r="ID6" s="307">
        <f t="shared" si="283"/>
        <v>1979939</v>
      </c>
      <c r="IE6" s="329">
        <f t="shared" si="283"/>
        <v>1151373</v>
      </c>
      <c r="IF6" s="329">
        <f t="shared" si="283"/>
        <v>828566</v>
      </c>
      <c r="IG6" s="280">
        <f t="shared" si="283"/>
        <v>1829425</v>
      </c>
      <c r="IH6" s="329">
        <f t="shared" si="283"/>
        <v>1094198</v>
      </c>
      <c r="II6" s="329">
        <f t="shared" si="283"/>
        <v>735227</v>
      </c>
      <c r="IJ6" s="280">
        <f t="shared" si="283"/>
        <v>150514</v>
      </c>
      <c r="IK6" s="329">
        <f t="shared" si="283"/>
        <v>57175</v>
      </c>
      <c r="IL6" s="280">
        <f t="shared" si="283"/>
        <v>93339</v>
      </c>
      <c r="IM6" s="307">
        <f t="shared" ref="IM6:IU6" si="284">SUM(IM8:IM23)</f>
        <v>3254997</v>
      </c>
      <c r="IN6" s="329">
        <f t="shared" si="284"/>
        <v>1906132</v>
      </c>
      <c r="IO6" s="329">
        <f t="shared" si="284"/>
        <v>1348865</v>
      </c>
      <c r="IP6" s="280">
        <f t="shared" si="284"/>
        <v>2948971</v>
      </c>
      <c r="IQ6" s="329">
        <f t="shared" si="284"/>
        <v>1768699</v>
      </c>
      <c r="IR6" s="329">
        <f t="shared" si="284"/>
        <v>1180272</v>
      </c>
      <c r="IS6" s="280">
        <f t="shared" si="284"/>
        <v>218029</v>
      </c>
      <c r="IT6" s="329">
        <f t="shared" si="284"/>
        <v>81789</v>
      </c>
      <c r="IU6" s="280">
        <f t="shared" si="284"/>
        <v>136240</v>
      </c>
      <c r="IV6" s="280">
        <f t="shared" ref="IV6:JU6" si="285">SUM(IV8:IV23)</f>
        <v>87997</v>
      </c>
      <c r="IW6" s="280">
        <f t="shared" si="285"/>
        <v>55644</v>
      </c>
      <c r="IX6" s="280">
        <f t="shared" si="285"/>
        <v>32353</v>
      </c>
      <c r="IY6" s="307">
        <f t="shared" si="285"/>
        <v>6428016</v>
      </c>
      <c r="IZ6" s="280">
        <f t="shared" si="285"/>
        <v>3697041</v>
      </c>
      <c r="JA6" s="280">
        <f t="shared" si="285"/>
        <v>2730975</v>
      </c>
      <c r="JB6" s="330">
        <f t="shared" si="285"/>
        <v>6000640</v>
      </c>
      <c r="JC6" s="329">
        <f t="shared" si="285"/>
        <v>3302917</v>
      </c>
      <c r="JD6" s="329">
        <f t="shared" si="285"/>
        <v>2297203</v>
      </c>
      <c r="JE6" s="329">
        <f t="shared" si="285"/>
        <v>394124</v>
      </c>
      <c r="JF6" s="329">
        <f t="shared" si="285"/>
        <v>433772</v>
      </c>
      <c r="JG6" s="330">
        <f t="shared" si="285"/>
        <v>518716</v>
      </c>
      <c r="JH6" s="329">
        <f t="shared" si="285"/>
        <v>214440</v>
      </c>
      <c r="JI6" s="329">
        <f t="shared" si="285"/>
        <v>304276</v>
      </c>
      <c r="JJ6" s="330">
        <f t="shared" si="285"/>
        <v>185511</v>
      </c>
      <c r="JK6" s="329">
        <f t="shared" si="285"/>
        <v>107545</v>
      </c>
      <c r="JL6" s="329">
        <f t="shared" si="285"/>
        <v>77966</v>
      </c>
      <c r="JM6" s="329">
        <f t="shared" si="285"/>
        <v>123669</v>
      </c>
      <c r="JN6" s="329">
        <f t="shared" si="285"/>
        <v>72139</v>
      </c>
      <c r="JO6" s="329">
        <f t="shared" si="285"/>
        <v>51530</v>
      </c>
      <c r="JP6" s="329">
        <f t="shared" si="285"/>
        <v>7662</v>
      </c>
      <c r="JQ6" s="329">
        <f t="shared" si="285"/>
        <v>5371</v>
      </c>
      <c r="JR6" s="329">
        <f t="shared" si="285"/>
        <v>2291</v>
      </c>
      <c r="JS6" s="329">
        <f t="shared" si="285"/>
        <v>116007</v>
      </c>
      <c r="JT6" s="329">
        <f t="shared" si="285"/>
        <v>66768</v>
      </c>
      <c r="JU6" s="329">
        <f t="shared" si="285"/>
        <v>49239</v>
      </c>
      <c r="JV6" s="307">
        <f t="shared" ref="JV6:ME6" si="286">SUM(JV8:JV23)</f>
        <v>10040337</v>
      </c>
      <c r="JW6" s="280">
        <f t="shared" si="286"/>
        <v>5439263</v>
      </c>
      <c r="JX6" s="280">
        <f t="shared" si="286"/>
        <v>4601074</v>
      </c>
      <c r="JY6" s="280">
        <f t="shared" si="286"/>
        <v>8777774</v>
      </c>
      <c r="JZ6" s="308">
        <f t="shared" si="286"/>
        <v>8484760</v>
      </c>
      <c r="KA6" s="329">
        <f t="shared" si="286"/>
        <v>4713398</v>
      </c>
      <c r="KB6" s="329">
        <f t="shared" si="286"/>
        <v>3771362</v>
      </c>
      <c r="KC6" s="329">
        <f t="shared" si="286"/>
        <v>725865</v>
      </c>
      <c r="KD6" s="329">
        <f t="shared" si="286"/>
        <v>829712</v>
      </c>
      <c r="KE6" s="280">
        <f t="shared" si="286"/>
        <v>891802</v>
      </c>
      <c r="KF6" s="308">
        <f t="shared" si="286"/>
        <v>884585</v>
      </c>
      <c r="KG6" s="329">
        <f t="shared" si="286"/>
        <v>358619</v>
      </c>
      <c r="KH6" s="329">
        <f t="shared" si="286"/>
        <v>525966</v>
      </c>
      <c r="KI6" s="309">
        <f t="shared" si="286"/>
        <v>377623</v>
      </c>
      <c r="KJ6" s="280">
        <f t="shared" si="286"/>
        <v>203698</v>
      </c>
      <c r="KK6" s="329">
        <f t="shared" si="286"/>
        <v>173925</v>
      </c>
      <c r="KL6" s="310">
        <f t="shared" si="286"/>
        <v>370761</v>
      </c>
      <c r="KM6" s="331">
        <f t="shared" si="286"/>
        <v>163548</v>
      </c>
      <c r="KN6" s="331">
        <f t="shared" si="286"/>
        <v>129821</v>
      </c>
      <c r="KO6" s="331">
        <f t="shared" si="286"/>
        <v>3090</v>
      </c>
      <c r="KP6" s="331">
        <f t="shared" si="286"/>
        <v>1699</v>
      </c>
      <c r="KQ6" s="331">
        <f t="shared" si="286"/>
        <v>1391</v>
      </c>
      <c r="KR6" s="331">
        <f t="shared" si="286"/>
        <v>290279</v>
      </c>
      <c r="KS6" s="331">
        <f t="shared" si="286"/>
        <v>161849</v>
      </c>
      <c r="KT6" s="331">
        <f t="shared" si="286"/>
        <v>128430</v>
      </c>
      <c r="KU6" s="329">
        <f t="shared" si="286"/>
        <v>19119</v>
      </c>
      <c r="KV6" s="329">
        <f t="shared" si="286"/>
        <v>16403</v>
      </c>
      <c r="KW6" s="329">
        <f t="shared" si="286"/>
        <v>142730</v>
      </c>
      <c r="KX6" s="329">
        <f t="shared" si="286"/>
        <v>112027</v>
      </c>
      <c r="KY6" s="332">
        <f t="shared" si="286"/>
        <v>14485625</v>
      </c>
      <c r="KZ6" s="280">
        <f t="shared" si="286"/>
        <v>7387571</v>
      </c>
      <c r="LA6" s="329">
        <f t="shared" si="286"/>
        <v>7098054</v>
      </c>
      <c r="LB6" s="311">
        <f t="shared" si="286"/>
        <v>12065217</v>
      </c>
      <c r="LC6" s="311">
        <f t="shared" si="286"/>
        <v>6305850</v>
      </c>
      <c r="LD6" s="311">
        <f t="shared" si="286"/>
        <v>5759367</v>
      </c>
      <c r="LE6" s="312">
        <f t="shared" si="286"/>
        <v>11493413</v>
      </c>
      <c r="LF6" s="329">
        <f t="shared" si="286"/>
        <v>6020933</v>
      </c>
      <c r="LG6" s="329">
        <f t="shared" si="286"/>
        <v>5472480</v>
      </c>
      <c r="LH6" s="312">
        <f t="shared" si="286"/>
        <v>1450142</v>
      </c>
      <c r="LI6" s="280">
        <f t="shared" si="286"/>
        <v>580771</v>
      </c>
      <c r="LJ6" s="329">
        <f t="shared" si="286"/>
        <v>869371</v>
      </c>
      <c r="LK6" s="312">
        <f t="shared" si="286"/>
        <v>764188</v>
      </c>
      <c r="LL6" s="329">
        <f t="shared" si="286"/>
        <v>378295</v>
      </c>
      <c r="LM6" s="280">
        <f t="shared" si="286"/>
        <v>385893</v>
      </c>
      <c r="LN6" s="312">
        <f t="shared" si="286"/>
        <v>970266</v>
      </c>
      <c r="LO6" s="312">
        <f t="shared" si="286"/>
        <v>500950</v>
      </c>
      <c r="LP6" s="312">
        <f t="shared" si="286"/>
        <v>469316</v>
      </c>
      <c r="LQ6" s="333">
        <f t="shared" si="286"/>
        <v>17544561</v>
      </c>
      <c r="LR6" s="280">
        <f t="shared" si="286"/>
        <v>14192470</v>
      </c>
      <c r="LS6" s="329">
        <f t="shared" si="286"/>
        <v>1922186</v>
      </c>
      <c r="LT6" s="329">
        <f t="shared" si="286"/>
        <v>1429905</v>
      </c>
      <c r="LU6" s="311">
        <f t="shared" si="286"/>
        <v>1190332</v>
      </c>
      <c r="LV6" s="307">
        <f t="shared" si="286"/>
        <v>18087547</v>
      </c>
      <c r="LW6" s="280">
        <f t="shared" si="286"/>
        <v>14599833</v>
      </c>
      <c r="LX6" s="280">
        <f t="shared" si="286"/>
        <v>2017001</v>
      </c>
      <c r="LY6" s="313">
        <f t="shared" si="286"/>
        <v>1470713</v>
      </c>
      <c r="LZ6" s="280">
        <f t="shared" si="286"/>
        <v>1267014</v>
      </c>
      <c r="MA6" s="307">
        <f t="shared" si="286"/>
        <v>18565217</v>
      </c>
      <c r="MB6" s="280">
        <f t="shared" si="286"/>
        <v>14962982</v>
      </c>
      <c r="MC6" s="280">
        <f t="shared" si="286"/>
        <v>2099292</v>
      </c>
      <c r="MD6" s="280">
        <f t="shared" si="286"/>
        <v>1502943</v>
      </c>
      <c r="ME6" s="280">
        <f t="shared" si="286"/>
        <v>1306464</v>
      </c>
      <c r="MF6" s="307">
        <f t="shared" ref="MF6:MJ6" si="287">SUM(MF8:MF23)</f>
        <v>19043404</v>
      </c>
      <c r="MG6" s="280">
        <f t="shared" si="287"/>
        <v>15211913</v>
      </c>
      <c r="MH6" s="280">
        <f t="shared" si="287"/>
        <v>2219508</v>
      </c>
      <c r="MI6" s="280">
        <f>SUM(MI8:MI23)</f>
        <v>1611983</v>
      </c>
      <c r="MJ6" s="280">
        <f t="shared" si="287"/>
        <v>1414066</v>
      </c>
      <c r="MK6" s="279">
        <f>SUM(MK8:MK23)</f>
        <v>19497608.986000001</v>
      </c>
      <c r="ML6" s="548">
        <f t="shared" ref="ML6:MO6" si="288">SUM(ML8:ML23)</f>
        <v>15533325.210000003</v>
      </c>
      <c r="MM6" s="548">
        <f t="shared" si="288"/>
        <v>2306118.3089999999</v>
      </c>
      <c r="MN6" s="548">
        <f t="shared" si="288"/>
        <v>1469405.8239999998</v>
      </c>
      <c r="MO6" s="548">
        <f t="shared" si="288"/>
        <v>1658165.4669999999</v>
      </c>
      <c r="MP6" s="548">
        <f t="shared" ref="MP6:MT6" si="289">SUM(MP8:MP23)</f>
        <v>20069858</v>
      </c>
      <c r="MQ6" s="548">
        <f t="shared" si="289"/>
        <v>15943447</v>
      </c>
      <c r="MR6" s="548">
        <f t="shared" si="289"/>
        <v>2401347</v>
      </c>
      <c r="MS6" s="548">
        <f t="shared" si="289"/>
        <v>1555885</v>
      </c>
      <c r="MT6" s="548">
        <f t="shared" si="289"/>
        <v>1723284</v>
      </c>
      <c r="MU6" s="548">
        <f t="shared" ref="MU6:MV6" si="290">SUM(MU8:MU23)</f>
        <v>20723020</v>
      </c>
      <c r="MV6" s="548">
        <f t="shared" si="290"/>
        <v>15018950</v>
      </c>
      <c r="MW6" s="548">
        <f t="shared" ref="MW6:MX6" si="291">SUM(MW8:MW23)</f>
        <v>2518196</v>
      </c>
      <c r="MX6" s="548">
        <f t="shared" si="291"/>
        <v>1641280</v>
      </c>
      <c r="MY6" s="548">
        <f t="shared" ref="MY6" si="292">SUM(MY8:MY23)</f>
        <v>1055747</v>
      </c>
      <c r="MZ6" s="307">
        <f>SUM(MZ8:MZ23)</f>
        <v>3467255</v>
      </c>
      <c r="NA6" s="280">
        <f t="shared" ref="NA6:ND6" si="293">SUM(NA8:NA23)</f>
        <v>3024325</v>
      </c>
      <c r="NB6" s="280">
        <f t="shared" si="293"/>
        <v>291881</v>
      </c>
      <c r="NC6" s="280">
        <f t="shared" si="293"/>
        <v>134791</v>
      </c>
      <c r="ND6" s="280">
        <f t="shared" si="293"/>
        <v>151049</v>
      </c>
      <c r="NE6" s="279">
        <f t="shared" ref="NE6:NJ6" si="294">SUM(NE8:NE23)</f>
        <v>5149245</v>
      </c>
      <c r="NF6" s="280">
        <f t="shared" si="294"/>
        <v>4286317</v>
      </c>
      <c r="NG6" s="280">
        <f t="shared" si="294"/>
        <v>469751</v>
      </c>
      <c r="NH6" s="280">
        <f t="shared" si="294"/>
        <v>280875</v>
      </c>
      <c r="NI6" s="280">
        <f t="shared" si="294"/>
        <v>393177</v>
      </c>
      <c r="NJ6" s="307">
        <f t="shared" si="294"/>
        <v>6859324</v>
      </c>
      <c r="NK6" s="548">
        <f t="shared" ref="NK6:NO6" si="295">SUM(NK8:NK23)</f>
        <v>5435115</v>
      </c>
      <c r="NL6" s="548">
        <f t="shared" si="295"/>
        <v>758257</v>
      </c>
      <c r="NM6" s="548">
        <f t="shared" si="295"/>
        <v>443513</v>
      </c>
      <c r="NN6" s="548">
        <f t="shared" si="295"/>
        <v>665952</v>
      </c>
      <c r="NO6" s="307">
        <f t="shared" si="295"/>
        <v>7059460.6730000004</v>
      </c>
      <c r="NP6" s="548">
        <f t="shared" ref="NP6:NS6" si="296">SUM(NP8:NP23)</f>
        <v>5585586.5249999994</v>
      </c>
      <c r="NQ6" s="548">
        <f t="shared" si="296"/>
        <v>794295.97400000005</v>
      </c>
      <c r="NR6" s="548">
        <f t="shared" si="296"/>
        <v>458840.27700000006</v>
      </c>
      <c r="NS6" s="627">
        <f t="shared" si="296"/>
        <v>679578.17399999977</v>
      </c>
      <c r="NT6" s="548">
        <f t="shared" ref="NT6:NU6" si="297">SUM(NT8:NT23)</f>
        <v>7312789</v>
      </c>
      <c r="NU6" s="548">
        <f t="shared" si="297"/>
        <v>5759082</v>
      </c>
      <c r="NV6" s="548">
        <f t="shared" ref="NV6:NW6" si="298">SUM(NV8:NV23)</f>
        <v>838317</v>
      </c>
      <c r="NW6" s="548">
        <f t="shared" si="298"/>
        <v>482302</v>
      </c>
      <c r="NX6" s="627">
        <f t="shared" ref="NX6:NY6" si="299">SUM(NX8:NX23)</f>
        <v>714949</v>
      </c>
      <c r="NY6" s="627">
        <f t="shared" si="299"/>
        <v>7596297</v>
      </c>
      <c r="NZ6" s="627">
        <f t="shared" ref="NZ6:OA6" si="300">SUM(NZ8:NZ23)</f>
        <v>5512447</v>
      </c>
      <c r="OA6" s="627">
        <f t="shared" si="300"/>
        <v>896967</v>
      </c>
      <c r="OB6" s="627">
        <f t="shared" ref="OB6:OC6" si="301">SUM(OB8:OB23)</f>
        <v>509465</v>
      </c>
      <c r="OC6" s="627">
        <f t="shared" si="301"/>
        <v>760532</v>
      </c>
    </row>
    <row r="7" spans="1:393" s="1" customFormat="1" x14ac:dyDescent="0.2">
      <c r="A7" s="247" t="s">
        <v>182</v>
      </c>
      <c r="B7" s="249"/>
      <c r="C7" s="334"/>
      <c r="D7" s="334"/>
      <c r="E7" s="334"/>
      <c r="F7" s="335"/>
      <c r="G7" s="334"/>
      <c r="H7" s="334"/>
      <c r="I7" s="334"/>
      <c r="J7" s="334"/>
      <c r="K7" s="335"/>
      <c r="L7" s="334"/>
      <c r="M7" s="334"/>
      <c r="N7" s="334"/>
      <c r="O7" s="334"/>
      <c r="P7" s="335"/>
      <c r="Q7" s="346"/>
      <c r="R7" s="346"/>
      <c r="S7" s="346"/>
      <c r="T7" s="346"/>
      <c r="U7" s="614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249"/>
      <c r="AG7" s="334"/>
      <c r="AH7" s="334"/>
      <c r="AI7" s="334"/>
      <c r="AJ7" s="335"/>
      <c r="AK7" s="334"/>
      <c r="AL7" s="334"/>
      <c r="AM7" s="334"/>
      <c r="AN7" s="334"/>
      <c r="AO7" s="335"/>
      <c r="AP7" s="334"/>
      <c r="AQ7" s="334"/>
      <c r="AR7" s="334"/>
      <c r="AS7" s="334"/>
      <c r="AT7" s="335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49"/>
      <c r="BF7" s="334"/>
      <c r="BG7" s="334"/>
      <c r="BH7" s="334"/>
      <c r="BI7" s="583"/>
      <c r="BJ7" s="249"/>
      <c r="BK7" s="334"/>
      <c r="BL7" s="334"/>
      <c r="BM7" s="334"/>
      <c r="BN7" s="249"/>
      <c r="BO7" s="334"/>
      <c r="BP7" s="334"/>
      <c r="BQ7" s="334"/>
      <c r="BR7" s="335"/>
      <c r="BS7" s="334"/>
      <c r="BT7" s="334"/>
      <c r="BU7" s="334"/>
      <c r="BV7" s="334"/>
      <c r="BW7" s="335"/>
      <c r="BX7" s="334"/>
      <c r="BY7" s="334"/>
      <c r="BZ7" s="334"/>
      <c r="CA7" s="334"/>
      <c r="CB7" s="334"/>
      <c r="CC7" s="336"/>
      <c r="CD7" s="334"/>
      <c r="CE7" s="334"/>
      <c r="CF7" s="334"/>
      <c r="CG7" s="334"/>
      <c r="CH7" s="249"/>
      <c r="CI7" s="334"/>
      <c r="CJ7" s="334"/>
      <c r="CK7" s="334"/>
      <c r="CL7" s="334"/>
      <c r="CM7" s="337"/>
      <c r="CN7" s="338"/>
      <c r="CO7" s="338"/>
      <c r="CP7" s="338"/>
      <c r="CQ7" s="338"/>
      <c r="CR7" s="249"/>
      <c r="CS7" s="334"/>
      <c r="CT7" s="334"/>
      <c r="CU7" s="334"/>
      <c r="CV7" s="334"/>
      <c r="CW7" s="249"/>
      <c r="CX7" s="334"/>
      <c r="CY7" s="334"/>
      <c r="CZ7" s="334"/>
      <c r="DA7" s="289"/>
      <c r="DB7" s="583"/>
      <c r="DC7" s="583"/>
      <c r="DD7" s="583"/>
      <c r="DE7" s="583"/>
      <c r="DF7" s="583"/>
      <c r="DG7" s="583"/>
      <c r="DH7" s="583"/>
      <c r="DI7" s="583"/>
      <c r="DJ7" s="583"/>
      <c r="DK7" s="583"/>
      <c r="DL7" s="249"/>
      <c r="DM7" s="334"/>
      <c r="DN7" s="334"/>
      <c r="DO7" s="334"/>
      <c r="DP7" s="335"/>
      <c r="DQ7" s="334"/>
      <c r="DR7" s="334"/>
      <c r="DS7" s="334"/>
      <c r="DT7" s="334"/>
      <c r="DU7" s="335"/>
      <c r="DV7" s="334"/>
      <c r="DW7" s="334"/>
      <c r="DX7" s="334"/>
      <c r="DY7" s="334"/>
      <c r="DZ7" s="335"/>
      <c r="EA7" s="334"/>
      <c r="EB7" s="334"/>
      <c r="EC7" s="334"/>
      <c r="ED7" s="334"/>
      <c r="EE7" s="335"/>
      <c r="EF7" s="334"/>
      <c r="EG7" s="334"/>
      <c r="EH7" s="334"/>
      <c r="EI7" s="334"/>
      <c r="EJ7" s="335"/>
      <c r="EK7" s="251"/>
      <c r="EL7" s="251"/>
      <c r="EM7" s="251"/>
      <c r="EN7" s="251"/>
      <c r="EO7" s="251"/>
      <c r="EP7" s="251"/>
      <c r="EQ7" s="251"/>
      <c r="ER7" s="251"/>
      <c r="ES7" s="251"/>
      <c r="ET7" s="251"/>
      <c r="EU7" s="249"/>
      <c r="EV7" s="334"/>
      <c r="EW7" s="334"/>
      <c r="EX7" s="334"/>
      <c r="EY7" s="335"/>
      <c r="EZ7" s="334"/>
      <c r="FA7" s="334"/>
      <c r="FB7" s="334"/>
      <c r="FC7" s="334"/>
      <c r="FD7" s="335"/>
      <c r="FE7" s="511"/>
      <c r="FF7" s="220"/>
      <c r="FG7" s="220"/>
      <c r="FH7" s="220"/>
      <c r="FI7" s="220"/>
      <c r="FJ7" s="511"/>
      <c r="FK7" s="220"/>
      <c r="FL7" s="220"/>
      <c r="FM7" s="220"/>
      <c r="FN7" s="663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609"/>
      <c r="FZ7" s="280"/>
      <c r="GA7" s="280"/>
      <c r="GB7" s="280"/>
      <c r="GC7" s="280"/>
      <c r="GD7" s="307"/>
      <c r="GE7" s="280"/>
      <c r="GF7" s="280"/>
      <c r="GG7" s="280"/>
      <c r="GH7" s="280"/>
      <c r="GI7" s="511"/>
      <c r="GJ7" s="220"/>
      <c r="GK7" s="220"/>
      <c r="GL7" s="220"/>
      <c r="GM7" s="220"/>
      <c r="GN7" s="597"/>
      <c r="GO7" s="598"/>
      <c r="GP7" s="598"/>
      <c r="GQ7" s="598"/>
      <c r="GR7" s="598"/>
      <c r="GS7" s="598"/>
      <c r="GT7" s="598"/>
      <c r="GU7" s="598"/>
      <c r="GV7" s="598"/>
      <c r="GW7" s="722"/>
      <c r="GX7" s="598"/>
      <c r="GY7" s="598"/>
      <c r="GZ7" s="598"/>
      <c r="HA7" s="598"/>
      <c r="HB7" s="598"/>
      <c r="HC7" s="249"/>
      <c r="HD7" s="334"/>
      <c r="HE7" s="334"/>
      <c r="HF7" s="334"/>
      <c r="HG7" s="334"/>
      <c r="HH7" s="249"/>
      <c r="HI7" s="334"/>
      <c r="HJ7" s="334"/>
      <c r="HK7" s="334"/>
      <c r="HL7" s="251"/>
      <c r="HM7" s="511"/>
      <c r="HN7" s="220"/>
      <c r="HO7" s="220"/>
      <c r="HP7" s="220"/>
      <c r="HQ7" s="220"/>
      <c r="HR7" s="511"/>
      <c r="HS7" s="220"/>
      <c r="HT7" s="220"/>
      <c r="HU7" s="220"/>
      <c r="HV7" s="220"/>
      <c r="HW7" s="220"/>
      <c r="HX7" s="220"/>
      <c r="HY7" s="220"/>
      <c r="HZ7" s="220"/>
      <c r="IA7" s="220"/>
      <c r="IB7" s="249"/>
      <c r="IC7" s="334"/>
      <c r="ID7" s="339"/>
      <c r="IE7" s="340"/>
      <c r="IF7" s="340"/>
      <c r="IG7" s="340"/>
      <c r="IH7" s="340"/>
      <c r="II7" s="340"/>
      <c r="IJ7" s="340"/>
      <c r="IK7" s="340"/>
      <c r="IL7" s="341"/>
      <c r="IM7" s="340"/>
      <c r="IN7" s="340"/>
      <c r="IO7" s="340"/>
      <c r="IP7" s="340"/>
      <c r="IQ7" s="340"/>
      <c r="IR7" s="340"/>
      <c r="IS7" s="340"/>
      <c r="IT7" s="340"/>
      <c r="IU7" s="340"/>
      <c r="IV7" s="340"/>
      <c r="IW7" s="340"/>
      <c r="IX7" s="340"/>
      <c r="IY7" s="340"/>
      <c r="IZ7" s="340"/>
      <c r="JA7" s="340"/>
      <c r="JB7" s="334"/>
      <c r="JC7" s="340"/>
      <c r="JD7" s="340"/>
      <c r="JE7" s="340"/>
      <c r="JF7" s="340"/>
      <c r="JG7" s="334"/>
      <c r="JH7" s="340"/>
      <c r="JI7" s="340"/>
      <c r="JJ7" s="334"/>
      <c r="JK7" s="340"/>
      <c r="JL7" s="340"/>
      <c r="JM7" s="340"/>
      <c r="JN7" s="340"/>
      <c r="JO7" s="340"/>
      <c r="JP7" s="342"/>
      <c r="JQ7" s="342"/>
      <c r="JR7" s="342"/>
      <c r="JS7" s="340"/>
      <c r="JT7" s="340"/>
      <c r="JU7" s="340"/>
      <c r="JV7" s="249"/>
      <c r="JW7" s="340"/>
      <c r="JX7" s="340"/>
      <c r="JY7" s="334"/>
      <c r="JZ7" s="334"/>
      <c r="KA7" s="340"/>
      <c r="KB7" s="340"/>
      <c r="KC7" s="340"/>
      <c r="KD7" s="340"/>
      <c r="KE7" s="334"/>
      <c r="KF7" s="334"/>
      <c r="KG7" s="340"/>
      <c r="KH7" s="340"/>
      <c r="KI7" s="334"/>
      <c r="KJ7" s="341"/>
      <c r="KK7" s="340"/>
      <c r="KL7" s="335"/>
      <c r="KM7" s="343"/>
      <c r="KN7" s="343"/>
      <c r="KO7" s="344"/>
      <c r="KP7" s="344"/>
      <c r="KQ7" s="344"/>
      <c r="KR7" s="343"/>
      <c r="KS7" s="343"/>
      <c r="KT7" s="343"/>
      <c r="KU7" s="340"/>
      <c r="KV7" s="340"/>
      <c r="KW7" s="340"/>
      <c r="KX7" s="340"/>
      <c r="KY7" s="345"/>
      <c r="KZ7" s="340"/>
      <c r="LA7" s="340"/>
      <c r="LB7" s="346"/>
      <c r="LC7" s="346"/>
      <c r="LD7" s="346"/>
      <c r="LE7" s="347"/>
      <c r="LF7" s="340"/>
      <c r="LG7" s="340"/>
      <c r="LH7" s="348"/>
      <c r="LI7" s="340"/>
      <c r="LJ7" s="340"/>
      <c r="LK7" s="348"/>
      <c r="LL7" s="340"/>
      <c r="LM7" s="340"/>
      <c r="LN7" s="348"/>
      <c r="LO7" s="64"/>
      <c r="LP7" s="64"/>
      <c r="LQ7" s="349"/>
      <c r="LR7" s="340"/>
      <c r="LS7" s="340"/>
      <c r="LT7" s="340"/>
      <c r="LU7" s="346"/>
      <c r="LV7" s="249"/>
      <c r="LW7" s="334"/>
      <c r="LX7" s="334"/>
      <c r="LY7" s="334"/>
      <c r="LZ7" s="334"/>
      <c r="MA7" s="337"/>
      <c r="MB7" s="220"/>
      <c r="MC7" s="220"/>
      <c r="MD7" s="220"/>
      <c r="ME7" s="220"/>
      <c r="MF7" s="511"/>
      <c r="MG7" s="220"/>
      <c r="MH7" s="220"/>
      <c r="MI7" s="220"/>
      <c r="MJ7" s="220"/>
      <c r="MK7" s="249"/>
      <c r="ML7" s="334"/>
      <c r="MM7" s="334"/>
      <c r="MN7" s="334"/>
      <c r="MO7" s="251"/>
      <c r="MP7" s="251"/>
      <c r="MQ7" s="251"/>
      <c r="MR7" s="251"/>
      <c r="MS7" s="251"/>
      <c r="MT7" s="251"/>
      <c r="MU7" s="251"/>
      <c r="MV7" s="251"/>
      <c r="MW7" s="251"/>
      <c r="MX7" s="251"/>
      <c r="MY7" s="251"/>
      <c r="MZ7" s="249"/>
      <c r="NA7" s="334"/>
      <c r="NB7" s="334"/>
      <c r="NC7" s="334"/>
      <c r="ND7" s="334"/>
      <c r="NE7" s="249"/>
      <c r="NF7" s="334"/>
      <c r="NG7" s="334"/>
      <c r="NH7" s="334"/>
      <c r="NI7" s="251"/>
      <c r="NJ7" s="249"/>
      <c r="NK7" s="334"/>
      <c r="NL7" s="334"/>
      <c r="NM7" s="334"/>
      <c r="NN7" s="251"/>
      <c r="NO7" s="249"/>
      <c r="NP7" s="334"/>
      <c r="NQ7" s="334"/>
      <c r="NR7" s="334"/>
      <c r="NS7" s="335"/>
      <c r="NT7" s="2"/>
      <c r="NU7" s="2"/>
      <c r="NV7" s="2"/>
      <c r="NW7" s="2"/>
      <c r="NX7" s="79"/>
      <c r="NY7" s="2"/>
      <c r="NZ7" s="2"/>
      <c r="OA7" s="2"/>
    </row>
    <row r="8" spans="1:393" ht="14.25" x14ac:dyDescent="0.2">
      <c r="A8" s="239" t="s">
        <v>0</v>
      </c>
      <c r="B8" s="201">
        <f>77648+122695+64035+64029+144819+80651</f>
        <v>553877</v>
      </c>
      <c r="C8" s="63">
        <f>39751+87956+50793+30784+97656+60823</f>
        <v>367763</v>
      </c>
      <c r="D8" s="63">
        <f>36649+33151+12618+32112+45049+18751</f>
        <v>178330</v>
      </c>
      <c r="E8" s="63">
        <f>951+1066+442+659+1386+720</f>
        <v>5224</v>
      </c>
      <c r="F8" s="319">
        <f>153+339+146+139+137+36+122+269+215+336+428+129</f>
        <v>2449</v>
      </c>
      <c r="G8" s="7">
        <v>348848</v>
      </c>
      <c r="H8" s="63">
        <v>235969</v>
      </c>
      <c r="I8" s="63">
        <v>109577</v>
      </c>
      <c r="J8" s="63">
        <v>1421</v>
      </c>
      <c r="K8" s="319">
        <v>3302</v>
      </c>
      <c r="L8" s="7">
        <v>240333</v>
      </c>
      <c r="M8" s="63">
        <v>159182</v>
      </c>
      <c r="N8" s="63">
        <v>71586</v>
      </c>
      <c r="O8" s="63">
        <v>8919</v>
      </c>
      <c r="P8" s="319">
        <v>9565</v>
      </c>
      <c r="Q8" s="9">
        <v>196368</v>
      </c>
      <c r="R8" s="600">
        <v>131140</v>
      </c>
      <c r="S8" s="600">
        <v>50373</v>
      </c>
      <c r="T8" s="600">
        <v>27143</v>
      </c>
      <c r="U8" s="615">
        <v>14855</v>
      </c>
      <c r="V8" s="600">
        <v>183636</v>
      </c>
      <c r="W8" s="5">
        <v>121652</v>
      </c>
      <c r="X8" s="600">
        <v>46431</v>
      </c>
      <c r="Y8" s="600">
        <v>29152</v>
      </c>
      <c r="Z8" s="600">
        <v>15543</v>
      </c>
      <c r="AA8" s="600">
        <v>170230</v>
      </c>
      <c r="AB8" s="600">
        <v>97617</v>
      </c>
      <c r="AC8" s="600">
        <v>43547</v>
      </c>
      <c r="AD8" s="600">
        <v>24686</v>
      </c>
      <c r="AE8" s="726">
        <v>15122</v>
      </c>
      <c r="AF8" s="201">
        <v>494790</v>
      </c>
      <c r="AG8" s="63">
        <v>348248</v>
      </c>
      <c r="AH8" s="63">
        <v>142874</v>
      </c>
      <c r="AI8" s="63">
        <v>1814</v>
      </c>
      <c r="AJ8" s="319">
        <v>3668</v>
      </c>
      <c r="AK8" s="7">
        <v>473748</v>
      </c>
      <c r="AL8" s="63">
        <v>316543</v>
      </c>
      <c r="AM8" s="63">
        <v>145741</v>
      </c>
      <c r="AN8" s="63">
        <v>6795</v>
      </c>
      <c r="AO8" s="319">
        <v>11464</v>
      </c>
      <c r="AP8" s="7">
        <v>371325</v>
      </c>
      <c r="AQ8" s="63">
        <v>241267</v>
      </c>
      <c r="AR8" s="63">
        <v>117987</v>
      </c>
      <c r="AS8" s="63">
        <v>13039</v>
      </c>
      <c r="AT8" s="319">
        <v>12071</v>
      </c>
      <c r="AU8" s="63">
        <v>360496</v>
      </c>
      <c r="AV8" s="63">
        <v>230197</v>
      </c>
      <c r="AW8" s="63">
        <v>116712</v>
      </c>
      <c r="AX8" s="63">
        <v>13349</v>
      </c>
      <c r="AY8" s="63">
        <v>13421</v>
      </c>
      <c r="AZ8" s="63">
        <v>351467</v>
      </c>
      <c r="BA8" s="63">
        <v>215886</v>
      </c>
      <c r="BB8" s="63">
        <v>114310</v>
      </c>
      <c r="BC8" s="63">
        <v>13561</v>
      </c>
      <c r="BD8" s="63">
        <v>12842</v>
      </c>
      <c r="BE8" s="14">
        <v>560877</v>
      </c>
      <c r="BF8" s="63">
        <v>365535</v>
      </c>
      <c r="BG8" s="63">
        <v>166040</v>
      </c>
      <c r="BH8" s="63">
        <v>42691</v>
      </c>
      <c r="BI8" s="584">
        <f>BE8-BF8-BG8</f>
        <v>29302</v>
      </c>
      <c r="BJ8" s="350">
        <v>212672</v>
      </c>
      <c r="BK8" s="351">
        <v>328435</v>
      </c>
      <c r="BL8" s="351">
        <v>506507</v>
      </c>
      <c r="BM8" s="351">
        <v>746492</v>
      </c>
      <c r="BN8" s="14">
        <v>1252783</v>
      </c>
      <c r="BO8" s="63">
        <v>1039210.708</v>
      </c>
      <c r="BP8" s="63">
        <v>198545.56800000003</v>
      </c>
      <c r="BQ8" s="63">
        <v>7727.3480000000009</v>
      </c>
      <c r="BR8" s="319">
        <v>6723.5380000000005</v>
      </c>
      <c r="BS8" s="7">
        <v>1702331</v>
      </c>
      <c r="BT8" s="63">
        <v>1379566</v>
      </c>
      <c r="BU8" s="63">
        <v>304197</v>
      </c>
      <c r="BV8" s="63">
        <v>9110</v>
      </c>
      <c r="BW8" s="319">
        <v>18568</v>
      </c>
      <c r="BX8" s="7">
        <v>2173319</v>
      </c>
      <c r="BY8" s="63">
        <v>1682209</v>
      </c>
      <c r="BZ8" s="63">
        <v>439906</v>
      </c>
      <c r="CA8" s="63">
        <v>20772</v>
      </c>
      <c r="CB8" s="63">
        <v>51204</v>
      </c>
      <c r="CC8" s="352">
        <v>2411872</v>
      </c>
      <c r="CD8" s="63">
        <v>1823574</v>
      </c>
      <c r="CE8" s="63">
        <v>525986</v>
      </c>
      <c r="CF8" s="63">
        <v>62312</v>
      </c>
      <c r="CG8" s="63">
        <v>32093</v>
      </c>
      <c r="CH8" s="201">
        <v>2468260</v>
      </c>
      <c r="CI8" s="63">
        <v>1858547</v>
      </c>
      <c r="CJ8" s="63">
        <v>544093</v>
      </c>
      <c r="CK8" s="7">
        <v>65620</v>
      </c>
      <c r="CL8" s="63">
        <v>34148</v>
      </c>
      <c r="CM8" s="66">
        <v>2512780</v>
      </c>
      <c r="CN8" s="64">
        <v>1882304</v>
      </c>
      <c r="CO8" s="64">
        <v>558916</v>
      </c>
      <c r="CP8" s="64">
        <v>71560</v>
      </c>
      <c r="CQ8" s="64">
        <v>37972</v>
      </c>
      <c r="CR8" s="14">
        <v>2574611</v>
      </c>
      <c r="CS8" s="63">
        <v>1915041</v>
      </c>
      <c r="CT8" s="63">
        <v>580741</v>
      </c>
      <c r="CU8" s="63">
        <v>46174</v>
      </c>
      <c r="CV8" s="63">
        <v>54660</v>
      </c>
      <c r="CW8" s="14">
        <v>2607918.2849999997</v>
      </c>
      <c r="CX8" s="63">
        <v>1931129.7599999998</v>
      </c>
      <c r="CY8" s="63">
        <v>592892.85</v>
      </c>
      <c r="CZ8" s="63">
        <v>48920.274000000005</v>
      </c>
      <c r="DA8" s="621">
        <f>CW8-CX8-CY8</f>
        <v>83895.67499999993</v>
      </c>
      <c r="DB8" s="63">
        <v>2647872</v>
      </c>
      <c r="DC8" s="63">
        <v>1957215</v>
      </c>
      <c r="DD8" s="63">
        <v>607417</v>
      </c>
      <c r="DE8" s="63">
        <v>52554</v>
      </c>
      <c r="DF8" s="63">
        <v>82473</v>
      </c>
      <c r="DG8" s="63">
        <v>2691555</v>
      </c>
      <c r="DH8" s="63">
        <v>1943078</v>
      </c>
      <c r="DI8" s="63">
        <v>620869</v>
      </c>
      <c r="DJ8" s="63">
        <v>57220</v>
      </c>
      <c r="DK8" s="63">
        <v>55853</v>
      </c>
      <c r="DL8" s="14">
        <f>141126+137079</f>
        <v>278205</v>
      </c>
      <c r="DM8" s="63">
        <f>118474+108771</f>
        <v>227245</v>
      </c>
      <c r="DN8" s="63">
        <f>20734+26717</f>
        <v>47451</v>
      </c>
      <c r="DO8" s="63">
        <f>989+817</f>
        <v>1806</v>
      </c>
      <c r="DP8" s="319">
        <f>367+331+244+456</f>
        <v>1398</v>
      </c>
      <c r="DQ8" s="7">
        <v>553512</v>
      </c>
      <c r="DR8" s="63">
        <v>439009</v>
      </c>
      <c r="DS8" s="63">
        <v>108703</v>
      </c>
      <c r="DT8" s="63">
        <v>3344</v>
      </c>
      <c r="DU8" s="319">
        <v>5800</v>
      </c>
      <c r="DV8" s="7">
        <v>746495</v>
      </c>
      <c r="DW8" s="63">
        <v>564883</v>
      </c>
      <c r="DX8" s="63">
        <v>163437</v>
      </c>
      <c r="DY8" s="63">
        <v>7570</v>
      </c>
      <c r="DZ8" s="319">
        <v>18175</v>
      </c>
      <c r="EA8" s="7">
        <v>900383</v>
      </c>
      <c r="EB8" s="63">
        <v>652737</v>
      </c>
      <c r="EC8" s="63">
        <v>223109</v>
      </c>
      <c r="ED8" s="63">
        <v>13499</v>
      </c>
      <c r="EE8" s="319">
        <v>24537</v>
      </c>
      <c r="EF8" s="7">
        <v>925288.1399999999</v>
      </c>
      <c r="EG8" s="63">
        <v>666699.55999999994</v>
      </c>
      <c r="EH8" s="63">
        <v>230485.19999999998</v>
      </c>
      <c r="EI8" s="63">
        <v>15024.203999999998</v>
      </c>
      <c r="EJ8" s="319">
        <v>28103.379999999976</v>
      </c>
      <c r="EK8" s="63">
        <v>936979</v>
      </c>
      <c r="EL8" s="63">
        <v>676209</v>
      </c>
      <c r="EM8" s="63">
        <v>234439</v>
      </c>
      <c r="EN8" s="63">
        <v>16135</v>
      </c>
      <c r="EO8" s="661">
        <v>25991</v>
      </c>
      <c r="EP8" s="661">
        <v>955715</v>
      </c>
      <c r="EQ8" s="661">
        <v>673748</v>
      </c>
      <c r="ER8" s="661">
        <v>241646</v>
      </c>
      <c r="ES8" s="661">
        <v>17114</v>
      </c>
      <c r="ET8" s="661">
        <v>28278</v>
      </c>
      <c r="EU8" s="14">
        <v>126450</v>
      </c>
      <c r="EV8" s="63">
        <v>95690</v>
      </c>
      <c r="EW8" s="63">
        <v>29227</v>
      </c>
      <c r="EX8" s="63">
        <v>793</v>
      </c>
      <c r="EY8" s="319">
        <v>1533</v>
      </c>
      <c r="EZ8" s="7">
        <v>155440</v>
      </c>
      <c r="FA8" s="63">
        <v>115166</v>
      </c>
      <c r="FB8" s="63">
        <v>35853</v>
      </c>
      <c r="FC8" s="63">
        <v>1602</v>
      </c>
      <c r="FD8" s="319">
        <v>4421</v>
      </c>
      <c r="FE8" s="201">
        <v>219390</v>
      </c>
      <c r="FF8" s="63">
        <v>158887</v>
      </c>
      <c r="FG8" s="63">
        <v>53603</v>
      </c>
      <c r="FH8" s="63">
        <v>3124</v>
      </c>
      <c r="FI8" s="63">
        <v>6900</v>
      </c>
      <c r="FJ8" s="201"/>
      <c r="FK8" s="63"/>
      <c r="FL8" s="63"/>
      <c r="FM8" s="63"/>
      <c r="FN8" s="319"/>
      <c r="FO8" s="63">
        <v>234239</v>
      </c>
      <c r="FP8" s="63">
        <v>168020</v>
      </c>
      <c r="FQ8" s="63">
        <v>58603</v>
      </c>
      <c r="FR8" s="63">
        <v>4057</v>
      </c>
      <c r="FS8" s="63">
        <v>7566</v>
      </c>
      <c r="FT8" s="63">
        <v>244391</v>
      </c>
      <c r="FU8" s="63">
        <v>170894</v>
      </c>
      <c r="FV8" s="63">
        <v>62355</v>
      </c>
      <c r="FW8" s="63">
        <v>4141</v>
      </c>
      <c r="FX8" s="63">
        <v>8172</v>
      </c>
      <c r="FY8" s="609">
        <f t="shared" ref="FY8:GH8" si="302">EU8+HC8+MZ8</f>
        <v>525678</v>
      </c>
      <c r="FZ8" s="584">
        <f t="shared" si="302"/>
        <v>436075</v>
      </c>
      <c r="GA8" s="584">
        <f t="shared" si="302"/>
        <v>80850</v>
      </c>
      <c r="GB8" s="584">
        <f t="shared" si="302"/>
        <v>3279</v>
      </c>
      <c r="GC8" s="584">
        <f t="shared" si="302"/>
        <v>8753</v>
      </c>
      <c r="GD8" s="609">
        <f t="shared" si="302"/>
        <v>705048</v>
      </c>
      <c r="GE8" s="584">
        <f t="shared" si="302"/>
        <v>572433</v>
      </c>
      <c r="GF8" s="584">
        <f t="shared" si="302"/>
        <v>111449</v>
      </c>
      <c r="GG8" s="584">
        <f t="shared" si="302"/>
        <v>6922</v>
      </c>
      <c r="GH8" s="584">
        <f t="shared" si="302"/>
        <v>21166</v>
      </c>
      <c r="GI8" s="201">
        <v>778599</v>
      </c>
      <c r="GJ8" s="63">
        <v>613039</v>
      </c>
      <c r="GK8" s="63">
        <v>135781</v>
      </c>
      <c r="GL8" s="63">
        <v>11731</v>
      </c>
      <c r="GM8" s="63">
        <v>29779</v>
      </c>
      <c r="GN8" s="599"/>
      <c r="GO8" s="600"/>
      <c r="GP8" s="600"/>
      <c r="GQ8" s="600"/>
      <c r="GR8" s="600"/>
      <c r="GS8" s="600">
        <v>952240</v>
      </c>
      <c r="GT8" s="600">
        <v>740873</v>
      </c>
      <c r="GU8" s="600">
        <v>173233</v>
      </c>
      <c r="GV8" s="600">
        <v>15358</v>
      </c>
      <c r="GW8" s="615">
        <v>37886</v>
      </c>
      <c r="GX8" s="600">
        <v>3193083</v>
      </c>
      <c r="GY8" s="600">
        <v>748277</v>
      </c>
      <c r="GZ8" s="600">
        <v>183073</v>
      </c>
      <c r="HA8" s="600">
        <v>16597</v>
      </c>
      <c r="HB8" s="600">
        <v>24738</v>
      </c>
      <c r="HC8" s="14">
        <v>258231</v>
      </c>
      <c r="HD8" s="7">
        <v>220946</v>
      </c>
      <c r="HE8" s="7">
        <v>33780</v>
      </c>
      <c r="HF8" s="7">
        <v>1551</v>
      </c>
      <c r="HG8" s="7">
        <v>3505</v>
      </c>
      <c r="HH8" s="14">
        <v>351772</v>
      </c>
      <c r="HI8" s="63">
        <v>293705</v>
      </c>
      <c r="HJ8" s="63">
        <v>49467</v>
      </c>
      <c r="HK8" s="63">
        <v>3209</v>
      </c>
      <c r="HL8" s="63">
        <v>8600</v>
      </c>
      <c r="HM8" s="201">
        <v>443185</v>
      </c>
      <c r="HN8" s="63">
        <v>356558</v>
      </c>
      <c r="HO8" s="63">
        <v>70125</v>
      </c>
      <c r="HP8" s="63">
        <v>7026</v>
      </c>
      <c r="HQ8" s="63">
        <v>16502</v>
      </c>
      <c r="HR8" s="201">
        <v>446800.09499999997</v>
      </c>
      <c r="HS8" s="63">
        <v>358638.38400000002</v>
      </c>
      <c r="HT8" s="63">
        <v>70510.275000000009</v>
      </c>
      <c r="HU8" s="63">
        <v>7420.491</v>
      </c>
      <c r="HV8" s="63">
        <v>17651.435999999943</v>
      </c>
      <c r="HW8" s="63">
        <v>465326</v>
      </c>
      <c r="HX8" s="63">
        <v>365186</v>
      </c>
      <c r="HY8" s="63">
        <v>76270</v>
      </c>
      <c r="HZ8" s="63">
        <v>8396</v>
      </c>
      <c r="IA8" s="63">
        <v>17635</v>
      </c>
      <c r="IB8" s="353">
        <v>38960</v>
      </c>
      <c r="IC8" s="354">
        <v>56840</v>
      </c>
      <c r="ID8" s="339">
        <v>95131</v>
      </c>
      <c r="IE8" s="355">
        <f t="shared" ref="IE8:IE23" si="303">+IH8+IK8</f>
        <v>52834</v>
      </c>
      <c r="IF8" s="355">
        <f t="shared" ref="IF8:IF23" si="304">+II8+IL8</f>
        <v>42297</v>
      </c>
      <c r="IG8" s="355">
        <f t="shared" ref="IG8:IG23" si="305">+IH8+II8</f>
        <v>82310</v>
      </c>
      <c r="IH8" s="341">
        <v>48526</v>
      </c>
      <c r="II8" s="341">
        <v>33784</v>
      </c>
      <c r="IJ8" s="355">
        <f t="shared" ref="IJ8:IJ23" si="306">+IK8+IL8</f>
        <v>12821</v>
      </c>
      <c r="IK8" s="341">
        <v>4308</v>
      </c>
      <c r="IL8" s="341">
        <v>8513</v>
      </c>
      <c r="IM8" s="339">
        <v>142580</v>
      </c>
      <c r="IN8" s="355">
        <f t="shared" ref="IN8:IN23" si="307">+IQ8+IT8+IW8</f>
        <v>81133</v>
      </c>
      <c r="IO8" s="355">
        <f t="shared" ref="IO8:IO23" si="308">+IR8+IU8+IX8</f>
        <v>61447</v>
      </c>
      <c r="IP8" s="355">
        <f t="shared" ref="IP8:IP23" si="309">+IQ8+IR8</f>
        <v>125103</v>
      </c>
      <c r="IQ8" s="341">
        <v>74785</v>
      </c>
      <c r="IR8" s="341">
        <v>50318</v>
      </c>
      <c r="IS8" s="355">
        <f t="shared" ref="IS8:IS23" si="310">+IT8+IU8</f>
        <v>16342</v>
      </c>
      <c r="IT8" s="341">
        <v>5565</v>
      </c>
      <c r="IU8" s="341">
        <v>10777</v>
      </c>
      <c r="IV8" s="355">
        <f t="shared" ref="IV8:IV23" si="311">+IW8+IX8</f>
        <v>1135</v>
      </c>
      <c r="IW8" s="341">
        <v>783</v>
      </c>
      <c r="IX8" s="341">
        <v>352</v>
      </c>
      <c r="IY8" s="339">
        <v>270063</v>
      </c>
      <c r="IZ8" s="355">
        <f t="shared" ref="IZ8:IZ23" si="312">+JC8+JH8+JK8+JN8</f>
        <v>152401</v>
      </c>
      <c r="JA8" s="355">
        <f t="shared" ref="JA8:JA23" si="313">+JD8+JI8+JL8+JO8</f>
        <v>117662</v>
      </c>
      <c r="JB8" s="63">
        <f>136672+94383</f>
        <v>231055</v>
      </c>
      <c r="JC8" s="341">
        <v>136672</v>
      </c>
      <c r="JD8" s="341">
        <v>94383</v>
      </c>
      <c r="JE8" s="341">
        <v>15729</v>
      </c>
      <c r="JF8" s="341">
        <v>23279</v>
      </c>
      <c r="JG8" s="63">
        <f>21473+13200</f>
        <v>34673</v>
      </c>
      <c r="JH8" s="341">
        <v>13200</v>
      </c>
      <c r="JI8" s="341">
        <v>21473</v>
      </c>
      <c r="JJ8" s="63">
        <f>940+689</f>
        <v>1629</v>
      </c>
      <c r="JK8" s="341">
        <v>940</v>
      </c>
      <c r="JL8" s="341">
        <v>689</v>
      </c>
      <c r="JM8" s="356">
        <f t="shared" ref="JM8:JM23" si="314">+JN8+JO8</f>
        <v>2706</v>
      </c>
      <c r="JN8" s="356">
        <f t="shared" ref="JN8:JN23" si="315">+JQ8+JT8</f>
        <v>1589</v>
      </c>
      <c r="JO8" s="356">
        <f t="shared" ref="JO8:JO23" si="316">+JR8+JU8</f>
        <v>1117</v>
      </c>
      <c r="JP8" s="357">
        <f t="shared" ref="JP8:JP23" si="317">+JQ8+JR8</f>
        <v>314</v>
      </c>
      <c r="JQ8" s="357">
        <f t="shared" ref="JQ8:JQ23" si="318">+JE8-JH8-JK8-JT8</f>
        <v>216</v>
      </c>
      <c r="JR8" s="357">
        <f t="shared" ref="JR8:JR23" si="319">+JF8-JI8-JL8-JU8</f>
        <v>98</v>
      </c>
      <c r="JS8" s="341">
        <v>2392</v>
      </c>
      <c r="JT8" s="341">
        <v>1373</v>
      </c>
      <c r="JU8" s="341">
        <v>1019</v>
      </c>
      <c r="JV8" s="16">
        <f t="shared" ref="JV8:JV23" si="320">+HC8+MZ8</f>
        <v>399228</v>
      </c>
      <c r="JW8" s="355">
        <f t="shared" ref="JW8:JW23" si="321">+KA8+KG8+KJ8+KM8</f>
        <v>214018</v>
      </c>
      <c r="JX8" s="355">
        <f t="shared" ref="JX8:JX23" si="322">+KB8+KH8+KK8+KN8</f>
        <v>185210</v>
      </c>
      <c r="JY8" s="15">
        <f t="shared" ref="JY8:JY23" si="323">+HD8+NA8</f>
        <v>340385</v>
      </c>
      <c r="JZ8" s="151">
        <f t="shared" ref="JZ8:JZ23" si="324">+KA8+KB8</f>
        <v>338539</v>
      </c>
      <c r="KA8" s="341">
        <v>189371</v>
      </c>
      <c r="KB8" s="341">
        <v>149168</v>
      </c>
      <c r="KC8" s="341">
        <v>24647</v>
      </c>
      <c r="KD8" s="341">
        <v>36042</v>
      </c>
      <c r="KE8" s="15">
        <f t="shared" ref="KE8:KE23" si="325">+HE8+NB8</f>
        <v>51623</v>
      </c>
      <c r="KF8" s="151">
        <f t="shared" ref="KF8:KF23" si="326">+KG8+KH8</f>
        <v>51446</v>
      </c>
      <c r="KG8" s="341">
        <v>19026</v>
      </c>
      <c r="KH8" s="341">
        <v>32420</v>
      </c>
      <c r="KI8" s="15">
        <f t="shared" ref="KI8:KI23" si="327">+KJ8+KK8</f>
        <v>2486</v>
      </c>
      <c r="KJ8" s="341">
        <v>1485</v>
      </c>
      <c r="KK8" s="341">
        <v>1001</v>
      </c>
      <c r="KL8" s="13">
        <f t="shared" ref="KL8:KL23" si="328">+HG8+ND8</f>
        <v>7220</v>
      </c>
      <c r="KM8" s="358">
        <f t="shared" ref="KM8:KM23" si="329">+KP8+KS8</f>
        <v>4136</v>
      </c>
      <c r="KN8" s="358">
        <f t="shared" ref="KN8:KN23" si="330">+KQ8+KT8</f>
        <v>2621</v>
      </c>
      <c r="KO8" s="359">
        <f t="shared" ref="KO8:KO23" si="331">+KP8+KQ8</f>
        <v>72</v>
      </c>
      <c r="KP8" s="359">
        <f t="shared" ref="KP8:KP23" si="332">+KC8-KG8-KJ8-KS8</f>
        <v>52</v>
      </c>
      <c r="KQ8" s="359">
        <f t="shared" ref="KQ8:KQ23" si="333">+KD8-KH8-KK8-KT8</f>
        <v>20</v>
      </c>
      <c r="KR8" s="360">
        <f t="shared" ref="KR8:KR23" si="334">+KS8+KT8</f>
        <v>6685</v>
      </c>
      <c r="KS8" s="360">
        <f t="shared" ref="KS8:KS23" si="335">+KU8+KW8</f>
        <v>4084</v>
      </c>
      <c r="KT8" s="360">
        <f t="shared" ref="KT8:KT23" si="336">+KV8+KX8</f>
        <v>2601</v>
      </c>
      <c r="KU8" s="341">
        <v>696</v>
      </c>
      <c r="KV8" s="341">
        <v>473</v>
      </c>
      <c r="KW8" s="341">
        <v>3388</v>
      </c>
      <c r="KX8" s="341">
        <v>2128</v>
      </c>
      <c r="KY8" s="361">
        <v>549608</v>
      </c>
      <c r="KZ8" s="341">
        <v>274406</v>
      </c>
      <c r="LA8" s="341">
        <v>275202</v>
      </c>
      <c r="LB8" s="9">
        <f t="shared" ref="LB8:LB23" si="337">+HI8+NF8</f>
        <v>457267</v>
      </c>
      <c r="LC8" s="9">
        <v>238172</v>
      </c>
      <c r="LD8" s="9">
        <v>219095</v>
      </c>
      <c r="LE8" s="140">
        <f t="shared" ref="LE8:LE23" si="338">+LF8+LG8</f>
        <v>453632</v>
      </c>
      <c r="LF8" s="341">
        <v>236309</v>
      </c>
      <c r="LG8" s="341">
        <v>217323</v>
      </c>
      <c r="LH8" s="9">
        <f t="shared" ref="LH8:LH23" si="339">+LI8+LJ8</f>
        <v>75596</v>
      </c>
      <c r="LI8" s="341">
        <v>27458</v>
      </c>
      <c r="LJ8" s="341">
        <v>48138</v>
      </c>
      <c r="LK8" s="9">
        <f t="shared" ref="LK8:LK23" si="340">+LL8+LM8</f>
        <v>5320</v>
      </c>
      <c r="LL8" s="341">
        <v>2753</v>
      </c>
      <c r="LM8" s="341">
        <v>2567</v>
      </c>
      <c r="LN8" s="140">
        <f t="shared" ref="LN8:LN23" si="341">+KY8-LB8-LH8</f>
        <v>16745</v>
      </c>
      <c r="LO8" s="140">
        <f t="shared" ref="LO8:LO23" si="342">+KZ8-LC8-LI8</f>
        <v>8776</v>
      </c>
      <c r="LP8" s="140">
        <f t="shared" ref="LP8:LP23" si="343">+LA8-LD8-LJ8</f>
        <v>7969</v>
      </c>
      <c r="LQ8" s="349">
        <v>637662</v>
      </c>
      <c r="LR8" s="341">
        <v>518731</v>
      </c>
      <c r="LS8" s="341">
        <v>96951</v>
      </c>
      <c r="LT8" s="341">
        <v>21980</v>
      </c>
      <c r="LU8" s="9">
        <v>7464</v>
      </c>
      <c r="LV8" s="201">
        <v>656325</v>
      </c>
      <c r="LW8" s="63">
        <v>531350</v>
      </c>
      <c r="LX8" s="63">
        <v>101979</v>
      </c>
      <c r="LY8" s="7">
        <v>22996</v>
      </c>
      <c r="LZ8" s="63">
        <v>7537</v>
      </c>
      <c r="MA8" s="201">
        <v>672968</v>
      </c>
      <c r="MB8" s="63">
        <v>544278</v>
      </c>
      <c r="MC8" s="63">
        <v>103636</v>
      </c>
      <c r="MD8" s="7">
        <v>25054</v>
      </c>
      <c r="ME8" s="63">
        <v>8667</v>
      </c>
      <c r="MF8" s="201">
        <v>688050</v>
      </c>
      <c r="MG8" s="63">
        <v>552279</v>
      </c>
      <c r="MH8" s="63">
        <v>106720</v>
      </c>
      <c r="MI8" s="63">
        <v>29051</v>
      </c>
      <c r="MJ8" s="63">
        <v>9873</v>
      </c>
      <c r="MK8" s="14">
        <v>700303.69499999995</v>
      </c>
      <c r="ML8" s="63">
        <v>560947.21600000001</v>
      </c>
      <c r="MM8" s="63">
        <v>109935.37500000001</v>
      </c>
      <c r="MN8" s="63">
        <v>10810.098</v>
      </c>
      <c r="MO8" s="63">
        <v>29421.103999999919</v>
      </c>
      <c r="MP8" s="63">
        <v>718001</v>
      </c>
      <c r="MQ8" s="63">
        <v>572853</v>
      </c>
      <c r="MR8" s="63">
        <v>114630</v>
      </c>
      <c r="MS8" s="63">
        <v>11301</v>
      </c>
      <c r="MT8" s="2">
        <v>30320</v>
      </c>
      <c r="MU8" s="2">
        <v>739414</v>
      </c>
      <c r="MV8" s="2">
        <v>577383</v>
      </c>
      <c r="MW8" s="2">
        <v>120718</v>
      </c>
      <c r="MX8" s="2">
        <v>12456</v>
      </c>
      <c r="MY8" s="2">
        <v>19424</v>
      </c>
      <c r="MZ8" s="14">
        <v>140997</v>
      </c>
      <c r="NA8" s="7">
        <v>119439</v>
      </c>
      <c r="NB8" s="7">
        <v>17843</v>
      </c>
      <c r="NC8" s="7">
        <v>935</v>
      </c>
      <c r="ND8" s="7">
        <v>3715</v>
      </c>
      <c r="NE8" s="14">
        <v>197836</v>
      </c>
      <c r="NF8" s="63">
        <v>163562</v>
      </c>
      <c r="NG8" s="63">
        <v>26129</v>
      </c>
      <c r="NH8" s="63">
        <v>2111</v>
      </c>
      <c r="NI8" s="63">
        <v>8145</v>
      </c>
      <c r="NJ8" s="14">
        <v>244865</v>
      </c>
      <c r="NK8" s="63">
        <v>195721</v>
      </c>
      <c r="NL8" s="63">
        <v>36595</v>
      </c>
      <c r="NM8" s="63">
        <v>2847</v>
      </c>
      <c r="NN8" s="63">
        <v>12549</v>
      </c>
      <c r="NO8" s="14">
        <v>253503.6</v>
      </c>
      <c r="NP8" s="63">
        <v>202308.83200000002</v>
      </c>
      <c r="NQ8" s="63">
        <v>39425.100000000006</v>
      </c>
      <c r="NR8" s="63">
        <v>3389.6070000000004</v>
      </c>
      <c r="NS8" s="319">
        <v>11769.667999999976</v>
      </c>
      <c r="NT8" s="1">
        <v>265550</v>
      </c>
      <c r="NU8" s="2">
        <v>208816</v>
      </c>
      <c r="NV8" s="2">
        <v>42518</v>
      </c>
      <c r="NW8" s="2">
        <v>3639</v>
      </c>
      <c r="NX8" s="79">
        <v>14168</v>
      </c>
      <c r="NY8" s="2">
        <v>274088</v>
      </c>
      <c r="NZ8" s="2">
        <v>212197</v>
      </c>
      <c r="OA8" s="2">
        <v>44448</v>
      </c>
      <c r="OB8" s="2">
        <v>4060</v>
      </c>
      <c r="OC8" s="2">
        <v>14122</v>
      </c>
    </row>
    <row r="9" spans="1:393" ht="14.25" x14ac:dyDescent="0.2">
      <c r="A9" s="239" t="s">
        <v>1</v>
      </c>
      <c r="B9" s="201">
        <f>47172+65010+63889+34186+68897+79516</f>
        <v>358670</v>
      </c>
      <c r="C9" s="63">
        <f>31361+51940+56670+21075+50969+67561</f>
        <v>279576</v>
      </c>
      <c r="D9" s="63">
        <f>14956+12331+6508+12197+16762+10949</f>
        <v>73703</v>
      </c>
      <c r="E9" s="63">
        <f>484+374+312+359+458+435</f>
        <v>2422</v>
      </c>
      <c r="F9" s="319">
        <f>271+288+280+89+77+117+280+357+402+275+332+153</f>
        <v>2921</v>
      </c>
      <c r="G9" s="7">
        <v>227633</v>
      </c>
      <c r="H9" s="63">
        <v>179843</v>
      </c>
      <c r="I9" s="63">
        <v>44394</v>
      </c>
      <c r="J9" s="63">
        <v>2079</v>
      </c>
      <c r="K9" s="319">
        <v>3396</v>
      </c>
      <c r="L9" s="7">
        <v>162464</v>
      </c>
      <c r="M9" s="63">
        <v>121627</v>
      </c>
      <c r="N9" s="63">
        <v>27602</v>
      </c>
      <c r="O9" s="63">
        <v>14517</v>
      </c>
      <c r="P9" s="319">
        <v>13235</v>
      </c>
      <c r="Q9" s="9">
        <v>127823</v>
      </c>
      <c r="R9" s="600">
        <v>93586</v>
      </c>
      <c r="S9" s="600">
        <v>17496</v>
      </c>
      <c r="T9" s="600">
        <v>25380</v>
      </c>
      <c r="U9" s="615">
        <v>16741</v>
      </c>
      <c r="V9" s="600">
        <v>117886</v>
      </c>
      <c r="W9" s="5">
        <v>85992</v>
      </c>
      <c r="X9" s="600">
        <v>16344</v>
      </c>
      <c r="Y9" s="600">
        <v>27706</v>
      </c>
      <c r="Z9" s="600">
        <v>15205</v>
      </c>
      <c r="AA9" s="600">
        <v>113716</v>
      </c>
      <c r="AB9" s="600">
        <v>65437</v>
      </c>
      <c r="AC9" s="600">
        <v>15339</v>
      </c>
      <c r="AD9" s="600">
        <v>28353</v>
      </c>
      <c r="AE9" s="726">
        <v>15058</v>
      </c>
      <c r="AF9" s="201">
        <v>275848</v>
      </c>
      <c r="AG9" s="63">
        <v>222462</v>
      </c>
      <c r="AH9" s="63">
        <v>50113</v>
      </c>
      <c r="AI9" s="63">
        <v>1641</v>
      </c>
      <c r="AJ9" s="319">
        <v>3273</v>
      </c>
      <c r="AK9" s="7">
        <v>264985</v>
      </c>
      <c r="AL9" s="63">
        <v>203853</v>
      </c>
      <c r="AM9" s="63">
        <v>49742</v>
      </c>
      <c r="AN9" s="63">
        <v>8998</v>
      </c>
      <c r="AO9" s="319">
        <v>11390</v>
      </c>
      <c r="AP9" s="7">
        <v>205325</v>
      </c>
      <c r="AQ9" s="63">
        <v>151598</v>
      </c>
      <c r="AR9" s="63">
        <v>40975</v>
      </c>
      <c r="AS9" s="63">
        <v>17323</v>
      </c>
      <c r="AT9" s="319">
        <v>12752</v>
      </c>
      <c r="AU9" s="63">
        <v>197227</v>
      </c>
      <c r="AV9" s="63">
        <v>146008</v>
      </c>
      <c r="AW9" s="63">
        <v>38170</v>
      </c>
      <c r="AX9" s="63">
        <v>17752</v>
      </c>
      <c r="AY9" s="63">
        <v>12761</v>
      </c>
      <c r="AZ9" s="63">
        <v>194500</v>
      </c>
      <c r="BA9" s="63">
        <v>133431</v>
      </c>
      <c r="BB9" s="63">
        <v>38264</v>
      </c>
      <c r="BC9" s="63">
        <v>17116</v>
      </c>
      <c r="BD9" s="63">
        <v>12731</v>
      </c>
      <c r="BE9" s="14">
        <v>324972</v>
      </c>
      <c r="BF9" s="63">
        <v>239636</v>
      </c>
      <c r="BG9" s="63">
        <v>56534</v>
      </c>
      <c r="BH9" s="63">
        <v>44404</v>
      </c>
      <c r="BI9" s="584">
        <f t="shared" ref="BI9:BI23" si="344">BE9-BF9-BG9</f>
        <v>28802</v>
      </c>
      <c r="BJ9" s="350">
        <v>144575</v>
      </c>
      <c r="BK9" s="351">
        <v>212135</v>
      </c>
      <c r="BL9" s="351">
        <v>278619</v>
      </c>
      <c r="BM9" s="351">
        <v>422363</v>
      </c>
      <c r="BN9" s="14">
        <v>741481</v>
      </c>
      <c r="BO9" s="63">
        <v>668504.80000000005</v>
      </c>
      <c r="BP9" s="63">
        <v>63328.356</v>
      </c>
      <c r="BQ9" s="63">
        <v>3640.3119999999999</v>
      </c>
      <c r="BR9" s="319">
        <v>5956.4079999999994</v>
      </c>
      <c r="BS9" s="7">
        <v>992669</v>
      </c>
      <c r="BT9" s="63">
        <v>880612</v>
      </c>
      <c r="BU9" s="63">
        <v>100551</v>
      </c>
      <c r="BV9" s="63">
        <v>5377</v>
      </c>
      <c r="BW9" s="319">
        <v>11506</v>
      </c>
      <c r="BX9" s="7">
        <v>1303751</v>
      </c>
      <c r="BY9" s="63">
        <v>1118029</v>
      </c>
      <c r="BZ9" s="63">
        <v>148641</v>
      </c>
      <c r="CA9" s="63">
        <v>16504</v>
      </c>
      <c r="CB9" s="63">
        <v>37081</v>
      </c>
      <c r="CC9" s="352">
        <v>1485371</v>
      </c>
      <c r="CD9" s="63">
        <v>1244550</v>
      </c>
      <c r="CE9" s="63">
        <v>188107</v>
      </c>
      <c r="CF9" s="63">
        <v>52714</v>
      </c>
      <c r="CG9" s="63">
        <v>31664</v>
      </c>
      <c r="CH9" s="201">
        <v>1512740</v>
      </c>
      <c r="CI9" s="63">
        <v>1267437</v>
      </c>
      <c r="CJ9" s="63">
        <v>191230</v>
      </c>
      <c r="CK9" s="63">
        <v>54073</v>
      </c>
      <c r="CL9" s="63">
        <v>33941</v>
      </c>
      <c r="CM9" s="66">
        <v>1545311</v>
      </c>
      <c r="CN9" s="64">
        <v>1292975</v>
      </c>
      <c r="CO9" s="64">
        <v>195520</v>
      </c>
      <c r="CP9" s="64">
        <v>56816</v>
      </c>
      <c r="CQ9" s="64">
        <v>36386</v>
      </c>
      <c r="CR9" s="14">
        <v>1570953</v>
      </c>
      <c r="CS9" s="63">
        <v>1309590</v>
      </c>
      <c r="CT9" s="63">
        <v>202677</v>
      </c>
      <c r="CU9" s="63">
        <v>39654</v>
      </c>
      <c r="CV9" s="63">
        <v>39986</v>
      </c>
      <c r="CW9" s="14">
        <v>1596016.13</v>
      </c>
      <c r="CX9" s="63">
        <v>1326610.362</v>
      </c>
      <c r="CY9" s="63">
        <v>209147.80799999996</v>
      </c>
      <c r="CZ9" s="63">
        <v>42575.273999999998</v>
      </c>
      <c r="DA9" s="621">
        <f t="shared" ref="DA9:DA23" si="345">CW9-CX9-CY9</f>
        <v>60257.959999999963</v>
      </c>
      <c r="DB9" s="63">
        <v>1623562</v>
      </c>
      <c r="DC9" s="63">
        <v>1345579</v>
      </c>
      <c r="DD9" s="63">
        <v>214193</v>
      </c>
      <c r="DE9" s="63">
        <v>45555</v>
      </c>
      <c r="DF9" s="63">
        <v>61773</v>
      </c>
      <c r="DG9" s="63">
        <v>1642842</v>
      </c>
      <c r="DH9" s="63">
        <v>1325021</v>
      </c>
      <c r="DI9" s="63">
        <v>216572</v>
      </c>
      <c r="DJ9" s="63">
        <v>49413</v>
      </c>
      <c r="DK9" s="63">
        <v>42801</v>
      </c>
      <c r="DL9" s="14">
        <f>76335+77040</f>
        <v>153375</v>
      </c>
      <c r="DM9" s="63">
        <f>68960+68655</f>
        <v>137615</v>
      </c>
      <c r="DN9" s="63">
        <f>6514+6948</f>
        <v>13462</v>
      </c>
      <c r="DO9" s="63">
        <f>496+417</f>
        <v>913</v>
      </c>
      <c r="DP9" s="319">
        <f>455+254+359+256</f>
        <v>1324</v>
      </c>
      <c r="DQ9" s="7">
        <v>303795</v>
      </c>
      <c r="DR9" s="63">
        <v>268322</v>
      </c>
      <c r="DS9" s="63">
        <v>31402</v>
      </c>
      <c r="DT9" s="63">
        <v>2033</v>
      </c>
      <c r="DU9" s="319">
        <v>4071</v>
      </c>
      <c r="DV9" s="7">
        <v>424907</v>
      </c>
      <c r="DW9" s="63">
        <v>361323</v>
      </c>
      <c r="DX9" s="63">
        <v>50654</v>
      </c>
      <c r="DY9" s="63">
        <v>5481</v>
      </c>
      <c r="DZ9" s="319">
        <v>12930</v>
      </c>
      <c r="EA9" s="7">
        <v>542540</v>
      </c>
      <c r="EB9" s="63">
        <v>446188</v>
      </c>
      <c r="EC9" s="63">
        <v>76590</v>
      </c>
      <c r="ED9" s="63">
        <v>11332</v>
      </c>
      <c r="EE9" s="319">
        <v>19762</v>
      </c>
      <c r="EF9" s="7">
        <v>546106.72399999993</v>
      </c>
      <c r="EG9" s="63">
        <v>447946.35600000003</v>
      </c>
      <c r="EH9" s="63">
        <v>77766.887999999992</v>
      </c>
      <c r="EI9" s="63">
        <v>12189.240000000002</v>
      </c>
      <c r="EJ9" s="319">
        <v>20393.479999999909</v>
      </c>
      <c r="EK9" s="63">
        <v>551433</v>
      </c>
      <c r="EL9" s="63">
        <v>452528</v>
      </c>
      <c r="EM9" s="63">
        <v>77658</v>
      </c>
      <c r="EN9" s="63">
        <v>13168</v>
      </c>
      <c r="EO9" s="661">
        <v>20694</v>
      </c>
      <c r="EP9" s="661">
        <v>550297</v>
      </c>
      <c r="EQ9" s="661">
        <v>440250</v>
      </c>
      <c r="ER9" s="661">
        <v>77516</v>
      </c>
      <c r="ES9" s="661">
        <v>15565</v>
      </c>
      <c r="ET9" s="661">
        <v>21126</v>
      </c>
      <c r="EU9" s="14">
        <v>54695</v>
      </c>
      <c r="EV9" s="63">
        <v>47575</v>
      </c>
      <c r="EW9" s="63">
        <v>6106</v>
      </c>
      <c r="EX9" s="63">
        <v>424</v>
      </c>
      <c r="EY9" s="319">
        <v>1014</v>
      </c>
      <c r="EZ9" s="7">
        <v>69578</v>
      </c>
      <c r="FA9" s="63">
        <v>59021</v>
      </c>
      <c r="FB9" s="63">
        <v>8170</v>
      </c>
      <c r="FC9" s="63">
        <v>911</v>
      </c>
      <c r="FD9" s="319">
        <v>2387</v>
      </c>
      <c r="FE9" s="201">
        <v>114590</v>
      </c>
      <c r="FF9" s="63">
        <v>93907</v>
      </c>
      <c r="FG9" s="63">
        <v>16186</v>
      </c>
      <c r="FH9" s="63">
        <v>2935</v>
      </c>
      <c r="FI9" s="63">
        <v>4497</v>
      </c>
      <c r="FJ9" s="201"/>
      <c r="FK9" s="63"/>
      <c r="FL9" s="63"/>
      <c r="FM9" s="63"/>
      <c r="FN9" s="319"/>
      <c r="FO9" s="63">
        <v>117981</v>
      </c>
      <c r="FP9" s="63">
        <v>96195</v>
      </c>
      <c r="FQ9" s="63">
        <v>17531</v>
      </c>
      <c r="FR9" s="63">
        <v>3210</v>
      </c>
      <c r="FS9" s="63">
        <v>4207</v>
      </c>
      <c r="FT9" s="63">
        <v>116085</v>
      </c>
      <c r="FU9" s="63">
        <v>92368</v>
      </c>
      <c r="FV9" s="63">
        <v>16148</v>
      </c>
      <c r="FW9" s="63">
        <v>4124</v>
      </c>
      <c r="FX9" s="63">
        <v>4333</v>
      </c>
      <c r="FY9" s="609">
        <f t="shared" ref="FY9:FY23" si="346">EU9+HC9+MZ9</f>
        <v>253999</v>
      </c>
      <c r="FZ9" s="584">
        <f t="shared" ref="FZ9:FZ23" si="347">EV9+HD9+NA9</f>
        <v>227886</v>
      </c>
      <c r="GA9" s="584">
        <f t="shared" ref="GA9:GA23" si="348">EW9+HE9+NB9</f>
        <v>22411</v>
      </c>
      <c r="GB9" s="584">
        <f t="shared" ref="GB9:GB23" si="349">EX9+HF9+NC9</f>
        <v>1433</v>
      </c>
      <c r="GC9" s="584">
        <f t="shared" ref="GC9:GC23" si="350">EY9+HG9+ND9</f>
        <v>3702</v>
      </c>
      <c r="GD9" s="609">
        <f t="shared" ref="GD9:GD23" si="351">EZ9+HH9+NE9</f>
        <v>358006</v>
      </c>
      <c r="GE9" s="584">
        <f t="shared" ref="GE9:GE23" si="352">FA9+HI9+NF9</f>
        <v>315561</v>
      </c>
      <c r="GF9" s="584">
        <f t="shared" ref="GF9:GF23" si="353">FB9+HJ9+NG9</f>
        <v>31268</v>
      </c>
      <c r="GG9" s="584">
        <f t="shared" ref="GG9:GG23" si="354">FC9+HK9+NH9</f>
        <v>3755</v>
      </c>
      <c r="GH9" s="584">
        <f t="shared" ref="GH9:GH23" si="355">FD9+HL9+NI9</f>
        <v>11177</v>
      </c>
      <c r="GI9" s="201">
        <v>415526</v>
      </c>
      <c r="GJ9" s="63">
        <v>354975</v>
      </c>
      <c r="GK9" s="63">
        <v>42333</v>
      </c>
      <c r="GL9" s="63">
        <v>8881</v>
      </c>
      <c r="GM9" s="63">
        <v>18218</v>
      </c>
      <c r="GN9" s="599"/>
      <c r="GO9" s="600"/>
      <c r="GP9" s="600"/>
      <c r="GQ9" s="600"/>
      <c r="GR9" s="600"/>
      <c r="GS9" s="600">
        <v>510244</v>
      </c>
      <c r="GT9" s="600">
        <v>432666</v>
      </c>
      <c r="GU9" s="600">
        <v>54061</v>
      </c>
      <c r="GV9" s="600">
        <v>11393</v>
      </c>
      <c r="GW9" s="615">
        <v>23376</v>
      </c>
      <c r="GX9" s="600">
        <v>1816723</v>
      </c>
      <c r="GY9" s="600">
        <v>432184</v>
      </c>
      <c r="GZ9" s="600">
        <v>53782</v>
      </c>
      <c r="HA9" s="600">
        <v>12242</v>
      </c>
      <c r="HB9" s="600">
        <v>15939</v>
      </c>
      <c r="HC9" s="14">
        <v>132712</v>
      </c>
      <c r="HD9" s="7">
        <v>119838</v>
      </c>
      <c r="HE9" s="7">
        <v>11414</v>
      </c>
      <c r="HF9" s="7">
        <v>587</v>
      </c>
      <c r="HG9" s="7">
        <v>1460</v>
      </c>
      <c r="HH9" s="14">
        <v>190427</v>
      </c>
      <c r="HI9" s="63">
        <v>169547</v>
      </c>
      <c r="HJ9" s="63">
        <v>15950</v>
      </c>
      <c r="HK9" s="63">
        <v>1757</v>
      </c>
      <c r="HL9" s="63">
        <v>4930</v>
      </c>
      <c r="HM9" s="201">
        <v>243362</v>
      </c>
      <c r="HN9" s="63">
        <v>210705</v>
      </c>
      <c r="HO9" s="63">
        <v>22208</v>
      </c>
      <c r="HP9" s="63">
        <v>4780</v>
      </c>
      <c r="HQ9" s="63">
        <v>10449</v>
      </c>
      <c r="HR9" s="201">
        <v>249978.43000000002</v>
      </c>
      <c r="HS9" s="63">
        <v>214575.70199999996</v>
      </c>
      <c r="HT9" s="63">
        <v>24152.856</v>
      </c>
      <c r="HU9" s="63">
        <v>5311.0259999999998</v>
      </c>
      <c r="HV9" s="63">
        <v>11249.872000000061</v>
      </c>
      <c r="HW9" s="63">
        <v>263636</v>
      </c>
      <c r="HX9" s="63">
        <v>222160</v>
      </c>
      <c r="HY9" s="63">
        <v>26290</v>
      </c>
      <c r="HZ9" s="63">
        <v>5212</v>
      </c>
      <c r="IA9" s="63">
        <v>11553</v>
      </c>
      <c r="IB9" s="353">
        <v>21584</v>
      </c>
      <c r="IC9" s="354">
        <v>31210</v>
      </c>
      <c r="ID9" s="339">
        <v>46166</v>
      </c>
      <c r="IE9" s="355">
        <f t="shared" si="303"/>
        <v>26586</v>
      </c>
      <c r="IF9" s="355">
        <f t="shared" si="304"/>
        <v>19580</v>
      </c>
      <c r="IG9" s="355">
        <f t="shared" si="305"/>
        <v>42398</v>
      </c>
      <c r="IH9" s="341">
        <v>25138</v>
      </c>
      <c r="II9" s="341">
        <v>17260</v>
      </c>
      <c r="IJ9" s="355">
        <f t="shared" si="306"/>
        <v>3768</v>
      </c>
      <c r="IK9" s="341">
        <v>1448</v>
      </c>
      <c r="IL9" s="341">
        <v>2320</v>
      </c>
      <c r="IM9" s="339">
        <v>70529</v>
      </c>
      <c r="IN9" s="355">
        <f t="shared" si="307"/>
        <v>39776</v>
      </c>
      <c r="IO9" s="355">
        <f t="shared" si="308"/>
        <v>30753</v>
      </c>
      <c r="IP9" s="355">
        <f t="shared" si="309"/>
        <v>65067</v>
      </c>
      <c r="IQ9" s="341">
        <v>37574</v>
      </c>
      <c r="IR9" s="341">
        <v>27493</v>
      </c>
      <c r="IS9" s="355">
        <f t="shared" si="310"/>
        <v>5021</v>
      </c>
      <c r="IT9" s="341">
        <v>1946</v>
      </c>
      <c r="IU9" s="341">
        <v>3075</v>
      </c>
      <c r="IV9" s="355">
        <f t="shared" si="311"/>
        <v>441</v>
      </c>
      <c r="IW9" s="341">
        <v>256</v>
      </c>
      <c r="IX9" s="341">
        <v>185</v>
      </c>
      <c r="IY9" s="339">
        <v>144677</v>
      </c>
      <c r="IZ9" s="355">
        <f t="shared" si="312"/>
        <v>81595</v>
      </c>
      <c r="JA9" s="355">
        <f t="shared" si="313"/>
        <v>63082</v>
      </c>
      <c r="JB9" s="63">
        <f>56193+75936</f>
        <v>132129</v>
      </c>
      <c r="JC9" s="341">
        <v>75936</v>
      </c>
      <c r="JD9" s="341">
        <v>56193</v>
      </c>
      <c r="JE9" s="341">
        <v>5659</v>
      </c>
      <c r="JF9" s="341">
        <v>6889</v>
      </c>
      <c r="JG9" s="63">
        <f>4412+6082</f>
        <v>10494</v>
      </c>
      <c r="JH9" s="341">
        <v>4412</v>
      </c>
      <c r="JI9" s="341">
        <v>6082</v>
      </c>
      <c r="JJ9" s="63">
        <f>269+369</f>
        <v>638</v>
      </c>
      <c r="JK9" s="341">
        <v>369</v>
      </c>
      <c r="JL9" s="341">
        <v>269</v>
      </c>
      <c r="JM9" s="356">
        <f t="shared" si="314"/>
        <v>1416</v>
      </c>
      <c r="JN9" s="356">
        <f t="shared" si="315"/>
        <v>878</v>
      </c>
      <c r="JO9" s="356">
        <f t="shared" si="316"/>
        <v>538</v>
      </c>
      <c r="JP9" s="357">
        <f t="shared" si="317"/>
        <v>61</v>
      </c>
      <c r="JQ9" s="357">
        <f t="shared" si="318"/>
        <v>30</v>
      </c>
      <c r="JR9" s="357">
        <f t="shared" si="319"/>
        <v>31</v>
      </c>
      <c r="JS9" s="341">
        <v>1355</v>
      </c>
      <c r="JT9" s="341">
        <v>848</v>
      </c>
      <c r="JU9" s="341">
        <v>507</v>
      </c>
      <c r="JV9" s="16">
        <f t="shared" si="320"/>
        <v>199304</v>
      </c>
      <c r="JW9" s="355">
        <f t="shared" si="321"/>
        <v>104715</v>
      </c>
      <c r="JX9" s="355">
        <f t="shared" si="322"/>
        <v>94589</v>
      </c>
      <c r="JY9" s="15">
        <f t="shared" si="323"/>
        <v>180311</v>
      </c>
      <c r="JZ9" s="151">
        <f t="shared" si="324"/>
        <v>179572</v>
      </c>
      <c r="KA9" s="341">
        <v>96351</v>
      </c>
      <c r="KB9" s="341">
        <v>83221</v>
      </c>
      <c r="KC9" s="341">
        <v>8364</v>
      </c>
      <c r="KD9" s="341">
        <v>11368</v>
      </c>
      <c r="KE9" s="15">
        <f t="shared" si="325"/>
        <v>16305</v>
      </c>
      <c r="KF9" s="151">
        <f t="shared" si="326"/>
        <v>16254</v>
      </c>
      <c r="KG9" s="341">
        <v>6386</v>
      </c>
      <c r="KH9" s="341">
        <v>9868</v>
      </c>
      <c r="KI9" s="15">
        <f t="shared" si="327"/>
        <v>1009</v>
      </c>
      <c r="KJ9" s="341">
        <v>579</v>
      </c>
      <c r="KK9" s="341">
        <v>430</v>
      </c>
      <c r="KL9" s="13">
        <f t="shared" si="328"/>
        <v>2688</v>
      </c>
      <c r="KM9" s="358">
        <f t="shared" si="329"/>
        <v>1399</v>
      </c>
      <c r="KN9" s="358">
        <f t="shared" si="330"/>
        <v>1070</v>
      </c>
      <c r="KO9" s="359">
        <f t="shared" si="331"/>
        <v>39</v>
      </c>
      <c r="KP9" s="359">
        <f t="shared" si="332"/>
        <v>17</v>
      </c>
      <c r="KQ9" s="359">
        <f t="shared" si="333"/>
        <v>22</v>
      </c>
      <c r="KR9" s="360">
        <f t="shared" si="334"/>
        <v>2430</v>
      </c>
      <c r="KS9" s="360">
        <f t="shared" si="335"/>
        <v>1382</v>
      </c>
      <c r="KT9" s="360">
        <f t="shared" si="336"/>
        <v>1048</v>
      </c>
      <c r="KU9" s="341">
        <v>475</v>
      </c>
      <c r="KV9" s="341">
        <v>353</v>
      </c>
      <c r="KW9" s="341">
        <v>907</v>
      </c>
      <c r="KX9" s="341">
        <v>695</v>
      </c>
      <c r="KY9" s="361">
        <v>288428</v>
      </c>
      <c r="KZ9" s="341">
        <v>143658</v>
      </c>
      <c r="LA9" s="341">
        <v>144770</v>
      </c>
      <c r="LB9" s="9">
        <f t="shared" si="337"/>
        <v>256540</v>
      </c>
      <c r="LC9" s="9">
        <v>130506</v>
      </c>
      <c r="LD9" s="9">
        <v>126034</v>
      </c>
      <c r="LE9" s="140">
        <f t="shared" si="338"/>
        <v>254781</v>
      </c>
      <c r="LF9" s="341">
        <v>129637</v>
      </c>
      <c r="LG9" s="341">
        <v>125144</v>
      </c>
      <c r="LH9" s="9">
        <f t="shared" si="339"/>
        <v>23098</v>
      </c>
      <c r="LI9" s="341">
        <v>8704</v>
      </c>
      <c r="LJ9" s="341">
        <v>14394</v>
      </c>
      <c r="LK9" s="9">
        <f t="shared" si="340"/>
        <v>2844</v>
      </c>
      <c r="LL9" s="341">
        <v>1373</v>
      </c>
      <c r="LM9" s="341">
        <v>1471</v>
      </c>
      <c r="LN9" s="140">
        <f t="shared" si="341"/>
        <v>8790</v>
      </c>
      <c r="LO9" s="140">
        <f t="shared" si="342"/>
        <v>4448</v>
      </c>
      <c r="LP9" s="140">
        <f t="shared" si="343"/>
        <v>4342</v>
      </c>
      <c r="LQ9" s="349">
        <v>343848</v>
      </c>
      <c r="LR9" s="341">
        <v>300198</v>
      </c>
      <c r="LS9" s="341">
        <v>30024</v>
      </c>
      <c r="LT9" s="341">
        <v>13626</v>
      </c>
      <c r="LU9" s="9">
        <v>5297</v>
      </c>
      <c r="LV9" s="201">
        <v>350866</v>
      </c>
      <c r="LW9" s="63">
        <v>306354</v>
      </c>
      <c r="LX9" s="63">
        <v>30195</v>
      </c>
      <c r="LY9" s="63">
        <v>14317</v>
      </c>
      <c r="LZ9" s="63">
        <v>6077</v>
      </c>
      <c r="MA9" s="201">
        <v>359416</v>
      </c>
      <c r="MB9" s="63">
        <v>313357</v>
      </c>
      <c r="MC9" s="63">
        <v>31182</v>
      </c>
      <c r="MD9" s="63">
        <v>14877</v>
      </c>
      <c r="ME9" s="63">
        <v>6133</v>
      </c>
      <c r="MF9" s="201">
        <v>361884</v>
      </c>
      <c r="MG9" s="63">
        <v>312710</v>
      </c>
      <c r="MH9" s="63">
        <v>32416</v>
      </c>
      <c r="MI9" s="63">
        <v>16758</v>
      </c>
      <c r="MJ9" s="63">
        <v>7106</v>
      </c>
      <c r="MK9" s="14">
        <v>374967.64500000002</v>
      </c>
      <c r="ML9" s="63">
        <v>324212.92199999996</v>
      </c>
      <c r="MM9" s="63">
        <v>34769.495999999999</v>
      </c>
      <c r="MN9" s="63">
        <v>7661.808</v>
      </c>
      <c r="MO9" s="63">
        <v>15985.227000000057</v>
      </c>
      <c r="MP9" s="63">
        <v>392263</v>
      </c>
      <c r="MQ9" s="63">
        <v>336471</v>
      </c>
      <c r="MR9" s="63">
        <v>36530</v>
      </c>
      <c r="MS9" s="63">
        <v>8183</v>
      </c>
      <c r="MT9" s="2">
        <v>19169</v>
      </c>
      <c r="MU9" s="2">
        <v>403649</v>
      </c>
      <c r="MV9" s="2">
        <v>339816</v>
      </c>
      <c r="MW9" s="2">
        <v>37634</v>
      </c>
      <c r="MX9" s="2">
        <v>8118</v>
      </c>
      <c r="MY9" s="2">
        <v>13041</v>
      </c>
      <c r="MZ9" s="14">
        <v>66592</v>
      </c>
      <c r="NA9" s="7">
        <v>60473</v>
      </c>
      <c r="NB9" s="7">
        <v>4891</v>
      </c>
      <c r="NC9" s="7">
        <v>422</v>
      </c>
      <c r="ND9" s="7">
        <v>1228</v>
      </c>
      <c r="NE9" s="14">
        <v>98001</v>
      </c>
      <c r="NF9" s="63">
        <v>86993</v>
      </c>
      <c r="NG9" s="63">
        <v>7148</v>
      </c>
      <c r="NH9" s="63">
        <v>1087</v>
      </c>
      <c r="NI9" s="63">
        <v>3860</v>
      </c>
      <c r="NJ9" s="14">
        <v>118522</v>
      </c>
      <c r="NK9" s="63">
        <v>102005</v>
      </c>
      <c r="NL9" s="63">
        <v>10208</v>
      </c>
      <c r="NM9" s="63">
        <v>2326</v>
      </c>
      <c r="NN9" s="63">
        <v>6309</v>
      </c>
      <c r="NO9" s="14">
        <v>124989.21500000001</v>
      </c>
      <c r="NP9" s="63">
        <v>109637.22000000002</v>
      </c>
      <c r="NQ9" s="63">
        <v>10616.64</v>
      </c>
      <c r="NR9" s="63">
        <v>2350.7820000000002</v>
      </c>
      <c r="NS9" s="319">
        <v>4735.3549999999959</v>
      </c>
      <c r="NT9" s="1">
        <v>133431</v>
      </c>
      <c r="NU9" s="2">
        <v>114819</v>
      </c>
      <c r="NV9" s="2">
        <v>11145</v>
      </c>
      <c r="NW9" s="2">
        <v>2945</v>
      </c>
      <c r="NX9" s="79">
        <v>7406</v>
      </c>
      <c r="NY9" s="2">
        <v>140013</v>
      </c>
      <c r="NZ9" s="2">
        <v>117656</v>
      </c>
      <c r="OA9" s="2">
        <v>11344</v>
      </c>
      <c r="OB9" s="2">
        <v>2906</v>
      </c>
      <c r="OC9" s="2">
        <v>9001</v>
      </c>
    </row>
    <row r="10" spans="1:393" ht="14.25" x14ac:dyDescent="0.2">
      <c r="A10" s="244" t="s">
        <v>2</v>
      </c>
      <c r="B10" s="362" t="s">
        <v>186</v>
      </c>
      <c r="C10" s="363" t="s">
        <v>186</v>
      </c>
      <c r="D10" s="363" t="s">
        <v>186</v>
      </c>
      <c r="E10" s="363" t="s">
        <v>186</v>
      </c>
      <c r="F10" s="364" t="s">
        <v>186</v>
      </c>
      <c r="G10" s="7">
        <v>31009</v>
      </c>
      <c r="H10" s="63">
        <v>22373</v>
      </c>
      <c r="I10" s="63">
        <v>6952</v>
      </c>
      <c r="J10" s="63">
        <v>1540</v>
      </c>
      <c r="K10" s="319">
        <v>1684</v>
      </c>
      <c r="L10" s="7">
        <v>25490</v>
      </c>
      <c r="M10" s="63">
        <v>16704</v>
      </c>
      <c r="N10" s="63">
        <v>5231</v>
      </c>
      <c r="O10" s="63">
        <v>4469</v>
      </c>
      <c r="P10" s="319">
        <v>3555</v>
      </c>
      <c r="Q10" s="9">
        <v>24464</v>
      </c>
      <c r="R10" s="600">
        <v>16609</v>
      </c>
      <c r="S10" s="600">
        <v>4218</v>
      </c>
      <c r="T10" s="600">
        <v>8763</v>
      </c>
      <c r="U10" s="615">
        <v>3637</v>
      </c>
      <c r="V10" s="600">
        <v>25601</v>
      </c>
      <c r="W10" s="5">
        <v>17720</v>
      </c>
      <c r="X10" s="600">
        <v>3616</v>
      </c>
      <c r="Y10" s="600">
        <v>9426</v>
      </c>
      <c r="Z10" s="600">
        <v>4142</v>
      </c>
      <c r="AA10" s="600">
        <v>26726</v>
      </c>
      <c r="AB10" s="600">
        <v>11315</v>
      </c>
      <c r="AC10" s="600">
        <v>4074</v>
      </c>
      <c r="AD10" s="600">
        <v>9852</v>
      </c>
      <c r="AE10" s="726">
        <v>4632</v>
      </c>
      <c r="AF10" s="201">
        <v>65463</v>
      </c>
      <c r="AG10" s="63">
        <v>47769</v>
      </c>
      <c r="AH10" s="63">
        <v>16124</v>
      </c>
      <c r="AI10" s="63">
        <v>1477</v>
      </c>
      <c r="AJ10" s="319">
        <v>1570</v>
      </c>
      <c r="AK10" s="7">
        <v>64046</v>
      </c>
      <c r="AL10" s="63">
        <v>43373</v>
      </c>
      <c r="AM10" s="63">
        <v>17182</v>
      </c>
      <c r="AN10" s="63">
        <v>3375</v>
      </c>
      <c r="AO10" s="319">
        <v>3491</v>
      </c>
      <c r="AP10" s="7">
        <v>51387</v>
      </c>
      <c r="AQ10" s="63">
        <v>34083</v>
      </c>
      <c r="AR10" s="63">
        <v>13847</v>
      </c>
      <c r="AS10" s="63">
        <v>5803</v>
      </c>
      <c r="AT10" s="319">
        <v>3457</v>
      </c>
      <c r="AU10" s="63">
        <v>49642</v>
      </c>
      <c r="AV10" s="63">
        <v>32552</v>
      </c>
      <c r="AW10" s="63">
        <v>13782</v>
      </c>
      <c r="AX10" s="63">
        <v>4648</v>
      </c>
      <c r="AY10" s="63">
        <v>3294</v>
      </c>
      <c r="AZ10" s="63">
        <v>48874</v>
      </c>
      <c r="BA10" s="63">
        <v>28908</v>
      </c>
      <c r="BB10" s="63">
        <v>13518</v>
      </c>
      <c r="BC10" s="63">
        <v>4712</v>
      </c>
      <c r="BD10" s="63">
        <v>3759</v>
      </c>
      <c r="BE10" s="14">
        <v>77238</v>
      </c>
      <c r="BF10" s="63">
        <v>51975</v>
      </c>
      <c r="BG10" s="63">
        <v>17878</v>
      </c>
      <c r="BH10" s="63">
        <v>14869</v>
      </c>
      <c r="BI10" s="584">
        <f t="shared" si="344"/>
        <v>7385</v>
      </c>
      <c r="BJ10" s="350">
        <v>37054</v>
      </c>
      <c r="BK10" s="351">
        <v>63915</v>
      </c>
      <c r="BL10" s="351">
        <v>106502</v>
      </c>
      <c r="BM10" s="351">
        <v>156932</v>
      </c>
      <c r="BN10" s="14">
        <v>236594</v>
      </c>
      <c r="BO10" s="63"/>
      <c r="BP10" s="63"/>
      <c r="BQ10" s="63"/>
      <c r="BR10" s="319"/>
      <c r="BS10" s="7">
        <v>332027</v>
      </c>
      <c r="BT10" s="63">
        <v>285043</v>
      </c>
      <c r="BU10" s="63">
        <v>39644</v>
      </c>
      <c r="BV10" s="63">
        <v>4548</v>
      </c>
      <c r="BW10" s="319">
        <v>7340</v>
      </c>
      <c r="BX10" s="7">
        <v>425122</v>
      </c>
      <c r="BY10" s="63">
        <v>341260</v>
      </c>
      <c r="BZ10" s="63">
        <v>64412</v>
      </c>
      <c r="CA10" s="63">
        <v>10457</v>
      </c>
      <c r="CB10" s="63">
        <v>19450</v>
      </c>
      <c r="CC10" s="352">
        <v>485447</v>
      </c>
      <c r="CD10" s="63">
        <v>374192</v>
      </c>
      <c r="CE10" s="63">
        <v>85135</v>
      </c>
      <c r="CF10" s="63">
        <v>26120</v>
      </c>
      <c r="CG10" s="63">
        <v>15004</v>
      </c>
      <c r="CH10" s="201">
        <v>497004</v>
      </c>
      <c r="CI10" s="63">
        <v>382360</v>
      </c>
      <c r="CJ10" s="63">
        <v>87818</v>
      </c>
      <c r="CK10" s="63">
        <v>26826</v>
      </c>
      <c r="CL10" s="63">
        <v>16402</v>
      </c>
      <c r="CM10" s="66">
        <v>512143</v>
      </c>
      <c r="CN10" s="64">
        <v>391530</v>
      </c>
      <c r="CO10" s="64">
        <v>92165</v>
      </c>
      <c r="CP10" s="64">
        <v>28448</v>
      </c>
      <c r="CQ10" s="64">
        <v>17515</v>
      </c>
      <c r="CR10" s="14">
        <v>520158</v>
      </c>
      <c r="CS10" s="63">
        <v>394120</v>
      </c>
      <c r="CT10" s="63">
        <v>94506</v>
      </c>
      <c r="CU10" s="63">
        <v>20542</v>
      </c>
      <c r="CV10" s="63">
        <v>24857</v>
      </c>
      <c r="CW10" s="14">
        <v>526183.11199999996</v>
      </c>
      <c r="CX10" s="63">
        <v>396083.272</v>
      </c>
      <c r="CY10" s="63">
        <v>97350.335999999981</v>
      </c>
      <c r="CZ10" s="63">
        <v>21935.78</v>
      </c>
      <c r="DA10" s="621">
        <f t="shared" si="345"/>
        <v>32749.503999999986</v>
      </c>
      <c r="DB10" s="63">
        <v>535415</v>
      </c>
      <c r="DC10" s="63">
        <v>400948</v>
      </c>
      <c r="DD10" s="63">
        <v>100656</v>
      </c>
      <c r="DE10" s="63">
        <v>24225</v>
      </c>
      <c r="DF10" s="63">
        <v>33578</v>
      </c>
      <c r="DG10" s="63">
        <v>544432</v>
      </c>
      <c r="DH10" s="63">
        <v>389823</v>
      </c>
      <c r="DI10" s="63">
        <v>103885</v>
      </c>
      <c r="DJ10" s="63">
        <v>25678</v>
      </c>
      <c r="DK10" s="63">
        <v>20368</v>
      </c>
      <c r="DL10" s="14"/>
      <c r="DM10" s="63"/>
      <c r="DN10" s="63"/>
      <c r="DO10" s="63"/>
      <c r="DP10" s="319"/>
      <c r="DQ10" s="7">
        <v>100275</v>
      </c>
      <c r="DR10" s="63">
        <v>85774</v>
      </c>
      <c r="DS10" s="63">
        <v>12793</v>
      </c>
      <c r="DT10" s="63">
        <v>1705</v>
      </c>
      <c r="DU10" s="319">
        <v>1708</v>
      </c>
      <c r="DV10" s="7">
        <v>134445</v>
      </c>
      <c r="DW10" s="63">
        <v>106454</v>
      </c>
      <c r="DX10" s="63">
        <v>22957</v>
      </c>
      <c r="DY10" s="63">
        <v>3774</v>
      </c>
      <c r="DZ10" s="319">
        <v>5034</v>
      </c>
      <c r="EA10" s="7">
        <v>164476</v>
      </c>
      <c r="EB10" s="63">
        <v>122228</v>
      </c>
      <c r="EC10" s="63">
        <v>35212</v>
      </c>
      <c r="ED10" s="63">
        <v>6522</v>
      </c>
      <c r="EE10" s="319">
        <v>7036</v>
      </c>
      <c r="EF10" s="7">
        <v>163527.09100000001</v>
      </c>
      <c r="EG10" s="63">
        <v>120527.60199999998</v>
      </c>
      <c r="EH10" s="63">
        <v>35525.951999999997</v>
      </c>
      <c r="EI10" s="63">
        <v>7618.6349999999993</v>
      </c>
      <c r="EJ10" s="319">
        <v>7473.537000000033</v>
      </c>
      <c r="EK10" s="63">
        <v>165547</v>
      </c>
      <c r="EL10" s="63">
        <v>121955</v>
      </c>
      <c r="EM10" s="63">
        <v>35446</v>
      </c>
      <c r="EN10" s="63">
        <v>8323</v>
      </c>
      <c r="EO10" s="661">
        <v>7939</v>
      </c>
      <c r="EP10" s="661">
        <v>167694</v>
      </c>
      <c r="EQ10" s="661">
        <v>116198</v>
      </c>
      <c r="ER10" s="661">
        <v>37639</v>
      </c>
      <c r="ES10" s="661">
        <v>8627</v>
      </c>
      <c r="ET10" s="661">
        <v>8323</v>
      </c>
      <c r="EU10" s="14">
        <v>27655</v>
      </c>
      <c r="EV10" s="63">
        <v>24444</v>
      </c>
      <c r="EW10" s="63">
        <v>2697</v>
      </c>
      <c r="EX10" s="63">
        <v>550</v>
      </c>
      <c r="EY10" s="319">
        <v>514</v>
      </c>
      <c r="EZ10" s="7">
        <v>33831</v>
      </c>
      <c r="FA10" s="63">
        <v>28192</v>
      </c>
      <c r="FB10" s="63">
        <v>4300</v>
      </c>
      <c r="FC10" s="63">
        <v>886</v>
      </c>
      <c r="FD10" s="319">
        <v>1339</v>
      </c>
      <c r="FE10" s="201">
        <v>43249</v>
      </c>
      <c r="FF10" s="63">
        <v>34279</v>
      </c>
      <c r="FG10" s="63">
        <v>7351</v>
      </c>
      <c r="FH10" s="63">
        <v>1190</v>
      </c>
      <c r="FI10" s="63">
        <v>1619</v>
      </c>
      <c r="FJ10" s="201"/>
      <c r="FK10" s="63"/>
      <c r="FL10" s="63"/>
      <c r="FM10" s="63"/>
      <c r="FN10" s="319"/>
      <c r="FO10" s="63">
        <v>43213</v>
      </c>
      <c r="FP10" s="63">
        <v>33704</v>
      </c>
      <c r="FQ10" s="63">
        <v>7037</v>
      </c>
      <c r="FR10" s="63">
        <v>1949</v>
      </c>
      <c r="FS10" s="63">
        <v>2390</v>
      </c>
      <c r="FT10" s="63">
        <v>44666</v>
      </c>
      <c r="FU10" s="63">
        <v>33241</v>
      </c>
      <c r="FV10" s="63">
        <v>7587</v>
      </c>
      <c r="FW10" s="63">
        <v>2071</v>
      </c>
      <c r="FX10" s="63">
        <v>2378</v>
      </c>
      <c r="FY10" s="609">
        <f t="shared" si="346"/>
        <v>119377</v>
      </c>
      <c r="FZ10" s="584">
        <f t="shared" si="347"/>
        <v>106062</v>
      </c>
      <c r="GA10" s="584">
        <f t="shared" si="348"/>
        <v>9327</v>
      </c>
      <c r="GB10" s="584">
        <f t="shared" si="349"/>
        <v>1798</v>
      </c>
      <c r="GC10" s="584">
        <f t="shared" si="350"/>
        <v>3988</v>
      </c>
      <c r="GD10" s="609">
        <f t="shared" si="351"/>
        <v>162748</v>
      </c>
      <c r="GE10" s="584">
        <f t="shared" si="352"/>
        <v>135536</v>
      </c>
      <c r="GF10" s="584">
        <f t="shared" si="353"/>
        <v>16843</v>
      </c>
      <c r="GG10" s="584">
        <f t="shared" si="354"/>
        <v>3348</v>
      </c>
      <c r="GH10" s="584">
        <f t="shared" si="355"/>
        <v>10369</v>
      </c>
      <c r="GI10" s="201">
        <v>177301</v>
      </c>
      <c r="GJ10" s="63">
        <v>138657</v>
      </c>
      <c r="GK10" s="63">
        <v>23758</v>
      </c>
      <c r="GL10" s="63">
        <v>4841</v>
      </c>
      <c r="GM10" s="63">
        <v>14886</v>
      </c>
      <c r="GN10" s="599"/>
      <c r="GO10" s="600"/>
      <c r="GP10" s="600"/>
      <c r="GQ10" s="600"/>
      <c r="GR10" s="600"/>
      <c r="GS10" s="600">
        <v>218081</v>
      </c>
      <c r="GT10" s="600">
        <v>168880</v>
      </c>
      <c r="GU10" s="600">
        <v>29475</v>
      </c>
      <c r="GV10" s="600">
        <v>7546</v>
      </c>
      <c r="GW10" s="615">
        <v>19638</v>
      </c>
      <c r="GX10" s="600">
        <v>677067</v>
      </c>
      <c r="GY10" s="600">
        <v>169264</v>
      </c>
      <c r="GZ10" s="600">
        <v>31389</v>
      </c>
      <c r="HA10" s="600">
        <v>8131</v>
      </c>
      <c r="HB10" s="600">
        <v>11408</v>
      </c>
      <c r="HC10" s="14">
        <v>58615</v>
      </c>
      <c r="HD10" s="7">
        <v>52744</v>
      </c>
      <c r="HE10" s="7">
        <v>4264</v>
      </c>
      <c r="HF10" s="7">
        <v>754</v>
      </c>
      <c r="HG10" s="7">
        <v>1607</v>
      </c>
      <c r="HH10" s="14">
        <v>80376</v>
      </c>
      <c r="HI10" s="63">
        <v>67664</v>
      </c>
      <c r="HJ10" s="63">
        <v>8204</v>
      </c>
      <c r="HK10" s="63">
        <v>1571</v>
      </c>
      <c r="HL10" s="63">
        <v>4508</v>
      </c>
      <c r="HM10" s="201">
        <v>100480</v>
      </c>
      <c r="HN10" s="63">
        <v>78339</v>
      </c>
      <c r="HO10" s="63">
        <v>13637</v>
      </c>
      <c r="HP10" s="63">
        <v>2583</v>
      </c>
      <c r="HQ10" s="63">
        <v>8504</v>
      </c>
      <c r="HR10" s="201">
        <v>101978.14899999999</v>
      </c>
      <c r="HS10" s="63">
        <v>80650.44</v>
      </c>
      <c r="HT10" s="63">
        <v>12918.527999999998</v>
      </c>
      <c r="HU10" s="63">
        <v>3165.2299999999996</v>
      </c>
      <c r="HV10" s="63">
        <v>8409.1809999999896</v>
      </c>
      <c r="HW10" s="63">
        <v>108054</v>
      </c>
      <c r="HX10" s="63">
        <v>81926</v>
      </c>
      <c r="HY10" s="63">
        <v>14843</v>
      </c>
      <c r="HZ10" s="63">
        <v>3847</v>
      </c>
      <c r="IA10" s="63">
        <v>8982</v>
      </c>
      <c r="IB10" s="353">
        <v>8184</v>
      </c>
      <c r="IC10" s="354">
        <v>13810</v>
      </c>
      <c r="ID10" s="339">
        <v>24763</v>
      </c>
      <c r="IE10" s="355">
        <f t="shared" si="303"/>
        <v>16119</v>
      </c>
      <c r="IF10" s="355">
        <f t="shared" si="304"/>
        <v>8644</v>
      </c>
      <c r="IG10" s="355">
        <f t="shared" si="305"/>
        <v>23785</v>
      </c>
      <c r="IH10" s="341">
        <v>15685</v>
      </c>
      <c r="II10" s="341">
        <v>8100</v>
      </c>
      <c r="IJ10" s="355">
        <f t="shared" si="306"/>
        <v>978</v>
      </c>
      <c r="IK10" s="341">
        <v>434</v>
      </c>
      <c r="IL10" s="341">
        <v>544</v>
      </c>
      <c r="IM10" s="339">
        <v>37443</v>
      </c>
      <c r="IN10" s="355">
        <f t="shared" si="307"/>
        <v>23539</v>
      </c>
      <c r="IO10" s="355">
        <f t="shared" si="308"/>
        <v>13904</v>
      </c>
      <c r="IP10" s="355">
        <f t="shared" si="309"/>
        <v>35423</v>
      </c>
      <c r="IQ10" s="341">
        <v>22532</v>
      </c>
      <c r="IR10" s="341">
        <v>12891</v>
      </c>
      <c r="IS10" s="355">
        <f t="shared" si="310"/>
        <v>1622</v>
      </c>
      <c r="IT10" s="341">
        <v>760</v>
      </c>
      <c r="IU10" s="341">
        <v>862</v>
      </c>
      <c r="IV10" s="355">
        <f t="shared" si="311"/>
        <v>398</v>
      </c>
      <c r="IW10" s="341">
        <v>247</v>
      </c>
      <c r="IX10" s="341">
        <v>151</v>
      </c>
      <c r="IY10" s="339">
        <v>60206</v>
      </c>
      <c r="IZ10" s="355">
        <f t="shared" si="312"/>
        <v>35708</v>
      </c>
      <c r="JA10" s="355">
        <f t="shared" si="313"/>
        <v>24498</v>
      </c>
      <c r="JB10" s="365">
        <f>+JC10+JD10</f>
        <v>54007</v>
      </c>
      <c r="JC10" s="341">
        <v>32636</v>
      </c>
      <c r="JD10" s="341">
        <v>21371</v>
      </c>
      <c r="JE10" s="341">
        <v>3072</v>
      </c>
      <c r="JF10" s="341">
        <v>3127</v>
      </c>
      <c r="JG10" s="365">
        <f>+JH10+JI10</f>
        <v>3994</v>
      </c>
      <c r="JH10" s="341">
        <v>1843</v>
      </c>
      <c r="JI10" s="341">
        <v>2151</v>
      </c>
      <c r="JJ10" s="365">
        <f>+JK10+JL10</f>
        <v>673</v>
      </c>
      <c r="JK10" s="341">
        <v>360</v>
      </c>
      <c r="JL10" s="341">
        <v>313</v>
      </c>
      <c r="JM10" s="356">
        <f t="shared" si="314"/>
        <v>1532</v>
      </c>
      <c r="JN10" s="356">
        <f t="shared" si="315"/>
        <v>869</v>
      </c>
      <c r="JO10" s="356">
        <f t="shared" si="316"/>
        <v>663</v>
      </c>
      <c r="JP10" s="357">
        <f t="shared" si="317"/>
        <v>98</v>
      </c>
      <c r="JQ10" s="357">
        <f t="shared" si="318"/>
        <v>46</v>
      </c>
      <c r="JR10" s="357">
        <f t="shared" si="319"/>
        <v>52</v>
      </c>
      <c r="JS10" s="341">
        <v>1434</v>
      </c>
      <c r="JT10" s="341">
        <v>823</v>
      </c>
      <c r="JU10" s="341">
        <v>611</v>
      </c>
      <c r="JV10" s="16">
        <f t="shared" si="320"/>
        <v>91722</v>
      </c>
      <c r="JW10" s="355">
        <f t="shared" si="321"/>
        <v>50261</v>
      </c>
      <c r="JX10" s="355">
        <f t="shared" si="322"/>
        <v>41461</v>
      </c>
      <c r="JY10" s="15">
        <f t="shared" si="323"/>
        <v>81618</v>
      </c>
      <c r="JZ10" s="151">
        <f t="shared" si="324"/>
        <v>80699</v>
      </c>
      <c r="KA10" s="341">
        <v>44677</v>
      </c>
      <c r="KB10" s="341">
        <v>36022</v>
      </c>
      <c r="KC10" s="341">
        <v>5584</v>
      </c>
      <c r="KD10" s="341">
        <v>5439</v>
      </c>
      <c r="KE10" s="15">
        <f t="shared" si="325"/>
        <v>6630</v>
      </c>
      <c r="KF10" s="151">
        <f t="shared" si="326"/>
        <v>6588</v>
      </c>
      <c r="KG10" s="341">
        <v>3030</v>
      </c>
      <c r="KH10" s="341">
        <v>3558</v>
      </c>
      <c r="KI10" s="15">
        <f t="shared" si="327"/>
        <v>1248</v>
      </c>
      <c r="KJ10" s="341">
        <v>696</v>
      </c>
      <c r="KK10" s="341">
        <v>552</v>
      </c>
      <c r="KL10" s="13">
        <f t="shared" si="328"/>
        <v>3474</v>
      </c>
      <c r="KM10" s="358">
        <f t="shared" si="329"/>
        <v>1858</v>
      </c>
      <c r="KN10" s="358">
        <f t="shared" si="330"/>
        <v>1329</v>
      </c>
      <c r="KO10" s="359">
        <f t="shared" si="331"/>
        <v>26</v>
      </c>
      <c r="KP10" s="359">
        <f t="shared" si="332"/>
        <v>17</v>
      </c>
      <c r="KQ10" s="359">
        <f t="shared" si="333"/>
        <v>9</v>
      </c>
      <c r="KR10" s="360">
        <f t="shared" si="334"/>
        <v>3161</v>
      </c>
      <c r="KS10" s="360">
        <f t="shared" si="335"/>
        <v>1841</v>
      </c>
      <c r="KT10" s="360">
        <f t="shared" si="336"/>
        <v>1320</v>
      </c>
      <c r="KU10" s="341">
        <v>91</v>
      </c>
      <c r="KV10" s="341">
        <v>58</v>
      </c>
      <c r="KW10" s="341">
        <v>1750</v>
      </c>
      <c r="KX10" s="341">
        <v>1262</v>
      </c>
      <c r="KY10" s="361">
        <v>128917</v>
      </c>
      <c r="KZ10" s="341">
        <v>65424</v>
      </c>
      <c r="LA10" s="341">
        <v>63493</v>
      </c>
      <c r="LB10" s="9">
        <f t="shared" si="337"/>
        <v>107344</v>
      </c>
      <c r="LC10" s="9">
        <v>55254</v>
      </c>
      <c r="LD10" s="9">
        <v>52090</v>
      </c>
      <c r="LE10" s="140">
        <f t="shared" si="338"/>
        <v>105775</v>
      </c>
      <c r="LF10" s="341">
        <v>54449</v>
      </c>
      <c r="LG10" s="341">
        <v>51326</v>
      </c>
      <c r="LH10" s="9">
        <f t="shared" si="339"/>
        <v>12543</v>
      </c>
      <c r="LI10" s="341">
        <v>5365</v>
      </c>
      <c r="LJ10" s="341">
        <v>7178</v>
      </c>
      <c r="LK10" s="9">
        <f t="shared" si="340"/>
        <v>2462</v>
      </c>
      <c r="LL10" s="341">
        <v>1205</v>
      </c>
      <c r="LM10" s="341">
        <v>1257</v>
      </c>
      <c r="LN10" s="140">
        <f t="shared" si="341"/>
        <v>9030</v>
      </c>
      <c r="LO10" s="140">
        <f t="shared" si="342"/>
        <v>4805</v>
      </c>
      <c r="LP10" s="140">
        <f t="shared" si="343"/>
        <v>4225</v>
      </c>
      <c r="LQ10" s="349">
        <v>150334</v>
      </c>
      <c r="LR10" s="341">
        <v>119867</v>
      </c>
      <c r="LS10" s="341">
        <v>18230</v>
      </c>
      <c r="LT10" s="341">
        <v>12237</v>
      </c>
      <c r="LU10" s="9">
        <v>3259</v>
      </c>
      <c r="LV10" s="201">
        <v>153655</v>
      </c>
      <c r="LW10" s="63">
        <v>121031</v>
      </c>
      <c r="LX10" s="63">
        <v>19477</v>
      </c>
      <c r="LY10" s="63">
        <v>13147</v>
      </c>
      <c r="LZ10" s="63">
        <v>3399</v>
      </c>
      <c r="MA10" s="201">
        <v>161508</v>
      </c>
      <c r="MB10" s="63">
        <v>127556</v>
      </c>
      <c r="MC10" s="63">
        <v>19482</v>
      </c>
      <c r="MD10" s="63">
        <v>14470</v>
      </c>
      <c r="ME10" s="63">
        <v>3609</v>
      </c>
      <c r="MF10" s="201">
        <v>167172</v>
      </c>
      <c r="MG10" s="63">
        <v>129226</v>
      </c>
      <c r="MH10" s="63">
        <v>21165</v>
      </c>
      <c r="MI10" s="63">
        <v>16781</v>
      </c>
      <c r="MJ10" s="63">
        <v>4691</v>
      </c>
      <c r="MK10" s="14">
        <v>171371.56400000001</v>
      </c>
      <c r="ML10" s="63">
        <v>133521.28400000001</v>
      </c>
      <c r="MM10" s="63">
        <v>20531.232</v>
      </c>
      <c r="MN10" s="63">
        <v>5005.4799999999996</v>
      </c>
      <c r="MO10" s="63">
        <v>17319.047999999999</v>
      </c>
      <c r="MP10" s="63">
        <v>174868</v>
      </c>
      <c r="MQ10" s="63">
        <v>135176</v>
      </c>
      <c r="MR10" s="63">
        <v>22438</v>
      </c>
      <c r="MS10" s="63">
        <v>5597</v>
      </c>
      <c r="MT10" s="2">
        <v>17248</v>
      </c>
      <c r="MU10" s="2">
        <v>181861</v>
      </c>
      <c r="MV10" s="2">
        <v>136023</v>
      </c>
      <c r="MW10" s="2">
        <v>23802</v>
      </c>
      <c r="MX10" s="2">
        <v>6060</v>
      </c>
      <c r="MY10" s="2">
        <v>10222</v>
      </c>
      <c r="MZ10" s="14">
        <v>33107</v>
      </c>
      <c r="NA10" s="7">
        <v>28874</v>
      </c>
      <c r="NB10" s="7">
        <v>2366</v>
      </c>
      <c r="NC10" s="7">
        <v>494</v>
      </c>
      <c r="ND10" s="7">
        <v>1867</v>
      </c>
      <c r="NE10" s="14">
        <v>48541</v>
      </c>
      <c r="NF10" s="63">
        <v>39680</v>
      </c>
      <c r="NG10" s="63">
        <v>4339</v>
      </c>
      <c r="NH10" s="63">
        <v>891</v>
      </c>
      <c r="NI10" s="63">
        <v>4522</v>
      </c>
      <c r="NJ10" s="14">
        <v>66692</v>
      </c>
      <c r="NK10" s="63">
        <v>50887</v>
      </c>
      <c r="NL10" s="63">
        <v>7528</v>
      </c>
      <c r="NM10" s="63">
        <v>2108</v>
      </c>
      <c r="NN10" s="63">
        <v>8277</v>
      </c>
      <c r="NO10" s="14">
        <v>69393.415000000008</v>
      </c>
      <c r="NP10" s="63">
        <v>52870.844000000005</v>
      </c>
      <c r="NQ10" s="63">
        <v>7612.7040000000006</v>
      </c>
      <c r="NR10" s="63">
        <v>1840.25</v>
      </c>
      <c r="NS10" s="319">
        <v>8909.867000000002</v>
      </c>
      <c r="NT10" s="1">
        <v>70141</v>
      </c>
      <c r="NU10" s="2">
        <v>53255</v>
      </c>
      <c r="NV10" s="2">
        <v>8066</v>
      </c>
      <c r="NW10" s="2">
        <v>2111</v>
      </c>
      <c r="NX10" s="79">
        <v>8817</v>
      </c>
      <c r="NY10" s="2">
        <v>73807</v>
      </c>
      <c r="NZ10" s="2">
        <v>54097</v>
      </c>
      <c r="OA10" s="2">
        <v>8959</v>
      </c>
      <c r="OB10" s="2">
        <v>2213</v>
      </c>
      <c r="OC10" s="2">
        <v>9371</v>
      </c>
    </row>
    <row r="11" spans="1:393" ht="14.25" x14ac:dyDescent="0.2">
      <c r="A11" s="239" t="s">
        <v>3</v>
      </c>
      <c r="B11" s="201">
        <f>112266+202412+211308+104592+218125+252726</f>
        <v>1101429</v>
      </c>
      <c r="C11" s="63">
        <f>42745+40990+19321+33916+47498+26420</f>
        <v>210890</v>
      </c>
      <c r="D11" s="63">
        <f>48211+121779+170897+44131+117459+198912</f>
        <v>701389</v>
      </c>
      <c r="E11" s="63">
        <f>20245+38041+20109+24680+50735+25765</f>
        <v>179575</v>
      </c>
      <c r="F11" s="319">
        <f>401+627+422+449+711+387+325+497+429+1275+1659+1025</f>
        <v>8207</v>
      </c>
      <c r="G11" s="7">
        <v>842811</v>
      </c>
      <c r="H11" s="63">
        <v>621611</v>
      </c>
      <c r="I11" s="63">
        <v>169036</v>
      </c>
      <c r="J11" s="63">
        <v>246176</v>
      </c>
      <c r="K11" s="319">
        <v>52164</v>
      </c>
      <c r="L11" s="7">
        <v>739222</v>
      </c>
      <c r="M11" s="63">
        <v>499052</v>
      </c>
      <c r="N11" s="63">
        <v>132776</v>
      </c>
      <c r="O11" s="63">
        <v>316664</v>
      </c>
      <c r="P11" s="319">
        <v>107394</v>
      </c>
      <c r="Q11" s="9">
        <v>747311</v>
      </c>
      <c r="R11" s="600">
        <v>508496</v>
      </c>
      <c r="S11" s="600">
        <v>138530</v>
      </c>
      <c r="T11" s="600">
        <v>385590</v>
      </c>
      <c r="U11" s="615">
        <v>100285</v>
      </c>
      <c r="V11" s="600">
        <v>742205</v>
      </c>
      <c r="W11" s="5">
        <v>505485</v>
      </c>
      <c r="X11" s="600">
        <v>133186</v>
      </c>
      <c r="Y11" s="600">
        <v>391917</v>
      </c>
      <c r="Z11" s="600">
        <v>103534</v>
      </c>
      <c r="AA11" s="600">
        <v>736482</v>
      </c>
      <c r="AB11" s="600">
        <v>189451</v>
      </c>
      <c r="AC11" s="600">
        <v>129925</v>
      </c>
      <c r="AD11" s="600">
        <v>389083</v>
      </c>
      <c r="AE11" s="726">
        <v>97265</v>
      </c>
      <c r="AF11" s="201">
        <v>1428263</v>
      </c>
      <c r="AG11" s="63">
        <v>1145047</v>
      </c>
      <c r="AH11" s="63">
        <v>243793</v>
      </c>
      <c r="AI11" s="63">
        <v>180155</v>
      </c>
      <c r="AJ11" s="319">
        <v>39423</v>
      </c>
      <c r="AK11" s="7">
        <v>1480726</v>
      </c>
      <c r="AL11" s="63">
        <v>1081943</v>
      </c>
      <c r="AM11" s="63">
        <v>290662</v>
      </c>
      <c r="AN11" s="63">
        <v>305342</v>
      </c>
      <c r="AO11" s="319">
        <v>108121</v>
      </c>
      <c r="AP11" s="7">
        <v>1137501</v>
      </c>
      <c r="AQ11" s="63">
        <v>811333</v>
      </c>
      <c r="AR11" s="63">
        <v>249002</v>
      </c>
      <c r="AS11" s="63">
        <v>288573</v>
      </c>
      <c r="AT11" s="319">
        <v>77166</v>
      </c>
      <c r="AU11" s="63">
        <v>1126188</v>
      </c>
      <c r="AV11" s="63">
        <v>802286</v>
      </c>
      <c r="AW11" s="63">
        <v>247203</v>
      </c>
      <c r="AX11" s="63">
        <v>300662</v>
      </c>
      <c r="AY11" s="63">
        <v>76699</v>
      </c>
      <c r="AZ11" s="63">
        <v>1104117</v>
      </c>
      <c r="BA11" s="63">
        <v>537203</v>
      </c>
      <c r="BB11" s="63">
        <v>242222</v>
      </c>
      <c r="BC11" s="63">
        <v>296671</v>
      </c>
      <c r="BD11" s="63">
        <v>75205</v>
      </c>
      <c r="BE11" s="14">
        <v>1886334</v>
      </c>
      <c r="BF11" s="63">
        <v>1310356</v>
      </c>
      <c r="BG11" s="63">
        <v>387161</v>
      </c>
      <c r="BH11" s="63">
        <v>688242</v>
      </c>
      <c r="BI11" s="584">
        <f t="shared" si="344"/>
        <v>188817</v>
      </c>
      <c r="BJ11" s="350">
        <v>283268</v>
      </c>
      <c r="BK11" s="351">
        <v>569215</v>
      </c>
      <c r="BL11" s="351">
        <v>1210958</v>
      </c>
      <c r="BM11" s="351">
        <v>2085344</v>
      </c>
      <c r="BN11" s="14">
        <f>2189572+1047471+930134</f>
        <v>4167177</v>
      </c>
      <c r="BO11" s="63">
        <v>3564949.9339999999</v>
      </c>
      <c r="BP11" s="63">
        <v>283553.55599999998</v>
      </c>
      <c r="BQ11" s="63">
        <v>281956.53000000003</v>
      </c>
      <c r="BR11" s="319">
        <v>32831.191999999995</v>
      </c>
      <c r="BS11" s="7">
        <v>6616094</v>
      </c>
      <c r="BT11" s="63">
        <v>5924776</v>
      </c>
      <c r="BU11" s="63">
        <v>533945</v>
      </c>
      <c r="BV11" s="63">
        <v>569794</v>
      </c>
      <c r="BW11" s="319">
        <v>157373</v>
      </c>
      <c r="BX11" s="7">
        <v>8804697</v>
      </c>
      <c r="BY11" s="63">
        <v>7471323</v>
      </c>
      <c r="BZ11" s="63">
        <v>861576</v>
      </c>
      <c r="CA11" s="63">
        <v>1073491</v>
      </c>
      <c r="CB11" s="63">
        <v>471798</v>
      </c>
      <c r="CC11" s="352">
        <v>10480188</v>
      </c>
      <c r="CD11" s="63">
        <v>8598660</v>
      </c>
      <c r="CE11" s="63">
        <v>1207451</v>
      </c>
      <c r="CF11" s="63">
        <v>674077</v>
      </c>
      <c r="CG11" s="63">
        <v>1661413</v>
      </c>
      <c r="CH11" s="201">
        <v>10669961</v>
      </c>
      <c r="CI11" s="63">
        <v>8762953</v>
      </c>
      <c r="CJ11" s="63">
        <v>1249179</v>
      </c>
      <c r="CK11" s="63">
        <v>657829</v>
      </c>
      <c r="CL11" s="63">
        <v>1734512</v>
      </c>
      <c r="CM11" s="66">
        <v>10801622</v>
      </c>
      <c r="CN11" s="64">
        <v>8874956</v>
      </c>
      <c r="CO11" s="64">
        <v>1285646</v>
      </c>
      <c r="CP11" s="64">
        <v>641020</v>
      </c>
      <c r="CQ11" s="64">
        <v>1793917</v>
      </c>
      <c r="CR11" s="14">
        <v>11046336</v>
      </c>
      <c r="CS11" s="63">
        <v>9060876</v>
      </c>
      <c r="CT11" s="63">
        <v>1347771</v>
      </c>
      <c r="CU11" s="63">
        <v>1919541</v>
      </c>
      <c r="CV11" s="63">
        <v>502048</v>
      </c>
      <c r="CW11" s="14">
        <v>11226306.637</v>
      </c>
      <c r="CX11" s="63">
        <v>9172493.7499999981</v>
      </c>
      <c r="CY11" s="63">
        <v>1388805.412</v>
      </c>
      <c r="CZ11" s="63">
        <v>1987065.6120000002</v>
      </c>
      <c r="DA11" s="621">
        <f t="shared" si="345"/>
        <v>665007.47500000196</v>
      </c>
      <c r="DB11" s="63">
        <v>11439406</v>
      </c>
      <c r="DC11" s="63">
        <v>9331736</v>
      </c>
      <c r="DD11" s="63">
        <v>1442085</v>
      </c>
      <c r="DE11" s="63">
        <v>2079979</v>
      </c>
      <c r="DF11" s="63">
        <v>665585</v>
      </c>
      <c r="DG11" s="63">
        <v>11682413</v>
      </c>
      <c r="DH11" s="63">
        <v>7601252</v>
      </c>
      <c r="DI11" s="63">
        <v>1497280</v>
      </c>
      <c r="DJ11" s="63">
        <v>2182509</v>
      </c>
      <c r="DK11" s="63">
        <v>414671</v>
      </c>
      <c r="DL11" s="14">
        <f>511071+536400</f>
        <v>1047471</v>
      </c>
      <c r="DM11" s="63">
        <f>455294+436962</f>
        <v>892256</v>
      </c>
      <c r="DN11" s="63">
        <f>32054+39253</f>
        <v>71307</v>
      </c>
      <c r="DO11" s="63">
        <f>37492+37601</f>
        <v>75093</v>
      </c>
      <c r="DP11" s="319">
        <f>1381+2533+1073+2744</f>
        <v>7731</v>
      </c>
      <c r="DQ11" s="7">
        <v>2312404</v>
      </c>
      <c r="DR11" s="63">
        <v>2065208</v>
      </c>
      <c r="DS11" s="63">
        <v>191516</v>
      </c>
      <c r="DT11" s="63">
        <v>215930</v>
      </c>
      <c r="DU11" s="319">
        <v>55680</v>
      </c>
      <c r="DV11" s="7">
        <v>3176621</v>
      </c>
      <c r="DW11" s="63">
        <v>2679790</v>
      </c>
      <c r="DX11" s="63">
        <v>328348</v>
      </c>
      <c r="DY11" s="63">
        <v>400615</v>
      </c>
      <c r="DZ11" s="319">
        <v>168483</v>
      </c>
      <c r="EA11" s="7">
        <v>3849546</v>
      </c>
      <c r="EB11" s="63">
        <v>3133382</v>
      </c>
      <c r="EC11" s="63">
        <v>508476</v>
      </c>
      <c r="ED11" s="63">
        <v>651129</v>
      </c>
      <c r="EE11" s="319">
        <v>207688</v>
      </c>
      <c r="EF11" s="7">
        <v>3903663.2179999999</v>
      </c>
      <c r="EG11" s="63">
        <v>3165820.6999999997</v>
      </c>
      <c r="EH11" s="63">
        <v>523909.97</v>
      </c>
      <c r="EI11" s="63">
        <v>672174.48600000003</v>
      </c>
      <c r="EJ11" s="319">
        <v>213932.54800000018</v>
      </c>
      <c r="EK11" s="63">
        <v>3965685</v>
      </c>
      <c r="EL11" s="63">
        <v>3198742</v>
      </c>
      <c r="EM11" s="63">
        <v>545934</v>
      </c>
      <c r="EN11" s="63">
        <v>701570</v>
      </c>
      <c r="EO11" s="661">
        <v>221009</v>
      </c>
      <c r="EP11" s="661">
        <v>4045307</v>
      </c>
      <c r="EQ11" s="661">
        <v>2623591</v>
      </c>
      <c r="ER11" s="661">
        <v>564457</v>
      </c>
      <c r="ES11" s="661">
        <v>738199</v>
      </c>
      <c r="ET11" s="661">
        <v>229714</v>
      </c>
      <c r="EU11" s="14">
        <v>589019</v>
      </c>
      <c r="EV11" s="63">
        <v>522283</v>
      </c>
      <c r="EW11" s="63">
        <v>49280</v>
      </c>
      <c r="EX11" s="63">
        <v>67830</v>
      </c>
      <c r="EY11" s="319">
        <v>17456</v>
      </c>
      <c r="EZ11" s="7">
        <v>773486</v>
      </c>
      <c r="FA11" s="63">
        <v>648553</v>
      </c>
      <c r="FB11" s="63">
        <v>78479</v>
      </c>
      <c r="FC11" s="63">
        <v>107580</v>
      </c>
      <c r="FD11" s="319">
        <v>46454</v>
      </c>
      <c r="FE11" s="201">
        <v>1100140</v>
      </c>
      <c r="FF11" s="63">
        <v>893916</v>
      </c>
      <c r="FG11" s="63">
        <v>137855</v>
      </c>
      <c r="FH11" s="63">
        <v>218180</v>
      </c>
      <c r="FI11" s="63">
        <v>68369</v>
      </c>
      <c r="FJ11" s="201"/>
      <c r="FK11" s="63"/>
      <c r="FL11" s="63"/>
      <c r="FM11" s="63"/>
      <c r="FN11" s="319"/>
      <c r="FO11" s="63">
        <v>1178924</v>
      </c>
      <c r="FP11" s="63">
        <v>951578</v>
      </c>
      <c r="FQ11" s="63">
        <v>153911</v>
      </c>
      <c r="FR11" s="63">
        <v>233893</v>
      </c>
      <c r="FS11" s="63">
        <v>73435</v>
      </c>
      <c r="FT11" s="63">
        <v>1239538</v>
      </c>
      <c r="FU11" s="63">
        <v>781436</v>
      </c>
      <c r="FV11" s="63">
        <v>164348</v>
      </c>
      <c r="FW11" s="63">
        <v>251270</v>
      </c>
      <c r="FX11" s="63">
        <v>78124</v>
      </c>
      <c r="FY11" s="609">
        <f t="shared" si="346"/>
        <v>2213424</v>
      </c>
      <c r="FZ11" s="584">
        <f t="shared" si="347"/>
        <v>2006125</v>
      </c>
      <c r="GA11" s="584">
        <f t="shared" si="348"/>
        <v>142017</v>
      </c>
      <c r="GB11" s="584">
        <f t="shared" si="349"/>
        <v>209727</v>
      </c>
      <c r="GC11" s="584">
        <f t="shared" si="350"/>
        <v>65282</v>
      </c>
      <c r="GD11" s="609">
        <f t="shared" si="351"/>
        <v>3235814</v>
      </c>
      <c r="GE11" s="584">
        <f t="shared" si="352"/>
        <v>2804583</v>
      </c>
      <c r="GF11" s="584">
        <f t="shared" si="353"/>
        <v>238151</v>
      </c>
      <c r="GG11" s="584">
        <f t="shared" si="354"/>
        <v>404032</v>
      </c>
      <c r="GH11" s="584">
        <f t="shared" si="355"/>
        <v>193080</v>
      </c>
      <c r="GI11" s="201">
        <v>3865024</v>
      </c>
      <c r="GJ11" s="63">
        <v>3245339</v>
      </c>
      <c r="GK11" s="63">
        <v>359026</v>
      </c>
      <c r="GL11" s="63">
        <v>664309</v>
      </c>
      <c r="GM11" s="63">
        <v>260659</v>
      </c>
      <c r="GN11" s="599"/>
      <c r="GO11" s="600"/>
      <c r="GP11" s="600"/>
      <c r="GQ11" s="600"/>
      <c r="GR11" s="600"/>
      <c r="GS11" s="600">
        <v>4658926</v>
      </c>
      <c r="GT11" s="600">
        <v>3890410</v>
      </c>
      <c r="GU11" s="600">
        <v>447982</v>
      </c>
      <c r="GV11" s="600">
        <v>809483</v>
      </c>
      <c r="GW11" s="615">
        <v>320534</v>
      </c>
      <c r="GX11" s="600">
        <v>14596687</v>
      </c>
      <c r="GY11" s="600">
        <v>3267809</v>
      </c>
      <c r="GZ11" s="600">
        <v>475198</v>
      </c>
      <c r="HA11" s="600">
        <v>857480</v>
      </c>
      <c r="HB11" s="600">
        <v>198351</v>
      </c>
      <c r="HC11" s="14">
        <v>1062649</v>
      </c>
      <c r="HD11" s="7">
        <v>969991</v>
      </c>
      <c r="HE11" s="7">
        <v>62999</v>
      </c>
      <c r="HF11" s="7">
        <v>87363</v>
      </c>
      <c r="HG11" s="7">
        <v>29659</v>
      </c>
      <c r="HH11" s="14">
        <v>1573121</v>
      </c>
      <c r="HI11" s="63">
        <v>1373946</v>
      </c>
      <c r="HJ11" s="63">
        <v>106555</v>
      </c>
      <c r="HK11" s="63">
        <v>177205</v>
      </c>
      <c r="HL11" s="63">
        <v>92620</v>
      </c>
      <c r="HM11" s="201">
        <v>2145766</v>
      </c>
      <c r="HN11" s="63">
        <v>1814613</v>
      </c>
      <c r="HO11" s="63">
        <v>186133</v>
      </c>
      <c r="HP11" s="63">
        <v>360283</v>
      </c>
      <c r="HQ11" s="63">
        <v>145020</v>
      </c>
      <c r="HR11" s="201">
        <v>2161424.2650000001</v>
      </c>
      <c r="HS11" s="63">
        <v>1824015.9</v>
      </c>
      <c r="HT11" s="63">
        <v>188252.39600000001</v>
      </c>
      <c r="HU11" s="63">
        <v>364206.09600000002</v>
      </c>
      <c r="HV11" s="63">
        <v>149155.96900000022</v>
      </c>
      <c r="HW11" s="63">
        <v>2312646</v>
      </c>
      <c r="HX11" s="63">
        <v>1577686</v>
      </c>
      <c r="HY11" s="63">
        <v>201777</v>
      </c>
      <c r="HZ11" s="63">
        <v>415547</v>
      </c>
      <c r="IA11" s="63">
        <v>167070</v>
      </c>
      <c r="IB11" s="353">
        <v>53109</v>
      </c>
      <c r="IC11" s="354">
        <v>102790</v>
      </c>
      <c r="ID11" s="339">
        <v>221587</v>
      </c>
      <c r="IE11" s="355">
        <f t="shared" si="303"/>
        <v>132763</v>
      </c>
      <c r="IF11" s="355">
        <f t="shared" si="304"/>
        <v>88824</v>
      </c>
      <c r="IG11" s="355">
        <f t="shared" si="305"/>
        <v>209931</v>
      </c>
      <c r="IH11" s="341">
        <v>128123</v>
      </c>
      <c r="II11" s="341">
        <v>81808</v>
      </c>
      <c r="IJ11" s="355">
        <f t="shared" si="306"/>
        <v>11656</v>
      </c>
      <c r="IK11" s="341">
        <v>4640</v>
      </c>
      <c r="IL11" s="341">
        <v>7016</v>
      </c>
      <c r="IM11" s="339">
        <v>431123</v>
      </c>
      <c r="IN11" s="355">
        <f t="shared" si="307"/>
        <v>255121</v>
      </c>
      <c r="IO11" s="355">
        <f t="shared" si="308"/>
        <v>176002</v>
      </c>
      <c r="IP11" s="355">
        <f t="shared" si="309"/>
        <v>386431</v>
      </c>
      <c r="IQ11" s="341">
        <v>232379</v>
      </c>
      <c r="IR11" s="341">
        <v>154052</v>
      </c>
      <c r="IS11" s="355">
        <f t="shared" si="310"/>
        <v>19055</v>
      </c>
      <c r="IT11" s="341">
        <v>7082</v>
      </c>
      <c r="IU11" s="341">
        <v>11973</v>
      </c>
      <c r="IV11" s="355">
        <f t="shared" si="311"/>
        <v>25637</v>
      </c>
      <c r="IW11" s="341">
        <v>15660</v>
      </c>
      <c r="IX11" s="341">
        <v>9977</v>
      </c>
      <c r="IY11" s="339">
        <v>930134</v>
      </c>
      <c r="IZ11" s="355">
        <f t="shared" si="312"/>
        <v>550471</v>
      </c>
      <c r="JA11" s="355">
        <f t="shared" si="313"/>
        <v>379663</v>
      </c>
      <c r="JB11" s="63">
        <f>317046+484979</f>
        <v>802025</v>
      </c>
      <c r="JC11" s="341">
        <v>484979</v>
      </c>
      <c r="JD11" s="341">
        <v>317046</v>
      </c>
      <c r="JE11" s="341">
        <v>65492</v>
      </c>
      <c r="JF11" s="341">
        <v>62617</v>
      </c>
      <c r="JG11" s="63">
        <f>19384+27184</f>
        <v>46568</v>
      </c>
      <c r="JH11" s="341">
        <v>19384</v>
      </c>
      <c r="JI11" s="341">
        <v>27184</v>
      </c>
      <c r="JJ11" s="63">
        <f>29911+39636</f>
        <v>69547</v>
      </c>
      <c r="JK11" s="341">
        <v>39636</v>
      </c>
      <c r="JL11" s="341">
        <v>29911</v>
      </c>
      <c r="JM11" s="356">
        <f t="shared" si="314"/>
        <v>11994</v>
      </c>
      <c r="JN11" s="356">
        <f t="shared" si="315"/>
        <v>6472</v>
      </c>
      <c r="JO11" s="356">
        <f t="shared" si="316"/>
        <v>5522</v>
      </c>
      <c r="JP11" s="357">
        <f t="shared" si="317"/>
        <v>1179</v>
      </c>
      <c r="JQ11" s="357">
        <f t="shared" si="318"/>
        <v>806</v>
      </c>
      <c r="JR11" s="357">
        <f t="shared" si="319"/>
        <v>373</v>
      </c>
      <c r="JS11" s="341">
        <v>10815</v>
      </c>
      <c r="JT11" s="341">
        <v>5666</v>
      </c>
      <c r="JU11" s="341">
        <v>5149</v>
      </c>
      <c r="JV11" s="16">
        <f t="shared" si="320"/>
        <v>1624405</v>
      </c>
      <c r="JW11" s="355">
        <f t="shared" si="321"/>
        <v>910256</v>
      </c>
      <c r="JX11" s="355">
        <f t="shared" si="322"/>
        <v>714149</v>
      </c>
      <c r="JY11" s="15">
        <f t="shared" si="323"/>
        <v>1483842</v>
      </c>
      <c r="JZ11" s="151">
        <f t="shared" si="324"/>
        <v>1359385</v>
      </c>
      <c r="KA11" s="341">
        <v>778615</v>
      </c>
      <c r="KB11" s="341">
        <v>580770</v>
      </c>
      <c r="KC11" s="341">
        <v>131641</v>
      </c>
      <c r="KD11" s="341">
        <v>133379</v>
      </c>
      <c r="KE11" s="15">
        <f t="shared" si="325"/>
        <v>92737</v>
      </c>
      <c r="KF11" s="151">
        <f t="shared" si="326"/>
        <v>89858</v>
      </c>
      <c r="KG11" s="341">
        <v>36991</v>
      </c>
      <c r="KH11" s="341">
        <v>52867</v>
      </c>
      <c r="KI11" s="15">
        <f t="shared" si="327"/>
        <v>141897</v>
      </c>
      <c r="KJ11" s="341">
        <v>76471</v>
      </c>
      <c r="KK11" s="341">
        <v>65426</v>
      </c>
      <c r="KL11" s="13">
        <f t="shared" si="328"/>
        <v>47826</v>
      </c>
      <c r="KM11" s="358">
        <f t="shared" si="329"/>
        <v>18179</v>
      </c>
      <c r="KN11" s="358">
        <f t="shared" si="330"/>
        <v>15086</v>
      </c>
      <c r="KO11" s="359">
        <f t="shared" si="331"/>
        <v>562</v>
      </c>
      <c r="KP11" s="359">
        <f t="shared" si="332"/>
        <v>284</v>
      </c>
      <c r="KQ11" s="359">
        <f t="shared" si="333"/>
        <v>278</v>
      </c>
      <c r="KR11" s="360">
        <f t="shared" si="334"/>
        <v>32703</v>
      </c>
      <c r="KS11" s="360">
        <f t="shared" si="335"/>
        <v>17895</v>
      </c>
      <c r="KT11" s="360">
        <f t="shared" si="336"/>
        <v>14808</v>
      </c>
      <c r="KU11" s="341">
        <v>1820</v>
      </c>
      <c r="KV11" s="341">
        <v>1164</v>
      </c>
      <c r="KW11" s="341">
        <v>16075</v>
      </c>
      <c r="KX11" s="341">
        <v>13644</v>
      </c>
      <c r="KY11" s="361">
        <v>2462328</v>
      </c>
      <c r="KZ11" s="341">
        <v>1297103</v>
      </c>
      <c r="LA11" s="341">
        <v>1165225</v>
      </c>
      <c r="LB11" s="9">
        <f t="shared" si="337"/>
        <v>2156030</v>
      </c>
      <c r="LC11" s="9">
        <v>1158171</v>
      </c>
      <c r="LD11" s="9">
        <v>997859</v>
      </c>
      <c r="LE11" s="140">
        <f t="shared" si="338"/>
        <v>1904837</v>
      </c>
      <c r="LF11" s="341">
        <v>1033196</v>
      </c>
      <c r="LG11" s="341">
        <v>871641</v>
      </c>
      <c r="LH11" s="9">
        <f t="shared" si="339"/>
        <v>159672</v>
      </c>
      <c r="LI11" s="341">
        <v>66007</v>
      </c>
      <c r="LJ11" s="341">
        <v>93665</v>
      </c>
      <c r="LK11" s="9">
        <f t="shared" si="340"/>
        <v>296452</v>
      </c>
      <c r="LL11" s="341">
        <v>146614</v>
      </c>
      <c r="LM11" s="341">
        <v>149838</v>
      </c>
      <c r="LN11" s="140">
        <f t="shared" si="341"/>
        <v>146626</v>
      </c>
      <c r="LO11" s="140">
        <f t="shared" si="342"/>
        <v>72925</v>
      </c>
      <c r="LP11" s="140">
        <f t="shared" si="343"/>
        <v>73701</v>
      </c>
      <c r="LQ11" s="349">
        <v>3133294</v>
      </c>
      <c r="LR11" s="341">
        <v>2660389</v>
      </c>
      <c r="LS11" s="341">
        <v>242995</v>
      </c>
      <c r="LT11" s="341">
        <v>229910</v>
      </c>
      <c r="LU11" s="9">
        <v>474903</v>
      </c>
      <c r="LV11" s="201">
        <v>3227990</v>
      </c>
      <c r="LW11" s="63">
        <v>2740099</v>
      </c>
      <c r="LX11" s="63">
        <v>257611</v>
      </c>
      <c r="LY11" s="63">
        <v>230280</v>
      </c>
      <c r="LZ11" s="63">
        <v>506134</v>
      </c>
      <c r="MA11" s="201">
        <v>3258489</v>
      </c>
      <c r="MB11" s="63">
        <v>2763471</v>
      </c>
      <c r="MC11" s="63">
        <v>265275</v>
      </c>
      <c r="MD11" s="63">
        <v>229743</v>
      </c>
      <c r="ME11" s="63">
        <v>506116</v>
      </c>
      <c r="MF11" s="201">
        <v>3323312</v>
      </c>
      <c r="MG11" s="63">
        <v>2812254</v>
      </c>
      <c r="MH11" s="63">
        <v>277774</v>
      </c>
      <c r="MI11" s="63">
        <v>233284</v>
      </c>
      <c r="MJ11" s="63">
        <v>536728</v>
      </c>
      <c r="MK11" s="14">
        <v>3366582.037</v>
      </c>
      <c r="ML11" s="63">
        <v>2840852.3499999996</v>
      </c>
      <c r="MM11" s="63">
        <v>284154.56</v>
      </c>
      <c r="MN11" s="63">
        <v>543631.15800000005</v>
      </c>
      <c r="MO11" s="63">
        <v>241575.12700000039</v>
      </c>
      <c r="MP11" s="63">
        <v>3480002</v>
      </c>
      <c r="MQ11" s="63">
        <v>2938832</v>
      </c>
      <c r="MR11" s="63">
        <v>294071</v>
      </c>
      <c r="MS11" s="63">
        <v>575590</v>
      </c>
      <c r="MT11" s="2">
        <v>247099</v>
      </c>
      <c r="MU11" s="2">
        <v>3599922</v>
      </c>
      <c r="MV11" s="2">
        <v>2486373</v>
      </c>
      <c r="MW11" s="2">
        <v>310850</v>
      </c>
      <c r="MX11" s="2">
        <v>606210</v>
      </c>
      <c r="MY11" s="2">
        <v>151948</v>
      </c>
      <c r="MZ11" s="14">
        <v>561756</v>
      </c>
      <c r="NA11" s="7">
        <v>513851</v>
      </c>
      <c r="NB11" s="7">
        <v>29738</v>
      </c>
      <c r="NC11" s="7">
        <v>54534</v>
      </c>
      <c r="ND11" s="7">
        <v>18167</v>
      </c>
      <c r="NE11" s="14">
        <v>889207</v>
      </c>
      <c r="NF11" s="63">
        <v>782084</v>
      </c>
      <c r="NG11" s="63">
        <v>53117</v>
      </c>
      <c r="NH11" s="63">
        <v>119247</v>
      </c>
      <c r="NI11" s="63">
        <v>54006</v>
      </c>
      <c r="NJ11" s="14">
        <v>1177546</v>
      </c>
      <c r="NK11" s="63">
        <v>997641</v>
      </c>
      <c r="NL11" s="63">
        <v>91641</v>
      </c>
      <c r="NM11" s="63">
        <v>176445</v>
      </c>
      <c r="NN11" s="63">
        <v>88264</v>
      </c>
      <c r="NO11" s="14">
        <v>1205157.7719999999</v>
      </c>
      <c r="NP11" s="63">
        <v>1016836.4499999998</v>
      </c>
      <c r="NQ11" s="63">
        <v>95902.164000000004</v>
      </c>
      <c r="NR11" s="63">
        <v>179425.06200000001</v>
      </c>
      <c r="NS11" s="319">
        <v>92419.158000000039</v>
      </c>
      <c r="NT11" s="1">
        <v>1246349</v>
      </c>
      <c r="NU11" s="2">
        <v>1050884</v>
      </c>
      <c r="NV11" s="2">
        <v>102137</v>
      </c>
      <c r="NW11" s="2">
        <v>186373</v>
      </c>
      <c r="NX11" s="79">
        <v>93328</v>
      </c>
      <c r="NY11" s="2">
        <v>1287276</v>
      </c>
      <c r="NZ11" s="2">
        <v>908687</v>
      </c>
      <c r="OA11" s="2">
        <v>109073</v>
      </c>
      <c r="OB11" s="2">
        <v>190663</v>
      </c>
      <c r="OC11" s="2">
        <v>98840</v>
      </c>
    </row>
    <row r="12" spans="1:393" ht="14.25" x14ac:dyDescent="0.2">
      <c r="A12" s="239" t="s">
        <v>4</v>
      </c>
      <c r="B12" s="201">
        <f>107429+155043+82713+90541+189608+105512</f>
        <v>730846</v>
      </c>
      <c r="C12" s="63">
        <f>53741+107455+63761+42634+120964+74398</f>
        <v>462953</v>
      </c>
      <c r="D12" s="63">
        <f>52091+45762+18121+46162+65503+29351</f>
        <v>256990</v>
      </c>
      <c r="E12" s="63">
        <f>1209+1354+621+929+2047+1219</f>
        <v>7379</v>
      </c>
      <c r="F12" s="319">
        <f>179+254+128+169+181+61+157+347+184+621+708+326</f>
        <v>3315</v>
      </c>
      <c r="G12" s="7">
        <v>483755</v>
      </c>
      <c r="H12" s="63">
        <v>300773</v>
      </c>
      <c r="I12" s="63">
        <v>171543</v>
      </c>
      <c r="J12" s="63">
        <v>10285</v>
      </c>
      <c r="K12" s="319">
        <v>11439</v>
      </c>
      <c r="L12" s="7">
        <v>393197</v>
      </c>
      <c r="M12" s="63">
        <v>220533</v>
      </c>
      <c r="N12" s="63">
        <v>119905</v>
      </c>
      <c r="O12" s="63">
        <v>68848</v>
      </c>
      <c r="P12" s="319">
        <v>52759</v>
      </c>
      <c r="Q12" s="9">
        <v>370337</v>
      </c>
      <c r="R12" s="600">
        <v>202759</v>
      </c>
      <c r="S12" s="600">
        <v>90881</v>
      </c>
      <c r="T12" s="600">
        <v>118273</v>
      </c>
      <c r="U12" s="615">
        <v>76697</v>
      </c>
      <c r="V12" s="600">
        <v>364592</v>
      </c>
      <c r="W12" s="5">
        <v>204271</v>
      </c>
      <c r="X12" s="600">
        <v>88397</v>
      </c>
      <c r="Y12" s="600">
        <v>122587</v>
      </c>
      <c r="Z12" s="600">
        <v>71924</v>
      </c>
      <c r="AA12" s="600">
        <v>362911</v>
      </c>
      <c r="AB12" s="600">
        <v>134268</v>
      </c>
      <c r="AC12" s="600">
        <v>87550</v>
      </c>
      <c r="AD12" s="600">
        <v>123799</v>
      </c>
      <c r="AE12" s="726">
        <v>67125</v>
      </c>
      <c r="AF12" s="201">
        <v>686060</v>
      </c>
      <c r="AG12" s="63">
        <v>452897</v>
      </c>
      <c r="AH12" s="63">
        <v>223687</v>
      </c>
      <c r="AI12" s="63">
        <v>7331</v>
      </c>
      <c r="AJ12" s="319">
        <v>9476</v>
      </c>
      <c r="AK12" s="7">
        <v>718152</v>
      </c>
      <c r="AL12" s="63">
        <v>429759</v>
      </c>
      <c r="AM12" s="63">
        <v>246874</v>
      </c>
      <c r="AN12" s="63">
        <v>40889</v>
      </c>
      <c r="AO12" s="319">
        <v>41519</v>
      </c>
      <c r="AP12" s="7">
        <v>613032</v>
      </c>
      <c r="AQ12" s="63">
        <v>349260</v>
      </c>
      <c r="AR12" s="63">
        <v>218797</v>
      </c>
      <c r="AS12" s="63">
        <v>62461</v>
      </c>
      <c r="AT12" s="319">
        <v>44975</v>
      </c>
      <c r="AU12" s="63">
        <v>612627</v>
      </c>
      <c r="AV12" s="63">
        <v>347905</v>
      </c>
      <c r="AW12" s="63">
        <v>216709</v>
      </c>
      <c r="AX12" s="63">
        <v>70557</v>
      </c>
      <c r="AY12" s="63">
        <v>48013</v>
      </c>
      <c r="AZ12" s="63">
        <v>600108</v>
      </c>
      <c r="BA12" s="63">
        <v>299859</v>
      </c>
      <c r="BB12" s="63">
        <v>209931</v>
      </c>
      <c r="BC12" s="63">
        <v>72799</v>
      </c>
      <c r="BD12" s="63">
        <v>45473</v>
      </c>
      <c r="BE12" s="14">
        <v>980154</v>
      </c>
      <c r="BF12" s="63">
        <v>550288</v>
      </c>
      <c r="BG12" s="63">
        <v>305619</v>
      </c>
      <c r="BH12" s="63">
        <v>191943</v>
      </c>
      <c r="BI12" s="584">
        <f t="shared" si="344"/>
        <v>124247</v>
      </c>
      <c r="BJ12" s="350">
        <v>264432</v>
      </c>
      <c r="BK12" s="351">
        <v>362030</v>
      </c>
      <c r="BL12" s="351">
        <v>643967</v>
      </c>
      <c r="BM12" s="351">
        <v>956635</v>
      </c>
      <c r="BN12" s="14">
        <v>1740707</v>
      </c>
      <c r="BO12" s="63">
        <v>1414558.53</v>
      </c>
      <c r="BP12" s="63">
        <v>294061.32299999997</v>
      </c>
      <c r="BQ12" s="63">
        <v>16530.93</v>
      </c>
      <c r="BR12" s="319">
        <v>13376.377</v>
      </c>
      <c r="BS12" s="7">
        <v>2853605</v>
      </c>
      <c r="BT12" s="63">
        <v>2244288</v>
      </c>
      <c r="BU12" s="63">
        <v>558979</v>
      </c>
      <c r="BV12" s="63">
        <v>34575</v>
      </c>
      <c r="BW12" s="319">
        <v>50338</v>
      </c>
      <c r="BX12" s="7">
        <v>4074616</v>
      </c>
      <c r="BY12" s="63">
        <v>2925956</v>
      </c>
      <c r="BZ12" s="63">
        <v>966382</v>
      </c>
      <c r="CA12" s="63">
        <v>103453</v>
      </c>
      <c r="CB12" s="63">
        <v>182278</v>
      </c>
      <c r="CC12" s="352">
        <v>4888224</v>
      </c>
      <c r="CD12" s="63">
        <v>3311052</v>
      </c>
      <c r="CE12" s="63">
        <v>1282470</v>
      </c>
      <c r="CF12" s="63">
        <v>294702</v>
      </c>
      <c r="CG12" s="63">
        <v>194952</v>
      </c>
      <c r="CH12" s="201">
        <v>5034193</v>
      </c>
      <c r="CI12" s="63">
        <v>3388764</v>
      </c>
      <c r="CJ12" s="63">
        <v>1344649</v>
      </c>
      <c r="CK12" s="63">
        <v>300780</v>
      </c>
      <c r="CL12" s="63">
        <v>206515</v>
      </c>
      <c r="CM12" s="66">
        <v>5137996</v>
      </c>
      <c r="CN12" s="64">
        <v>3436325</v>
      </c>
      <c r="CO12" s="64">
        <v>1397429</v>
      </c>
      <c r="CP12" s="64">
        <v>304242</v>
      </c>
      <c r="CQ12" s="64">
        <v>212442</v>
      </c>
      <c r="CR12" s="14">
        <v>5171176</v>
      </c>
      <c r="CS12" s="63">
        <v>3416219</v>
      </c>
      <c r="CT12" s="63">
        <v>1429820</v>
      </c>
      <c r="CU12" s="63">
        <v>237889</v>
      </c>
      <c r="CV12" s="63">
        <v>275305</v>
      </c>
      <c r="CW12" s="14">
        <v>5262865.8600000003</v>
      </c>
      <c r="CX12" s="63">
        <v>3466412.0999999996</v>
      </c>
      <c r="CY12" s="63">
        <v>1469459.085</v>
      </c>
      <c r="CZ12" s="63">
        <v>245284.34699999998</v>
      </c>
      <c r="DA12" s="621">
        <f t="shared" si="345"/>
        <v>326994.67500000075</v>
      </c>
      <c r="DB12" s="63">
        <v>5349432</v>
      </c>
      <c r="DC12" s="63">
        <v>3504010</v>
      </c>
      <c r="DD12" s="63">
        <v>1507305</v>
      </c>
      <c r="DE12" s="63">
        <v>255702</v>
      </c>
      <c r="DF12" s="63">
        <v>338117</v>
      </c>
      <c r="DG12" s="63">
        <v>5440937</v>
      </c>
      <c r="DH12" s="63">
        <v>3378623</v>
      </c>
      <c r="DI12" s="63">
        <v>1546350</v>
      </c>
      <c r="DJ12" s="63">
        <v>264463</v>
      </c>
      <c r="DK12" s="63">
        <v>205544</v>
      </c>
      <c r="DL12" s="14">
        <f>201192+210325</f>
        <v>411517</v>
      </c>
      <c r="DM12" s="63">
        <f>173789+169181</f>
        <v>342970</v>
      </c>
      <c r="DN12" s="63">
        <f>27873+32667</f>
        <v>60540</v>
      </c>
      <c r="DO12" s="63">
        <f>2081+2494</f>
        <v>4575</v>
      </c>
      <c r="DP12" s="319">
        <f>530+913+340+1245</f>
        <v>3028</v>
      </c>
      <c r="DQ12" s="7">
        <v>883512</v>
      </c>
      <c r="DR12" s="63">
        <v>690617</v>
      </c>
      <c r="DS12" s="63">
        <v>177988</v>
      </c>
      <c r="DT12" s="63">
        <v>12892</v>
      </c>
      <c r="DU12" s="319">
        <v>14907</v>
      </c>
      <c r="DV12" s="7">
        <v>1328432</v>
      </c>
      <c r="DW12" s="63">
        <v>920512</v>
      </c>
      <c r="DX12" s="63">
        <v>354883</v>
      </c>
      <c r="DY12" s="63">
        <v>33614</v>
      </c>
      <c r="DZ12" s="319">
        <v>53037</v>
      </c>
      <c r="EA12" s="7">
        <v>1689702</v>
      </c>
      <c r="EB12" s="63">
        <v>1068210</v>
      </c>
      <c r="EC12" s="63">
        <v>536342</v>
      </c>
      <c r="ED12" s="63">
        <v>72318</v>
      </c>
      <c r="EE12" s="319">
        <v>85150</v>
      </c>
      <c r="EF12" s="7">
        <v>1729316.5399999998</v>
      </c>
      <c r="EG12" s="63">
        <v>1080492.2999999998</v>
      </c>
      <c r="EH12" s="63">
        <v>557932.47</v>
      </c>
      <c r="EI12" s="63">
        <v>76077.497999999992</v>
      </c>
      <c r="EJ12" s="319">
        <v>90891.770000000019</v>
      </c>
      <c r="EK12" s="63">
        <v>1767834</v>
      </c>
      <c r="EL12" s="63">
        <v>1094437</v>
      </c>
      <c r="EM12" s="63">
        <v>580479</v>
      </c>
      <c r="EN12" s="63">
        <v>78821</v>
      </c>
      <c r="EO12" s="661">
        <v>92918</v>
      </c>
      <c r="EP12" s="661">
        <v>1805134</v>
      </c>
      <c r="EQ12" s="661">
        <v>1065458</v>
      </c>
      <c r="ER12" s="661">
        <v>594464</v>
      </c>
      <c r="ES12" s="661">
        <v>84558</v>
      </c>
      <c r="ET12" s="661">
        <v>94278</v>
      </c>
      <c r="EU12" s="14">
        <v>199403</v>
      </c>
      <c r="EV12" s="63">
        <v>156057</v>
      </c>
      <c r="EW12" s="63">
        <v>38926</v>
      </c>
      <c r="EX12" s="63">
        <v>3411</v>
      </c>
      <c r="EY12" s="319">
        <v>4420</v>
      </c>
      <c r="EZ12" s="7">
        <v>269740</v>
      </c>
      <c r="FA12" s="63">
        <v>188733</v>
      </c>
      <c r="FB12" s="63">
        <v>68260</v>
      </c>
      <c r="FC12" s="63">
        <v>7600</v>
      </c>
      <c r="FD12" s="319">
        <v>12747</v>
      </c>
      <c r="FE12" s="201">
        <v>407233</v>
      </c>
      <c r="FF12" s="63">
        <v>254621</v>
      </c>
      <c r="FG12" s="63">
        <v>127745</v>
      </c>
      <c r="FH12" s="63">
        <v>19312</v>
      </c>
      <c r="FI12" s="63">
        <v>24867</v>
      </c>
      <c r="FJ12" s="201"/>
      <c r="FK12" s="63"/>
      <c r="FL12" s="63"/>
      <c r="FM12" s="63"/>
      <c r="FN12" s="319"/>
      <c r="FO12" s="63">
        <v>433809</v>
      </c>
      <c r="FP12" s="63">
        <v>270320</v>
      </c>
      <c r="FQ12" s="63">
        <v>135951</v>
      </c>
      <c r="FR12" s="63">
        <v>21217</v>
      </c>
      <c r="FS12" s="63">
        <v>27538</v>
      </c>
      <c r="FT12" s="63">
        <v>452556</v>
      </c>
      <c r="FU12" s="63">
        <v>267712</v>
      </c>
      <c r="FV12" s="63">
        <v>143108</v>
      </c>
      <c r="FW12" s="63">
        <v>22025</v>
      </c>
      <c r="FX12" s="63">
        <v>27299</v>
      </c>
      <c r="FY12" s="609">
        <f t="shared" si="346"/>
        <v>976561</v>
      </c>
      <c r="FZ12" s="584">
        <f t="shared" si="347"/>
        <v>808444</v>
      </c>
      <c r="GA12" s="584">
        <f t="shared" si="348"/>
        <v>143757</v>
      </c>
      <c r="GB12" s="584">
        <f t="shared" si="349"/>
        <v>14131</v>
      </c>
      <c r="GC12" s="584">
        <f t="shared" si="350"/>
        <v>24360</v>
      </c>
      <c r="GD12" s="609">
        <f t="shared" si="351"/>
        <v>1529918</v>
      </c>
      <c r="GE12" s="584">
        <f t="shared" si="352"/>
        <v>1168422</v>
      </c>
      <c r="GF12" s="584">
        <f t="shared" si="353"/>
        <v>274819</v>
      </c>
      <c r="GG12" s="584">
        <f t="shared" si="354"/>
        <v>36595</v>
      </c>
      <c r="GH12" s="584">
        <f t="shared" si="355"/>
        <v>86677</v>
      </c>
      <c r="GI12" s="201">
        <v>1773765</v>
      </c>
      <c r="GJ12" s="63">
        <v>1243413</v>
      </c>
      <c r="GK12" s="63">
        <v>392460</v>
      </c>
      <c r="GL12" s="63">
        <v>66698</v>
      </c>
      <c r="GM12" s="63">
        <v>137892</v>
      </c>
      <c r="GN12" s="599"/>
      <c r="GO12" s="600"/>
      <c r="GP12" s="600"/>
      <c r="GQ12" s="600"/>
      <c r="GR12" s="600"/>
      <c r="GS12" s="600">
        <v>2188068</v>
      </c>
      <c r="GT12" s="600">
        <v>1507663</v>
      </c>
      <c r="GU12" s="600">
        <v>505139</v>
      </c>
      <c r="GV12" s="600">
        <v>82060</v>
      </c>
      <c r="GW12" s="615">
        <v>175266</v>
      </c>
      <c r="GX12" s="600">
        <v>6793580</v>
      </c>
      <c r="GY12" s="600">
        <v>1480947</v>
      </c>
      <c r="GZ12" s="600">
        <v>530731</v>
      </c>
      <c r="HA12" s="600">
        <v>83984</v>
      </c>
      <c r="HB12" s="600">
        <v>106288</v>
      </c>
      <c r="HC12" s="14">
        <v>519613</v>
      </c>
      <c r="HD12" s="7">
        <v>436787</v>
      </c>
      <c r="HE12" s="7">
        <v>71113</v>
      </c>
      <c r="HF12" s="7">
        <v>6796</v>
      </c>
      <c r="HG12" s="7">
        <v>11713</v>
      </c>
      <c r="HH12" s="14">
        <v>829873</v>
      </c>
      <c r="HI12" s="63">
        <v>642432</v>
      </c>
      <c r="HJ12" s="63">
        <v>142979</v>
      </c>
      <c r="HK12" s="63">
        <v>18560</v>
      </c>
      <c r="HL12" s="63">
        <v>44462</v>
      </c>
      <c r="HM12" s="201">
        <v>1081088</v>
      </c>
      <c r="HN12" s="63">
        <v>775492</v>
      </c>
      <c r="HO12" s="63">
        <v>223907</v>
      </c>
      <c r="HP12" s="63">
        <v>38533</v>
      </c>
      <c r="HQ12" s="63">
        <v>81689</v>
      </c>
      <c r="HR12" s="201">
        <v>1098771.52</v>
      </c>
      <c r="HS12" s="63">
        <v>783256.5</v>
      </c>
      <c r="HT12" s="63">
        <v>230991.15</v>
      </c>
      <c r="HU12" s="63">
        <v>40224.883999999998</v>
      </c>
      <c r="HV12" s="63">
        <v>84523.870000000024</v>
      </c>
      <c r="HW12" s="63">
        <v>1141360</v>
      </c>
      <c r="HX12" s="63">
        <v>769139</v>
      </c>
      <c r="HY12" s="63">
        <v>249883</v>
      </c>
      <c r="HZ12" s="63">
        <v>42660</v>
      </c>
      <c r="IA12" s="63">
        <v>92524</v>
      </c>
      <c r="IB12" s="353">
        <v>50512</v>
      </c>
      <c r="IC12" s="354">
        <v>79275</v>
      </c>
      <c r="ID12" s="339">
        <v>125769</v>
      </c>
      <c r="IE12" s="355">
        <f t="shared" si="303"/>
        <v>71066</v>
      </c>
      <c r="IF12" s="355">
        <f t="shared" si="304"/>
        <v>54703</v>
      </c>
      <c r="IG12" s="355">
        <f t="shared" si="305"/>
        <v>113135</v>
      </c>
      <c r="IH12" s="341">
        <v>66539</v>
      </c>
      <c r="II12" s="341">
        <v>46596</v>
      </c>
      <c r="IJ12" s="355">
        <f t="shared" si="306"/>
        <v>12634</v>
      </c>
      <c r="IK12" s="341">
        <v>4527</v>
      </c>
      <c r="IL12" s="341">
        <v>8107</v>
      </c>
      <c r="IM12" s="339">
        <v>218948</v>
      </c>
      <c r="IN12" s="355">
        <f t="shared" si="307"/>
        <v>125671</v>
      </c>
      <c r="IO12" s="355">
        <f t="shared" si="308"/>
        <v>93277</v>
      </c>
      <c r="IP12" s="355">
        <f t="shared" si="309"/>
        <v>195054</v>
      </c>
      <c r="IQ12" s="341">
        <v>116283</v>
      </c>
      <c r="IR12" s="341">
        <v>78771</v>
      </c>
      <c r="IS12" s="355">
        <f t="shared" si="310"/>
        <v>21078</v>
      </c>
      <c r="IT12" s="341">
        <v>7585</v>
      </c>
      <c r="IU12" s="341">
        <v>13493</v>
      </c>
      <c r="IV12" s="355">
        <f t="shared" si="311"/>
        <v>2816</v>
      </c>
      <c r="IW12" s="341">
        <v>1803</v>
      </c>
      <c r="IX12" s="341">
        <v>1013</v>
      </c>
      <c r="IY12" s="339">
        <v>450267</v>
      </c>
      <c r="IZ12" s="355">
        <f t="shared" si="312"/>
        <v>254608</v>
      </c>
      <c r="JA12" s="355">
        <f t="shared" si="313"/>
        <v>195659</v>
      </c>
      <c r="JB12" s="63">
        <f>160012+227091</f>
        <v>387103</v>
      </c>
      <c r="JC12" s="341">
        <v>227091</v>
      </c>
      <c r="JD12" s="341">
        <v>160012</v>
      </c>
      <c r="JE12" s="341">
        <v>27517</v>
      </c>
      <c r="JF12" s="341">
        <v>35647</v>
      </c>
      <c r="JG12" s="63">
        <f>21326+31828</f>
        <v>53154</v>
      </c>
      <c r="JH12" s="341">
        <v>21326</v>
      </c>
      <c r="JI12" s="341">
        <v>31828</v>
      </c>
      <c r="JJ12" s="63">
        <f>2609+1598</f>
        <v>4207</v>
      </c>
      <c r="JK12" s="341">
        <v>2609</v>
      </c>
      <c r="JL12" s="341">
        <v>1598</v>
      </c>
      <c r="JM12" s="356">
        <f t="shared" si="314"/>
        <v>5803</v>
      </c>
      <c r="JN12" s="356">
        <f t="shared" si="315"/>
        <v>3582</v>
      </c>
      <c r="JO12" s="356">
        <f t="shared" si="316"/>
        <v>2221</v>
      </c>
      <c r="JP12" s="357">
        <f t="shared" si="317"/>
        <v>529</v>
      </c>
      <c r="JQ12" s="357">
        <f t="shared" si="318"/>
        <v>371</v>
      </c>
      <c r="JR12" s="357">
        <f t="shared" si="319"/>
        <v>158</v>
      </c>
      <c r="JS12" s="341">
        <v>5274</v>
      </c>
      <c r="JT12" s="341">
        <v>3211</v>
      </c>
      <c r="JU12" s="341">
        <v>2063</v>
      </c>
      <c r="JV12" s="16">
        <f t="shared" si="320"/>
        <v>777158</v>
      </c>
      <c r="JW12" s="355">
        <f t="shared" si="321"/>
        <v>417695</v>
      </c>
      <c r="JX12" s="355">
        <f t="shared" si="322"/>
        <v>359463</v>
      </c>
      <c r="JY12" s="15">
        <f t="shared" si="323"/>
        <v>652387</v>
      </c>
      <c r="JZ12" s="151">
        <f t="shared" si="324"/>
        <v>644318</v>
      </c>
      <c r="KA12" s="341">
        <v>359885</v>
      </c>
      <c r="KB12" s="341">
        <v>284433</v>
      </c>
      <c r="KC12" s="341">
        <v>57810</v>
      </c>
      <c r="KD12" s="341">
        <v>75030</v>
      </c>
      <c r="KE12" s="15">
        <f t="shared" si="325"/>
        <v>104831</v>
      </c>
      <c r="KF12" s="151">
        <f t="shared" si="326"/>
        <v>104537</v>
      </c>
      <c r="KG12" s="341">
        <v>41364</v>
      </c>
      <c r="KH12" s="341">
        <v>63173</v>
      </c>
      <c r="KI12" s="15">
        <f t="shared" si="327"/>
        <v>10720</v>
      </c>
      <c r="KJ12" s="341">
        <v>6323</v>
      </c>
      <c r="KK12" s="341">
        <v>4397</v>
      </c>
      <c r="KL12" s="13">
        <f t="shared" si="328"/>
        <v>19940</v>
      </c>
      <c r="KM12" s="358">
        <f t="shared" si="329"/>
        <v>10123</v>
      </c>
      <c r="KN12" s="358">
        <f t="shared" si="330"/>
        <v>7460</v>
      </c>
      <c r="KO12" s="359">
        <f t="shared" si="331"/>
        <v>109</v>
      </c>
      <c r="KP12" s="359">
        <f t="shared" si="332"/>
        <v>62</v>
      </c>
      <c r="KQ12" s="359">
        <f t="shared" si="333"/>
        <v>47</v>
      </c>
      <c r="KR12" s="360">
        <f t="shared" si="334"/>
        <v>17474</v>
      </c>
      <c r="KS12" s="360">
        <f t="shared" si="335"/>
        <v>10061</v>
      </c>
      <c r="KT12" s="360">
        <f t="shared" si="336"/>
        <v>7413</v>
      </c>
      <c r="KU12" s="341">
        <v>617</v>
      </c>
      <c r="KV12" s="341">
        <v>488</v>
      </c>
      <c r="KW12" s="341">
        <v>9444</v>
      </c>
      <c r="KX12" s="341">
        <v>6925</v>
      </c>
      <c r="KY12" s="361">
        <v>1260178</v>
      </c>
      <c r="KZ12" s="341">
        <v>636734</v>
      </c>
      <c r="LA12" s="341">
        <v>623444</v>
      </c>
      <c r="LB12" s="9">
        <f t="shared" si="337"/>
        <v>979689</v>
      </c>
      <c r="LC12" s="9">
        <v>513276</v>
      </c>
      <c r="LD12" s="9">
        <v>466413</v>
      </c>
      <c r="LE12" s="140">
        <f t="shared" si="338"/>
        <v>961514</v>
      </c>
      <c r="LF12" s="341">
        <v>503347</v>
      </c>
      <c r="LG12" s="341">
        <v>458167</v>
      </c>
      <c r="LH12" s="9">
        <f t="shared" si="339"/>
        <v>206559</v>
      </c>
      <c r="LI12" s="341">
        <v>83515</v>
      </c>
      <c r="LJ12" s="341">
        <v>123044</v>
      </c>
      <c r="LK12" s="9">
        <f t="shared" si="340"/>
        <v>28995</v>
      </c>
      <c r="LL12" s="341">
        <v>15816</v>
      </c>
      <c r="LM12" s="341">
        <v>13179</v>
      </c>
      <c r="LN12" s="140">
        <f t="shared" si="341"/>
        <v>73930</v>
      </c>
      <c r="LO12" s="140">
        <f t="shared" si="342"/>
        <v>39943</v>
      </c>
      <c r="LP12" s="140">
        <f t="shared" si="343"/>
        <v>33987</v>
      </c>
      <c r="LQ12" s="349">
        <v>1578689</v>
      </c>
      <c r="LR12" s="341">
        <v>1164225</v>
      </c>
      <c r="LS12" s="341">
        <v>294196</v>
      </c>
      <c r="LT12" s="341">
        <v>120268</v>
      </c>
      <c r="LU12" s="9">
        <v>47076</v>
      </c>
      <c r="LV12" s="201">
        <v>1640314</v>
      </c>
      <c r="LW12" s="63">
        <v>1196757</v>
      </c>
      <c r="LX12" s="63">
        <v>317811</v>
      </c>
      <c r="LY12" s="63">
        <v>125746</v>
      </c>
      <c r="LZ12" s="63">
        <v>49999</v>
      </c>
      <c r="MA12" s="201">
        <v>1684388</v>
      </c>
      <c r="MB12" s="63">
        <v>1224314</v>
      </c>
      <c r="MC12" s="63">
        <v>330038</v>
      </c>
      <c r="MD12" s="63">
        <v>130036</v>
      </c>
      <c r="ME12" s="63">
        <v>53061</v>
      </c>
      <c r="MF12" s="201">
        <v>1685250</v>
      </c>
      <c r="MG12" s="63">
        <v>1203731</v>
      </c>
      <c r="MH12" s="63">
        <v>341623</v>
      </c>
      <c r="MI12" s="63">
        <v>139896</v>
      </c>
      <c r="MJ12" s="63">
        <v>56587</v>
      </c>
      <c r="MK12" s="14">
        <v>1710587.48</v>
      </c>
      <c r="ML12" s="63">
        <v>1221076.8</v>
      </c>
      <c r="MM12" s="63">
        <v>351817.29000000004</v>
      </c>
      <c r="MN12" s="63">
        <v>59025.644999999997</v>
      </c>
      <c r="MO12" s="63">
        <v>137693.3899999999</v>
      </c>
      <c r="MP12" s="63">
        <v>1754259</v>
      </c>
      <c r="MQ12" s="63">
        <v>1237343</v>
      </c>
      <c r="MR12" s="63">
        <v>369188</v>
      </c>
      <c r="MS12" s="63">
        <v>60843</v>
      </c>
      <c r="MT12" s="2">
        <v>147728</v>
      </c>
      <c r="MU12" s="2">
        <v>1801222</v>
      </c>
      <c r="MV12" s="2">
        <v>1213235</v>
      </c>
      <c r="MW12" s="2">
        <v>387623</v>
      </c>
      <c r="MX12" s="2">
        <v>61959</v>
      </c>
      <c r="MY12" s="2">
        <v>90870</v>
      </c>
      <c r="MZ12" s="14">
        <v>257545</v>
      </c>
      <c r="NA12" s="7">
        <v>215600</v>
      </c>
      <c r="NB12" s="7">
        <v>33718</v>
      </c>
      <c r="NC12" s="7">
        <v>3924</v>
      </c>
      <c r="ND12" s="7">
        <v>8227</v>
      </c>
      <c r="NE12" s="14">
        <v>430305</v>
      </c>
      <c r="NF12" s="63">
        <v>337257</v>
      </c>
      <c r="NG12" s="63">
        <v>63580</v>
      </c>
      <c r="NH12" s="63">
        <v>10435</v>
      </c>
      <c r="NI12" s="63">
        <v>29468</v>
      </c>
      <c r="NJ12" s="14">
        <v>604162</v>
      </c>
      <c r="NK12" s="63">
        <v>428239</v>
      </c>
      <c r="NL12" s="63">
        <v>117716</v>
      </c>
      <c r="NM12" s="63">
        <v>18054</v>
      </c>
      <c r="NN12" s="63">
        <v>58207</v>
      </c>
      <c r="NO12" s="14">
        <v>611815.96000000008</v>
      </c>
      <c r="NP12" s="63">
        <v>437820.3</v>
      </c>
      <c r="NQ12" s="63">
        <v>120826.14000000001</v>
      </c>
      <c r="NR12" s="63">
        <v>18800.760999999999</v>
      </c>
      <c r="NS12" s="319">
        <v>53169.520000000077</v>
      </c>
      <c r="NT12" s="1">
        <v>633295</v>
      </c>
      <c r="NU12" s="2">
        <v>444994</v>
      </c>
      <c r="NV12" s="2">
        <v>128629</v>
      </c>
      <c r="NW12" s="2">
        <v>18389</v>
      </c>
      <c r="NX12" s="79">
        <v>59672</v>
      </c>
      <c r="NY12" s="2">
        <v>659862</v>
      </c>
      <c r="NZ12" s="2">
        <v>444096</v>
      </c>
      <c r="OA12" s="2">
        <v>137740</v>
      </c>
      <c r="OB12" s="2">
        <v>19299</v>
      </c>
      <c r="OC12" s="2">
        <v>63750</v>
      </c>
    </row>
    <row r="13" spans="1:393" ht="14.25" x14ac:dyDescent="0.2">
      <c r="A13" s="239" t="s">
        <v>5</v>
      </c>
      <c r="B13" s="201">
        <f>74579+109347+139980+51270+108297+170311</f>
        <v>653784</v>
      </c>
      <c r="C13" s="63">
        <f>68281+102019+132924+46692+99392+161357</f>
        <v>610665</v>
      </c>
      <c r="D13" s="63">
        <f>5419+6108+5899+3778+7382+7446</f>
        <v>36032</v>
      </c>
      <c r="E13" s="63">
        <f>652+993+931+468+1049+1086</f>
        <v>5179</v>
      </c>
      <c r="F13" s="319">
        <f>123+100+154+97+120+70+109+106+166+223+343+240</f>
        <v>1851</v>
      </c>
      <c r="G13" s="7">
        <v>442579</v>
      </c>
      <c r="H13" s="63">
        <v>418668</v>
      </c>
      <c r="I13" s="63">
        <v>21820</v>
      </c>
      <c r="J13" s="63">
        <v>1315</v>
      </c>
      <c r="K13" s="319">
        <v>2091</v>
      </c>
      <c r="L13" s="7">
        <v>309293</v>
      </c>
      <c r="M13" s="63">
        <v>289669</v>
      </c>
      <c r="N13" s="63">
        <v>12281</v>
      </c>
      <c r="O13" s="63">
        <v>6461</v>
      </c>
      <c r="P13" s="319">
        <v>7343</v>
      </c>
      <c r="Q13" s="9">
        <v>228069</v>
      </c>
      <c r="R13" s="600">
        <v>208228</v>
      </c>
      <c r="S13" s="600">
        <v>9196</v>
      </c>
      <c r="T13" s="600">
        <v>12903</v>
      </c>
      <c r="U13" s="615">
        <v>10645</v>
      </c>
      <c r="V13" s="600">
        <v>211805</v>
      </c>
      <c r="W13" s="5">
        <v>190552</v>
      </c>
      <c r="X13" s="600">
        <v>9174</v>
      </c>
      <c r="Y13" s="600">
        <v>13680</v>
      </c>
      <c r="Z13" s="600">
        <v>12040</v>
      </c>
      <c r="AA13" s="600">
        <v>203049</v>
      </c>
      <c r="AB13" s="600">
        <v>173945</v>
      </c>
      <c r="AC13" s="600">
        <v>9384</v>
      </c>
      <c r="AD13" s="600">
        <v>14636</v>
      </c>
      <c r="AE13" s="726">
        <v>12189</v>
      </c>
      <c r="AF13" s="201">
        <v>383278</v>
      </c>
      <c r="AG13" s="63">
        <v>346512</v>
      </c>
      <c r="AH13" s="63">
        <v>34471</v>
      </c>
      <c r="AI13" s="63">
        <v>1329</v>
      </c>
      <c r="AJ13" s="319">
        <v>2295</v>
      </c>
      <c r="AK13" s="7">
        <v>375707</v>
      </c>
      <c r="AL13" s="63">
        <v>334833</v>
      </c>
      <c r="AM13" s="63">
        <v>33396</v>
      </c>
      <c r="AN13" s="63">
        <v>5056</v>
      </c>
      <c r="AO13" s="319">
        <v>7478</v>
      </c>
      <c r="AP13" s="7">
        <v>301231</v>
      </c>
      <c r="AQ13" s="63">
        <v>265808</v>
      </c>
      <c r="AR13" s="63">
        <v>26388</v>
      </c>
      <c r="AS13" s="63">
        <v>8444</v>
      </c>
      <c r="AT13" s="319">
        <v>9035</v>
      </c>
      <c r="AU13" s="63">
        <v>289032</v>
      </c>
      <c r="AV13" s="63">
        <v>253540</v>
      </c>
      <c r="AW13" s="63">
        <v>26836</v>
      </c>
      <c r="AX13" s="63">
        <v>8992</v>
      </c>
      <c r="AY13" s="63">
        <v>8638</v>
      </c>
      <c r="AZ13" s="63">
        <v>278926</v>
      </c>
      <c r="BA13" s="63">
        <v>241771</v>
      </c>
      <c r="BB13" s="63">
        <v>24963</v>
      </c>
      <c r="BC13" s="63">
        <v>8002</v>
      </c>
      <c r="BD13" s="63">
        <v>7182</v>
      </c>
      <c r="BE13" s="14">
        <v>516719</v>
      </c>
      <c r="BF13" s="63">
        <v>460318</v>
      </c>
      <c r="BG13" s="63">
        <v>36180</v>
      </c>
      <c r="BH13" s="63">
        <v>22490</v>
      </c>
      <c r="BI13" s="584">
        <f t="shared" si="344"/>
        <v>20221</v>
      </c>
      <c r="BJ13" s="350">
        <v>222973</v>
      </c>
      <c r="BK13" s="351">
        <v>340225</v>
      </c>
      <c r="BL13" s="351">
        <v>444072</v>
      </c>
      <c r="BM13" s="351">
        <v>660102</v>
      </c>
      <c r="BN13" s="14">
        <v>1107557</v>
      </c>
      <c r="BO13" s="63">
        <v>1033219.9670000001</v>
      </c>
      <c r="BP13" s="63">
        <v>62819.309000000001</v>
      </c>
      <c r="BQ13" s="63">
        <v>5434.91</v>
      </c>
      <c r="BR13" s="319">
        <v>5826.348</v>
      </c>
      <c r="BS13" s="7">
        <v>1507976</v>
      </c>
      <c r="BT13" s="63">
        <v>1405269</v>
      </c>
      <c r="BU13" s="63">
        <v>90536</v>
      </c>
      <c r="BV13" s="63">
        <v>7506</v>
      </c>
      <c r="BW13" s="319">
        <v>12171</v>
      </c>
      <c r="BX13" s="7">
        <v>1961397</v>
      </c>
      <c r="BY13" s="63">
        <v>1795129</v>
      </c>
      <c r="BZ13" s="63">
        <v>124644</v>
      </c>
      <c r="CA13" s="63">
        <v>16614</v>
      </c>
      <c r="CB13" s="63">
        <v>41624</v>
      </c>
      <c r="CC13" s="352">
        <v>2228543</v>
      </c>
      <c r="CD13" s="63">
        <v>2029651</v>
      </c>
      <c r="CE13" s="63">
        <v>147423</v>
      </c>
      <c r="CF13" s="63">
        <v>51469</v>
      </c>
      <c r="CG13" s="63">
        <v>26372</v>
      </c>
      <c r="CH13" s="201">
        <v>2283201</v>
      </c>
      <c r="CI13" s="63">
        <v>2076250</v>
      </c>
      <c r="CJ13" s="63">
        <v>152519</v>
      </c>
      <c r="CK13" s="63">
        <v>54432</v>
      </c>
      <c r="CL13" s="63">
        <v>29259</v>
      </c>
      <c r="CM13" s="66">
        <v>2312303</v>
      </c>
      <c r="CN13" s="64">
        <v>2098818</v>
      </c>
      <c r="CO13" s="64">
        <v>156678</v>
      </c>
      <c r="CP13" s="64">
        <v>56807</v>
      </c>
      <c r="CQ13" s="64">
        <v>31324</v>
      </c>
      <c r="CR13" s="14">
        <v>2350529</v>
      </c>
      <c r="CS13" s="63">
        <v>2125510</v>
      </c>
      <c r="CT13" s="63">
        <v>164743</v>
      </c>
      <c r="CU13" s="63">
        <v>37863</v>
      </c>
      <c r="CV13" s="63">
        <v>41777</v>
      </c>
      <c r="CW13" s="14">
        <v>2386198.5959999999</v>
      </c>
      <c r="CX13" s="63">
        <v>2155124.2080000001</v>
      </c>
      <c r="CY13" s="63">
        <v>169390.50400000002</v>
      </c>
      <c r="CZ13" s="63">
        <v>39809.061000000002</v>
      </c>
      <c r="DA13" s="621">
        <f t="shared" si="345"/>
        <v>61683.883999999787</v>
      </c>
      <c r="DB13" s="63">
        <v>2421838</v>
      </c>
      <c r="DC13" s="63">
        <v>2185202</v>
      </c>
      <c r="DD13" s="63">
        <v>171670</v>
      </c>
      <c r="DE13" s="63">
        <v>43441</v>
      </c>
      <c r="DF13" s="63">
        <v>64287</v>
      </c>
      <c r="DG13" s="63">
        <v>2455204</v>
      </c>
      <c r="DH13" s="63">
        <v>2180571</v>
      </c>
      <c r="DI13" s="63">
        <v>175889</v>
      </c>
      <c r="DJ13" s="63">
        <v>45539</v>
      </c>
      <c r="DK13" s="63">
        <v>46377</v>
      </c>
      <c r="DL13" s="14">
        <f>107197+116345</f>
        <v>223542</v>
      </c>
      <c r="DM13" s="63">
        <f>99177+106412</f>
        <v>205589</v>
      </c>
      <c r="DN13" s="63">
        <f>6803+8596</f>
        <v>15399</v>
      </c>
      <c r="DO13" s="63">
        <f>695+573</f>
        <v>1268</v>
      </c>
      <c r="DP13" s="319">
        <f>191+388+121+498</f>
        <v>1198</v>
      </c>
      <c r="DQ13" s="7">
        <v>448837</v>
      </c>
      <c r="DR13" s="63">
        <v>411545</v>
      </c>
      <c r="DS13" s="63">
        <v>33814</v>
      </c>
      <c r="DT13" s="63">
        <v>2785</v>
      </c>
      <c r="DU13" s="319">
        <v>3478</v>
      </c>
      <c r="DV13" s="7">
        <v>619651</v>
      </c>
      <c r="DW13" s="63">
        <v>557640</v>
      </c>
      <c r="DX13" s="63">
        <v>49387</v>
      </c>
      <c r="DY13" s="63">
        <v>5945</v>
      </c>
      <c r="DZ13" s="319">
        <v>12624</v>
      </c>
      <c r="EA13" s="7">
        <v>775577</v>
      </c>
      <c r="EB13" s="63">
        <v>687311</v>
      </c>
      <c r="EC13" s="63">
        <v>69507</v>
      </c>
      <c r="ED13" s="63">
        <v>12601</v>
      </c>
      <c r="EE13" s="319">
        <v>18759</v>
      </c>
      <c r="EF13" s="7">
        <v>789593.69600000011</v>
      </c>
      <c r="EG13" s="63">
        <v>700938.45600000001</v>
      </c>
      <c r="EH13" s="63">
        <v>69482.997999999992</v>
      </c>
      <c r="EI13" s="63">
        <v>12771.295</v>
      </c>
      <c r="EJ13" s="319">
        <v>19172.242000000115</v>
      </c>
      <c r="EK13" s="63">
        <v>808333</v>
      </c>
      <c r="EL13" s="63">
        <v>718236</v>
      </c>
      <c r="EM13" s="63">
        <v>70400</v>
      </c>
      <c r="EN13" s="63">
        <v>13455</v>
      </c>
      <c r="EO13" s="661">
        <v>19390</v>
      </c>
      <c r="EP13" s="661">
        <v>823121</v>
      </c>
      <c r="EQ13" s="661">
        <v>721437</v>
      </c>
      <c r="ER13" s="661">
        <v>72126</v>
      </c>
      <c r="ES13" s="661">
        <v>14064</v>
      </c>
      <c r="ET13" s="661">
        <v>20176</v>
      </c>
      <c r="EU13" s="14">
        <v>94610</v>
      </c>
      <c r="EV13" s="63">
        <v>86907</v>
      </c>
      <c r="EW13" s="63">
        <v>6829</v>
      </c>
      <c r="EX13" s="63">
        <v>657</v>
      </c>
      <c r="EY13" s="319">
        <v>874</v>
      </c>
      <c r="EZ13" s="7">
        <v>129481</v>
      </c>
      <c r="FA13" s="63">
        <v>117235</v>
      </c>
      <c r="FB13" s="63">
        <v>9348</v>
      </c>
      <c r="FC13" s="63">
        <v>1263</v>
      </c>
      <c r="FD13" s="319">
        <v>2898</v>
      </c>
      <c r="FE13" s="201">
        <v>192700</v>
      </c>
      <c r="FF13" s="63">
        <v>172766</v>
      </c>
      <c r="FG13" s="63">
        <v>15315</v>
      </c>
      <c r="FH13" s="63">
        <v>2260</v>
      </c>
      <c r="FI13" s="63">
        <v>4619</v>
      </c>
      <c r="FJ13" s="201"/>
      <c r="FK13" s="63"/>
      <c r="FL13" s="63"/>
      <c r="FM13" s="63"/>
      <c r="FN13" s="319"/>
      <c r="FO13" s="63">
        <v>205573</v>
      </c>
      <c r="FP13" s="63">
        <v>185435</v>
      </c>
      <c r="FQ13" s="63">
        <v>15053</v>
      </c>
      <c r="FR13" s="63">
        <v>3124</v>
      </c>
      <c r="FS13" s="63">
        <v>5017</v>
      </c>
      <c r="FT13" s="63">
        <v>212970</v>
      </c>
      <c r="FU13" s="63">
        <v>189884</v>
      </c>
      <c r="FV13" s="63">
        <v>15229</v>
      </c>
      <c r="FW13" s="63">
        <v>3588</v>
      </c>
      <c r="FX13" s="63">
        <v>5247</v>
      </c>
      <c r="FY13" s="609">
        <f t="shared" si="346"/>
        <v>412737</v>
      </c>
      <c r="FZ13" s="584">
        <f t="shared" si="347"/>
        <v>388665</v>
      </c>
      <c r="GA13" s="584">
        <f t="shared" si="348"/>
        <v>18172</v>
      </c>
      <c r="GB13" s="584">
        <f t="shared" si="349"/>
        <v>2579</v>
      </c>
      <c r="GC13" s="584">
        <f t="shared" si="350"/>
        <v>5900</v>
      </c>
      <c r="GD13" s="609">
        <f t="shared" si="351"/>
        <v>582950</v>
      </c>
      <c r="GE13" s="584">
        <f t="shared" si="352"/>
        <v>537164</v>
      </c>
      <c r="GF13" s="584">
        <f t="shared" si="353"/>
        <v>27504</v>
      </c>
      <c r="GG13" s="584">
        <f t="shared" si="354"/>
        <v>4909</v>
      </c>
      <c r="GH13" s="584">
        <f t="shared" si="355"/>
        <v>18282</v>
      </c>
      <c r="GI13" s="201">
        <v>654680</v>
      </c>
      <c r="GJ13" s="63">
        <v>593462</v>
      </c>
      <c r="GK13" s="63">
        <v>37851</v>
      </c>
      <c r="GL13" s="63">
        <v>8738</v>
      </c>
      <c r="GM13" s="63">
        <v>23367</v>
      </c>
      <c r="GN13" s="599"/>
      <c r="GO13" s="600"/>
      <c r="GP13" s="600"/>
      <c r="GQ13" s="600"/>
      <c r="GR13" s="600"/>
      <c r="GS13" s="600">
        <v>823716</v>
      </c>
      <c r="GT13" s="600">
        <v>746199</v>
      </c>
      <c r="GU13" s="600">
        <v>46569</v>
      </c>
      <c r="GV13" s="600">
        <v>12544</v>
      </c>
      <c r="GW13" s="615">
        <v>30697</v>
      </c>
      <c r="GX13" s="600">
        <v>2806323</v>
      </c>
      <c r="GY13" s="600">
        <v>762181</v>
      </c>
      <c r="GZ13" s="600">
        <v>47699</v>
      </c>
      <c r="HA13" s="600">
        <v>14043</v>
      </c>
      <c r="HB13" s="600">
        <v>21538</v>
      </c>
      <c r="HC13" s="14">
        <v>189539</v>
      </c>
      <c r="HD13" s="7">
        <v>179804</v>
      </c>
      <c r="HE13" s="7">
        <v>7211</v>
      </c>
      <c r="HF13" s="7">
        <v>1026</v>
      </c>
      <c r="HG13" s="7">
        <v>2524</v>
      </c>
      <c r="HH13" s="14">
        <v>271418</v>
      </c>
      <c r="HI13" s="63">
        <v>252166</v>
      </c>
      <c r="HJ13" s="63">
        <v>11661</v>
      </c>
      <c r="HK13" s="63">
        <v>2169</v>
      </c>
      <c r="HL13" s="63">
        <v>7591</v>
      </c>
      <c r="HM13" s="201">
        <v>354144</v>
      </c>
      <c r="HN13" s="63">
        <v>323777</v>
      </c>
      <c r="HO13" s="63">
        <v>18114</v>
      </c>
      <c r="HP13" s="63">
        <v>4937</v>
      </c>
      <c r="HQ13" s="63">
        <v>12253</v>
      </c>
      <c r="HR13" s="201">
        <v>359961.83199999999</v>
      </c>
      <c r="HS13" s="63">
        <v>329545.69199999998</v>
      </c>
      <c r="HT13" s="63">
        <v>18706.960999999999</v>
      </c>
      <c r="HU13" s="63">
        <v>5295.415</v>
      </c>
      <c r="HV13" s="63">
        <v>11709.179000000015</v>
      </c>
      <c r="HW13" s="63">
        <v>377048</v>
      </c>
      <c r="HX13" s="63">
        <v>337810</v>
      </c>
      <c r="HY13" s="63">
        <v>19824</v>
      </c>
      <c r="HZ13" s="63">
        <v>6319</v>
      </c>
      <c r="IA13" s="63">
        <v>15175</v>
      </c>
      <c r="IB13" s="353">
        <v>42486</v>
      </c>
      <c r="IC13" s="354">
        <v>59010</v>
      </c>
      <c r="ID13" s="339">
        <v>78847</v>
      </c>
      <c r="IE13" s="355">
        <f t="shared" si="303"/>
        <v>46096</v>
      </c>
      <c r="IF13" s="355">
        <f t="shared" si="304"/>
        <v>32751</v>
      </c>
      <c r="IG13" s="355">
        <f t="shared" si="305"/>
        <v>75802</v>
      </c>
      <c r="IH13" s="341">
        <v>44797</v>
      </c>
      <c r="II13" s="341">
        <v>31005</v>
      </c>
      <c r="IJ13" s="355">
        <f t="shared" si="306"/>
        <v>3045</v>
      </c>
      <c r="IK13" s="341">
        <v>1299</v>
      </c>
      <c r="IL13" s="341">
        <v>1746</v>
      </c>
      <c r="IM13" s="339">
        <v>123947</v>
      </c>
      <c r="IN13" s="355">
        <f t="shared" si="307"/>
        <v>70095</v>
      </c>
      <c r="IO13" s="355">
        <f t="shared" si="308"/>
        <v>53852</v>
      </c>
      <c r="IP13" s="355">
        <f t="shared" si="309"/>
        <v>119317</v>
      </c>
      <c r="IQ13" s="341">
        <v>67972</v>
      </c>
      <c r="IR13" s="341">
        <v>51345</v>
      </c>
      <c r="IS13" s="355">
        <f t="shared" si="310"/>
        <v>3624</v>
      </c>
      <c r="IT13" s="341">
        <v>1462</v>
      </c>
      <c r="IU13" s="341">
        <v>2162</v>
      </c>
      <c r="IV13" s="355">
        <f t="shared" si="311"/>
        <v>1006</v>
      </c>
      <c r="IW13" s="341">
        <v>661</v>
      </c>
      <c r="IX13" s="341">
        <v>345</v>
      </c>
      <c r="IY13" s="339">
        <v>231139</v>
      </c>
      <c r="IZ13" s="355">
        <f t="shared" si="312"/>
        <v>129052</v>
      </c>
      <c r="JA13" s="355">
        <f t="shared" si="313"/>
        <v>102087</v>
      </c>
      <c r="JB13" s="63">
        <f>96165+122904</f>
        <v>219069</v>
      </c>
      <c r="JC13" s="341">
        <v>122904</v>
      </c>
      <c r="JD13" s="341">
        <v>96165</v>
      </c>
      <c r="JE13" s="341">
        <v>6148</v>
      </c>
      <c r="JF13" s="341">
        <v>5922</v>
      </c>
      <c r="JG13" s="63">
        <f>3995+4235</f>
        <v>8230</v>
      </c>
      <c r="JH13" s="341">
        <v>3995</v>
      </c>
      <c r="JI13" s="341">
        <v>4235</v>
      </c>
      <c r="JJ13" s="63">
        <f>665+579</f>
        <v>1244</v>
      </c>
      <c r="JK13" s="341">
        <v>665</v>
      </c>
      <c r="JL13" s="341">
        <v>579</v>
      </c>
      <c r="JM13" s="356">
        <f t="shared" si="314"/>
        <v>2596</v>
      </c>
      <c r="JN13" s="356">
        <f t="shared" si="315"/>
        <v>1488</v>
      </c>
      <c r="JO13" s="356">
        <f t="shared" si="316"/>
        <v>1108</v>
      </c>
      <c r="JP13" s="357">
        <f t="shared" si="317"/>
        <v>62</v>
      </c>
      <c r="JQ13" s="357">
        <f t="shared" si="318"/>
        <v>50</v>
      </c>
      <c r="JR13" s="357">
        <f t="shared" si="319"/>
        <v>12</v>
      </c>
      <c r="JS13" s="341">
        <v>2534</v>
      </c>
      <c r="JT13" s="341">
        <v>1438</v>
      </c>
      <c r="JU13" s="341">
        <v>1096</v>
      </c>
      <c r="JV13" s="16">
        <f t="shared" si="320"/>
        <v>318127</v>
      </c>
      <c r="JW13" s="355">
        <f t="shared" si="321"/>
        <v>166673</v>
      </c>
      <c r="JX13" s="355">
        <f t="shared" si="322"/>
        <v>151454</v>
      </c>
      <c r="JY13" s="15">
        <f t="shared" si="323"/>
        <v>301758</v>
      </c>
      <c r="JZ13" s="151">
        <f t="shared" si="324"/>
        <v>300338</v>
      </c>
      <c r="KA13" s="341">
        <v>157982</v>
      </c>
      <c r="KB13" s="341">
        <v>142356</v>
      </c>
      <c r="KC13" s="341">
        <v>8691</v>
      </c>
      <c r="KD13" s="341">
        <v>9098</v>
      </c>
      <c r="KE13" s="15">
        <f t="shared" si="325"/>
        <v>11343</v>
      </c>
      <c r="KF13" s="151">
        <f t="shared" si="326"/>
        <v>11307</v>
      </c>
      <c r="KG13" s="341">
        <v>4889</v>
      </c>
      <c r="KH13" s="341">
        <v>6418</v>
      </c>
      <c r="KI13" s="15">
        <f t="shared" si="327"/>
        <v>1922</v>
      </c>
      <c r="KJ13" s="341">
        <v>1128</v>
      </c>
      <c r="KK13" s="341">
        <v>794</v>
      </c>
      <c r="KL13" s="13">
        <f t="shared" si="328"/>
        <v>5026</v>
      </c>
      <c r="KM13" s="358">
        <f t="shared" si="329"/>
        <v>2674</v>
      </c>
      <c r="KN13" s="358">
        <f t="shared" si="330"/>
        <v>1886</v>
      </c>
      <c r="KO13" s="359">
        <f t="shared" si="331"/>
        <v>16</v>
      </c>
      <c r="KP13" s="359">
        <f t="shared" si="332"/>
        <v>13</v>
      </c>
      <c r="KQ13" s="359">
        <f t="shared" si="333"/>
        <v>3</v>
      </c>
      <c r="KR13" s="360">
        <f t="shared" si="334"/>
        <v>4544</v>
      </c>
      <c r="KS13" s="360">
        <f t="shared" si="335"/>
        <v>2661</v>
      </c>
      <c r="KT13" s="360">
        <f t="shared" si="336"/>
        <v>1883</v>
      </c>
      <c r="KU13" s="341">
        <v>173</v>
      </c>
      <c r="KV13" s="341">
        <v>172</v>
      </c>
      <c r="KW13" s="341">
        <v>2488</v>
      </c>
      <c r="KX13" s="341">
        <v>1711</v>
      </c>
      <c r="KY13" s="361">
        <v>453469</v>
      </c>
      <c r="KZ13" s="341">
        <v>226434</v>
      </c>
      <c r="LA13" s="341">
        <v>227035</v>
      </c>
      <c r="LB13" s="9">
        <f t="shared" si="337"/>
        <v>419929</v>
      </c>
      <c r="LC13" s="9">
        <v>209804</v>
      </c>
      <c r="LD13" s="9">
        <v>210125</v>
      </c>
      <c r="LE13" s="140">
        <f t="shared" si="338"/>
        <v>417561</v>
      </c>
      <c r="LF13" s="341">
        <v>208518</v>
      </c>
      <c r="LG13" s="341">
        <v>209043</v>
      </c>
      <c r="LH13" s="9">
        <f t="shared" si="339"/>
        <v>18156</v>
      </c>
      <c r="LI13" s="341">
        <v>8032</v>
      </c>
      <c r="LJ13" s="341">
        <v>10124</v>
      </c>
      <c r="LK13" s="9">
        <f t="shared" si="340"/>
        <v>3646</v>
      </c>
      <c r="LL13" s="341">
        <v>1987</v>
      </c>
      <c r="LM13" s="341">
        <v>1659</v>
      </c>
      <c r="LN13" s="140">
        <f t="shared" si="341"/>
        <v>15384</v>
      </c>
      <c r="LO13" s="140">
        <f t="shared" si="342"/>
        <v>8598</v>
      </c>
      <c r="LP13" s="140">
        <f t="shared" si="343"/>
        <v>6786</v>
      </c>
      <c r="LQ13" s="349">
        <v>553608</v>
      </c>
      <c r="LR13" s="341">
        <v>509507</v>
      </c>
      <c r="LS13" s="341">
        <v>23662</v>
      </c>
      <c r="LT13" s="341">
        <v>20439</v>
      </c>
      <c r="LU13" s="9">
        <v>7380</v>
      </c>
      <c r="LV13" s="201">
        <v>567846</v>
      </c>
      <c r="LW13" s="63">
        <v>521789</v>
      </c>
      <c r="LX13" s="63">
        <v>25282</v>
      </c>
      <c r="LY13" s="63">
        <v>20775</v>
      </c>
      <c r="LZ13" s="63">
        <v>6902</v>
      </c>
      <c r="MA13" s="201">
        <v>580967</v>
      </c>
      <c r="MB13" s="63">
        <v>532667</v>
      </c>
      <c r="MC13" s="63">
        <v>26493</v>
      </c>
      <c r="MD13" s="63">
        <v>21807</v>
      </c>
      <c r="ME13" s="63">
        <v>6911</v>
      </c>
      <c r="MF13" s="201">
        <v>590415</v>
      </c>
      <c r="MG13" s="63">
        <v>538008</v>
      </c>
      <c r="MH13" s="63">
        <v>28958</v>
      </c>
      <c r="MI13" s="63">
        <v>23449</v>
      </c>
      <c r="MJ13" s="63">
        <v>8073</v>
      </c>
      <c r="MK13" s="14">
        <v>606709.86199999996</v>
      </c>
      <c r="ML13" s="63">
        <v>551858.26199999999</v>
      </c>
      <c r="MM13" s="63">
        <v>29807.794999999998</v>
      </c>
      <c r="MN13" s="63">
        <v>8348.0660000000007</v>
      </c>
      <c r="MO13" s="63">
        <v>25043.804999999978</v>
      </c>
      <c r="MP13" s="63">
        <v>618143</v>
      </c>
      <c r="MQ13" s="63">
        <v>560764</v>
      </c>
      <c r="MR13" s="63">
        <v>31516</v>
      </c>
      <c r="MS13" s="63">
        <v>9420</v>
      </c>
      <c r="MT13" s="2">
        <v>25680</v>
      </c>
      <c r="MU13" s="2">
        <v>640420</v>
      </c>
      <c r="MV13" s="2">
        <v>572297</v>
      </c>
      <c r="MW13" s="2">
        <v>32470</v>
      </c>
      <c r="MX13" s="2">
        <v>10455</v>
      </c>
      <c r="MY13" s="2">
        <v>17979</v>
      </c>
      <c r="MZ13" s="14">
        <v>128588</v>
      </c>
      <c r="NA13" s="7">
        <v>121954</v>
      </c>
      <c r="NB13" s="7">
        <v>4132</v>
      </c>
      <c r="NC13" s="7">
        <v>896</v>
      </c>
      <c r="ND13" s="7">
        <v>2502</v>
      </c>
      <c r="NE13" s="14">
        <v>182051</v>
      </c>
      <c r="NF13" s="63">
        <v>167763</v>
      </c>
      <c r="NG13" s="63">
        <v>6495</v>
      </c>
      <c r="NH13" s="63">
        <v>1477</v>
      </c>
      <c r="NI13" s="63">
        <v>7793</v>
      </c>
      <c r="NJ13" s="14">
        <v>236271</v>
      </c>
      <c r="NK13" s="63">
        <v>214231</v>
      </c>
      <c r="NL13" s="63">
        <v>10844</v>
      </c>
      <c r="NM13" s="63">
        <v>3136</v>
      </c>
      <c r="NN13" s="63">
        <v>11196</v>
      </c>
      <c r="NO13" s="14">
        <v>246748.03000000003</v>
      </c>
      <c r="NP13" s="63">
        <v>222312.57</v>
      </c>
      <c r="NQ13" s="63">
        <v>11100.834000000001</v>
      </c>
      <c r="NR13" s="63">
        <v>3052.6510000000003</v>
      </c>
      <c r="NS13" s="319">
        <v>13334.62600000002</v>
      </c>
      <c r="NT13" s="1">
        <v>251287</v>
      </c>
      <c r="NU13" s="2">
        <v>226945</v>
      </c>
      <c r="NV13" s="2">
        <v>12294</v>
      </c>
      <c r="NW13" s="2">
        <v>3681</v>
      </c>
      <c r="NX13" s="79">
        <v>12039</v>
      </c>
      <c r="NY13" s="2">
        <v>263372</v>
      </c>
      <c r="NZ13" s="2">
        <v>234487</v>
      </c>
      <c r="OA13" s="2">
        <v>12646</v>
      </c>
      <c r="OB13" s="2">
        <v>4136</v>
      </c>
      <c r="OC13" s="2">
        <v>13055</v>
      </c>
    </row>
    <row r="14" spans="1:393" ht="14.25" x14ac:dyDescent="0.2">
      <c r="A14" s="239" t="s">
        <v>6</v>
      </c>
      <c r="B14" s="201">
        <f>90813+117900+63387+86044+133186+77260</f>
        <v>568590</v>
      </c>
      <c r="C14" s="63">
        <f>42682+73634+43099+40982+76071+48419</f>
        <v>324887</v>
      </c>
      <c r="D14" s="63">
        <f>44977+40517+18473+42009+52259+26255</f>
        <v>224490</v>
      </c>
      <c r="E14" s="63">
        <f>2026+2734+1421+1943+3424+2087</f>
        <v>13635</v>
      </c>
      <c r="F14" s="319">
        <f>645+459+206+377+511+156+522+366+156+529+974+311</f>
        <v>5212</v>
      </c>
      <c r="G14" s="7">
        <v>372913</v>
      </c>
      <c r="H14" s="63">
        <v>215750</v>
      </c>
      <c r="I14" s="63">
        <v>147552</v>
      </c>
      <c r="J14" s="63">
        <v>9203</v>
      </c>
      <c r="K14" s="319">
        <v>9611</v>
      </c>
      <c r="L14" s="7">
        <v>257710</v>
      </c>
      <c r="M14" s="63">
        <v>143433</v>
      </c>
      <c r="N14" s="63">
        <v>99796</v>
      </c>
      <c r="O14" s="63">
        <v>9252</v>
      </c>
      <c r="P14" s="319">
        <v>14481</v>
      </c>
      <c r="Q14" s="9">
        <v>194000</v>
      </c>
      <c r="R14" s="600">
        <v>111066</v>
      </c>
      <c r="S14" s="600">
        <v>67368</v>
      </c>
      <c r="T14" s="600">
        <v>18209</v>
      </c>
      <c r="U14" s="615">
        <v>15566</v>
      </c>
      <c r="V14" s="600">
        <v>185655</v>
      </c>
      <c r="W14" s="5">
        <v>102568</v>
      </c>
      <c r="X14" s="600">
        <v>64836</v>
      </c>
      <c r="Y14" s="600">
        <v>21299</v>
      </c>
      <c r="Z14" s="600">
        <v>18236</v>
      </c>
      <c r="AA14" s="600">
        <v>181275</v>
      </c>
      <c r="AB14" s="600">
        <v>86747</v>
      </c>
      <c r="AC14" s="600">
        <v>62826</v>
      </c>
      <c r="AD14" s="600">
        <v>21087</v>
      </c>
      <c r="AE14" s="726">
        <v>18386</v>
      </c>
      <c r="AF14" s="201">
        <v>430959</v>
      </c>
      <c r="AG14" s="63">
        <v>252730</v>
      </c>
      <c r="AH14" s="63">
        <v>170986</v>
      </c>
      <c r="AI14" s="63">
        <v>8000</v>
      </c>
      <c r="AJ14" s="319">
        <v>7243</v>
      </c>
      <c r="AK14" s="7">
        <v>441342</v>
      </c>
      <c r="AL14" s="63">
        <v>236144</v>
      </c>
      <c r="AM14" s="63">
        <v>189485</v>
      </c>
      <c r="AN14" s="63">
        <v>10354</v>
      </c>
      <c r="AO14" s="319">
        <v>15713</v>
      </c>
      <c r="AP14" s="7">
        <v>338358</v>
      </c>
      <c r="AQ14" s="63">
        <v>179600</v>
      </c>
      <c r="AR14" s="63">
        <v>143530</v>
      </c>
      <c r="AS14" s="63">
        <v>14505</v>
      </c>
      <c r="AT14" s="319">
        <v>15228</v>
      </c>
      <c r="AU14" s="63">
        <v>337589</v>
      </c>
      <c r="AV14" s="63">
        <v>174292</v>
      </c>
      <c r="AW14" s="63">
        <v>147314</v>
      </c>
      <c r="AX14" s="63">
        <v>15986</v>
      </c>
      <c r="AY14" s="63">
        <v>15742</v>
      </c>
      <c r="AZ14" s="63">
        <v>335096</v>
      </c>
      <c r="BA14" s="63">
        <v>160808</v>
      </c>
      <c r="BB14" s="63">
        <v>147923</v>
      </c>
      <c r="BC14" s="63">
        <v>16016</v>
      </c>
      <c r="BD14" s="63">
        <v>15119</v>
      </c>
      <c r="BE14" s="14">
        <v>526903</v>
      </c>
      <c r="BF14" s="63">
        <v>281136</v>
      </c>
      <c r="BG14" s="63">
        <v>213194</v>
      </c>
      <c r="BH14" s="63">
        <v>34075</v>
      </c>
      <c r="BI14" s="584">
        <f t="shared" si="344"/>
        <v>32573</v>
      </c>
      <c r="BJ14" s="350">
        <v>211250</v>
      </c>
      <c r="BK14" s="351">
        <v>305610</v>
      </c>
      <c r="BL14" s="351">
        <v>530109</v>
      </c>
      <c r="BM14" s="351">
        <v>763363</v>
      </c>
      <c r="BN14" s="14">
        <v>1315827</v>
      </c>
      <c r="BO14" s="63">
        <v>1041640.873</v>
      </c>
      <c r="BP14" s="63">
        <v>233719.42500000002</v>
      </c>
      <c r="BQ14" s="63">
        <v>28819.657999999999</v>
      </c>
      <c r="BR14" s="319">
        <v>10138.412</v>
      </c>
      <c r="BS14" s="7">
        <v>1733122</v>
      </c>
      <c r="BT14" s="63">
        <v>1345122</v>
      </c>
      <c r="BU14" s="63">
        <v>360271</v>
      </c>
      <c r="BV14" s="63">
        <v>35934</v>
      </c>
      <c r="BW14" s="319">
        <v>27729</v>
      </c>
      <c r="BX14" s="7">
        <v>2076416</v>
      </c>
      <c r="BY14" s="63">
        <v>1517193</v>
      </c>
      <c r="BZ14" s="63">
        <v>495518</v>
      </c>
      <c r="CA14" s="63">
        <v>43739</v>
      </c>
      <c r="CB14" s="63">
        <v>63705</v>
      </c>
      <c r="CC14" s="352">
        <v>2197220</v>
      </c>
      <c r="CD14" s="63">
        <v>1567079</v>
      </c>
      <c r="CE14" s="63">
        <v>556406</v>
      </c>
      <c r="CF14" s="63">
        <v>73735</v>
      </c>
      <c r="CG14" s="63">
        <v>55374</v>
      </c>
      <c r="CH14" s="201">
        <v>2206544</v>
      </c>
      <c r="CI14" s="63">
        <v>1587683</v>
      </c>
      <c r="CJ14" s="63">
        <v>546696</v>
      </c>
      <c r="CK14" s="63">
        <v>72165</v>
      </c>
      <c r="CL14" s="63">
        <v>56070</v>
      </c>
      <c r="CM14" s="66">
        <v>2309516</v>
      </c>
      <c r="CN14" s="64">
        <v>1635565</v>
      </c>
      <c r="CO14" s="64">
        <v>599899</v>
      </c>
      <c r="CP14" s="64">
        <v>74052</v>
      </c>
      <c r="CQ14" s="64">
        <v>61694</v>
      </c>
      <c r="CR14" s="14">
        <v>2368354</v>
      </c>
      <c r="CS14" s="63">
        <v>1656730</v>
      </c>
      <c r="CT14" s="63">
        <v>625525</v>
      </c>
      <c r="CU14" s="63">
        <v>73674</v>
      </c>
      <c r="CV14" s="63">
        <v>65440</v>
      </c>
      <c r="CW14" s="14">
        <v>2416690.6740000001</v>
      </c>
      <c r="CX14" s="63">
        <v>1682882.3040000002</v>
      </c>
      <c r="CY14" s="63">
        <v>639581.25</v>
      </c>
      <c r="CZ14" s="63">
        <v>80002.727999999988</v>
      </c>
      <c r="DA14" s="621">
        <f t="shared" si="345"/>
        <v>94227.119999999879</v>
      </c>
      <c r="DB14" s="63">
        <v>2457149</v>
      </c>
      <c r="DC14" s="63">
        <v>1709114</v>
      </c>
      <c r="DD14" s="63">
        <v>653403</v>
      </c>
      <c r="DE14" s="63">
        <v>83483</v>
      </c>
      <c r="DF14" s="63">
        <v>93276</v>
      </c>
      <c r="DG14" s="63">
        <v>2493990</v>
      </c>
      <c r="DH14" s="63">
        <v>1669688</v>
      </c>
      <c r="DI14" s="63">
        <v>665701</v>
      </c>
      <c r="DJ14" s="63">
        <v>88287</v>
      </c>
      <c r="DK14" s="63">
        <v>59592</v>
      </c>
      <c r="DL14" s="14">
        <f>145024+147769</f>
        <v>292793</v>
      </c>
      <c r="DM14" s="63">
        <f>114264+115955</f>
        <v>230219</v>
      </c>
      <c r="DN14" s="63">
        <f>23783+28875</f>
        <v>52658</v>
      </c>
      <c r="DO14" s="63">
        <f>3527+3916</f>
        <v>7443</v>
      </c>
      <c r="DP14" s="319">
        <f>356+763+195+745</f>
        <v>2059</v>
      </c>
      <c r="DQ14" s="7">
        <v>520671</v>
      </c>
      <c r="DR14" s="63">
        <v>395945</v>
      </c>
      <c r="DS14" s="63">
        <v>116018</v>
      </c>
      <c r="DT14" s="63">
        <v>13393</v>
      </c>
      <c r="DU14" s="319">
        <v>8708</v>
      </c>
      <c r="DV14" s="7">
        <v>657284</v>
      </c>
      <c r="DW14" s="63">
        <v>464844</v>
      </c>
      <c r="DX14" s="63">
        <v>171533</v>
      </c>
      <c r="DY14" s="63">
        <v>15892</v>
      </c>
      <c r="DZ14" s="319">
        <v>20907</v>
      </c>
      <c r="EA14" s="7">
        <v>757630</v>
      </c>
      <c r="EB14" s="63">
        <v>510672</v>
      </c>
      <c r="EC14" s="63">
        <v>220569</v>
      </c>
      <c r="ED14" s="63">
        <v>22990</v>
      </c>
      <c r="EE14" s="319">
        <v>26389</v>
      </c>
      <c r="EF14" s="7">
        <v>777108.81599999999</v>
      </c>
      <c r="EG14" s="63">
        <v>522951.74400000001</v>
      </c>
      <c r="EH14" s="63">
        <v>225985.375</v>
      </c>
      <c r="EI14" s="63">
        <v>24616.224000000002</v>
      </c>
      <c r="EJ14" s="319">
        <v>28171.696999999986</v>
      </c>
      <c r="EK14" s="63">
        <v>791755</v>
      </c>
      <c r="EL14" s="63">
        <v>529701</v>
      </c>
      <c r="EM14" s="63">
        <v>233922</v>
      </c>
      <c r="EN14" s="63">
        <v>26714</v>
      </c>
      <c r="EO14" s="661">
        <v>27785</v>
      </c>
      <c r="EP14" s="661">
        <v>809716</v>
      </c>
      <c r="EQ14" s="661">
        <v>519203</v>
      </c>
      <c r="ER14" s="661">
        <v>240318</v>
      </c>
      <c r="ES14" s="661">
        <v>29132</v>
      </c>
      <c r="ET14" s="661">
        <v>28983</v>
      </c>
      <c r="EU14" s="14">
        <v>83049</v>
      </c>
      <c r="EV14" s="63">
        <v>63058</v>
      </c>
      <c r="EW14" s="63">
        <v>17864</v>
      </c>
      <c r="EX14" s="63">
        <v>2722</v>
      </c>
      <c r="EY14" s="319">
        <v>2127</v>
      </c>
      <c r="EZ14" s="7">
        <v>95798</v>
      </c>
      <c r="FA14" s="63">
        <v>69796</v>
      </c>
      <c r="FB14" s="63">
        <v>21920</v>
      </c>
      <c r="FC14" s="63">
        <v>2909</v>
      </c>
      <c r="FD14" s="319">
        <v>4082</v>
      </c>
      <c r="FE14" s="201">
        <v>142540</v>
      </c>
      <c r="FF14" s="63">
        <v>99920</v>
      </c>
      <c r="FG14" s="63">
        <v>36589</v>
      </c>
      <c r="FH14" s="63">
        <v>4599</v>
      </c>
      <c r="FI14" s="63">
        <v>6031</v>
      </c>
      <c r="FJ14" s="201"/>
      <c r="FK14" s="63"/>
      <c r="FL14" s="63"/>
      <c r="FM14" s="63"/>
      <c r="FN14" s="319"/>
      <c r="FO14" s="63">
        <v>154698</v>
      </c>
      <c r="FP14" s="63">
        <v>107016</v>
      </c>
      <c r="FQ14" s="63">
        <v>40891</v>
      </c>
      <c r="FR14" s="63">
        <v>5686</v>
      </c>
      <c r="FS14" s="63">
        <v>6769</v>
      </c>
      <c r="FT14" s="63">
        <v>160232</v>
      </c>
      <c r="FU14" s="63">
        <v>107896</v>
      </c>
      <c r="FV14" s="63">
        <v>41947</v>
      </c>
      <c r="FW14" s="63">
        <v>6146</v>
      </c>
      <c r="FX14" s="63">
        <v>6427</v>
      </c>
      <c r="FY14" s="609">
        <f t="shared" si="346"/>
        <v>492172</v>
      </c>
      <c r="FZ14" s="584">
        <f t="shared" si="347"/>
        <v>401408</v>
      </c>
      <c r="GA14" s="584">
        <f t="shared" si="348"/>
        <v>79645</v>
      </c>
      <c r="GB14" s="584">
        <f t="shared" si="349"/>
        <v>11536</v>
      </c>
      <c r="GC14" s="584">
        <f t="shared" si="350"/>
        <v>11119</v>
      </c>
      <c r="GD14" s="609">
        <f t="shared" si="351"/>
        <v>615576</v>
      </c>
      <c r="GE14" s="584">
        <f t="shared" si="352"/>
        <v>482701</v>
      </c>
      <c r="GF14" s="584">
        <f t="shared" si="353"/>
        <v>107395</v>
      </c>
      <c r="GG14" s="584">
        <f t="shared" si="354"/>
        <v>15274</v>
      </c>
      <c r="GH14" s="584">
        <f t="shared" si="355"/>
        <v>25480</v>
      </c>
      <c r="GI14" s="201">
        <v>650158</v>
      </c>
      <c r="GJ14" s="63">
        <v>499737</v>
      </c>
      <c r="GK14" s="63">
        <v>120343</v>
      </c>
      <c r="GL14" s="63">
        <v>20932</v>
      </c>
      <c r="GM14" s="63">
        <v>30078</v>
      </c>
      <c r="GN14" s="599"/>
      <c r="GO14" s="600"/>
      <c r="GP14" s="600"/>
      <c r="GQ14" s="600"/>
      <c r="GR14" s="600"/>
      <c r="GS14" s="600">
        <v>796128</v>
      </c>
      <c r="GT14" s="600">
        <v>603890</v>
      </c>
      <c r="GU14" s="600">
        <v>153470</v>
      </c>
      <c r="GV14" s="600">
        <v>26284</v>
      </c>
      <c r="GW14" s="615">
        <v>38226</v>
      </c>
      <c r="GX14" s="600">
        <v>2811786</v>
      </c>
      <c r="GY14" s="600">
        <v>600563</v>
      </c>
      <c r="GZ14" s="600">
        <v>159879</v>
      </c>
      <c r="HA14" s="600">
        <v>27970</v>
      </c>
      <c r="HB14" s="600">
        <v>22692</v>
      </c>
      <c r="HC14" s="14">
        <v>267055</v>
      </c>
      <c r="HD14" s="7">
        <v>222824</v>
      </c>
      <c r="HE14" s="7">
        <v>39726</v>
      </c>
      <c r="HF14" s="7">
        <v>5394</v>
      </c>
      <c r="HG14" s="7">
        <v>4505</v>
      </c>
      <c r="HH14" s="14">
        <v>339711</v>
      </c>
      <c r="HI14" s="63">
        <v>271852</v>
      </c>
      <c r="HJ14" s="63">
        <v>56197</v>
      </c>
      <c r="HK14" s="63">
        <v>7606</v>
      </c>
      <c r="HL14" s="63">
        <v>11662</v>
      </c>
      <c r="HM14" s="201">
        <v>412873</v>
      </c>
      <c r="HN14" s="63">
        <v>322859</v>
      </c>
      <c r="HO14" s="63">
        <v>72821</v>
      </c>
      <c r="HP14" s="63">
        <v>13198</v>
      </c>
      <c r="HQ14" s="63">
        <v>17193</v>
      </c>
      <c r="HR14" s="201">
        <v>420933.94200000004</v>
      </c>
      <c r="HS14" s="63">
        <v>330285.31200000003</v>
      </c>
      <c r="HT14" s="63">
        <v>73338.649999999994</v>
      </c>
      <c r="HU14" s="63">
        <v>13447.752</v>
      </c>
      <c r="HV14" s="63">
        <v>17309.98000000001</v>
      </c>
      <c r="HW14" s="63">
        <v>436351</v>
      </c>
      <c r="HX14" s="63">
        <v>328585</v>
      </c>
      <c r="HY14" s="63">
        <v>78413</v>
      </c>
      <c r="HZ14" s="63">
        <v>14463</v>
      </c>
      <c r="IA14" s="63">
        <v>17556</v>
      </c>
      <c r="IB14" s="353">
        <v>42316</v>
      </c>
      <c r="IC14" s="354">
        <v>66555</v>
      </c>
      <c r="ID14" s="339">
        <v>110138</v>
      </c>
      <c r="IE14" s="355">
        <f t="shared" si="303"/>
        <v>63772</v>
      </c>
      <c r="IF14" s="355">
        <f t="shared" si="304"/>
        <v>46366</v>
      </c>
      <c r="IG14" s="355">
        <f t="shared" si="305"/>
        <v>98351</v>
      </c>
      <c r="IH14" s="341">
        <v>59640</v>
      </c>
      <c r="II14" s="341">
        <v>38711</v>
      </c>
      <c r="IJ14" s="355">
        <f t="shared" si="306"/>
        <v>11787</v>
      </c>
      <c r="IK14" s="341">
        <v>4132</v>
      </c>
      <c r="IL14" s="341">
        <v>7655</v>
      </c>
      <c r="IM14" s="339">
        <v>167209</v>
      </c>
      <c r="IN14" s="355">
        <f t="shared" si="307"/>
        <v>95507</v>
      </c>
      <c r="IO14" s="355">
        <f t="shared" si="308"/>
        <v>71702</v>
      </c>
      <c r="IP14" s="355">
        <f t="shared" si="309"/>
        <v>143528</v>
      </c>
      <c r="IQ14" s="341">
        <v>85927</v>
      </c>
      <c r="IR14" s="341">
        <v>57601</v>
      </c>
      <c r="IS14" s="355">
        <f t="shared" si="310"/>
        <v>19698</v>
      </c>
      <c r="IT14" s="341">
        <v>6967</v>
      </c>
      <c r="IU14" s="341">
        <v>12731</v>
      </c>
      <c r="IV14" s="355">
        <f t="shared" si="311"/>
        <v>3983</v>
      </c>
      <c r="IW14" s="341">
        <v>2613</v>
      </c>
      <c r="IX14" s="341">
        <v>1370</v>
      </c>
      <c r="IY14" s="339">
        <v>317223</v>
      </c>
      <c r="IZ14" s="355">
        <f t="shared" si="312"/>
        <v>178440</v>
      </c>
      <c r="JA14" s="355">
        <f t="shared" si="313"/>
        <v>138783</v>
      </c>
      <c r="JB14" s="63">
        <f>107251+155128</f>
        <v>262379</v>
      </c>
      <c r="JC14" s="341">
        <v>155128</v>
      </c>
      <c r="JD14" s="341">
        <v>107251</v>
      </c>
      <c r="JE14" s="341">
        <v>23312</v>
      </c>
      <c r="JF14" s="341">
        <v>31532</v>
      </c>
      <c r="JG14" s="63">
        <f>16425+27001</f>
        <v>43426</v>
      </c>
      <c r="JH14" s="341">
        <v>16425</v>
      </c>
      <c r="JI14" s="341">
        <v>27001</v>
      </c>
      <c r="JJ14" s="63">
        <f>2953+4116</f>
        <v>7069</v>
      </c>
      <c r="JK14" s="341">
        <v>4116</v>
      </c>
      <c r="JL14" s="341">
        <v>2953</v>
      </c>
      <c r="JM14" s="356">
        <f t="shared" si="314"/>
        <v>4349</v>
      </c>
      <c r="JN14" s="356">
        <f t="shared" si="315"/>
        <v>2771</v>
      </c>
      <c r="JO14" s="356">
        <f t="shared" si="316"/>
        <v>1578</v>
      </c>
      <c r="JP14" s="357">
        <f t="shared" si="317"/>
        <v>421</v>
      </c>
      <c r="JQ14" s="357">
        <f t="shared" si="318"/>
        <v>322</v>
      </c>
      <c r="JR14" s="357">
        <f t="shared" si="319"/>
        <v>99</v>
      </c>
      <c r="JS14" s="341">
        <v>3928</v>
      </c>
      <c r="JT14" s="341">
        <v>2449</v>
      </c>
      <c r="JU14" s="341">
        <v>1479</v>
      </c>
      <c r="JV14" s="16">
        <f t="shared" si="320"/>
        <v>409123</v>
      </c>
      <c r="JW14" s="355">
        <f t="shared" si="321"/>
        <v>212703</v>
      </c>
      <c r="JX14" s="355">
        <f t="shared" si="322"/>
        <v>196420</v>
      </c>
      <c r="JY14" s="15">
        <f t="shared" si="323"/>
        <v>338350</v>
      </c>
      <c r="JZ14" s="151">
        <f t="shared" si="324"/>
        <v>331383</v>
      </c>
      <c r="KA14" s="341">
        <v>181452</v>
      </c>
      <c r="KB14" s="341">
        <v>149931</v>
      </c>
      <c r="KC14" s="341">
        <v>31251</v>
      </c>
      <c r="KD14" s="341">
        <v>46489</v>
      </c>
      <c r="KE14" s="15">
        <f t="shared" si="325"/>
        <v>61781</v>
      </c>
      <c r="KF14" s="151">
        <f t="shared" si="326"/>
        <v>61454</v>
      </c>
      <c r="KG14" s="341">
        <v>21925</v>
      </c>
      <c r="KH14" s="341">
        <v>39529</v>
      </c>
      <c r="KI14" s="15">
        <f t="shared" si="327"/>
        <v>8814</v>
      </c>
      <c r="KJ14" s="341">
        <v>4964</v>
      </c>
      <c r="KK14" s="341">
        <v>3850</v>
      </c>
      <c r="KL14" s="13">
        <f t="shared" si="328"/>
        <v>8992</v>
      </c>
      <c r="KM14" s="358">
        <f t="shared" si="329"/>
        <v>4362</v>
      </c>
      <c r="KN14" s="358">
        <f t="shared" si="330"/>
        <v>3110</v>
      </c>
      <c r="KO14" s="359">
        <f t="shared" si="331"/>
        <v>225</v>
      </c>
      <c r="KP14" s="359">
        <f t="shared" si="332"/>
        <v>88</v>
      </c>
      <c r="KQ14" s="359">
        <f t="shared" si="333"/>
        <v>137</v>
      </c>
      <c r="KR14" s="360">
        <f t="shared" si="334"/>
        <v>7247</v>
      </c>
      <c r="KS14" s="360">
        <f t="shared" si="335"/>
        <v>4274</v>
      </c>
      <c r="KT14" s="360">
        <f t="shared" si="336"/>
        <v>2973</v>
      </c>
      <c r="KU14" s="341">
        <v>332</v>
      </c>
      <c r="KV14" s="341">
        <v>228</v>
      </c>
      <c r="KW14" s="341">
        <v>3942</v>
      </c>
      <c r="KX14" s="341">
        <v>2745</v>
      </c>
      <c r="KY14" s="361">
        <v>519778</v>
      </c>
      <c r="KZ14" s="341">
        <v>252505</v>
      </c>
      <c r="LA14" s="341">
        <v>267273</v>
      </c>
      <c r="LB14" s="9">
        <f t="shared" si="337"/>
        <v>412905</v>
      </c>
      <c r="LC14" s="9">
        <v>210990</v>
      </c>
      <c r="LD14" s="9">
        <v>201915</v>
      </c>
      <c r="LE14" s="140">
        <f t="shared" si="338"/>
        <v>404104</v>
      </c>
      <c r="LF14" s="341">
        <v>206431</v>
      </c>
      <c r="LG14" s="341">
        <v>197673</v>
      </c>
      <c r="LH14" s="9">
        <f t="shared" si="339"/>
        <v>85475</v>
      </c>
      <c r="LI14" s="341">
        <v>30446</v>
      </c>
      <c r="LJ14" s="341">
        <v>55029</v>
      </c>
      <c r="LK14" s="9">
        <f t="shared" si="340"/>
        <v>12365</v>
      </c>
      <c r="LL14" s="341">
        <v>6231</v>
      </c>
      <c r="LM14" s="341">
        <v>6134</v>
      </c>
      <c r="LN14" s="140">
        <f t="shared" si="341"/>
        <v>21398</v>
      </c>
      <c r="LO14" s="140">
        <f t="shared" si="342"/>
        <v>11069</v>
      </c>
      <c r="LP14" s="140">
        <f t="shared" si="343"/>
        <v>10329</v>
      </c>
      <c r="LQ14" s="349">
        <v>556206</v>
      </c>
      <c r="LR14" s="341">
        <v>438385</v>
      </c>
      <c r="LS14" s="341">
        <v>93094</v>
      </c>
      <c r="LT14" s="341">
        <v>24727</v>
      </c>
      <c r="LU14" s="9">
        <v>14922</v>
      </c>
      <c r="LV14" s="201">
        <v>561225</v>
      </c>
      <c r="LW14" s="63">
        <v>447249</v>
      </c>
      <c r="LX14" s="63">
        <v>89049</v>
      </c>
      <c r="LY14" s="63">
        <v>24927</v>
      </c>
      <c r="LZ14" s="63">
        <v>14902</v>
      </c>
      <c r="MA14" s="201">
        <v>591932</v>
      </c>
      <c r="MB14" s="63">
        <v>467505</v>
      </c>
      <c r="MC14" s="63">
        <v>99935</v>
      </c>
      <c r="MD14" s="63">
        <v>24492</v>
      </c>
      <c r="ME14" s="63">
        <v>16180</v>
      </c>
      <c r="MF14" s="201">
        <v>612012</v>
      </c>
      <c r="MG14" s="63">
        <v>474757</v>
      </c>
      <c r="MH14" s="63">
        <v>108138</v>
      </c>
      <c r="MI14" s="63">
        <v>29117</v>
      </c>
      <c r="MJ14" s="63">
        <v>19295</v>
      </c>
      <c r="MK14" s="14">
        <v>629929.11600000004</v>
      </c>
      <c r="ML14" s="63">
        <v>487564.03200000001</v>
      </c>
      <c r="MM14" s="63">
        <v>110860.75</v>
      </c>
      <c r="MN14" s="63">
        <v>20057.664000000001</v>
      </c>
      <c r="MO14" s="63">
        <v>31504.334000000032</v>
      </c>
      <c r="MP14" s="63">
        <v>641430</v>
      </c>
      <c r="MQ14" s="63">
        <v>496874</v>
      </c>
      <c r="MR14" s="63">
        <v>112579</v>
      </c>
      <c r="MS14" s="63">
        <v>20598</v>
      </c>
      <c r="MT14" s="2">
        <v>31457</v>
      </c>
      <c r="MU14" s="2">
        <v>659936</v>
      </c>
      <c r="MV14" s="2">
        <v>492667</v>
      </c>
      <c r="MW14" s="2">
        <v>117932</v>
      </c>
      <c r="MX14" s="2">
        <v>21824</v>
      </c>
      <c r="MY14" s="2">
        <v>18627</v>
      </c>
      <c r="MZ14" s="14">
        <v>142068</v>
      </c>
      <c r="NA14" s="7">
        <v>115526</v>
      </c>
      <c r="NB14" s="7">
        <v>22055</v>
      </c>
      <c r="NC14" s="7">
        <v>3420</v>
      </c>
      <c r="ND14" s="7">
        <v>4487</v>
      </c>
      <c r="NE14" s="14">
        <v>180067</v>
      </c>
      <c r="NF14" s="63">
        <v>141053</v>
      </c>
      <c r="NG14" s="63">
        <v>29278</v>
      </c>
      <c r="NH14" s="63">
        <v>4759</v>
      </c>
      <c r="NI14" s="63">
        <v>9736</v>
      </c>
      <c r="NJ14" s="14">
        <v>199139</v>
      </c>
      <c r="NK14" s="63">
        <v>151898</v>
      </c>
      <c r="NL14" s="63">
        <v>35317</v>
      </c>
      <c r="NM14" s="63">
        <v>6097</v>
      </c>
      <c r="NN14" s="63">
        <v>11924</v>
      </c>
      <c r="NO14" s="14">
        <v>208995.17399999997</v>
      </c>
      <c r="NP14" s="63">
        <v>157278.72</v>
      </c>
      <c r="NQ14" s="63">
        <v>37522.100000000006</v>
      </c>
      <c r="NR14" s="63">
        <v>6609.9119999999994</v>
      </c>
      <c r="NS14" s="319">
        <v>14194.353999999963</v>
      </c>
      <c r="NT14" s="1">
        <v>215283</v>
      </c>
      <c r="NU14" s="2">
        <v>164110</v>
      </c>
      <c r="NV14" s="2">
        <v>37979</v>
      </c>
      <c r="NW14" s="2">
        <v>6738</v>
      </c>
      <c r="NX14" s="79">
        <v>13118</v>
      </c>
      <c r="NY14" s="2">
        <v>223585</v>
      </c>
      <c r="NZ14" s="2">
        <v>164082</v>
      </c>
      <c r="OA14" s="2">
        <v>39519</v>
      </c>
      <c r="OB14" s="2">
        <v>7361</v>
      </c>
      <c r="OC14" s="2">
        <v>14155</v>
      </c>
    </row>
    <row r="15" spans="1:393" ht="14.25" x14ac:dyDescent="0.2">
      <c r="A15" s="239" t="s">
        <v>7</v>
      </c>
      <c r="B15" s="201">
        <f>32183+95762+69507+29742+102393+82015</f>
        <v>411602</v>
      </c>
      <c r="C15" s="63">
        <f>16933+66954+54964+16920+72357+64383</f>
        <v>292511</v>
      </c>
      <c r="D15" s="63">
        <f>14291+27011+13463+10987+26817+15914</f>
        <v>108483</v>
      </c>
      <c r="E15" s="63">
        <f>453+899+576+797+1634+939</f>
        <v>5298</v>
      </c>
      <c r="F15" s="319">
        <f>130+290+138+318+529+306+75+228+112+890+1297+609</f>
        <v>4922</v>
      </c>
      <c r="G15" s="7">
        <v>246505</v>
      </c>
      <c r="H15" s="63">
        <v>164757</v>
      </c>
      <c r="I15" s="63">
        <v>68386</v>
      </c>
      <c r="J15" s="63">
        <v>11365</v>
      </c>
      <c r="K15" s="319">
        <v>13362</v>
      </c>
      <c r="L15" s="7">
        <v>178169</v>
      </c>
      <c r="M15" s="63">
        <v>102464</v>
      </c>
      <c r="N15" s="63">
        <v>47404</v>
      </c>
      <c r="O15" s="63">
        <v>27827</v>
      </c>
      <c r="P15" s="319">
        <v>28301</v>
      </c>
      <c r="Q15" s="9">
        <v>178669</v>
      </c>
      <c r="R15" s="600">
        <v>90883</v>
      </c>
      <c r="S15" s="600">
        <v>37921</v>
      </c>
      <c r="T15" s="600">
        <v>68456</v>
      </c>
      <c r="U15" s="615">
        <v>49865</v>
      </c>
      <c r="V15" s="600">
        <v>174799</v>
      </c>
      <c r="W15" s="5">
        <v>81611</v>
      </c>
      <c r="X15" s="600">
        <v>37911</v>
      </c>
      <c r="Y15" s="600">
        <v>71723</v>
      </c>
      <c r="Z15" s="600">
        <v>55277</v>
      </c>
      <c r="AA15" s="600">
        <v>170082</v>
      </c>
      <c r="AB15" s="600">
        <v>48221</v>
      </c>
      <c r="AC15" s="600">
        <v>37301</v>
      </c>
      <c r="AD15" s="600">
        <v>70025</v>
      </c>
      <c r="AE15" s="726">
        <v>56445</v>
      </c>
      <c r="AF15" s="201">
        <v>427427</v>
      </c>
      <c r="AG15" s="63">
        <v>276455</v>
      </c>
      <c r="AH15" s="63">
        <v>139710</v>
      </c>
      <c r="AI15" s="63">
        <v>8533</v>
      </c>
      <c r="AJ15" s="319">
        <v>11262</v>
      </c>
      <c r="AK15" s="7">
        <v>386917</v>
      </c>
      <c r="AL15" s="63">
        <v>218708</v>
      </c>
      <c r="AM15" s="63">
        <v>141012</v>
      </c>
      <c r="AN15" s="63">
        <v>19566</v>
      </c>
      <c r="AO15" s="319">
        <v>27197</v>
      </c>
      <c r="AP15" s="7">
        <v>283929</v>
      </c>
      <c r="AQ15" s="63">
        <v>150715</v>
      </c>
      <c r="AR15" s="63">
        <v>103910</v>
      </c>
      <c r="AS15" s="63">
        <v>33216</v>
      </c>
      <c r="AT15" s="319">
        <v>29304</v>
      </c>
      <c r="AU15" s="63">
        <v>271251</v>
      </c>
      <c r="AV15" s="63">
        <v>141529</v>
      </c>
      <c r="AW15" s="63">
        <v>97978</v>
      </c>
      <c r="AX15" s="63">
        <v>35543</v>
      </c>
      <c r="AY15" s="63">
        <v>31744</v>
      </c>
      <c r="AZ15" s="63">
        <v>266447</v>
      </c>
      <c r="BA15" s="63">
        <v>120156</v>
      </c>
      <c r="BB15" s="63">
        <v>95685</v>
      </c>
      <c r="BC15" s="63">
        <v>37272</v>
      </c>
      <c r="BD15" s="63">
        <v>33063</v>
      </c>
      <c r="BE15" s="14">
        <v>453028</v>
      </c>
      <c r="BF15" s="63">
        <v>229996</v>
      </c>
      <c r="BG15" s="63">
        <v>135898</v>
      </c>
      <c r="BH15" s="63">
        <v>105069</v>
      </c>
      <c r="BI15" s="584">
        <f t="shared" si="344"/>
        <v>87134</v>
      </c>
      <c r="BJ15" s="350">
        <v>216832</v>
      </c>
      <c r="BK15" s="351">
        <v>420515</v>
      </c>
      <c r="BL15" s="351">
        <v>677409</v>
      </c>
      <c r="BM15" s="351">
        <v>1089763</v>
      </c>
      <c r="BN15" s="14">
        <v>1685553</v>
      </c>
      <c r="BO15" s="63">
        <v>1347247.4920000001</v>
      </c>
      <c r="BP15" s="63">
        <v>278190.13200000004</v>
      </c>
      <c r="BQ15" s="63">
        <v>23655.3</v>
      </c>
      <c r="BR15" s="319">
        <v>33275.457000000002</v>
      </c>
      <c r="BS15" s="7">
        <v>2448733</v>
      </c>
      <c r="BT15" s="63">
        <v>1857829</v>
      </c>
      <c r="BU15" s="63">
        <v>499283</v>
      </c>
      <c r="BV15" s="63">
        <v>47003</v>
      </c>
      <c r="BW15" s="319">
        <v>91621</v>
      </c>
      <c r="BX15" s="7">
        <v>2930509</v>
      </c>
      <c r="BY15" s="63">
        <v>2025415</v>
      </c>
      <c r="BZ15" s="63">
        <v>706552</v>
      </c>
      <c r="CA15" s="63">
        <v>77036</v>
      </c>
      <c r="CB15" s="63">
        <v>198542</v>
      </c>
      <c r="CC15" s="352">
        <v>3214597</v>
      </c>
      <c r="CD15" s="63">
        <v>2103257</v>
      </c>
      <c r="CE15" s="63">
        <v>840767</v>
      </c>
      <c r="CF15" s="63">
        <v>270573</v>
      </c>
      <c r="CG15" s="63">
        <v>121236</v>
      </c>
      <c r="CH15" s="201">
        <v>3257523</v>
      </c>
      <c r="CI15" s="63">
        <v>2123923</v>
      </c>
      <c r="CJ15" s="63">
        <v>861323</v>
      </c>
      <c r="CK15" s="63">
        <v>272277</v>
      </c>
      <c r="CL15" s="63">
        <v>126341</v>
      </c>
      <c r="CM15" s="66">
        <v>3306201</v>
      </c>
      <c r="CN15" s="64">
        <v>2137642</v>
      </c>
      <c r="CO15" s="64">
        <v>889304</v>
      </c>
      <c r="CP15" s="64">
        <v>279255</v>
      </c>
      <c r="CQ15" s="64">
        <v>132613</v>
      </c>
      <c r="CR15" s="14">
        <v>3363476</v>
      </c>
      <c r="CS15" s="63">
        <v>2143785</v>
      </c>
      <c r="CT15" s="63">
        <v>917074</v>
      </c>
      <c r="CU15" s="63">
        <v>150658</v>
      </c>
      <c r="CV15" s="63">
        <v>255146</v>
      </c>
      <c r="CW15" s="14">
        <v>3419003.3729999997</v>
      </c>
      <c r="CX15" s="63">
        <v>2165798.6800000002</v>
      </c>
      <c r="CY15" s="63">
        <v>942657.94400000002</v>
      </c>
      <c r="CZ15" s="63">
        <v>159588.171</v>
      </c>
      <c r="DA15" s="621">
        <f t="shared" si="345"/>
        <v>310546.74899999949</v>
      </c>
      <c r="DB15" s="63">
        <v>3476916</v>
      </c>
      <c r="DC15" s="63">
        <v>2189769</v>
      </c>
      <c r="DD15" s="63">
        <v>960072</v>
      </c>
      <c r="DE15" s="63">
        <v>169784</v>
      </c>
      <c r="DF15" s="63">
        <v>327075</v>
      </c>
      <c r="DG15" s="63">
        <v>3534269</v>
      </c>
      <c r="DH15" s="63">
        <v>2106839</v>
      </c>
      <c r="DI15" s="63">
        <v>980785</v>
      </c>
      <c r="DJ15" s="63">
        <v>182064</v>
      </c>
      <c r="DK15" s="63">
        <v>195350</v>
      </c>
      <c r="DL15" s="14">
        <f>170409+194247</f>
        <v>364656</v>
      </c>
      <c r="DM15" s="63">
        <f>148737+132975</f>
        <v>281712</v>
      </c>
      <c r="DN15" s="63">
        <f>31214+38905</f>
        <v>70119</v>
      </c>
      <c r="DO15" s="63">
        <f>3136+2973</f>
        <v>6109</v>
      </c>
      <c r="DP15" s="319">
        <f>388+2443+365+2915</f>
        <v>6111</v>
      </c>
      <c r="DQ15" s="7">
        <v>744137</v>
      </c>
      <c r="DR15" s="63">
        <v>541087</v>
      </c>
      <c r="DS15" s="63">
        <v>179443</v>
      </c>
      <c r="DT15" s="63">
        <v>16616</v>
      </c>
      <c r="DU15" s="319">
        <v>23607</v>
      </c>
      <c r="DV15" s="7">
        <v>897313</v>
      </c>
      <c r="DW15" s="63">
        <v>583183</v>
      </c>
      <c r="DX15" s="63">
        <v>262880</v>
      </c>
      <c r="DY15" s="63">
        <v>26566</v>
      </c>
      <c r="DZ15" s="319">
        <v>51250</v>
      </c>
      <c r="EA15" s="7">
        <v>996567</v>
      </c>
      <c r="EB15" s="63">
        <v>596402</v>
      </c>
      <c r="EC15" s="63">
        <v>329399</v>
      </c>
      <c r="ED15" s="63">
        <v>47618</v>
      </c>
      <c r="EE15" s="319">
        <v>70766</v>
      </c>
      <c r="EF15" s="7">
        <v>1006728.06</v>
      </c>
      <c r="EG15" s="63">
        <v>598948.75</v>
      </c>
      <c r="EH15" s="63">
        <v>335430.91600000003</v>
      </c>
      <c r="EI15" s="63">
        <v>51872.772000000004</v>
      </c>
      <c r="EJ15" s="319">
        <v>72348.394000000029</v>
      </c>
      <c r="EK15" s="63">
        <v>1024857</v>
      </c>
      <c r="EL15" s="63">
        <v>601806</v>
      </c>
      <c r="EM15" s="63">
        <v>344676</v>
      </c>
      <c r="EN15" s="63">
        <v>53706</v>
      </c>
      <c r="EO15" s="661">
        <v>78375</v>
      </c>
      <c r="EP15" s="661">
        <v>1036271</v>
      </c>
      <c r="EQ15" s="661">
        <v>569508</v>
      </c>
      <c r="ER15" s="661">
        <v>354487</v>
      </c>
      <c r="ES15" s="661">
        <v>55409</v>
      </c>
      <c r="ET15" s="661">
        <v>81450</v>
      </c>
      <c r="EU15" s="14">
        <v>163304</v>
      </c>
      <c r="EV15" s="63">
        <v>122461</v>
      </c>
      <c r="EW15" s="63">
        <v>33867</v>
      </c>
      <c r="EX15" s="63">
        <v>4142</v>
      </c>
      <c r="EY15" s="319">
        <v>6976</v>
      </c>
      <c r="EZ15" s="7">
        <v>186186</v>
      </c>
      <c r="FA15" s="63">
        <v>128796</v>
      </c>
      <c r="FB15" s="63">
        <v>45446</v>
      </c>
      <c r="FC15" s="63">
        <v>5594</v>
      </c>
      <c r="FD15" s="319">
        <v>11944</v>
      </c>
      <c r="FE15" s="201">
        <v>237694</v>
      </c>
      <c r="FF15" s="63">
        <v>151841</v>
      </c>
      <c r="FG15" s="63">
        <v>67066</v>
      </c>
      <c r="FH15" s="63">
        <v>11350</v>
      </c>
      <c r="FI15" s="63">
        <v>18787</v>
      </c>
      <c r="FJ15" s="201"/>
      <c r="FK15" s="63"/>
      <c r="FL15" s="63"/>
      <c r="FM15" s="63"/>
      <c r="FN15" s="319"/>
      <c r="FO15" s="63">
        <v>248236</v>
      </c>
      <c r="FP15" s="63">
        <v>155674</v>
      </c>
      <c r="FQ15" s="63">
        <v>71085</v>
      </c>
      <c r="FR15" s="63">
        <v>11068</v>
      </c>
      <c r="FS15" s="63">
        <v>21477</v>
      </c>
      <c r="FT15" s="63">
        <v>249514</v>
      </c>
      <c r="FU15" s="63">
        <v>148212</v>
      </c>
      <c r="FV15" s="63">
        <v>72969</v>
      </c>
      <c r="FW15" s="63">
        <v>10939</v>
      </c>
      <c r="FX15" s="63">
        <v>22091</v>
      </c>
      <c r="FY15" s="609">
        <f t="shared" si="346"/>
        <v>989468</v>
      </c>
      <c r="FZ15" s="584">
        <f t="shared" si="347"/>
        <v>787477</v>
      </c>
      <c r="GA15" s="584">
        <f t="shared" si="348"/>
        <v>147435</v>
      </c>
      <c r="GB15" s="584">
        <f t="shared" si="349"/>
        <v>20975</v>
      </c>
      <c r="GC15" s="584">
        <f t="shared" si="350"/>
        <v>54556</v>
      </c>
      <c r="GD15" s="609">
        <f t="shared" si="351"/>
        <v>1285546</v>
      </c>
      <c r="GE15" s="584">
        <f t="shared" si="352"/>
        <v>943825</v>
      </c>
      <c r="GF15" s="584">
        <f t="shared" si="353"/>
        <v>227070</v>
      </c>
      <c r="GG15" s="584">
        <f t="shared" si="354"/>
        <v>32258</v>
      </c>
      <c r="GH15" s="584">
        <f t="shared" si="355"/>
        <v>114651</v>
      </c>
      <c r="GI15" s="201">
        <v>1290452</v>
      </c>
      <c r="GJ15" s="63">
        <v>877913</v>
      </c>
      <c r="GK15" s="63">
        <v>264735</v>
      </c>
      <c r="GL15" s="63">
        <v>49100</v>
      </c>
      <c r="GM15" s="63">
        <v>147804</v>
      </c>
      <c r="GN15" s="599"/>
      <c r="GO15" s="600"/>
      <c r="GP15" s="600"/>
      <c r="GQ15" s="600"/>
      <c r="GR15" s="600"/>
      <c r="GS15" s="600">
        <v>1683321</v>
      </c>
      <c r="GT15" s="600">
        <v>1125930</v>
      </c>
      <c r="GU15" s="600">
        <v>355107</v>
      </c>
      <c r="GV15" s="600">
        <v>65565</v>
      </c>
      <c r="GW15" s="615">
        <v>202284</v>
      </c>
      <c r="GX15" s="600">
        <v>4758769</v>
      </c>
      <c r="GY15" s="600">
        <v>1101472</v>
      </c>
      <c r="GZ15" s="600">
        <v>365727</v>
      </c>
      <c r="HA15" s="600">
        <v>71443</v>
      </c>
      <c r="HB15" s="600">
        <v>114626</v>
      </c>
      <c r="HC15" s="14">
        <v>486695</v>
      </c>
      <c r="HD15" s="7">
        <v>389362</v>
      </c>
      <c r="HE15" s="7">
        <v>72374</v>
      </c>
      <c r="HF15" s="7">
        <v>9344</v>
      </c>
      <c r="HG15" s="7">
        <v>24959</v>
      </c>
      <c r="HH15" s="14">
        <v>629304</v>
      </c>
      <c r="HI15" s="63">
        <v>462845</v>
      </c>
      <c r="HJ15" s="63">
        <v>113793</v>
      </c>
      <c r="HK15" s="63">
        <v>14759</v>
      </c>
      <c r="HL15" s="63">
        <v>52666</v>
      </c>
      <c r="HM15" s="201">
        <v>752796</v>
      </c>
      <c r="HN15" s="63">
        <v>508822</v>
      </c>
      <c r="HO15" s="63">
        <v>157594</v>
      </c>
      <c r="HP15" s="63">
        <v>28259</v>
      </c>
      <c r="HQ15" s="63">
        <v>86380</v>
      </c>
      <c r="HR15" s="201">
        <v>770534.16899999988</v>
      </c>
      <c r="HS15" s="63">
        <v>517491.72000000009</v>
      </c>
      <c r="HT15" s="63">
        <v>166097.62400000001</v>
      </c>
      <c r="HU15" s="63">
        <v>30700.212</v>
      </c>
      <c r="HV15" s="63">
        <v>86944.824999999779</v>
      </c>
      <c r="HW15" s="63">
        <v>804124</v>
      </c>
      <c r="HX15" s="63">
        <v>516734</v>
      </c>
      <c r="HY15" s="63">
        <v>170198</v>
      </c>
      <c r="HZ15" s="63">
        <v>36693</v>
      </c>
      <c r="IA15" s="63">
        <v>94993</v>
      </c>
      <c r="IB15" s="353">
        <v>50371</v>
      </c>
      <c r="IC15" s="354">
        <v>95315</v>
      </c>
      <c r="ID15" s="339">
        <v>157294</v>
      </c>
      <c r="IE15" s="355">
        <f t="shared" si="303"/>
        <v>101868</v>
      </c>
      <c r="IF15" s="355">
        <f t="shared" si="304"/>
        <v>55426</v>
      </c>
      <c r="IG15" s="355">
        <f t="shared" si="305"/>
        <v>148139</v>
      </c>
      <c r="IH15" s="341">
        <v>97801</v>
      </c>
      <c r="II15" s="341">
        <v>50338</v>
      </c>
      <c r="IJ15" s="355">
        <f t="shared" si="306"/>
        <v>9155</v>
      </c>
      <c r="IK15" s="341">
        <v>4067</v>
      </c>
      <c r="IL15" s="341">
        <v>5088</v>
      </c>
      <c r="IM15" s="339">
        <v>291502</v>
      </c>
      <c r="IN15" s="355">
        <f t="shared" si="307"/>
        <v>184343</v>
      </c>
      <c r="IO15" s="355">
        <f t="shared" si="308"/>
        <v>107159</v>
      </c>
      <c r="IP15" s="355">
        <f t="shared" si="309"/>
        <v>266488</v>
      </c>
      <c r="IQ15" s="341">
        <v>171902</v>
      </c>
      <c r="IR15" s="341">
        <v>94586</v>
      </c>
      <c r="IS15" s="355">
        <f t="shared" si="310"/>
        <v>18972</v>
      </c>
      <c r="IT15" s="341">
        <v>8398</v>
      </c>
      <c r="IU15" s="341">
        <v>10574</v>
      </c>
      <c r="IV15" s="355">
        <f t="shared" si="311"/>
        <v>6042</v>
      </c>
      <c r="IW15" s="341">
        <v>4043</v>
      </c>
      <c r="IX15" s="341">
        <v>1999</v>
      </c>
      <c r="IY15" s="339">
        <v>508696</v>
      </c>
      <c r="IZ15" s="355">
        <f t="shared" si="312"/>
        <v>297075</v>
      </c>
      <c r="JA15" s="355">
        <f t="shared" si="313"/>
        <v>211621</v>
      </c>
      <c r="JB15" s="63">
        <f>486695+213845+79758+45866</f>
        <v>826164</v>
      </c>
      <c r="JC15" s="341">
        <v>256821</v>
      </c>
      <c r="JD15" s="341">
        <v>168823</v>
      </c>
      <c r="JE15" s="341">
        <v>40254</v>
      </c>
      <c r="JF15" s="341">
        <v>42798</v>
      </c>
      <c r="JG15" s="63">
        <f>24533+31150</f>
        <v>55683</v>
      </c>
      <c r="JH15" s="341">
        <v>24533</v>
      </c>
      <c r="JI15" s="341">
        <v>31150</v>
      </c>
      <c r="JJ15" s="63">
        <f>3465+4764</f>
        <v>8229</v>
      </c>
      <c r="JK15" s="341">
        <v>4764</v>
      </c>
      <c r="JL15" s="341">
        <v>3465</v>
      </c>
      <c r="JM15" s="356">
        <f t="shared" si="314"/>
        <v>19140</v>
      </c>
      <c r="JN15" s="356">
        <f t="shared" si="315"/>
        <v>10957</v>
      </c>
      <c r="JO15" s="356">
        <f t="shared" si="316"/>
        <v>8183</v>
      </c>
      <c r="JP15" s="357">
        <f t="shared" si="317"/>
        <v>1063</v>
      </c>
      <c r="JQ15" s="357">
        <f t="shared" si="318"/>
        <v>707</v>
      </c>
      <c r="JR15" s="357">
        <f t="shared" si="319"/>
        <v>356</v>
      </c>
      <c r="JS15" s="341">
        <v>18077</v>
      </c>
      <c r="JT15" s="341">
        <v>10250</v>
      </c>
      <c r="JU15" s="341">
        <v>7827</v>
      </c>
      <c r="JV15" s="16">
        <f t="shared" si="320"/>
        <v>826164</v>
      </c>
      <c r="JW15" s="355">
        <f t="shared" si="321"/>
        <v>446177</v>
      </c>
      <c r="JX15" s="355">
        <f t="shared" si="322"/>
        <v>379987</v>
      </c>
      <c r="JY15" s="15">
        <f t="shared" si="323"/>
        <v>665016</v>
      </c>
      <c r="JZ15" s="151">
        <f t="shared" si="324"/>
        <v>652634</v>
      </c>
      <c r="KA15" s="341">
        <v>364776</v>
      </c>
      <c r="KB15" s="341">
        <v>287858</v>
      </c>
      <c r="KC15" s="341">
        <v>81401</v>
      </c>
      <c r="KD15" s="341">
        <v>92129</v>
      </c>
      <c r="KE15" s="15">
        <f t="shared" si="325"/>
        <v>113568</v>
      </c>
      <c r="KF15" s="151">
        <f t="shared" si="326"/>
        <v>112621</v>
      </c>
      <c r="KG15" s="341">
        <v>48335</v>
      </c>
      <c r="KH15" s="341">
        <v>64286</v>
      </c>
      <c r="KI15" s="15">
        <f t="shared" si="327"/>
        <v>16833</v>
      </c>
      <c r="KJ15" s="341">
        <v>9179</v>
      </c>
      <c r="KK15" s="341">
        <v>7654</v>
      </c>
      <c r="KL15" s="13">
        <f t="shared" si="328"/>
        <v>47580</v>
      </c>
      <c r="KM15" s="358">
        <f t="shared" si="329"/>
        <v>23887</v>
      </c>
      <c r="KN15" s="358">
        <f t="shared" si="330"/>
        <v>20189</v>
      </c>
      <c r="KO15" s="359">
        <f t="shared" si="331"/>
        <v>371</v>
      </c>
      <c r="KP15" s="359">
        <f t="shared" si="332"/>
        <v>191</v>
      </c>
      <c r="KQ15" s="359">
        <f t="shared" si="333"/>
        <v>180</v>
      </c>
      <c r="KR15" s="360">
        <f t="shared" si="334"/>
        <v>43705</v>
      </c>
      <c r="KS15" s="360">
        <f t="shared" si="335"/>
        <v>23696</v>
      </c>
      <c r="KT15" s="360">
        <f t="shared" si="336"/>
        <v>20009</v>
      </c>
      <c r="KU15" s="341">
        <v>893</v>
      </c>
      <c r="KV15" s="341">
        <v>747</v>
      </c>
      <c r="KW15" s="341">
        <v>22803</v>
      </c>
      <c r="KX15" s="341">
        <v>19262</v>
      </c>
      <c r="KY15" s="361">
        <v>1099360</v>
      </c>
      <c r="KZ15" s="341">
        <v>548412</v>
      </c>
      <c r="LA15" s="341">
        <v>550948</v>
      </c>
      <c r="LB15" s="9">
        <f t="shared" si="337"/>
        <v>815029</v>
      </c>
      <c r="LC15" s="9">
        <v>421943</v>
      </c>
      <c r="LD15" s="9">
        <v>393086</v>
      </c>
      <c r="LE15" s="140">
        <f t="shared" si="338"/>
        <v>797331</v>
      </c>
      <c r="LF15" s="341">
        <v>413276</v>
      </c>
      <c r="LG15" s="341">
        <v>384055</v>
      </c>
      <c r="LH15" s="9">
        <f t="shared" si="339"/>
        <v>181624</v>
      </c>
      <c r="LI15" s="341">
        <v>74906</v>
      </c>
      <c r="LJ15" s="341">
        <v>106718</v>
      </c>
      <c r="LK15" s="9">
        <f t="shared" si="340"/>
        <v>26664</v>
      </c>
      <c r="LL15" s="341">
        <v>12659</v>
      </c>
      <c r="LM15" s="341">
        <v>14005</v>
      </c>
      <c r="LN15" s="140">
        <f t="shared" si="341"/>
        <v>102707</v>
      </c>
      <c r="LO15" s="140">
        <f t="shared" si="342"/>
        <v>51563</v>
      </c>
      <c r="LP15" s="140">
        <f t="shared" si="343"/>
        <v>51144</v>
      </c>
      <c r="LQ15" s="349">
        <v>1283348</v>
      </c>
      <c r="LR15" s="341">
        <v>901778</v>
      </c>
      <c r="LS15" s="341">
        <v>238613</v>
      </c>
      <c r="LT15" s="341">
        <v>142957</v>
      </c>
      <c r="LU15" s="9">
        <v>39123</v>
      </c>
      <c r="LV15" s="201">
        <v>1308005</v>
      </c>
      <c r="LW15" s="63">
        <v>917339</v>
      </c>
      <c r="LX15" s="63">
        <v>244021</v>
      </c>
      <c r="LY15" s="63">
        <v>146645</v>
      </c>
      <c r="LZ15" s="63">
        <v>40940</v>
      </c>
      <c r="MA15" s="201">
        <v>1331345</v>
      </c>
      <c r="MB15" s="63">
        <v>927118</v>
      </c>
      <c r="MC15" s="63">
        <v>253478</v>
      </c>
      <c r="MD15" s="63">
        <v>150749</v>
      </c>
      <c r="ME15" s="63">
        <v>44408</v>
      </c>
      <c r="MF15" s="201">
        <v>1361273</v>
      </c>
      <c r="MG15" s="63">
        <v>931631</v>
      </c>
      <c r="MH15" s="63">
        <v>262519</v>
      </c>
      <c r="MI15" s="63">
        <v>167123</v>
      </c>
      <c r="MJ15" s="63">
        <v>47903</v>
      </c>
      <c r="MK15" s="14">
        <v>1401675.2220000001</v>
      </c>
      <c r="ML15" s="63">
        <v>951130.61500000022</v>
      </c>
      <c r="MM15" s="63">
        <v>277188.89199999999</v>
      </c>
      <c r="MN15" s="63">
        <v>50814.144</v>
      </c>
      <c r="MO15" s="63">
        <v>173355.71499999985</v>
      </c>
      <c r="MP15" s="63">
        <v>1435085</v>
      </c>
      <c r="MQ15" s="63">
        <v>970256</v>
      </c>
      <c r="MR15" s="63">
        <v>284022</v>
      </c>
      <c r="MS15" s="63">
        <v>54497</v>
      </c>
      <c r="MT15" s="2">
        <v>180807</v>
      </c>
      <c r="MU15" s="2">
        <v>1472913</v>
      </c>
      <c r="MV15" s="2">
        <v>953260</v>
      </c>
      <c r="MW15" s="2">
        <v>292758</v>
      </c>
      <c r="MX15" s="2">
        <v>60504</v>
      </c>
      <c r="MY15" s="2">
        <v>101992</v>
      </c>
      <c r="MZ15" s="14">
        <v>339469</v>
      </c>
      <c r="NA15" s="7">
        <v>275654</v>
      </c>
      <c r="NB15" s="7">
        <v>41194</v>
      </c>
      <c r="NC15" s="7">
        <v>7489</v>
      </c>
      <c r="ND15" s="7">
        <v>22621</v>
      </c>
      <c r="NE15" s="14">
        <v>470056</v>
      </c>
      <c r="NF15" s="63">
        <v>352184</v>
      </c>
      <c r="NG15" s="63">
        <v>67831</v>
      </c>
      <c r="NH15" s="63">
        <v>11905</v>
      </c>
      <c r="NI15" s="63">
        <v>50041</v>
      </c>
      <c r="NJ15" s="14">
        <v>608477</v>
      </c>
      <c r="NK15" s="63">
        <v>422809</v>
      </c>
      <c r="NL15" s="63">
        <v>104925</v>
      </c>
      <c r="NM15" s="63">
        <v>19644</v>
      </c>
      <c r="NN15" s="63">
        <v>80743</v>
      </c>
      <c r="NO15" s="14">
        <v>631141.05300000007</v>
      </c>
      <c r="NP15" s="63">
        <v>433638.89500000008</v>
      </c>
      <c r="NQ15" s="63">
        <v>111091.26800000001</v>
      </c>
      <c r="NR15" s="63">
        <v>20113.932000000001</v>
      </c>
      <c r="NS15" s="319">
        <v>86410.889999999985</v>
      </c>
      <c r="NT15" s="1">
        <v>649581</v>
      </c>
      <c r="NU15" s="2">
        <v>442075</v>
      </c>
      <c r="NV15" s="2">
        <v>117952</v>
      </c>
      <c r="NW15" s="2">
        <v>21297</v>
      </c>
      <c r="NX15" s="79">
        <v>89554</v>
      </c>
      <c r="NY15" s="2">
        <v>668789</v>
      </c>
      <c r="NZ15" s="2">
        <v>436526</v>
      </c>
      <c r="OA15" s="2">
        <v>122560</v>
      </c>
      <c r="OB15" s="2">
        <v>23811</v>
      </c>
      <c r="OC15" s="2">
        <v>92419</v>
      </c>
    </row>
    <row r="16" spans="1:393" ht="14.25" x14ac:dyDescent="0.2">
      <c r="A16" s="239" t="s">
        <v>8</v>
      </c>
      <c r="B16" s="201">
        <f>59135+71133+50843+42735+77508+67421</f>
        <v>368775</v>
      </c>
      <c r="C16" s="63">
        <f>20701+36537+33437+12966+33285+38452</f>
        <v>175378</v>
      </c>
      <c r="D16" s="63">
        <f>37410+33629+16707+28619+42909+28136</f>
        <v>187410</v>
      </c>
      <c r="E16" s="63">
        <f>683+652+537+583+841+523</f>
        <v>3819</v>
      </c>
      <c r="F16" s="319">
        <f>243+195+111+93+119+51+340+189+148+205+255+162</f>
        <v>2111</v>
      </c>
      <c r="G16" s="7">
        <v>240267</v>
      </c>
      <c r="H16" s="63">
        <v>114949</v>
      </c>
      <c r="I16" s="63">
        <v>122616</v>
      </c>
      <c r="J16" s="63">
        <v>1068</v>
      </c>
      <c r="K16" s="319">
        <v>2702</v>
      </c>
      <c r="L16" s="7">
        <v>169178</v>
      </c>
      <c r="M16" s="63">
        <v>80067</v>
      </c>
      <c r="N16" s="63">
        <v>83618</v>
      </c>
      <c r="O16" s="63">
        <v>3734</v>
      </c>
      <c r="P16" s="319">
        <v>5493</v>
      </c>
      <c r="Q16" s="9">
        <v>132049</v>
      </c>
      <c r="R16" s="600">
        <v>64478</v>
      </c>
      <c r="S16" s="600">
        <v>60062</v>
      </c>
      <c r="T16" s="600">
        <v>9393</v>
      </c>
      <c r="U16" s="615">
        <v>7509</v>
      </c>
      <c r="V16" s="600">
        <v>119850</v>
      </c>
      <c r="W16" s="5">
        <v>60505</v>
      </c>
      <c r="X16" s="600">
        <v>52920</v>
      </c>
      <c r="Y16" s="600">
        <v>9766</v>
      </c>
      <c r="Z16" s="600">
        <v>6425</v>
      </c>
      <c r="AA16" s="600">
        <v>120471</v>
      </c>
      <c r="AB16" s="600">
        <v>54839</v>
      </c>
      <c r="AC16" s="600">
        <v>51623</v>
      </c>
      <c r="AD16" s="600">
        <v>10654</v>
      </c>
      <c r="AE16" s="726">
        <v>7284</v>
      </c>
      <c r="AF16" s="201">
        <v>309418</v>
      </c>
      <c r="AG16" s="63">
        <v>185485</v>
      </c>
      <c r="AH16" s="63">
        <v>121868</v>
      </c>
      <c r="AI16" s="63">
        <v>1437</v>
      </c>
      <c r="AJ16" s="319">
        <v>2065</v>
      </c>
      <c r="AK16" s="7">
        <v>307852</v>
      </c>
      <c r="AL16" s="63">
        <v>166873</v>
      </c>
      <c r="AM16" s="63">
        <v>134956</v>
      </c>
      <c r="AN16" s="63">
        <v>4342</v>
      </c>
      <c r="AO16" s="319">
        <v>6023</v>
      </c>
      <c r="AP16" s="7">
        <v>237222</v>
      </c>
      <c r="AQ16" s="63">
        <v>119465</v>
      </c>
      <c r="AR16" s="63">
        <v>110497</v>
      </c>
      <c r="AS16" s="63">
        <v>6286</v>
      </c>
      <c r="AT16" s="319">
        <v>7260</v>
      </c>
      <c r="AU16" s="63">
        <v>235081</v>
      </c>
      <c r="AV16" s="63">
        <v>117387</v>
      </c>
      <c r="AW16" s="63">
        <v>110955</v>
      </c>
      <c r="AX16" s="63">
        <v>7115</v>
      </c>
      <c r="AY16" s="63">
        <v>6705</v>
      </c>
      <c r="AZ16" s="63">
        <v>229582</v>
      </c>
      <c r="BA16" s="63">
        <v>110578</v>
      </c>
      <c r="BB16" s="63">
        <v>108625</v>
      </c>
      <c r="BC16" s="63">
        <v>7105</v>
      </c>
      <c r="BD16" s="63">
        <v>6632</v>
      </c>
      <c r="BE16" s="14">
        <v>363789</v>
      </c>
      <c r="BF16" s="63">
        <v>183574</v>
      </c>
      <c r="BG16" s="63">
        <v>166121</v>
      </c>
      <c r="BH16" s="63">
        <v>18187</v>
      </c>
      <c r="BI16" s="584">
        <f t="shared" si="344"/>
        <v>14094</v>
      </c>
      <c r="BJ16" s="350">
        <v>166013</v>
      </c>
      <c r="BK16" s="351">
        <v>231230</v>
      </c>
      <c r="BL16" s="351">
        <v>317100</v>
      </c>
      <c r="BM16" s="351">
        <v>455591</v>
      </c>
      <c r="BN16" s="14">
        <v>749167</v>
      </c>
      <c r="BO16" s="63">
        <v>610090.88</v>
      </c>
      <c r="BP16" s="63">
        <v>129978.52800000001</v>
      </c>
      <c r="BQ16" s="63">
        <v>4931.4870000000001</v>
      </c>
      <c r="BR16" s="319">
        <v>4093.0960000000005</v>
      </c>
      <c r="BS16" s="7">
        <v>989312</v>
      </c>
      <c r="BT16" s="63">
        <v>761699</v>
      </c>
      <c r="BU16" s="63">
        <v>219376</v>
      </c>
      <c r="BV16" s="63">
        <v>5261</v>
      </c>
      <c r="BW16" s="319">
        <v>8237</v>
      </c>
      <c r="BX16" s="7">
        <v>1280487</v>
      </c>
      <c r="BY16" s="63">
        <v>923143</v>
      </c>
      <c r="BZ16" s="63">
        <v>334043</v>
      </c>
      <c r="CA16" s="63">
        <v>11693</v>
      </c>
      <c r="CB16" s="63">
        <v>23301</v>
      </c>
      <c r="CC16" s="352">
        <v>1426337</v>
      </c>
      <c r="CD16" s="63">
        <v>976190</v>
      </c>
      <c r="CE16" s="63">
        <v>420436</v>
      </c>
      <c r="CF16" s="63">
        <v>29711</v>
      </c>
      <c r="CG16" s="63">
        <v>15601</v>
      </c>
      <c r="CH16" s="201">
        <v>1453901</v>
      </c>
      <c r="CI16" s="63">
        <v>989387</v>
      </c>
      <c r="CJ16" s="63">
        <v>435347</v>
      </c>
      <c r="CK16" s="63">
        <v>29167</v>
      </c>
      <c r="CL16" s="63">
        <v>16762</v>
      </c>
      <c r="CM16" s="66">
        <v>1476655</v>
      </c>
      <c r="CN16" s="64">
        <v>998195</v>
      </c>
      <c r="CO16" s="64">
        <v>446486</v>
      </c>
      <c r="CP16" s="64">
        <v>31974</v>
      </c>
      <c r="CQ16" s="64">
        <v>17820</v>
      </c>
      <c r="CR16" s="14">
        <v>1521403</v>
      </c>
      <c r="CS16" s="63">
        <v>1026635</v>
      </c>
      <c r="CT16" s="63">
        <v>459730</v>
      </c>
      <c r="CU16" s="63">
        <v>22143</v>
      </c>
      <c r="CV16" s="63">
        <v>24998</v>
      </c>
      <c r="CW16" s="14">
        <v>1538962.8560000001</v>
      </c>
      <c r="CX16" s="63">
        <v>1033363.7</v>
      </c>
      <c r="CY16" s="63">
        <v>470995.19999999995</v>
      </c>
      <c r="CZ16" s="63">
        <v>24010.662</v>
      </c>
      <c r="DA16" s="621">
        <f t="shared" si="345"/>
        <v>34603.956000000238</v>
      </c>
      <c r="DB16" s="63">
        <v>1559691</v>
      </c>
      <c r="DC16" s="63">
        <v>1039510</v>
      </c>
      <c r="DD16" s="63">
        <v>484211</v>
      </c>
      <c r="DE16" s="63">
        <v>25290</v>
      </c>
      <c r="DF16" s="63">
        <v>35801</v>
      </c>
      <c r="DG16" s="63">
        <v>1578035</v>
      </c>
      <c r="DH16" s="63">
        <v>1027240</v>
      </c>
      <c r="DI16" s="63">
        <v>495954</v>
      </c>
      <c r="DJ16" s="63">
        <v>27956</v>
      </c>
      <c r="DK16" s="63">
        <v>24733</v>
      </c>
      <c r="DL16" s="14">
        <f>88273+93960</f>
        <v>182233</v>
      </c>
      <c r="DM16" s="63">
        <f>75610+73355</f>
        <v>148965</v>
      </c>
      <c r="DN16" s="63">
        <f>13665+17214</f>
        <v>30879</v>
      </c>
      <c r="DO16" s="63">
        <f>637+682</f>
        <v>1319</v>
      </c>
      <c r="DP16" s="319">
        <f>218+279+194+271</f>
        <v>962</v>
      </c>
      <c r="DQ16" s="7">
        <v>338741</v>
      </c>
      <c r="DR16" s="63">
        <v>259601</v>
      </c>
      <c r="DS16" s="63">
        <v>76732</v>
      </c>
      <c r="DT16" s="63">
        <v>1992</v>
      </c>
      <c r="DU16" s="319">
        <v>2408</v>
      </c>
      <c r="DV16" s="7">
        <v>467305</v>
      </c>
      <c r="DW16" s="63">
        <v>336047</v>
      </c>
      <c r="DX16" s="63">
        <v>123298</v>
      </c>
      <c r="DY16" s="63">
        <v>4382</v>
      </c>
      <c r="DZ16" s="319">
        <v>7960</v>
      </c>
      <c r="EA16" s="7">
        <v>574465</v>
      </c>
      <c r="EB16" s="63">
        <v>382574</v>
      </c>
      <c r="EC16" s="63">
        <v>179062</v>
      </c>
      <c r="ED16" s="63">
        <v>8257</v>
      </c>
      <c r="EE16" s="319">
        <v>12829</v>
      </c>
      <c r="EF16" s="7">
        <v>584729.69900000002</v>
      </c>
      <c r="EG16" s="63">
        <v>385383.87400000001</v>
      </c>
      <c r="EH16" s="63">
        <v>187125.12</v>
      </c>
      <c r="EI16" s="63">
        <v>8692.7880000000005</v>
      </c>
      <c r="EJ16" s="319">
        <v>12220.705000000016</v>
      </c>
      <c r="EK16" s="63">
        <v>592548</v>
      </c>
      <c r="EL16" s="63">
        <v>385297</v>
      </c>
      <c r="EM16" s="63">
        <v>194519</v>
      </c>
      <c r="EN16" s="63">
        <v>8849</v>
      </c>
      <c r="EO16" s="661">
        <v>12626</v>
      </c>
      <c r="EP16" s="661">
        <v>602484</v>
      </c>
      <c r="EQ16" s="661">
        <v>383368</v>
      </c>
      <c r="ER16" s="661">
        <v>199857</v>
      </c>
      <c r="ES16" s="661">
        <v>9702</v>
      </c>
      <c r="ET16" s="661">
        <v>13197</v>
      </c>
      <c r="EU16" s="14">
        <v>79264</v>
      </c>
      <c r="EV16" s="63">
        <v>60193</v>
      </c>
      <c r="EW16" s="63">
        <v>18406</v>
      </c>
      <c r="EX16" s="63">
        <v>539</v>
      </c>
      <c r="EY16" s="319">
        <v>665</v>
      </c>
      <c r="EZ16" s="7">
        <v>100561</v>
      </c>
      <c r="FA16" s="63">
        <v>73526</v>
      </c>
      <c r="FB16" s="63">
        <v>25252</v>
      </c>
      <c r="FC16" s="63">
        <v>1046</v>
      </c>
      <c r="FD16" s="319">
        <v>1783</v>
      </c>
      <c r="FE16" s="201">
        <v>146824</v>
      </c>
      <c r="FF16" s="63">
        <v>102276</v>
      </c>
      <c r="FG16" s="63">
        <v>41387</v>
      </c>
      <c r="FH16" s="63">
        <v>2091</v>
      </c>
      <c r="FI16" s="63">
        <v>3161</v>
      </c>
      <c r="FJ16" s="201"/>
      <c r="FK16" s="63"/>
      <c r="FL16" s="63"/>
      <c r="FM16" s="63"/>
      <c r="FN16" s="319"/>
      <c r="FO16" s="63">
        <v>160121</v>
      </c>
      <c r="FP16" s="63">
        <v>110750</v>
      </c>
      <c r="FQ16" s="63">
        <v>45850</v>
      </c>
      <c r="FR16" s="63">
        <v>2360</v>
      </c>
      <c r="FS16" s="63">
        <v>3503</v>
      </c>
      <c r="FT16" s="63">
        <v>162080</v>
      </c>
      <c r="FU16" s="63">
        <v>108874</v>
      </c>
      <c r="FV16" s="63">
        <v>48299</v>
      </c>
      <c r="FW16" s="63">
        <v>2225</v>
      </c>
      <c r="FX16" s="63">
        <v>3187</v>
      </c>
      <c r="FY16" s="609">
        <f t="shared" si="346"/>
        <v>306211</v>
      </c>
      <c r="FZ16" s="584">
        <f t="shared" si="347"/>
        <v>243405</v>
      </c>
      <c r="GA16" s="584">
        <f t="shared" si="348"/>
        <v>59081</v>
      </c>
      <c r="GB16" s="584">
        <f t="shared" si="349"/>
        <v>1867</v>
      </c>
      <c r="GC16" s="584">
        <f t="shared" si="350"/>
        <v>3725</v>
      </c>
      <c r="GD16" s="609">
        <f t="shared" si="351"/>
        <v>397652</v>
      </c>
      <c r="GE16" s="584">
        <f t="shared" si="352"/>
        <v>307841</v>
      </c>
      <c r="GF16" s="584">
        <f t="shared" si="353"/>
        <v>81024</v>
      </c>
      <c r="GG16" s="584">
        <f t="shared" si="354"/>
        <v>3433</v>
      </c>
      <c r="GH16" s="584">
        <f t="shared" si="355"/>
        <v>8787</v>
      </c>
      <c r="GI16" s="201">
        <v>446649</v>
      </c>
      <c r="GJ16" s="63">
        <v>331989</v>
      </c>
      <c r="GK16" s="63">
        <v>102852</v>
      </c>
      <c r="GL16" s="63">
        <v>5789</v>
      </c>
      <c r="GM16" s="63">
        <v>11808</v>
      </c>
      <c r="GN16" s="599"/>
      <c r="GO16" s="600"/>
      <c r="GP16" s="600"/>
      <c r="GQ16" s="600"/>
      <c r="GR16" s="600"/>
      <c r="GS16" s="600">
        <v>543805</v>
      </c>
      <c r="GT16" s="600">
        <v>394196</v>
      </c>
      <c r="GU16" s="600">
        <v>135608</v>
      </c>
      <c r="GV16" s="600">
        <v>7494</v>
      </c>
      <c r="GW16" s="615">
        <v>13983</v>
      </c>
      <c r="GX16" s="600">
        <v>1838962</v>
      </c>
      <c r="GY16" s="600">
        <v>392509</v>
      </c>
      <c r="GZ16" s="600">
        <v>139871</v>
      </c>
      <c r="HA16" s="600">
        <v>7765</v>
      </c>
      <c r="HB16" s="600">
        <v>8838</v>
      </c>
      <c r="HC16" s="14">
        <v>149109</v>
      </c>
      <c r="HD16" s="7">
        <v>120716</v>
      </c>
      <c r="HE16" s="7">
        <v>26796</v>
      </c>
      <c r="HF16" s="7">
        <v>931</v>
      </c>
      <c r="HG16" s="7">
        <v>1597</v>
      </c>
      <c r="HH16" s="14">
        <v>194325</v>
      </c>
      <c r="HI16" s="63">
        <v>153098</v>
      </c>
      <c r="HJ16" s="63">
        <v>37532</v>
      </c>
      <c r="HK16" s="63">
        <v>1471</v>
      </c>
      <c r="HL16" s="63">
        <v>3695</v>
      </c>
      <c r="HM16" s="201">
        <v>237998</v>
      </c>
      <c r="HN16" s="63">
        <v>179305</v>
      </c>
      <c r="HO16" s="63">
        <v>52877</v>
      </c>
      <c r="HP16" s="63">
        <v>2731</v>
      </c>
      <c r="HQ16" s="63">
        <v>5816</v>
      </c>
      <c r="HR16" s="201">
        <v>238082.125</v>
      </c>
      <c r="HS16" s="63">
        <v>177495.41199999998</v>
      </c>
      <c r="HT16" s="63">
        <v>54100.800000000003</v>
      </c>
      <c r="HU16" s="63">
        <v>2742.87</v>
      </c>
      <c r="HV16" s="63">
        <v>6485.913000000015</v>
      </c>
      <c r="HW16" s="63">
        <v>246604</v>
      </c>
      <c r="HX16" s="63">
        <v>180369</v>
      </c>
      <c r="HY16" s="63">
        <v>57707</v>
      </c>
      <c r="HZ16" s="63">
        <v>3291</v>
      </c>
      <c r="IA16" s="63">
        <v>6302</v>
      </c>
      <c r="IB16" s="353">
        <v>31419</v>
      </c>
      <c r="IC16" s="354">
        <v>41305</v>
      </c>
      <c r="ID16" s="339">
        <v>59273</v>
      </c>
      <c r="IE16" s="355">
        <f t="shared" si="303"/>
        <v>32153</v>
      </c>
      <c r="IF16" s="355">
        <f t="shared" si="304"/>
        <v>27120</v>
      </c>
      <c r="IG16" s="355">
        <f t="shared" si="305"/>
        <v>52523</v>
      </c>
      <c r="IH16" s="341">
        <v>29682</v>
      </c>
      <c r="II16" s="341">
        <v>22841</v>
      </c>
      <c r="IJ16" s="355">
        <f t="shared" si="306"/>
        <v>6750</v>
      </c>
      <c r="IK16" s="341">
        <v>2471</v>
      </c>
      <c r="IL16" s="341">
        <v>4279</v>
      </c>
      <c r="IM16" s="339">
        <v>89982</v>
      </c>
      <c r="IN16" s="355">
        <f t="shared" si="307"/>
        <v>49067</v>
      </c>
      <c r="IO16" s="355">
        <f t="shared" si="308"/>
        <v>40915</v>
      </c>
      <c r="IP16" s="355">
        <f t="shared" si="309"/>
        <v>76754</v>
      </c>
      <c r="IQ16" s="341">
        <v>44026</v>
      </c>
      <c r="IR16" s="341">
        <v>32728</v>
      </c>
      <c r="IS16" s="355">
        <f t="shared" si="310"/>
        <v>12571</v>
      </c>
      <c r="IT16" s="341">
        <v>4600</v>
      </c>
      <c r="IU16" s="341">
        <v>7971</v>
      </c>
      <c r="IV16" s="355">
        <f t="shared" si="311"/>
        <v>657</v>
      </c>
      <c r="IW16" s="341">
        <v>441</v>
      </c>
      <c r="IX16" s="341">
        <v>216</v>
      </c>
      <c r="IY16" s="339">
        <v>168086</v>
      </c>
      <c r="IZ16" s="355">
        <f t="shared" si="312"/>
        <v>90286</v>
      </c>
      <c r="JA16" s="355">
        <f t="shared" si="313"/>
        <v>77800</v>
      </c>
      <c r="JB16" s="63">
        <f>77981+59158</f>
        <v>137139</v>
      </c>
      <c r="JC16" s="341">
        <v>77981</v>
      </c>
      <c r="JD16" s="341">
        <v>59158</v>
      </c>
      <c r="JE16" s="341">
        <v>12305</v>
      </c>
      <c r="JF16" s="341">
        <v>18642</v>
      </c>
      <c r="JG16" s="63">
        <f>17483+10852</f>
        <v>28335</v>
      </c>
      <c r="JH16" s="341">
        <v>10852</v>
      </c>
      <c r="JI16" s="341">
        <v>17483</v>
      </c>
      <c r="JJ16" s="63">
        <f>595+451</f>
        <v>1046</v>
      </c>
      <c r="JK16" s="341">
        <v>595</v>
      </c>
      <c r="JL16" s="341">
        <v>451</v>
      </c>
      <c r="JM16" s="356">
        <f t="shared" si="314"/>
        <v>1566</v>
      </c>
      <c r="JN16" s="356">
        <f t="shared" si="315"/>
        <v>858</v>
      </c>
      <c r="JO16" s="356">
        <f t="shared" si="316"/>
        <v>708</v>
      </c>
      <c r="JP16" s="357">
        <f t="shared" si="317"/>
        <v>93</v>
      </c>
      <c r="JQ16" s="357">
        <f t="shared" si="318"/>
        <v>65</v>
      </c>
      <c r="JR16" s="357">
        <f t="shared" si="319"/>
        <v>28</v>
      </c>
      <c r="JS16" s="341">
        <v>1473</v>
      </c>
      <c r="JT16" s="341">
        <v>793</v>
      </c>
      <c r="JU16" s="341">
        <v>680</v>
      </c>
      <c r="JV16" s="16">
        <f t="shared" si="320"/>
        <v>226947</v>
      </c>
      <c r="JW16" s="355">
        <f t="shared" si="321"/>
        <v>115653</v>
      </c>
      <c r="JX16" s="355">
        <f t="shared" si="322"/>
        <v>111294</v>
      </c>
      <c r="JY16" s="15">
        <f t="shared" si="323"/>
        <v>183212</v>
      </c>
      <c r="JZ16" s="151">
        <f t="shared" si="324"/>
        <v>182226</v>
      </c>
      <c r="KA16" s="341">
        <v>98281</v>
      </c>
      <c r="KB16" s="341">
        <v>83945</v>
      </c>
      <c r="KC16" s="341">
        <v>17372</v>
      </c>
      <c r="KD16" s="341">
        <v>27349</v>
      </c>
      <c r="KE16" s="15">
        <f t="shared" si="325"/>
        <v>40675</v>
      </c>
      <c r="KF16" s="151">
        <f t="shared" si="326"/>
        <v>40587</v>
      </c>
      <c r="KG16" s="341">
        <v>14997</v>
      </c>
      <c r="KH16" s="341">
        <v>25590</v>
      </c>
      <c r="KI16" s="15">
        <f t="shared" si="327"/>
        <v>1328</v>
      </c>
      <c r="KJ16" s="341">
        <v>776</v>
      </c>
      <c r="KK16" s="341">
        <v>552</v>
      </c>
      <c r="KL16" s="13">
        <f t="shared" si="328"/>
        <v>3060</v>
      </c>
      <c r="KM16" s="358">
        <f t="shared" si="329"/>
        <v>1599</v>
      </c>
      <c r="KN16" s="358">
        <f t="shared" si="330"/>
        <v>1207</v>
      </c>
      <c r="KO16" s="359">
        <f t="shared" si="331"/>
        <v>14</v>
      </c>
      <c r="KP16" s="359">
        <f t="shared" si="332"/>
        <v>14</v>
      </c>
      <c r="KQ16" s="359">
        <f t="shared" si="333"/>
        <v>0</v>
      </c>
      <c r="KR16" s="360">
        <f t="shared" si="334"/>
        <v>2792</v>
      </c>
      <c r="KS16" s="360">
        <f t="shared" si="335"/>
        <v>1585</v>
      </c>
      <c r="KT16" s="360">
        <f t="shared" si="336"/>
        <v>1207</v>
      </c>
      <c r="KU16" s="341">
        <v>185</v>
      </c>
      <c r="KV16" s="341">
        <v>162</v>
      </c>
      <c r="KW16" s="341">
        <v>1400</v>
      </c>
      <c r="KX16" s="341">
        <v>1045</v>
      </c>
      <c r="KY16" s="361">
        <v>297091</v>
      </c>
      <c r="KZ16" s="341">
        <v>141744</v>
      </c>
      <c r="LA16" s="341">
        <v>155347</v>
      </c>
      <c r="LB16" s="9">
        <f t="shared" si="337"/>
        <v>234315</v>
      </c>
      <c r="LC16" s="9">
        <v>118781</v>
      </c>
      <c r="LD16" s="9">
        <v>115534</v>
      </c>
      <c r="LE16" s="140">
        <f t="shared" si="338"/>
        <v>232868</v>
      </c>
      <c r="LF16" s="341">
        <v>117944</v>
      </c>
      <c r="LG16" s="341">
        <v>114924</v>
      </c>
      <c r="LH16" s="9">
        <f t="shared" si="339"/>
        <v>55772</v>
      </c>
      <c r="LI16" s="341">
        <v>19239</v>
      </c>
      <c r="LJ16" s="341">
        <v>36533</v>
      </c>
      <c r="LK16" s="9">
        <f t="shared" si="340"/>
        <v>2387</v>
      </c>
      <c r="LL16" s="341">
        <v>1226</v>
      </c>
      <c r="LM16" s="341">
        <v>1161</v>
      </c>
      <c r="LN16" s="140">
        <f t="shared" si="341"/>
        <v>7004</v>
      </c>
      <c r="LO16" s="140">
        <f t="shared" si="342"/>
        <v>3724</v>
      </c>
      <c r="LP16" s="140">
        <f t="shared" si="343"/>
        <v>3280</v>
      </c>
      <c r="LQ16" s="349">
        <v>340489</v>
      </c>
      <c r="LR16" s="341">
        <v>263206</v>
      </c>
      <c r="LS16" s="341">
        <v>68126</v>
      </c>
      <c r="LT16" s="341">
        <v>9157</v>
      </c>
      <c r="LU16" s="9">
        <v>3128</v>
      </c>
      <c r="LV16" s="201">
        <v>351366</v>
      </c>
      <c r="LW16" s="63">
        <v>268011</v>
      </c>
      <c r="LX16" s="63">
        <v>73904</v>
      </c>
      <c r="LY16" s="63">
        <v>9451</v>
      </c>
      <c r="LZ16" s="63">
        <v>3457</v>
      </c>
      <c r="MA16" s="201">
        <v>359188</v>
      </c>
      <c r="MB16" s="63">
        <v>274092</v>
      </c>
      <c r="MC16" s="63">
        <v>75013</v>
      </c>
      <c r="MD16" s="63">
        <v>10083</v>
      </c>
      <c r="ME16" s="63">
        <v>3297</v>
      </c>
      <c r="MF16" s="201">
        <v>370801</v>
      </c>
      <c r="MG16" s="63">
        <v>278925</v>
      </c>
      <c r="MH16" s="63">
        <v>81405</v>
      </c>
      <c r="MI16" s="63">
        <v>10471</v>
      </c>
      <c r="MJ16" s="63">
        <v>4486</v>
      </c>
      <c r="MK16" s="14">
        <v>373312.772</v>
      </c>
      <c r="ML16" s="63">
        <v>278400.33799999999</v>
      </c>
      <c r="MM16" s="63">
        <v>84015.360000000001</v>
      </c>
      <c r="MN16" s="63">
        <v>5063.76</v>
      </c>
      <c r="MO16" s="63">
        <v>10897.074000000008</v>
      </c>
      <c r="MP16" s="63">
        <v>383684</v>
      </c>
      <c r="MQ16" s="63">
        <v>283446</v>
      </c>
      <c r="MR16" s="63">
        <v>89758</v>
      </c>
      <c r="MS16" s="63">
        <v>5134</v>
      </c>
      <c r="MT16" s="2">
        <v>10480</v>
      </c>
      <c r="MU16" s="2">
        <v>389943</v>
      </c>
      <c r="MV16" s="2">
        <v>283635</v>
      </c>
      <c r="MW16" s="2">
        <v>91572</v>
      </c>
      <c r="MX16" s="2">
        <v>5540</v>
      </c>
      <c r="MY16" s="2">
        <v>6745</v>
      </c>
      <c r="MZ16" s="14">
        <v>77838</v>
      </c>
      <c r="NA16" s="7">
        <v>62496</v>
      </c>
      <c r="NB16" s="7">
        <v>13879</v>
      </c>
      <c r="NC16" s="7">
        <v>397</v>
      </c>
      <c r="ND16" s="7">
        <v>1463</v>
      </c>
      <c r="NE16" s="14">
        <v>102766</v>
      </c>
      <c r="NF16" s="63">
        <v>81217</v>
      </c>
      <c r="NG16" s="63">
        <v>18240</v>
      </c>
      <c r="NH16" s="63">
        <v>916</v>
      </c>
      <c r="NI16" s="63">
        <v>3309</v>
      </c>
      <c r="NJ16" s="14">
        <v>132803</v>
      </c>
      <c r="NK16" s="63">
        <v>99620</v>
      </c>
      <c r="NL16" s="63">
        <v>28528</v>
      </c>
      <c r="NM16" s="63">
        <v>1755</v>
      </c>
      <c r="NN16" s="63">
        <v>4655</v>
      </c>
      <c r="NO16" s="14">
        <v>135230.647</v>
      </c>
      <c r="NP16" s="63">
        <v>100904.92600000001</v>
      </c>
      <c r="NQ16" s="63">
        <v>29914.560000000001</v>
      </c>
      <c r="NR16" s="63">
        <v>2320.89</v>
      </c>
      <c r="NS16" s="319">
        <v>4411.1609999999891</v>
      </c>
      <c r="NT16" s="1">
        <v>139935</v>
      </c>
      <c r="NU16" s="2">
        <v>103356</v>
      </c>
      <c r="NV16" s="2">
        <v>32389</v>
      </c>
      <c r="NW16" s="2">
        <v>2063</v>
      </c>
      <c r="NX16" s="79">
        <v>4190</v>
      </c>
      <c r="NY16" s="2">
        <v>143339</v>
      </c>
      <c r="NZ16" s="2">
        <v>103266</v>
      </c>
      <c r="OA16" s="2">
        <v>33865</v>
      </c>
      <c r="OB16" s="2">
        <v>2249</v>
      </c>
      <c r="OC16" s="2">
        <v>4526</v>
      </c>
    </row>
    <row r="17" spans="1:393" ht="14.25" x14ac:dyDescent="0.2">
      <c r="A17" s="244" t="s">
        <v>9</v>
      </c>
      <c r="B17" s="201">
        <f>113024+196913+105575+87756+214067+118285</f>
        <v>835620</v>
      </c>
      <c r="C17" s="63">
        <f>66893+147558+83335+52428+153447+88056</f>
        <v>591717</v>
      </c>
      <c r="D17" s="63">
        <f>42287+45328+19966+32238+55475+27690</f>
        <v>222984</v>
      </c>
      <c r="E17" s="63">
        <f>1211+1695+844+861+1891+886</f>
        <v>7388</v>
      </c>
      <c r="F17" s="319">
        <f>2420+2171+1379+195+143+29+1698+2591+1274+460+580+338</f>
        <v>13278</v>
      </c>
      <c r="G17" s="7">
        <v>539974</v>
      </c>
      <c r="H17" s="63">
        <v>376803</v>
      </c>
      <c r="I17" s="63">
        <v>146773</v>
      </c>
      <c r="J17" s="63">
        <v>5395</v>
      </c>
      <c r="K17" s="319">
        <v>16398</v>
      </c>
      <c r="L17" s="7">
        <v>413495</v>
      </c>
      <c r="M17" s="63">
        <v>262013</v>
      </c>
      <c r="N17" s="63">
        <v>96566</v>
      </c>
      <c r="O17" s="63">
        <v>61168</v>
      </c>
      <c r="P17" s="319">
        <v>54916</v>
      </c>
      <c r="Q17" s="9">
        <v>376511</v>
      </c>
      <c r="R17" s="600">
        <v>216416</v>
      </c>
      <c r="S17" s="600">
        <v>74682</v>
      </c>
      <c r="T17" s="600">
        <v>113495</v>
      </c>
      <c r="U17" s="615">
        <v>85413</v>
      </c>
      <c r="V17" s="600">
        <v>365954</v>
      </c>
      <c r="W17" s="5">
        <v>225730</v>
      </c>
      <c r="X17" s="600">
        <v>65604</v>
      </c>
      <c r="Y17" s="600">
        <v>122956</v>
      </c>
      <c r="Z17" s="600">
        <v>74560</v>
      </c>
      <c r="AA17" s="600">
        <v>368319</v>
      </c>
      <c r="AB17" s="600">
        <v>152455</v>
      </c>
      <c r="AC17" s="600">
        <v>64965</v>
      </c>
      <c r="AD17" s="600">
        <v>128581</v>
      </c>
      <c r="AE17" s="726">
        <v>77813</v>
      </c>
      <c r="AF17" s="201">
        <v>737773</v>
      </c>
      <c r="AG17" s="63">
        <v>523466</v>
      </c>
      <c r="AH17" s="63">
        <v>197689</v>
      </c>
      <c r="AI17" s="63">
        <v>4386</v>
      </c>
      <c r="AJ17" s="319">
        <v>16618</v>
      </c>
      <c r="AK17" s="7">
        <v>741229</v>
      </c>
      <c r="AL17" s="63">
        <v>490921</v>
      </c>
      <c r="AM17" s="63">
        <v>203578</v>
      </c>
      <c r="AN17" s="63">
        <v>35894</v>
      </c>
      <c r="AO17" s="319">
        <v>46730</v>
      </c>
      <c r="AP17" s="7">
        <v>617246</v>
      </c>
      <c r="AQ17" s="63">
        <v>384424</v>
      </c>
      <c r="AR17" s="63">
        <v>174542</v>
      </c>
      <c r="AS17" s="63">
        <v>61883</v>
      </c>
      <c r="AT17" s="319">
        <v>58280</v>
      </c>
      <c r="AU17" s="63">
        <v>603137</v>
      </c>
      <c r="AV17" s="63">
        <v>377744</v>
      </c>
      <c r="AW17" s="63">
        <v>172285</v>
      </c>
      <c r="AX17" s="63">
        <v>64318</v>
      </c>
      <c r="AY17" s="63">
        <v>53066</v>
      </c>
      <c r="AZ17" s="63">
        <v>592252</v>
      </c>
      <c r="BA17" s="63">
        <v>334016</v>
      </c>
      <c r="BB17" s="63">
        <v>167896</v>
      </c>
      <c r="BC17" s="63">
        <v>64555</v>
      </c>
      <c r="BD17" s="63">
        <v>52287</v>
      </c>
      <c r="BE17" s="14">
        <v>981060</v>
      </c>
      <c r="BF17" s="63">
        <v>597670</v>
      </c>
      <c r="BG17" s="63">
        <v>243999</v>
      </c>
      <c r="BH17" s="63">
        <v>182824</v>
      </c>
      <c r="BI17" s="584">
        <f t="shared" si="344"/>
        <v>139391</v>
      </c>
      <c r="BJ17" s="350">
        <v>308716</v>
      </c>
      <c r="BK17" s="351">
        <v>413150</v>
      </c>
      <c r="BL17" s="351">
        <v>744217</v>
      </c>
      <c r="BM17" s="351">
        <v>1017950</v>
      </c>
      <c r="BN17" s="14">
        <v>1866201</v>
      </c>
      <c r="BO17" s="63">
        <v>1553874.392</v>
      </c>
      <c r="BP17" s="63">
        <v>278541.07699999999</v>
      </c>
      <c r="BQ17" s="63">
        <v>12789.643</v>
      </c>
      <c r="BR17" s="319">
        <v>20585.592000000001</v>
      </c>
      <c r="BS17" s="7">
        <v>2975747</v>
      </c>
      <c r="BT17" s="63">
        <v>2443419</v>
      </c>
      <c r="BU17" s="63">
        <v>478292</v>
      </c>
      <c r="BV17" s="63">
        <v>23980</v>
      </c>
      <c r="BW17" s="319">
        <v>54036</v>
      </c>
      <c r="BX17" s="7">
        <v>4128270</v>
      </c>
      <c r="BY17" s="63">
        <v>3242417</v>
      </c>
      <c r="BZ17" s="63">
        <v>725132</v>
      </c>
      <c r="CA17" s="63">
        <v>77844</v>
      </c>
      <c r="CB17" s="63">
        <v>160721</v>
      </c>
      <c r="CC17" s="352">
        <v>4807504</v>
      </c>
      <c r="CD17" s="63">
        <v>3668629</v>
      </c>
      <c r="CE17" s="63">
        <v>890727</v>
      </c>
      <c r="CF17" s="63">
        <v>248148</v>
      </c>
      <c r="CG17" s="63">
        <v>154852</v>
      </c>
      <c r="CH17" s="201">
        <v>4943537</v>
      </c>
      <c r="CI17" s="63">
        <v>3763496</v>
      </c>
      <c r="CJ17" s="63">
        <v>923942</v>
      </c>
      <c r="CK17" s="63">
        <v>256099</v>
      </c>
      <c r="CL17" s="63">
        <v>163622</v>
      </c>
      <c r="CM17" s="66">
        <v>5069176</v>
      </c>
      <c r="CN17" s="64">
        <v>3853007</v>
      </c>
      <c r="CO17" s="64">
        <v>951312</v>
      </c>
      <c r="CP17" s="64">
        <v>264857</v>
      </c>
      <c r="CQ17" s="64">
        <v>170486</v>
      </c>
      <c r="CR17" s="14">
        <v>5245588</v>
      </c>
      <c r="CS17" s="63">
        <v>3965383</v>
      </c>
      <c r="CT17" s="63">
        <v>993020</v>
      </c>
      <c r="CU17" s="63">
        <v>200886</v>
      </c>
      <c r="CV17" s="63">
        <v>229681</v>
      </c>
      <c r="CW17" s="14">
        <v>5348361.59</v>
      </c>
      <c r="CX17" s="63">
        <v>4035430.1</v>
      </c>
      <c r="CY17" s="63">
        <v>1020242.4870000001</v>
      </c>
      <c r="CZ17" s="63">
        <v>209502.084</v>
      </c>
      <c r="DA17" s="621">
        <f t="shared" si="345"/>
        <v>292689.00299999968</v>
      </c>
      <c r="DB17" s="63">
        <v>5440342</v>
      </c>
      <c r="DC17" s="63">
        <v>4092316</v>
      </c>
      <c r="DD17" s="63">
        <v>1048550</v>
      </c>
      <c r="DE17" s="63">
        <v>217566</v>
      </c>
      <c r="DF17" s="63">
        <v>296809</v>
      </c>
      <c r="DG17" s="63">
        <v>5528531</v>
      </c>
      <c r="DH17" s="63">
        <v>4003154</v>
      </c>
      <c r="DI17" s="63">
        <v>1073862</v>
      </c>
      <c r="DJ17" s="63">
        <v>223592</v>
      </c>
      <c r="DK17" s="63">
        <v>181980</v>
      </c>
      <c r="DL17" s="14">
        <f>217943+250818</f>
        <v>468761</v>
      </c>
      <c r="DM17" s="63">
        <f>211794+184584</f>
        <v>396378</v>
      </c>
      <c r="DN17" s="63">
        <f>29733+34786</f>
        <v>64519</v>
      </c>
      <c r="DO17" s="63">
        <f>1747+1659</f>
        <v>3406</v>
      </c>
      <c r="DP17" s="319">
        <f>1154+654+1244+1134</f>
        <v>4186</v>
      </c>
      <c r="DQ17" s="7">
        <v>1003830</v>
      </c>
      <c r="DR17" s="63">
        <v>823140</v>
      </c>
      <c r="DS17" s="63">
        <v>163696</v>
      </c>
      <c r="DT17" s="63">
        <v>9958</v>
      </c>
      <c r="DU17" s="319">
        <v>16994</v>
      </c>
      <c r="DV17" s="7">
        <v>1438579</v>
      </c>
      <c r="DW17" s="63">
        <v>1118071</v>
      </c>
      <c r="DX17" s="63">
        <v>268296</v>
      </c>
      <c r="DY17" s="63">
        <v>27631</v>
      </c>
      <c r="DZ17" s="319">
        <v>52212</v>
      </c>
      <c r="EA17" s="7">
        <v>1886994</v>
      </c>
      <c r="EB17" s="63">
        <v>1395831</v>
      </c>
      <c r="EC17" s="63">
        <v>400065</v>
      </c>
      <c r="ED17" s="63">
        <v>69500</v>
      </c>
      <c r="EE17" s="319">
        <v>91098</v>
      </c>
      <c r="EF17" s="7">
        <v>1930473.71</v>
      </c>
      <c r="EG17" s="63">
        <v>1426994.8</v>
      </c>
      <c r="EH17" s="63">
        <v>410878.32500000001</v>
      </c>
      <c r="EI17" s="63">
        <v>72972.636000000013</v>
      </c>
      <c r="EJ17" s="319">
        <v>92600.584999999905</v>
      </c>
      <c r="EK17" s="63">
        <v>1962616</v>
      </c>
      <c r="EL17" s="63">
        <v>1442913</v>
      </c>
      <c r="EM17" s="63">
        <v>423127</v>
      </c>
      <c r="EN17" s="63">
        <v>74942</v>
      </c>
      <c r="EO17" s="661">
        <v>95206</v>
      </c>
      <c r="EP17" s="661">
        <v>1989875</v>
      </c>
      <c r="EQ17" s="661">
        <v>1410419</v>
      </c>
      <c r="ER17" s="661">
        <v>433049</v>
      </c>
      <c r="ES17" s="661">
        <v>77178</v>
      </c>
      <c r="ET17" s="661">
        <v>98168</v>
      </c>
      <c r="EU17" s="14">
        <v>290117</v>
      </c>
      <c r="EV17" s="63">
        <v>243444</v>
      </c>
      <c r="EW17" s="63">
        <v>41763</v>
      </c>
      <c r="EX17" s="63">
        <v>2379</v>
      </c>
      <c r="EY17" s="319">
        <v>4910</v>
      </c>
      <c r="EZ17" s="7">
        <v>358075</v>
      </c>
      <c r="FA17" s="63">
        <v>289137</v>
      </c>
      <c r="FB17" s="63">
        <v>55942</v>
      </c>
      <c r="FC17" s="63">
        <v>6110</v>
      </c>
      <c r="FD17" s="319">
        <v>12996</v>
      </c>
      <c r="FE17" s="201">
        <v>525780</v>
      </c>
      <c r="FF17" s="63">
        <v>406636</v>
      </c>
      <c r="FG17" s="63">
        <v>95397</v>
      </c>
      <c r="FH17" s="63">
        <v>17393</v>
      </c>
      <c r="FI17" s="63">
        <v>23747</v>
      </c>
      <c r="FJ17" s="201"/>
      <c r="FK17" s="63"/>
      <c r="FL17" s="63"/>
      <c r="FM17" s="63"/>
      <c r="FN17" s="319"/>
      <c r="FO17" s="63">
        <v>557123</v>
      </c>
      <c r="FP17" s="63">
        <v>432253</v>
      </c>
      <c r="FQ17" s="63">
        <v>98619</v>
      </c>
      <c r="FR17" s="63">
        <v>17585</v>
      </c>
      <c r="FS17" s="63">
        <v>25820</v>
      </c>
      <c r="FT17" s="63">
        <v>565419</v>
      </c>
      <c r="FU17" s="63">
        <v>427843</v>
      </c>
      <c r="FV17" s="63">
        <v>99701</v>
      </c>
      <c r="FW17" s="63">
        <v>17885</v>
      </c>
      <c r="FX17" s="63">
        <v>26419</v>
      </c>
      <c r="FY17" s="609">
        <f t="shared" si="346"/>
        <v>1029166</v>
      </c>
      <c r="FZ17" s="584">
        <f t="shared" si="347"/>
        <v>888325</v>
      </c>
      <c r="GA17" s="584">
        <f t="shared" si="348"/>
        <v>119523</v>
      </c>
      <c r="GB17" s="584">
        <f t="shared" si="349"/>
        <v>8428</v>
      </c>
      <c r="GC17" s="584">
        <f t="shared" si="350"/>
        <v>21318</v>
      </c>
      <c r="GD17" s="609">
        <f t="shared" si="351"/>
        <v>1544788</v>
      </c>
      <c r="GE17" s="584">
        <f t="shared" si="352"/>
        <v>1288835</v>
      </c>
      <c r="GF17" s="584">
        <f t="shared" si="353"/>
        <v>190717</v>
      </c>
      <c r="GG17" s="584">
        <f t="shared" si="354"/>
        <v>24506</v>
      </c>
      <c r="GH17" s="584">
        <f t="shared" si="355"/>
        <v>65236</v>
      </c>
      <c r="GI17" s="201">
        <v>1891747</v>
      </c>
      <c r="GJ17" s="63">
        <v>1518445</v>
      </c>
      <c r="GK17" s="63">
        <v>265124</v>
      </c>
      <c r="GL17" s="63">
        <v>54709</v>
      </c>
      <c r="GM17" s="63">
        <v>108178</v>
      </c>
      <c r="GN17" s="599"/>
      <c r="GO17" s="600"/>
      <c r="GP17" s="600"/>
      <c r="GQ17" s="600"/>
      <c r="GR17" s="600"/>
      <c r="GS17" s="600">
        <v>2284503</v>
      </c>
      <c r="GT17" s="600">
        <v>1827489</v>
      </c>
      <c r="GU17" s="600">
        <v>318382</v>
      </c>
      <c r="GV17" s="600">
        <v>62932</v>
      </c>
      <c r="GW17" s="615">
        <v>137825</v>
      </c>
      <c r="GX17" s="600">
        <v>7019838</v>
      </c>
      <c r="GY17" s="600">
        <v>1833141</v>
      </c>
      <c r="GZ17" s="600">
        <v>331296</v>
      </c>
      <c r="HA17" s="600">
        <v>66857</v>
      </c>
      <c r="HB17" s="600">
        <v>82635</v>
      </c>
      <c r="HC17" s="14">
        <v>510003</v>
      </c>
      <c r="HD17" s="7">
        <v>445122</v>
      </c>
      <c r="HE17" s="7">
        <v>55500</v>
      </c>
      <c r="HF17" s="7">
        <v>3894</v>
      </c>
      <c r="HG17" s="7">
        <v>9381</v>
      </c>
      <c r="HH17" s="14">
        <v>808070</v>
      </c>
      <c r="HI17" s="63">
        <v>679696</v>
      </c>
      <c r="HJ17" s="63">
        <v>98171</v>
      </c>
      <c r="HK17" s="63">
        <v>11391</v>
      </c>
      <c r="HL17" s="63">
        <v>30203</v>
      </c>
      <c r="HM17" s="201">
        <v>1098824</v>
      </c>
      <c r="HN17" s="63">
        <v>890127</v>
      </c>
      <c r="HO17" s="63">
        <v>147582</v>
      </c>
      <c r="HP17" s="63">
        <v>30574</v>
      </c>
      <c r="HQ17" s="63">
        <v>61115</v>
      </c>
      <c r="HR17" s="201">
        <v>1120307.6939999999</v>
      </c>
      <c r="HS17" s="63">
        <v>903454.5</v>
      </c>
      <c r="HT17" s="63">
        <v>154237.402</v>
      </c>
      <c r="HU17" s="63">
        <v>30209.101999999999</v>
      </c>
      <c r="HV17" s="63">
        <v>62615.791999999899</v>
      </c>
      <c r="HW17" s="63">
        <v>1174085</v>
      </c>
      <c r="HX17" s="63">
        <v>921961</v>
      </c>
      <c r="HY17" s="63">
        <v>160616</v>
      </c>
      <c r="HZ17" s="63">
        <v>34615</v>
      </c>
      <c r="IA17" s="63">
        <v>66074</v>
      </c>
      <c r="IB17" s="353">
        <v>67036</v>
      </c>
      <c r="IC17" s="354">
        <v>101670</v>
      </c>
      <c r="ID17" s="339">
        <v>144892</v>
      </c>
      <c r="IE17" s="355">
        <f t="shared" si="303"/>
        <v>76013</v>
      </c>
      <c r="IF17" s="355">
        <f t="shared" si="304"/>
        <v>68879</v>
      </c>
      <c r="IG17" s="355">
        <f t="shared" si="305"/>
        <v>127462</v>
      </c>
      <c r="IH17" s="341">
        <v>69701</v>
      </c>
      <c r="II17" s="341">
        <v>57761</v>
      </c>
      <c r="IJ17" s="355">
        <f t="shared" si="306"/>
        <v>17430</v>
      </c>
      <c r="IK17" s="341">
        <v>6312</v>
      </c>
      <c r="IL17" s="341">
        <v>11118</v>
      </c>
      <c r="IM17" s="339">
        <v>224069</v>
      </c>
      <c r="IN17" s="355">
        <f t="shared" si="307"/>
        <v>121138</v>
      </c>
      <c r="IO17" s="355">
        <f t="shared" si="308"/>
        <v>102931</v>
      </c>
      <c r="IP17" s="355">
        <f t="shared" si="309"/>
        <v>200792</v>
      </c>
      <c r="IQ17" s="341">
        <v>111980</v>
      </c>
      <c r="IR17" s="341">
        <v>88812</v>
      </c>
      <c r="IS17" s="355">
        <f t="shared" si="310"/>
        <v>21519</v>
      </c>
      <c r="IT17" s="341">
        <v>8032</v>
      </c>
      <c r="IU17" s="341">
        <v>13487</v>
      </c>
      <c r="IV17" s="355">
        <f t="shared" si="311"/>
        <v>1758</v>
      </c>
      <c r="IW17" s="341">
        <v>1126</v>
      </c>
      <c r="IX17" s="341">
        <v>632</v>
      </c>
      <c r="IY17" s="339">
        <v>450423</v>
      </c>
      <c r="IZ17" s="355">
        <f t="shared" si="312"/>
        <v>244152</v>
      </c>
      <c r="JA17" s="355">
        <f t="shared" si="313"/>
        <v>206271</v>
      </c>
      <c r="JB17" s="63">
        <f>173827+220132</f>
        <v>393959</v>
      </c>
      <c r="JC17" s="341">
        <v>220132</v>
      </c>
      <c r="JD17" s="341">
        <v>173827</v>
      </c>
      <c r="JE17" s="341">
        <v>24020</v>
      </c>
      <c r="JF17" s="341">
        <v>32444</v>
      </c>
      <c r="JG17" s="63">
        <f>18758+28525</f>
        <v>47283</v>
      </c>
      <c r="JH17" s="341">
        <v>18758</v>
      </c>
      <c r="JI17" s="341">
        <v>28525</v>
      </c>
      <c r="JJ17" s="63">
        <f>1260+1532</f>
        <v>2792</v>
      </c>
      <c r="JK17" s="341">
        <v>1532</v>
      </c>
      <c r="JL17" s="341">
        <v>1260</v>
      </c>
      <c r="JM17" s="356">
        <f t="shared" si="314"/>
        <v>6389</v>
      </c>
      <c r="JN17" s="356">
        <f t="shared" si="315"/>
        <v>3730</v>
      </c>
      <c r="JO17" s="356">
        <f t="shared" si="316"/>
        <v>2659</v>
      </c>
      <c r="JP17" s="357">
        <f t="shared" si="317"/>
        <v>342</v>
      </c>
      <c r="JQ17" s="357">
        <f t="shared" si="318"/>
        <v>280</v>
      </c>
      <c r="JR17" s="357">
        <f t="shared" si="319"/>
        <v>62</v>
      </c>
      <c r="JS17" s="341">
        <v>6047</v>
      </c>
      <c r="JT17" s="341">
        <v>3450</v>
      </c>
      <c r="JU17" s="341">
        <v>2597</v>
      </c>
      <c r="JV17" s="16">
        <f t="shared" si="320"/>
        <v>739049</v>
      </c>
      <c r="JW17" s="355">
        <f t="shared" si="321"/>
        <v>383838</v>
      </c>
      <c r="JX17" s="355">
        <f t="shared" si="322"/>
        <v>355211</v>
      </c>
      <c r="JY17" s="15">
        <f t="shared" si="323"/>
        <v>644881</v>
      </c>
      <c r="JZ17" s="151">
        <f t="shared" si="324"/>
        <v>640648</v>
      </c>
      <c r="KA17" s="341">
        <v>342260</v>
      </c>
      <c r="KB17" s="341">
        <v>298388</v>
      </c>
      <c r="KC17" s="341">
        <v>41578</v>
      </c>
      <c r="KD17" s="341">
        <v>56823</v>
      </c>
      <c r="KE17" s="15">
        <f t="shared" si="325"/>
        <v>77760</v>
      </c>
      <c r="KF17" s="151">
        <f t="shared" si="326"/>
        <v>77518</v>
      </c>
      <c r="KG17" s="341">
        <v>30260</v>
      </c>
      <c r="KH17" s="341">
        <v>47258</v>
      </c>
      <c r="KI17" s="15">
        <f t="shared" si="327"/>
        <v>6049</v>
      </c>
      <c r="KJ17" s="341">
        <v>3239</v>
      </c>
      <c r="KK17" s="341">
        <v>2810</v>
      </c>
      <c r="KL17" s="13">
        <f t="shared" si="328"/>
        <v>16408</v>
      </c>
      <c r="KM17" s="358">
        <f t="shared" si="329"/>
        <v>8079</v>
      </c>
      <c r="KN17" s="358">
        <f t="shared" si="330"/>
        <v>6755</v>
      </c>
      <c r="KO17" s="359">
        <f t="shared" si="331"/>
        <v>197</v>
      </c>
      <c r="KP17" s="359">
        <f t="shared" si="332"/>
        <v>107</v>
      </c>
      <c r="KQ17" s="359">
        <f t="shared" si="333"/>
        <v>90</v>
      </c>
      <c r="KR17" s="360">
        <f t="shared" si="334"/>
        <v>14637</v>
      </c>
      <c r="KS17" s="360">
        <f t="shared" si="335"/>
        <v>7972</v>
      </c>
      <c r="KT17" s="360">
        <f t="shared" si="336"/>
        <v>6665</v>
      </c>
      <c r="KU17" s="341">
        <v>1523</v>
      </c>
      <c r="KV17" s="341">
        <v>1995</v>
      </c>
      <c r="KW17" s="341">
        <v>6449</v>
      </c>
      <c r="KX17" s="341">
        <v>4670</v>
      </c>
      <c r="KY17" s="361">
        <v>1186713</v>
      </c>
      <c r="KZ17" s="341">
        <v>584433</v>
      </c>
      <c r="LA17" s="341">
        <v>602280</v>
      </c>
      <c r="LB17" s="9">
        <f t="shared" si="337"/>
        <v>999698</v>
      </c>
      <c r="LC17" s="9">
        <v>505217</v>
      </c>
      <c r="LD17" s="9">
        <v>494481</v>
      </c>
      <c r="LE17" s="140">
        <f t="shared" si="338"/>
        <v>988389</v>
      </c>
      <c r="LF17" s="341">
        <v>499408</v>
      </c>
      <c r="LG17" s="341">
        <v>488981</v>
      </c>
      <c r="LH17" s="9">
        <f t="shared" si="339"/>
        <v>134775</v>
      </c>
      <c r="LI17" s="341">
        <v>52402</v>
      </c>
      <c r="LJ17" s="341">
        <v>82373</v>
      </c>
      <c r="LK17" s="9">
        <f t="shared" si="340"/>
        <v>18396</v>
      </c>
      <c r="LL17" s="341">
        <v>9527</v>
      </c>
      <c r="LM17" s="341">
        <v>8869</v>
      </c>
      <c r="LN17" s="140">
        <f t="shared" si="341"/>
        <v>52240</v>
      </c>
      <c r="LO17" s="140">
        <f t="shared" si="342"/>
        <v>26814</v>
      </c>
      <c r="LP17" s="140">
        <f t="shared" si="343"/>
        <v>25426</v>
      </c>
      <c r="LQ17" s="349">
        <v>1465033</v>
      </c>
      <c r="LR17" s="341">
        <v>1203718</v>
      </c>
      <c r="LS17" s="341">
        <v>177729</v>
      </c>
      <c r="LT17" s="341">
        <v>83586</v>
      </c>
      <c r="LU17" s="9">
        <v>34517</v>
      </c>
      <c r="LV17" s="201">
        <v>1524893</v>
      </c>
      <c r="LW17" s="63">
        <v>1249625</v>
      </c>
      <c r="LX17" s="63">
        <v>187508</v>
      </c>
      <c r="LY17" s="63">
        <v>87760</v>
      </c>
      <c r="LZ17" s="63">
        <v>37533</v>
      </c>
      <c r="MA17" s="201">
        <v>1588555</v>
      </c>
      <c r="MB17" s="63">
        <v>1296265</v>
      </c>
      <c r="MC17" s="63">
        <v>200090</v>
      </c>
      <c r="MD17" s="63">
        <v>92200</v>
      </c>
      <c r="ME17" s="63">
        <v>39279</v>
      </c>
      <c r="MF17" s="201">
        <v>1643464</v>
      </c>
      <c r="MG17" s="63">
        <v>1330298</v>
      </c>
      <c r="MH17" s="63">
        <v>208536</v>
      </c>
      <c r="MI17" s="63">
        <v>104630</v>
      </c>
      <c r="MJ17" s="63">
        <v>45387</v>
      </c>
      <c r="MK17" s="14">
        <v>1683626.2519999999</v>
      </c>
      <c r="ML17" s="63">
        <v>1362131.4</v>
      </c>
      <c r="MM17" s="63">
        <v>216185.21100000001</v>
      </c>
      <c r="MN17" s="63">
        <v>43548.186000000002</v>
      </c>
      <c r="MO17" s="63">
        <v>105309.64099999995</v>
      </c>
      <c r="MP17" s="63">
        <v>1727380</v>
      </c>
      <c r="MQ17" s="63">
        <v>1395236</v>
      </c>
      <c r="MR17" s="63">
        <v>219763</v>
      </c>
      <c r="MS17" s="63">
        <v>45347</v>
      </c>
      <c r="MT17" s="2">
        <v>112005</v>
      </c>
      <c r="MU17" s="2">
        <v>1790815</v>
      </c>
      <c r="MV17" s="2">
        <v>1405298</v>
      </c>
      <c r="MW17" s="2">
        <v>231595</v>
      </c>
      <c r="MX17" s="2">
        <v>48972</v>
      </c>
      <c r="MY17" s="2">
        <v>68191</v>
      </c>
      <c r="MZ17" s="14">
        <v>229046</v>
      </c>
      <c r="NA17" s="7">
        <v>199759</v>
      </c>
      <c r="NB17" s="7">
        <v>22260</v>
      </c>
      <c r="NC17" s="7">
        <v>2155</v>
      </c>
      <c r="ND17" s="7">
        <v>7027</v>
      </c>
      <c r="NE17" s="14">
        <v>378643</v>
      </c>
      <c r="NF17" s="63">
        <v>320002</v>
      </c>
      <c r="NG17" s="63">
        <v>36604</v>
      </c>
      <c r="NH17" s="63">
        <v>7005</v>
      </c>
      <c r="NI17" s="63">
        <v>22037</v>
      </c>
      <c r="NJ17" s="14">
        <v>544640</v>
      </c>
      <c r="NK17" s="63">
        <v>440171</v>
      </c>
      <c r="NL17" s="63">
        <v>60954</v>
      </c>
      <c r="NM17" s="63">
        <v>14813</v>
      </c>
      <c r="NN17" s="63">
        <v>43515</v>
      </c>
      <c r="NO17" s="14">
        <v>563318.55800000008</v>
      </c>
      <c r="NP17" s="63">
        <v>458676.9</v>
      </c>
      <c r="NQ17" s="63">
        <v>61947.809000000001</v>
      </c>
      <c r="NR17" s="63">
        <v>13339.084000000001</v>
      </c>
      <c r="NS17" s="319">
        <v>42693.849000000053</v>
      </c>
      <c r="NT17" s="1">
        <v>581443</v>
      </c>
      <c r="NU17" s="2">
        <v>471838</v>
      </c>
      <c r="NV17" s="2">
        <v>62875</v>
      </c>
      <c r="NW17" s="2">
        <v>13395</v>
      </c>
      <c r="NX17" s="79">
        <v>46730</v>
      </c>
      <c r="NY17" s="2">
        <v>616730</v>
      </c>
      <c r="NZ17" s="2">
        <v>483337</v>
      </c>
      <c r="OA17" s="2">
        <v>70979</v>
      </c>
      <c r="OB17" s="2">
        <v>14357</v>
      </c>
      <c r="OC17" s="2">
        <v>51278</v>
      </c>
    </row>
    <row r="18" spans="1:393" ht="14.25" x14ac:dyDescent="0.2">
      <c r="A18" s="239" t="s">
        <v>10</v>
      </c>
      <c r="B18" s="201">
        <f>31644+57105+69523+24056+59489+83153</f>
        <v>324970</v>
      </c>
      <c r="C18" s="63">
        <f>23866+48520+61995+17375+49156+73583</f>
        <v>274495</v>
      </c>
      <c r="D18" s="63">
        <f>3148+3813+3164+2470+4804+4186</f>
        <v>21585</v>
      </c>
      <c r="E18" s="63">
        <f>1632+1456+817+1368+1385+877</f>
        <v>7535</v>
      </c>
      <c r="F18" s="319">
        <f>2832+3145+3367+151+161+138+2417+3602+4157+418+510+301</f>
        <v>21199</v>
      </c>
      <c r="G18" s="7">
        <v>195015</v>
      </c>
      <c r="H18" s="63">
        <v>158840</v>
      </c>
      <c r="I18" s="63">
        <v>12123</v>
      </c>
      <c r="J18" s="63">
        <v>10064</v>
      </c>
      <c r="K18" s="319">
        <v>24052</v>
      </c>
      <c r="L18" s="7">
        <v>134976</v>
      </c>
      <c r="M18" s="63">
        <v>95731</v>
      </c>
      <c r="N18" s="63">
        <v>7148</v>
      </c>
      <c r="O18" s="63">
        <v>24427</v>
      </c>
      <c r="P18" s="319">
        <v>32097</v>
      </c>
      <c r="Q18" s="9">
        <v>115336</v>
      </c>
      <c r="R18" s="600">
        <v>76958</v>
      </c>
      <c r="S18" s="600">
        <v>5803</v>
      </c>
      <c r="T18" s="600">
        <v>40287</v>
      </c>
      <c r="U18" s="615">
        <v>32575</v>
      </c>
      <c r="V18" s="600">
        <v>115002</v>
      </c>
      <c r="W18" s="5">
        <v>77702</v>
      </c>
      <c r="X18" s="600">
        <v>4436</v>
      </c>
      <c r="Y18" s="600">
        <v>44818</v>
      </c>
      <c r="Z18" s="600">
        <v>32864</v>
      </c>
      <c r="AA18" s="600">
        <v>113538</v>
      </c>
      <c r="AB18" s="600">
        <v>50142</v>
      </c>
      <c r="AC18" s="600">
        <v>3909</v>
      </c>
      <c r="AD18" s="600">
        <v>45863</v>
      </c>
      <c r="AE18" s="726">
        <v>31844</v>
      </c>
      <c r="AF18" s="201">
        <v>311946</v>
      </c>
      <c r="AG18" s="63">
        <v>254224</v>
      </c>
      <c r="AH18" s="63">
        <v>24829</v>
      </c>
      <c r="AI18" s="63">
        <v>6710</v>
      </c>
      <c r="AJ18" s="319">
        <v>32893</v>
      </c>
      <c r="AK18" s="7">
        <v>292257</v>
      </c>
      <c r="AL18" s="63">
        <v>221384</v>
      </c>
      <c r="AM18" s="63">
        <v>23296</v>
      </c>
      <c r="AN18" s="63">
        <v>14893</v>
      </c>
      <c r="AO18" s="319">
        <v>47577</v>
      </c>
      <c r="AP18" s="7">
        <v>226362</v>
      </c>
      <c r="AQ18" s="63">
        <v>164051</v>
      </c>
      <c r="AR18" s="63">
        <v>18120</v>
      </c>
      <c r="AS18" s="63">
        <v>23411</v>
      </c>
      <c r="AT18" s="319">
        <v>44191</v>
      </c>
      <c r="AU18" s="63">
        <v>221897</v>
      </c>
      <c r="AV18" s="63">
        <v>159560</v>
      </c>
      <c r="AW18" s="63">
        <v>17485</v>
      </c>
      <c r="AX18" s="63">
        <v>24748</v>
      </c>
      <c r="AY18" s="63">
        <v>44852</v>
      </c>
      <c r="AZ18" s="63">
        <v>220675</v>
      </c>
      <c r="BA18" s="63">
        <v>143556</v>
      </c>
      <c r="BB18" s="63">
        <v>16299</v>
      </c>
      <c r="BC18" s="63">
        <v>27278</v>
      </c>
      <c r="BD18" s="63">
        <v>45384</v>
      </c>
      <c r="BE18" s="14">
        <v>339480</v>
      </c>
      <c r="BF18" s="63">
        <v>239073</v>
      </c>
      <c r="BG18" s="63">
        <v>23898</v>
      </c>
      <c r="BH18" s="63">
        <v>66029</v>
      </c>
      <c r="BI18" s="584">
        <f t="shared" si="344"/>
        <v>76509</v>
      </c>
      <c r="BJ18" s="350">
        <v>293238</v>
      </c>
      <c r="BK18" s="351">
        <v>409850</v>
      </c>
      <c r="BL18" s="351">
        <v>526532</v>
      </c>
      <c r="BM18" s="351">
        <v>733832</v>
      </c>
      <c r="BN18" s="14">
        <v>1167477</v>
      </c>
      <c r="BO18" s="63">
        <v>1046836.224</v>
      </c>
      <c r="BP18" s="63">
        <v>55085.888000000006</v>
      </c>
      <c r="BQ18" s="63">
        <v>12115.334000000001</v>
      </c>
      <c r="BR18" s="319">
        <v>53253.33</v>
      </c>
      <c r="BS18" s="7">
        <v>1488463</v>
      </c>
      <c r="BT18" s="63">
        <v>1289454</v>
      </c>
      <c r="BU18" s="63">
        <v>86782</v>
      </c>
      <c r="BV18" s="63">
        <v>21238</v>
      </c>
      <c r="BW18" s="319">
        <v>112227</v>
      </c>
      <c r="BX18" s="7">
        <v>1775940</v>
      </c>
      <c r="BY18" s="63">
        <v>1453941</v>
      </c>
      <c r="BZ18" s="63">
        <v>111131</v>
      </c>
      <c r="CA18" s="63">
        <v>40743</v>
      </c>
      <c r="CB18" s="63">
        <v>210868</v>
      </c>
      <c r="CC18" s="352">
        <v>1945487</v>
      </c>
      <c r="CD18" s="63">
        <v>1569818</v>
      </c>
      <c r="CE18" s="63">
        <v>123967</v>
      </c>
      <c r="CF18" s="63">
        <v>251702</v>
      </c>
      <c r="CG18" s="63">
        <v>66902</v>
      </c>
      <c r="CH18" s="201">
        <v>1983162</v>
      </c>
      <c r="CI18" s="63">
        <v>1598787</v>
      </c>
      <c r="CJ18" s="63">
        <v>128641</v>
      </c>
      <c r="CK18" s="63">
        <v>255734</v>
      </c>
      <c r="CL18" s="63">
        <v>71397</v>
      </c>
      <c r="CM18" s="66">
        <v>2008235</v>
      </c>
      <c r="CN18" s="64">
        <v>1619286</v>
      </c>
      <c r="CO18" s="64">
        <v>129403</v>
      </c>
      <c r="CP18" s="64">
        <v>259546</v>
      </c>
      <c r="CQ18" s="64">
        <v>76300</v>
      </c>
      <c r="CR18" s="14">
        <v>2070195</v>
      </c>
      <c r="CS18" s="63">
        <v>1655444</v>
      </c>
      <c r="CT18" s="63">
        <v>134253</v>
      </c>
      <c r="CU18" s="63">
        <v>85230</v>
      </c>
      <c r="CV18" s="63">
        <v>173061</v>
      </c>
      <c r="CW18" s="14">
        <v>2102820.2999999998</v>
      </c>
      <c r="CX18" s="63">
        <v>1673507.4999999998</v>
      </c>
      <c r="CY18" s="63">
        <v>136650.576</v>
      </c>
      <c r="CZ18" s="63">
        <v>91025.168999999994</v>
      </c>
      <c r="DA18" s="621">
        <f t="shared" si="345"/>
        <v>292662.22400000005</v>
      </c>
      <c r="DB18" s="63">
        <v>2130429</v>
      </c>
      <c r="DC18" s="63">
        <v>1687120</v>
      </c>
      <c r="DD18" s="63">
        <v>141307</v>
      </c>
      <c r="DE18" s="63">
        <v>93854</v>
      </c>
      <c r="DF18" s="63">
        <v>302002</v>
      </c>
      <c r="DG18" s="63">
        <v>2153434</v>
      </c>
      <c r="DH18" s="63">
        <v>1640232</v>
      </c>
      <c r="DI18" s="63">
        <v>143443</v>
      </c>
      <c r="DJ18" s="63">
        <v>96332</v>
      </c>
      <c r="DK18" s="63">
        <v>206589</v>
      </c>
      <c r="DL18" s="14">
        <f>143397+142028</f>
        <v>285425</v>
      </c>
      <c r="DM18" s="63">
        <f>126184+127060</f>
        <v>253244</v>
      </c>
      <c r="DN18" s="63">
        <f>6996+7195</f>
        <v>14191</v>
      </c>
      <c r="DO18" s="63">
        <f>1477+1928</f>
        <v>3405</v>
      </c>
      <c r="DP18" s="319">
        <f>6419+883+6198+902</f>
        <v>14402</v>
      </c>
      <c r="DQ18" s="7">
        <v>525591</v>
      </c>
      <c r="DR18" s="63">
        <v>449129</v>
      </c>
      <c r="DS18" s="63">
        <v>34418</v>
      </c>
      <c r="DT18" s="63">
        <v>8563</v>
      </c>
      <c r="DU18" s="319">
        <v>42044</v>
      </c>
      <c r="DV18" s="7">
        <v>635562</v>
      </c>
      <c r="DW18" s="63">
        <v>511300</v>
      </c>
      <c r="DX18" s="63">
        <v>45872</v>
      </c>
      <c r="DY18" s="63">
        <v>15279</v>
      </c>
      <c r="DZ18" s="319">
        <v>78390</v>
      </c>
      <c r="EA18" s="7">
        <v>752142</v>
      </c>
      <c r="EB18" s="63">
        <v>593548</v>
      </c>
      <c r="EC18" s="63">
        <v>53854</v>
      </c>
      <c r="ED18" s="63">
        <v>28902</v>
      </c>
      <c r="EE18" s="319">
        <v>104740</v>
      </c>
      <c r="EF18" s="7">
        <v>761997.6</v>
      </c>
      <c r="EG18" s="63">
        <v>594812.38</v>
      </c>
      <c r="EH18" s="63">
        <v>55975.411999999997</v>
      </c>
      <c r="EI18" s="63">
        <v>32385.466000000004</v>
      </c>
      <c r="EJ18" s="319">
        <v>111209.80799999998</v>
      </c>
      <c r="EK18" s="63">
        <v>769312</v>
      </c>
      <c r="EL18" s="63">
        <v>597542</v>
      </c>
      <c r="EM18" s="63">
        <v>57565</v>
      </c>
      <c r="EN18" s="63">
        <v>33574</v>
      </c>
      <c r="EO18" s="661">
        <v>114205</v>
      </c>
      <c r="EP18" s="661">
        <v>770914</v>
      </c>
      <c r="EQ18" s="661">
        <v>575321</v>
      </c>
      <c r="ER18" s="661">
        <v>58697</v>
      </c>
      <c r="ES18" s="661">
        <v>33630</v>
      </c>
      <c r="ET18" s="661">
        <v>115449</v>
      </c>
      <c r="EU18" s="14">
        <v>100366</v>
      </c>
      <c r="EV18" s="63">
        <v>84380</v>
      </c>
      <c r="EW18" s="63">
        <v>6846</v>
      </c>
      <c r="EX18" s="63">
        <v>2047</v>
      </c>
      <c r="EY18" s="319">
        <v>9140</v>
      </c>
      <c r="EZ18" s="7">
        <v>119106</v>
      </c>
      <c r="FA18" s="63">
        <v>94774</v>
      </c>
      <c r="FB18" s="63">
        <v>8365</v>
      </c>
      <c r="FC18" s="63">
        <v>2835</v>
      </c>
      <c r="FD18" s="319">
        <v>15967</v>
      </c>
      <c r="FE18" s="201">
        <v>163481</v>
      </c>
      <c r="FF18" s="63">
        <v>128123</v>
      </c>
      <c r="FG18" s="63">
        <v>10931</v>
      </c>
      <c r="FH18" s="63">
        <v>6694</v>
      </c>
      <c r="FI18" s="63">
        <v>24427</v>
      </c>
      <c r="FJ18" s="201"/>
      <c r="FK18" s="63"/>
      <c r="FL18" s="63"/>
      <c r="FM18" s="63"/>
      <c r="FN18" s="319"/>
      <c r="FO18" s="63">
        <v>172844</v>
      </c>
      <c r="FP18" s="63">
        <v>133995</v>
      </c>
      <c r="FQ18" s="63">
        <v>11824</v>
      </c>
      <c r="FR18" s="63">
        <v>7780</v>
      </c>
      <c r="FS18" s="63">
        <v>27025</v>
      </c>
      <c r="FT18" s="63">
        <v>177505</v>
      </c>
      <c r="FU18" s="63">
        <v>131646</v>
      </c>
      <c r="FV18" s="63">
        <v>12637</v>
      </c>
      <c r="FW18" s="63">
        <v>8030</v>
      </c>
      <c r="FX18" s="63">
        <v>27959</v>
      </c>
      <c r="FY18" s="609">
        <f t="shared" si="346"/>
        <v>455335</v>
      </c>
      <c r="FZ18" s="584">
        <f t="shared" si="347"/>
        <v>402693</v>
      </c>
      <c r="GA18" s="584">
        <f t="shared" si="348"/>
        <v>21696</v>
      </c>
      <c r="GB18" s="584">
        <f t="shared" si="349"/>
        <v>6043</v>
      </c>
      <c r="GC18" s="584">
        <f t="shared" si="350"/>
        <v>30946</v>
      </c>
      <c r="GD18" s="609">
        <f t="shared" si="351"/>
        <v>565877</v>
      </c>
      <c r="GE18" s="584">
        <f t="shared" si="352"/>
        <v>476383</v>
      </c>
      <c r="GF18" s="584">
        <f t="shared" si="353"/>
        <v>27752</v>
      </c>
      <c r="GG18" s="584">
        <f t="shared" si="354"/>
        <v>10497</v>
      </c>
      <c r="GH18" s="584">
        <f t="shared" si="355"/>
        <v>61742</v>
      </c>
      <c r="GI18" s="201">
        <v>622246</v>
      </c>
      <c r="GJ18" s="63">
        <v>510271</v>
      </c>
      <c r="GK18" s="63">
        <v>32892</v>
      </c>
      <c r="GL18" s="63">
        <v>19351</v>
      </c>
      <c r="GM18" s="63">
        <v>79083</v>
      </c>
      <c r="GN18" s="599"/>
      <c r="GO18" s="600"/>
      <c r="GP18" s="600"/>
      <c r="GQ18" s="600"/>
      <c r="GR18" s="600"/>
      <c r="GS18" s="600">
        <v>753478</v>
      </c>
      <c r="GT18" s="600">
        <v>614383</v>
      </c>
      <c r="GU18" s="600">
        <v>40697</v>
      </c>
      <c r="GV18" s="600">
        <v>23358</v>
      </c>
      <c r="GW18" s="615">
        <v>98398</v>
      </c>
      <c r="GX18" s="600">
        <v>2534716</v>
      </c>
      <c r="GY18" s="600">
        <v>610602</v>
      </c>
      <c r="GZ18" s="600">
        <v>41790</v>
      </c>
      <c r="HA18" s="600">
        <v>24387</v>
      </c>
      <c r="HB18" s="600">
        <v>65321</v>
      </c>
      <c r="HC18" s="14">
        <v>236112</v>
      </c>
      <c r="HD18" s="7">
        <v>212188</v>
      </c>
      <c r="HE18" s="7">
        <v>10156</v>
      </c>
      <c r="HF18" s="7">
        <v>2833</v>
      </c>
      <c r="HG18" s="7">
        <v>13768</v>
      </c>
      <c r="HH18" s="14">
        <v>297082</v>
      </c>
      <c r="HI18" s="63">
        <v>254670</v>
      </c>
      <c r="HJ18" s="63">
        <v>13434</v>
      </c>
      <c r="HK18" s="63">
        <v>4964</v>
      </c>
      <c r="HL18" s="63">
        <v>28978</v>
      </c>
      <c r="HM18" s="201">
        <v>366448</v>
      </c>
      <c r="HN18" s="63">
        <v>304321</v>
      </c>
      <c r="HO18" s="63">
        <v>18757</v>
      </c>
      <c r="HP18" s="63">
        <v>10421</v>
      </c>
      <c r="HQ18" s="63">
        <v>43370</v>
      </c>
      <c r="HR18" s="201">
        <v>378556.5</v>
      </c>
      <c r="HS18" s="63">
        <v>315575.7</v>
      </c>
      <c r="HT18" s="63">
        <v>19246.559999999998</v>
      </c>
      <c r="HU18" s="63">
        <v>11161.981</v>
      </c>
      <c r="HV18" s="63">
        <v>43734.239999999991</v>
      </c>
      <c r="HW18" s="63">
        <v>396617</v>
      </c>
      <c r="HX18" s="63">
        <v>320401</v>
      </c>
      <c r="HY18" s="63">
        <v>19728</v>
      </c>
      <c r="HZ18" s="63">
        <v>11966</v>
      </c>
      <c r="IA18" s="63">
        <v>48221</v>
      </c>
      <c r="IB18" s="353">
        <v>57233</v>
      </c>
      <c r="IC18" s="354">
        <v>77070</v>
      </c>
      <c r="ID18" s="339">
        <v>102117</v>
      </c>
      <c r="IE18" s="355">
        <f t="shared" si="303"/>
        <v>59099</v>
      </c>
      <c r="IF18" s="355">
        <f t="shared" si="304"/>
        <v>43018</v>
      </c>
      <c r="IG18" s="355">
        <f t="shared" si="305"/>
        <v>97833</v>
      </c>
      <c r="IH18" s="341">
        <v>57153</v>
      </c>
      <c r="II18" s="341">
        <v>40680</v>
      </c>
      <c r="IJ18" s="355">
        <f t="shared" si="306"/>
        <v>4284</v>
      </c>
      <c r="IK18" s="341">
        <v>1946</v>
      </c>
      <c r="IL18" s="341">
        <v>2338</v>
      </c>
      <c r="IM18" s="339">
        <v>141604</v>
      </c>
      <c r="IN18" s="355">
        <f t="shared" si="307"/>
        <v>83877</v>
      </c>
      <c r="IO18" s="355">
        <f t="shared" si="308"/>
        <v>57727</v>
      </c>
      <c r="IP18" s="355">
        <f t="shared" si="309"/>
        <v>135960</v>
      </c>
      <c r="IQ18" s="341">
        <v>81160</v>
      </c>
      <c r="IR18" s="341">
        <v>54800</v>
      </c>
      <c r="IS18" s="355">
        <f t="shared" si="310"/>
        <v>3954</v>
      </c>
      <c r="IT18" s="341">
        <v>1602</v>
      </c>
      <c r="IU18" s="341">
        <v>2352</v>
      </c>
      <c r="IV18" s="355">
        <f t="shared" si="311"/>
        <v>1690</v>
      </c>
      <c r="IW18" s="341">
        <v>1115</v>
      </c>
      <c r="IX18" s="341">
        <v>575</v>
      </c>
      <c r="IY18" s="339">
        <v>266762</v>
      </c>
      <c r="IZ18" s="355">
        <f t="shared" si="312"/>
        <v>157577</v>
      </c>
      <c r="JA18" s="355">
        <f t="shared" si="313"/>
        <v>109185</v>
      </c>
      <c r="JB18" s="63">
        <f>99112+145673</f>
        <v>244785</v>
      </c>
      <c r="JC18" s="341">
        <v>145673</v>
      </c>
      <c r="JD18" s="341">
        <v>99112</v>
      </c>
      <c r="JE18" s="341">
        <v>11904</v>
      </c>
      <c r="JF18" s="341">
        <v>10073</v>
      </c>
      <c r="JG18" s="63">
        <f>4539+4783</f>
        <v>9322</v>
      </c>
      <c r="JH18" s="341">
        <v>4539</v>
      </c>
      <c r="JI18" s="341">
        <v>4783</v>
      </c>
      <c r="JJ18" s="63">
        <f>1525+862</f>
        <v>2387</v>
      </c>
      <c r="JK18" s="341">
        <v>1525</v>
      </c>
      <c r="JL18" s="341">
        <v>862</v>
      </c>
      <c r="JM18" s="356">
        <f t="shared" si="314"/>
        <v>10268</v>
      </c>
      <c r="JN18" s="356">
        <f t="shared" si="315"/>
        <v>5840</v>
      </c>
      <c r="JO18" s="356">
        <f t="shared" si="316"/>
        <v>4428</v>
      </c>
      <c r="JP18" s="357">
        <f t="shared" si="317"/>
        <v>218</v>
      </c>
      <c r="JQ18" s="357">
        <f t="shared" si="318"/>
        <v>163</v>
      </c>
      <c r="JR18" s="357">
        <f t="shared" si="319"/>
        <v>55</v>
      </c>
      <c r="JS18" s="341">
        <v>10050</v>
      </c>
      <c r="JT18" s="341">
        <v>5677</v>
      </c>
      <c r="JU18" s="341">
        <v>4373</v>
      </c>
      <c r="JV18" s="16">
        <f t="shared" si="320"/>
        <v>354969</v>
      </c>
      <c r="JW18" s="355">
        <f t="shared" si="321"/>
        <v>195606</v>
      </c>
      <c r="JX18" s="355">
        <f t="shared" si="322"/>
        <v>159363</v>
      </c>
      <c r="JY18" s="15">
        <f t="shared" si="323"/>
        <v>318313</v>
      </c>
      <c r="JZ18" s="151">
        <f t="shared" si="324"/>
        <v>315845</v>
      </c>
      <c r="KA18" s="341">
        <v>175489</v>
      </c>
      <c r="KB18" s="341">
        <v>140356</v>
      </c>
      <c r="KC18" s="341">
        <v>20117</v>
      </c>
      <c r="KD18" s="341">
        <v>19007</v>
      </c>
      <c r="KE18" s="15">
        <f t="shared" si="325"/>
        <v>14850</v>
      </c>
      <c r="KF18" s="151">
        <f t="shared" si="326"/>
        <v>14786</v>
      </c>
      <c r="KG18" s="341">
        <v>6907</v>
      </c>
      <c r="KH18" s="341">
        <v>7879</v>
      </c>
      <c r="KI18" s="15">
        <f t="shared" si="327"/>
        <v>3996</v>
      </c>
      <c r="KJ18" s="341">
        <v>2279</v>
      </c>
      <c r="KK18" s="341">
        <v>1717</v>
      </c>
      <c r="KL18" s="13">
        <f t="shared" si="328"/>
        <v>21806</v>
      </c>
      <c r="KM18" s="358">
        <f t="shared" si="329"/>
        <v>10931</v>
      </c>
      <c r="KN18" s="358">
        <f t="shared" si="330"/>
        <v>9411</v>
      </c>
      <c r="KO18" s="359">
        <f t="shared" si="331"/>
        <v>51</v>
      </c>
      <c r="KP18" s="359">
        <f t="shared" si="332"/>
        <v>20</v>
      </c>
      <c r="KQ18" s="359">
        <f t="shared" si="333"/>
        <v>31</v>
      </c>
      <c r="KR18" s="360">
        <f t="shared" si="334"/>
        <v>20291</v>
      </c>
      <c r="KS18" s="360">
        <f t="shared" si="335"/>
        <v>10911</v>
      </c>
      <c r="KT18" s="360">
        <f t="shared" si="336"/>
        <v>9380</v>
      </c>
      <c r="KU18" s="341">
        <v>7148</v>
      </c>
      <c r="KV18" s="341">
        <v>6903</v>
      </c>
      <c r="KW18" s="341">
        <v>3763</v>
      </c>
      <c r="KX18" s="341">
        <v>2477</v>
      </c>
      <c r="KY18" s="361">
        <v>446771</v>
      </c>
      <c r="KZ18" s="341">
        <v>229359</v>
      </c>
      <c r="LA18" s="341">
        <v>217412</v>
      </c>
      <c r="LB18" s="9">
        <f t="shared" si="337"/>
        <v>381609</v>
      </c>
      <c r="LC18" s="9">
        <v>198056</v>
      </c>
      <c r="LD18" s="9">
        <v>183553</v>
      </c>
      <c r="LE18" s="140">
        <f t="shared" si="338"/>
        <v>377314</v>
      </c>
      <c r="LF18" s="341">
        <v>195794</v>
      </c>
      <c r="LG18" s="341">
        <v>181520</v>
      </c>
      <c r="LH18" s="9">
        <f t="shared" si="339"/>
        <v>19387</v>
      </c>
      <c r="LI18" s="341">
        <v>8633</v>
      </c>
      <c r="LJ18" s="341">
        <v>10754</v>
      </c>
      <c r="LK18" s="9">
        <f t="shared" si="340"/>
        <v>7662</v>
      </c>
      <c r="LL18" s="341">
        <v>3982</v>
      </c>
      <c r="LM18" s="341">
        <v>3680</v>
      </c>
      <c r="LN18" s="140">
        <f t="shared" si="341"/>
        <v>45775</v>
      </c>
      <c r="LO18" s="140">
        <f t="shared" si="342"/>
        <v>22670</v>
      </c>
      <c r="LP18" s="140">
        <f t="shared" si="343"/>
        <v>23105</v>
      </c>
      <c r="LQ18" s="349">
        <v>513450</v>
      </c>
      <c r="LR18" s="341">
        <v>434169</v>
      </c>
      <c r="LS18" s="341">
        <v>23489</v>
      </c>
      <c r="LT18" s="341">
        <v>55792</v>
      </c>
      <c r="LU18" s="9">
        <v>11393</v>
      </c>
      <c r="LV18" s="201">
        <v>523441</v>
      </c>
      <c r="LW18" s="63">
        <v>441316</v>
      </c>
      <c r="LX18" s="63">
        <v>24459</v>
      </c>
      <c r="LY18" s="63">
        <v>57666</v>
      </c>
      <c r="LZ18" s="63">
        <v>12183</v>
      </c>
      <c r="MA18" s="201">
        <v>529847</v>
      </c>
      <c r="MB18" s="63">
        <v>445828</v>
      </c>
      <c r="MC18" s="63">
        <v>24551</v>
      </c>
      <c r="MD18" s="63">
        <v>59468</v>
      </c>
      <c r="ME18" s="63">
        <v>13291</v>
      </c>
      <c r="MF18" s="201">
        <v>544533</v>
      </c>
      <c r="MG18" s="63">
        <v>452262</v>
      </c>
      <c r="MH18" s="63">
        <v>26678</v>
      </c>
      <c r="MI18" s="63">
        <v>65593</v>
      </c>
      <c r="MJ18" s="63">
        <v>14512</v>
      </c>
      <c r="MK18" s="14">
        <v>564171.30000000005</v>
      </c>
      <c r="ML18" s="63">
        <v>468582.1</v>
      </c>
      <c r="MM18" s="63">
        <v>27747.123999999996</v>
      </c>
      <c r="MN18" s="63">
        <v>15563.888999999999</v>
      </c>
      <c r="MO18" s="63">
        <v>67842.076000000074</v>
      </c>
      <c r="MP18" s="63">
        <v>580634</v>
      </c>
      <c r="MQ18" s="63">
        <v>480388</v>
      </c>
      <c r="MR18" s="63">
        <v>28873</v>
      </c>
      <c r="MS18" s="63">
        <v>15578</v>
      </c>
      <c r="MT18" s="2">
        <v>71373</v>
      </c>
      <c r="MU18" s="2">
        <v>591912</v>
      </c>
      <c r="MV18" s="2">
        <v>478956</v>
      </c>
      <c r="MW18" s="2">
        <v>29153</v>
      </c>
      <c r="MX18" s="2">
        <v>16357</v>
      </c>
      <c r="MY18" s="2">
        <v>47682</v>
      </c>
      <c r="MZ18" s="14">
        <v>118857</v>
      </c>
      <c r="NA18" s="7">
        <v>106125</v>
      </c>
      <c r="NB18" s="7">
        <v>4694</v>
      </c>
      <c r="NC18" s="7">
        <v>1163</v>
      </c>
      <c r="ND18" s="7">
        <v>8038</v>
      </c>
      <c r="NE18" s="14">
        <v>149689</v>
      </c>
      <c r="NF18" s="63">
        <v>126939</v>
      </c>
      <c r="NG18" s="63">
        <v>5953</v>
      </c>
      <c r="NH18" s="63">
        <v>2698</v>
      </c>
      <c r="NI18" s="63">
        <v>16797</v>
      </c>
      <c r="NJ18" s="14">
        <v>178085</v>
      </c>
      <c r="NK18" s="63">
        <v>147941</v>
      </c>
      <c r="NL18" s="63">
        <v>7921</v>
      </c>
      <c r="NM18" s="63">
        <v>4091</v>
      </c>
      <c r="NN18" s="63">
        <v>22223</v>
      </c>
      <c r="NO18" s="14">
        <v>185614.8</v>
      </c>
      <c r="NP18" s="63">
        <v>153006.39999999999</v>
      </c>
      <c r="NQ18" s="63">
        <v>8500.5640000000003</v>
      </c>
      <c r="NR18" s="63">
        <v>4401.9079999999994</v>
      </c>
      <c r="NS18" s="319">
        <v>24107.835999999996</v>
      </c>
      <c r="NT18" s="1">
        <v>192138</v>
      </c>
      <c r="NU18" s="2">
        <v>158381</v>
      </c>
      <c r="NV18" s="2">
        <v>8903</v>
      </c>
      <c r="NW18" s="2">
        <v>4136</v>
      </c>
      <c r="NX18" s="79">
        <v>24854</v>
      </c>
      <c r="NY18" s="2">
        <v>195295</v>
      </c>
      <c r="NZ18" s="2">
        <v>158555</v>
      </c>
      <c r="OA18" s="2">
        <v>9425</v>
      </c>
      <c r="OB18" s="2">
        <v>4391</v>
      </c>
      <c r="OC18" s="2">
        <v>24436</v>
      </c>
    </row>
    <row r="19" spans="1:393" ht="14.25" x14ac:dyDescent="0.2">
      <c r="A19" s="239" t="s">
        <v>11</v>
      </c>
      <c r="B19" s="201">
        <f>66499+100967+49731+56733+110848+60424</f>
        <v>445202</v>
      </c>
      <c r="C19" s="63">
        <f>29153+64468+35166+23999+65037+40248</f>
        <v>258071</v>
      </c>
      <c r="D19" s="63">
        <f>36267+35124+13874+31643+43834+19145</f>
        <v>179887</v>
      </c>
      <c r="E19" s="63">
        <f>857+1000+475+667+1228+594</f>
        <v>4821</v>
      </c>
      <c r="F19" s="319">
        <f>187+207+141+35+147+54+164+266+203+227+472+214</f>
        <v>2317</v>
      </c>
      <c r="G19" s="7">
        <v>295167</v>
      </c>
      <c r="H19" s="63">
        <v>169253</v>
      </c>
      <c r="I19" s="63">
        <v>123006</v>
      </c>
      <c r="J19" s="63">
        <v>1787</v>
      </c>
      <c r="K19" s="319">
        <v>2908</v>
      </c>
      <c r="L19" s="7">
        <v>215776</v>
      </c>
      <c r="M19" s="63">
        <v>120006</v>
      </c>
      <c r="N19" s="63">
        <v>84690</v>
      </c>
      <c r="O19" s="63">
        <v>11605</v>
      </c>
      <c r="P19" s="319">
        <v>11080</v>
      </c>
      <c r="Q19" s="9">
        <v>175549</v>
      </c>
      <c r="R19" s="600">
        <v>101892</v>
      </c>
      <c r="S19" s="600">
        <v>58397</v>
      </c>
      <c r="T19" s="600">
        <v>28786</v>
      </c>
      <c r="U19" s="615">
        <v>15260</v>
      </c>
      <c r="V19" s="600">
        <v>169548</v>
      </c>
      <c r="W19" s="5">
        <v>96676</v>
      </c>
      <c r="X19" s="600">
        <v>53370</v>
      </c>
      <c r="Y19" s="600">
        <v>29422</v>
      </c>
      <c r="Z19" s="600">
        <v>19472</v>
      </c>
      <c r="AA19" s="600">
        <v>167089</v>
      </c>
      <c r="AB19" s="600">
        <v>80637</v>
      </c>
      <c r="AC19" s="600">
        <v>50340</v>
      </c>
      <c r="AD19" s="600">
        <v>30120</v>
      </c>
      <c r="AE19" s="726">
        <v>19716</v>
      </c>
      <c r="AF19" s="201">
        <v>392093</v>
      </c>
      <c r="AG19" s="63">
        <v>248219</v>
      </c>
      <c r="AH19" s="63">
        <v>140640</v>
      </c>
      <c r="AI19" s="63">
        <v>2291</v>
      </c>
      <c r="AJ19" s="319">
        <v>3234</v>
      </c>
      <c r="AK19" s="7">
        <v>398503</v>
      </c>
      <c r="AL19" s="63">
        <v>233156</v>
      </c>
      <c r="AM19" s="63">
        <v>154354</v>
      </c>
      <c r="AN19" s="63">
        <v>8213</v>
      </c>
      <c r="AO19" s="319">
        <v>10993</v>
      </c>
      <c r="AP19" s="7">
        <v>319871</v>
      </c>
      <c r="AQ19" s="63">
        <v>182101</v>
      </c>
      <c r="AR19" s="63">
        <v>123025</v>
      </c>
      <c r="AS19" s="63">
        <v>18934</v>
      </c>
      <c r="AT19" s="319">
        <v>14745</v>
      </c>
      <c r="AU19" s="63">
        <v>319300</v>
      </c>
      <c r="AV19" s="63">
        <v>180245</v>
      </c>
      <c r="AW19" s="63">
        <v>123139</v>
      </c>
      <c r="AX19" s="63">
        <v>19209</v>
      </c>
      <c r="AY19" s="63">
        <v>15884</v>
      </c>
      <c r="AZ19" s="63">
        <v>310115</v>
      </c>
      <c r="BA19" s="63">
        <v>166947</v>
      </c>
      <c r="BB19" s="63">
        <v>117703</v>
      </c>
      <c r="BC19" s="63">
        <v>17818</v>
      </c>
      <c r="BD19" s="63">
        <v>14309</v>
      </c>
      <c r="BE19" s="14">
        <v>495376</v>
      </c>
      <c r="BF19" s="63">
        <v>279971</v>
      </c>
      <c r="BG19" s="63">
        <v>179204</v>
      </c>
      <c r="BH19" s="63">
        <v>49837</v>
      </c>
      <c r="BI19" s="584">
        <f t="shared" si="344"/>
        <v>36201</v>
      </c>
      <c r="BJ19" s="350">
        <v>152716</v>
      </c>
      <c r="BK19" s="351">
        <v>187035</v>
      </c>
      <c r="BL19" s="351">
        <v>344939</v>
      </c>
      <c r="BM19" s="351">
        <v>485281</v>
      </c>
      <c r="BN19" s="14">
        <v>930728</v>
      </c>
      <c r="BO19" s="63">
        <v>742876.25</v>
      </c>
      <c r="BP19" s="63">
        <v>174100.68</v>
      </c>
      <c r="BQ19" s="63">
        <v>6907.9840000000004</v>
      </c>
      <c r="BR19" s="319">
        <v>6067.7359999999999</v>
      </c>
      <c r="BS19" s="7">
        <v>1480330</v>
      </c>
      <c r="BT19" s="63">
        <v>1163826</v>
      </c>
      <c r="BU19" s="63">
        <v>300723</v>
      </c>
      <c r="BV19" s="63">
        <v>10407</v>
      </c>
      <c r="BW19" s="319">
        <v>15781</v>
      </c>
      <c r="BX19" s="7">
        <v>1981731</v>
      </c>
      <c r="BY19" s="63">
        <v>1491508</v>
      </c>
      <c r="BZ19" s="63">
        <v>442322</v>
      </c>
      <c r="CA19" s="63">
        <v>25659</v>
      </c>
      <c r="CB19" s="63">
        <v>47901</v>
      </c>
      <c r="CC19" s="352">
        <v>2320330</v>
      </c>
      <c r="CD19" s="63">
        <v>1709215</v>
      </c>
      <c r="CE19" s="63">
        <v>542788</v>
      </c>
      <c r="CF19" s="63">
        <v>68327</v>
      </c>
      <c r="CG19" s="63">
        <v>48103</v>
      </c>
      <c r="CH19" s="201">
        <v>2389182</v>
      </c>
      <c r="CI19" s="63">
        <v>1758696</v>
      </c>
      <c r="CJ19" s="63">
        <v>559978</v>
      </c>
      <c r="CK19" s="63">
        <v>70508</v>
      </c>
      <c r="CL19" s="63">
        <v>51048</v>
      </c>
      <c r="CM19" s="66">
        <v>2465386</v>
      </c>
      <c r="CN19" s="64">
        <v>1810907</v>
      </c>
      <c r="CO19" s="64">
        <v>580237</v>
      </c>
      <c r="CP19" s="64">
        <v>74242</v>
      </c>
      <c r="CQ19" s="64">
        <v>55289</v>
      </c>
      <c r="CR19" s="14">
        <v>2539633</v>
      </c>
      <c r="CS19" s="63">
        <v>1860152</v>
      </c>
      <c r="CT19" s="63">
        <v>599111</v>
      </c>
      <c r="CU19" s="63">
        <v>67342</v>
      </c>
      <c r="CV19" s="63">
        <v>58069</v>
      </c>
      <c r="CW19" s="14">
        <v>2581493.0910000005</v>
      </c>
      <c r="CX19" s="63">
        <v>1888176.66</v>
      </c>
      <c r="CY19" s="63">
        <v>609452.31199999992</v>
      </c>
      <c r="CZ19" s="63">
        <v>70712.62</v>
      </c>
      <c r="DA19" s="621">
        <f t="shared" si="345"/>
        <v>83864.119000000646</v>
      </c>
      <c r="DB19" s="63">
        <v>2626960</v>
      </c>
      <c r="DC19" s="63">
        <v>1917149</v>
      </c>
      <c r="DD19" s="63">
        <v>621857</v>
      </c>
      <c r="DE19" s="63">
        <v>76555</v>
      </c>
      <c r="DF19" s="63">
        <v>87236</v>
      </c>
      <c r="DG19" s="63">
        <v>2679548</v>
      </c>
      <c r="DH19" s="63">
        <v>1897367</v>
      </c>
      <c r="DI19" s="63">
        <v>638226</v>
      </c>
      <c r="DJ19" s="63">
        <v>80893</v>
      </c>
      <c r="DK19" s="63">
        <v>57516</v>
      </c>
      <c r="DL19" s="14">
        <f>110869+118434</f>
        <v>229303</v>
      </c>
      <c r="DM19" s="63">
        <f>97977+91751</f>
        <v>189728</v>
      </c>
      <c r="DN19" s="63">
        <f>17227+18715</f>
        <v>35942</v>
      </c>
      <c r="DO19" s="63">
        <f>918+994</f>
        <v>1912</v>
      </c>
      <c r="DP19" s="319">
        <f>238+561+162+598</f>
        <v>1559</v>
      </c>
      <c r="DQ19" s="7">
        <v>480139</v>
      </c>
      <c r="DR19" s="63">
        <v>382313</v>
      </c>
      <c r="DS19" s="63">
        <v>92917</v>
      </c>
      <c r="DT19" s="63">
        <v>4077</v>
      </c>
      <c r="DU19" s="319">
        <v>4909</v>
      </c>
      <c r="DV19" s="7">
        <v>673622</v>
      </c>
      <c r="DW19" s="63">
        <v>507556</v>
      </c>
      <c r="DX19" s="63">
        <v>149594</v>
      </c>
      <c r="DY19" s="63">
        <v>9172</v>
      </c>
      <c r="DZ19" s="319">
        <v>16472</v>
      </c>
      <c r="EA19" s="7">
        <v>879445</v>
      </c>
      <c r="EB19" s="63">
        <v>642332</v>
      </c>
      <c r="EC19" s="63">
        <v>210626</v>
      </c>
      <c r="ED19" s="63">
        <v>22134</v>
      </c>
      <c r="EE19" s="319">
        <v>26487</v>
      </c>
      <c r="EF19" s="7">
        <v>895368.87900000007</v>
      </c>
      <c r="EG19" s="63">
        <v>653265.71799999999</v>
      </c>
      <c r="EH19" s="63">
        <v>215518.758</v>
      </c>
      <c r="EI19" s="63">
        <v>23168.639999999999</v>
      </c>
      <c r="EJ19" s="319">
        <v>26584.403000000078</v>
      </c>
      <c r="EK19" s="63">
        <v>917196</v>
      </c>
      <c r="EL19" s="63">
        <v>664961</v>
      </c>
      <c r="EM19" s="63">
        <v>223124</v>
      </c>
      <c r="EN19" s="63">
        <v>24702</v>
      </c>
      <c r="EO19" s="661">
        <v>28770</v>
      </c>
      <c r="EP19" s="661">
        <v>943051</v>
      </c>
      <c r="EQ19" s="661">
        <v>659979</v>
      </c>
      <c r="ER19" s="661">
        <v>234981</v>
      </c>
      <c r="ES19" s="661">
        <v>27338</v>
      </c>
      <c r="ET19" s="661">
        <v>29844</v>
      </c>
      <c r="EU19" s="14">
        <v>137174</v>
      </c>
      <c r="EV19" s="63">
        <v>109754</v>
      </c>
      <c r="EW19" s="63">
        <v>25822</v>
      </c>
      <c r="EX19" s="63">
        <v>1190</v>
      </c>
      <c r="EY19" s="319">
        <v>1598</v>
      </c>
      <c r="EZ19" s="7">
        <v>173428</v>
      </c>
      <c r="FA19" s="63">
        <v>133597</v>
      </c>
      <c r="FB19" s="63">
        <v>35320</v>
      </c>
      <c r="FC19" s="63">
        <v>2341</v>
      </c>
      <c r="FD19" s="319">
        <v>4511</v>
      </c>
      <c r="FE19" s="201">
        <v>258202</v>
      </c>
      <c r="FF19" s="63">
        <v>193157</v>
      </c>
      <c r="FG19" s="63">
        <v>57576</v>
      </c>
      <c r="FH19" s="63">
        <v>5501</v>
      </c>
      <c r="FI19" s="63">
        <v>7469</v>
      </c>
      <c r="FJ19" s="201"/>
      <c r="FK19" s="63"/>
      <c r="FL19" s="63"/>
      <c r="FM19" s="63"/>
      <c r="FN19" s="319"/>
      <c r="FO19" s="63">
        <v>268426</v>
      </c>
      <c r="FP19" s="63">
        <v>201030</v>
      </c>
      <c r="FQ19" s="63">
        <v>59274</v>
      </c>
      <c r="FR19" s="63">
        <v>6386</v>
      </c>
      <c r="FS19" s="63">
        <v>8064</v>
      </c>
      <c r="FT19" s="63">
        <v>277889</v>
      </c>
      <c r="FU19" s="63">
        <v>201499</v>
      </c>
      <c r="FV19" s="63">
        <v>63236</v>
      </c>
      <c r="FW19" s="63">
        <v>7067</v>
      </c>
      <c r="FX19" s="63">
        <v>8453</v>
      </c>
      <c r="FY19" s="609">
        <f t="shared" si="346"/>
        <v>498007</v>
      </c>
      <c r="FZ19" s="584">
        <f t="shared" si="347"/>
        <v>422174</v>
      </c>
      <c r="GA19" s="584">
        <f t="shared" si="348"/>
        <v>68774</v>
      </c>
      <c r="GB19" s="584">
        <f t="shared" si="349"/>
        <v>4053</v>
      </c>
      <c r="GC19" s="584">
        <f t="shared" si="350"/>
        <v>7059</v>
      </c>
      <c r="GD19" s="609">
        <f t="shared" si="351"/>
        <v>703483</v>
      </c>
      <c r="GE19" s="584">
        <f t="shared" si="352"/>
        <v>580602</v>
      </c>
      <c r="GF19" s="584">
        <f t="shared" si="353"/>
        <v>102539</v>
      </c>
      <c r="GG19" s="584">
        <f t="shared" si="354"/>
        <v>8752</v>
      </c>
      <c r="GH19" s="584">
        <f t="shared" si="355"/>
        <v>20342</v>
      </c>
      <c r="GI19" s="201">
        <v>854107</v>
      </c>
      <c r="GJ19" s="63">
        <v>687946</v>
      </c>
      <c r="GK19" s="63">
        <v>135912</v>
      </c>
      <c r="GL19" s="63">
        <v>16687</v>
      </c>
      <c r="GM19" s="63">
        <v>30249</v>
      </c>
      <c r="GN19" s="599"/>
      <c r="GO19" s="600"/>
      <c r="GP19" s="600"/>
      <c r="GQ19" s="600"/>
      <c r="GR19" s="600"/>
      <c r="GS19" s="600">
        <v>1034162</v>
      </c>
      <c r="GT19" s="600">
        <v>826918</v>
      </c>
      <c r="GU19" s="600">
        <v>169332</v>
      </c>
      <c r="GV19" s="600">
        <v>24180</v>
      </c>
      <c r="GW19" s="615">
        <v>37755</v>
      </c>
      <c r="GX19" s="600">
        <v>3288560</v>
      </c>
      <c r="GY19" s="600">
        <v>832424</v>
      </c>
      <c r="GZ19" s="600">
        <v>178818</v>
      </c>
      <c r="HA19" s="600">
        <v>25563</v>
      </c>
      <c r="HB19" s="600">
        <v>23121</v>
      </c>
      <c r="HC19" s="14">
        <v>243161</v>
      </c>
      <c r="HD19" s="7">
        <v>210311</v>
      </c>
      <c r="HE19" s="7">
        <v>29704</v>
      </c>
      <c r="HF19" s="7">
        <v>1882</v>
      </c>
      <c r="HG19" s="7">
        <v>3146</v>
      </c>
      <c r="HH19" s="14">
        <v>351526</v>
      </c>
      <c r="HI19" s="63">
        <v>296500</v>
      </c>
      <c r="HJ19" s="63">
        <v>45894</v>
      </c>
      <c r="HK19" s="63">
        <v>4057</v>
      </c>
      <c r="HL19" s="63">
        <v>9132</v>
      </c>
      <c r="HM19" s="201">
        <v>473862</v>
      </c>
      <c r="HN19" s="63">
        <v>389863</v>
      </c>
      <c r="HO19" s="63">
        <v>68018</v>
      </c>
      <c r="HP19" s="63">
        <v>9032</v>
      </c>
      <c r="HQ19" s="63">
        <v>15981</v>
      </c>
      <c r="HR19" s="201">
        <v>483068.43300000002</v>
      </c>
      <c r="HS19" s="63">
        <v>397168.19400000002</v>
      </c>
      <c r="HT19" s="63">
        <v>70260.694000000003</v>
      </c>
      <c r="HU19" s="63">
        <v>9653.6</v>
      </c>
      <c r="HV19" s="63">
        <v>15639.544999999998</v>
      </c>
      <c r="HW19" s="63">
        <v>506277</v>
      </c>
      <c r="HX19" s="63">
        <v>405517</v>
      </c>
      <c r="HY19" s="63">
        <v>73397</v>
      </c>
      <c r="HZ19" s="63">
        <v>13090</v>
      </c>
      <c r="IA19" s="63">
        <v>17577</v>
      </c>
      <c r="IB19" s="353">
        <v>39399</v>
      </c>
      <c r="IC19" s="354">
        <v>54220</v>
      </c>
      <c r="ID19" s="339">
        <v>78244</v>
      </c>
      <c r="IE19" s="355">
        <f t="shared" si="303"/>
        <v>39628</v>
      </c>
      <c r="IF19" s="355">
        <f t="shared" si="304"/>
        <v>38616</v>
      </c>
      <c r="IG19" s="355">
        <f t="shared" si="305"/>
        <v>68113</v>
      </c>
      <c r="IH19" s="341">
        <v>36314</v>
      </c>
      <c r="II19" s="341">
        <v>31799</v>
      </c>
      <c r="IJ19" s="355">
        <f t="shared" si="306"/>
        <v>10131</v>
      </c>
      <c r="IK19" s="341">
        <v>3314</v>
      </c>
      <c r="IL19" s="341">
        <v>6817</v>
      </c>
      <c r="IM19" s="339">
        <v>115527</v>
      </c>
      <c r="IN19" s="355">
        <f t="shared" si="307"/>
        <v>61393</v>
      </c>
      <c r="IO19" s="355">
        <f t="shared" si="308"/>
        <v>54134</v>
      </c>
      <c r="IP19" s="355">
        <f t="shared" si="309"/>
        <v>101840</v>
      </c>
      <c r="IQ19" s="341">
        <v>56625</v>
      </c>
      <c r="IR19" s="341">
        <v>45215</v>
      </c>
      <c r="IS19" s="355">
        <f t="shared" si="310"/>
        <v>12907</v>
      </c>
      <c r="IT19" s="341">
        <v>4280</v>
      </c>
      <c r="IU19" s="341">
        <v>8627</v>
      </c>
      <c r="IV19" s="355">
        <f t="shared" si="311"/>
        <v>780</v>
      </c>
      <c r="IW19" s="341">
        <v>488</v>
      </c>
      <c r="IX19" s="341">
        <v>292</v>
      </c>
      <c r="IY19" s="339">
        <v>232629</v>
      </c>
      <c r="IZ19" s="355">
        <f t="shared" si="312"/>
        <v>127330</v>
      </c>
      <c r="JA19" s="355">
        <f t="shared" si="313"/>
        <v>105299</v>
      </c>
      <c r="JB19" s="63">
        <f>114387+86260</f>
        <v>200647</v>
      </c>
      <c r="JC19" s="341">
        <v>114387</v>
      </c>
      <c r="JD19" s="341">
        <v>86260</v>
      </c>
      <c r="JE19" s="341">
        <v>12943</v>
      </c>
      <c r="JF19" s="341">
        <v>19039</v>
      </c>
      <c r="JG19" s="63">
        <f>11086+17562</f>
        <v>28648</v>
      </c>
      <c r="JH19" s="341">
        <v>11086</v>
      </c>
      <c r="JI19" s="341">
        <v>17562</v>
      </c>
      <c r="JJ19" s="63">
        <f>679+548</f>
        <v>1227</v>
      </c>
      <c r="JK19" s="341">
        <v>679</v>
      </c>
      <c r="JL19" s="341">
        <v>548</v>
      </c>
      <c r="JM19" s="356">
        <f t="shared" si="314"/>
        <v>2107</v>
      </c>
      <c r="JN19" s="356">
        <f t="shared" si="315"/>
        <v>1178</v>
      </c>
      <c r="JO19" s="356">
        <f t="shared" si="316"/>
        <v>929</v>
      </c>
      <c r="JP19" s="357">
        <f t="shared" si="317"/>
        <v>201</v>
      </c>
      <c r="JQ19" s="357">
        <f t="shared" si="318"/>
        <v>147</v>
      </c>
      <c r="JR19" s="357">
        <f t="shared" si="319"/>
        <v>54</v>
      </c>
      <c r="JS19" s="341">
        <v>1906</v>
      </c>
      <c r="JT19" s="341">
        <v>1031</v>
      </c>
      <c r="JU19" s="341">
        <v>875</v>
      </c>
      <c r="JV19" s="16">
        <f t="shared" si="320"/>
        <v>360833</v>
      </c>
      <c r="JW19" s="355">
        <f t="shared" si="321"/>
        <v>189936</v>
      </c>
      <c r="JX19" s="355">
        <f t="shared" si="322"/>
        <v>170897</v>
      </c>
      <c r="JY19" s="15">
        <f t="shared" si="323"/>
        <v>312420</v>
      </c>
      <c r="JZ19" s="151">
        <f t="shared" si="324"/>
        <v>310420</v>
      </c>
      <c r="KA19" s="341">
        <v>170618</v>
      </c>
      <c r="KB19" s="341">
        <v>139802</v>
      </c>
      <c r="KC19" s="341">
        <v>19318</v>
      </c>
      <c r="KD19" s="341">
        <v>31095</v>
      </c>
      <c r="KE19" s="15">
        <f t="shared" si="325"/>
        <v>42952</v>
      </c>
      <c r="KF19" s="151">
        <f t="shared" si="326"/>
        <v>42783</v>
      </c>
      <c r="KG19" s="341">
        <v>15315</v>
      </c>
      <c r="KH19" s="341">
        <v>27468</v>
      </c>
      <c r="KI19" s="15">
        <f t="shared" si="327"/>
        <v>2863</v>
      </c>
      <c r="KJ19" s="341">
        <v>1422</v>
      </c>
      <c r="KK19" s="341">
        <v>1441</v>
      </c>
      <c r="KL19" s="13">
        <f t="shared" si="328"/>
        <v>5461</v>
      </c>
      <c r="KM19" s="358">
        <f t="shared" si="329"/>
        <v>2581</v>
      </c>
      <c r="KN19" s="358">
        <f t="shared" si="330"/>
        <v>2186</v>
      </c>
      <c r="KO19" s="359">
        <f t="shared" si="331"/>
        <v>58</v>
      </c>
      <c r="KP19" s="359">
        <f t="shared" si="332"/>
        <v>36</v>
      </c>
      <c r="KQ19" s="359">
        <f t="shared" si="333"/>
        <v>22</v>
      </c>
      <c r="KR19" s="360">
        <f t="shared" si="334"/>
        <v>4709</v>
      </c>
      <c r="KS19" s="360">
        <f t="shared" si="335"/>
        <v>2545</v>
      </c>
      <c r="KT19" s="360">
        <f t="shared" si="336"/>
        <v>2164</v>
      </c>
      <c r="KU19" s="341">
        <v>374</v>
      </c>
      <c r="KV19" s="341">
        <v>221</v>
      </c>
      <c r="KW19" s="341">
        <v>2171</v>
      </c>
      <c r="KX19" s="341">
        <v>1943</v>
      </c>
      <c r="KY19" s="361">
        <v>530055</v>
      </c>
      <c r="KZ19" s="341">
        <v>263846</v>
      </c>
      <c r="LA19" s="341">
        <v>266209</v>
      </c>
      <c r="LB19" s="9">
        <f t="shared" si="337"/>
        <v>447005</v>
      </c>
      <c r="LC19" s="9">
        <v>231443</v>
      </c>
      <c r="LD19" s="9">
        <v>215562</v>
      </c>
      <c r="LE19" s="140">
        <f t="shared" si="338"/>
        <v>443003</v>
      </c>
      <c r="LF19" s="341">
        <v>229256</v>
      </c>
      <c r="LG19" s="341">
        <v>213747</v>
      </c>
      <c r="LH19" s="9">
        <f t="shared" si="339"/>
        <v>67219</v>
      </c>
      <c r="LI19" s="341">
        <v>23922</v>
      </c>
      <c r="LJ19" s="341">
        <v>43297</v>
      </c>
      <c r="LK19" s="9">
        <f t="shared" si="340"/>
        <v>6411</v>
      </c>
      <c r="LL19" s="341">
        <v>3389</v>
      </c>
      <c r="LM19" s="341">
        <v>3022</v>
      </c>
      <c r="LN19" s="140">
        <f t="shared" si="341"/>
        <v>15831</v>
      </c>
      <c r="LO19" s="140">
        <f t="shared" si="342"/>
        <v>8481</v>
      </c>
      <c r="LP19" s="140">
        <f t="shared" si="343"/>
        <v>7350</v>
      </c>
      <c r="LQ19" s="349">
        <v>651175</v>
      </c>
      <c r="LR19" s="341">
        <v>541223</v>
      </c>
      <c r="LS19" s="341">
        <v>86848</v>
      </c>
      <c r="LT19" s="341">
        <v>23104</v>
      </c>
      <c r="LU19" s="9">
        <v>9803</v>
      </c>
      <c r="LV19" s="201">
        <v>675376</v>
      </c>
      <c r="LW19" s="63">
        <v>560188</v>
      </c>
      <c r="LX19" s="63">
        <v>90836</v>
      </c>
      <c r="LY19" s="63">
        <v>24352</v>
      </c>
      <c r="LZ19" s="63">
        <v>10375</v>
      </c>
      <c r="MA19" s="201">
        <v>709053</v>
      </c>
      <c r="MB19" s="63">
        <v>583698</v>
      </c>
      <c r="MC19" s="63">
        <v>98961</v>
      </c>
      <c r="MD19" s="63">
        <v>26394</v>
      </c>
      <c r="ME19" s="63">
        <v>11719</v>
      </c>
      <c r="MF19" s="201">
        <v>734469</v>
      </c>
      <c r="MG19" s="63">
        <v>602233</v>
      </c>
      <c r="MH19" s="63">
        <v>103918</v>
      </c>
      <c r="MI19" s="63">
        <v>28318</v>
      </c>
      <c r="MJ19" s="63">
        <v>13644</v>
      </c>
      <c r="MK19" s="14">
        <v>747679.16700000002</v>
      </c>
      <c r="ML19" s="63">
        <v>612029.67599999998</v>
      </c>
      <c r="MM19" s="63">
        <v>106575.20999999999</v>
      </c>
      <c r="MN19" s="63">
        <v>14963.080000000002</v>
      </c>
      <c r="MO19" s="63">
        <v>29074.281000000046</v>
      </c>
      <c r="MP19" s="63">
        <v>765736</v>
      </c>
      <c r="MQ19" s="63">
        <v>625888</v>
      </c>
      <c r="MR19" s="63">
        <v>110058</v>
      </c>
      <c r="MS19" s="63">
        <v>17794</v>
      </c>
      <c r="MT19" s="2">
        <v>29691</v>
      </c>
      <c r="MU19" s="2">
        <v>789918</v>
      </c>
      <c r="MV19" s="2">
        <v>630925</v>
      </c>
      <c r="MW19" s="2">
        <v>115582</v>
      </c>
      <c r="MX19" s="2">
        <v>18496</v>
      </c>
      <c r="MY19" s="2">
        <v>18141</v>
      </c>
      <c r="MZ19" s="14">
        <v>117672</v>
      </c>
      <c r="NA19" s="7">
        <v>102109</v>
      </c>
      <c r="NB19" s="7">
        <v>13248</v>
      </c>
      <c r="NC19" s="7">
        <v>981</v>
      </c>
      <c r="ND19" s="7">
        <v>2315</v>
      </c>
      <c r="NE19" s="14">
        <v>178529</v>
      </c>
      <c r="NF19" s="63">
        <v>150505</v>
      </c>
      <c r="NG19" s="63">
        <v>21325</v>
      </c>
      <c r="NH19" s="63">
        <v>2354</v>
      </c>
      <c r="NI19" s="63">
        <v>6699</v>
      </c>
      <c r="NJ19" s="14">
        <v>260607</v>
      </c>
      <c r="NK19" s="63">
        <v>212370</v>
      </c>
      <c r="NL19" s="63">
        <v>35900</v>
      </c>
      <c r="NM19" s="63">
        <v>4612</v>
      </c>
      <c r="NN19" s="63">
        <v>12337</v>
      </c>
      <c r="NO19" s="14">
        <v>264610.734</v>
      </c>
      <c r="NP19" s="63">
        <v>214861.48200000002</v>
      </c>
      <c r="NQ19" s="63">
        <v>36314.515999999996</v>
      </c>
      <c r="NR19" s="63">
        <v>5309.4800000000005</v>
      </c>
      <c r="NS19" s="319">
        <v>13434.735999999983</v>
      </c>
      <c r="NT19" s="1">
        <v>272877</v>
      </c>
      <c r="NU19" s="2">
        <v>222561</v>
      </c>
      <c r="NV19" s="2">
        <v>38067</v>
      </c>
      <c r="NW19" s="2">
        <v>5416</v>
      </c>
      <c r="NX19" s="79">
        <v>12159</v>
      </c>
      <c r="NY19" s="2">
        <v>283641</v>
      </c>
      <c r="NZ19" s="2">
        <v>225408</v>
      </c>
      <c r="OA19" s="2">
        <v>42185</v>
      </c>
      <c r="OB19" s="2">
        <v>5406</v>
      </c>
      <c r="OC19" s="2">
        <v>11847</v>
      </c>
    </row>
    <row r="20" spans="1:393" ht="14.25" x14ac:dyDescent="0.2">
      <c r="A20" s="239" t="s">
        <v>12</v>
      </c>
      <c r="B20" s="201">
        <f>92688+130233+138554+70113+142024+171471</f>
        <v>745083</v>
      </c>
      <c r="C20" s="63">
        <f>70990+107825+122996+52266+113696+148385</f>
        <v>616158</v>
      </c>
      <c r="D20" s="63">
        <f>20407+21149+14213+16451+26560+21150</f>
        <v>119930</v>
      </c>
      <c r="E20" s="63">
        <f>966+932+1081+772+1250+1293</f>
        <v>6294</v>
      </c>
      <c r="F20" s="319">
        <f>189+177+141+116+137+99+167+203+233+375+260+337</f>
        <v>2434</v>
      </c>
      <c r="G20" s="7">
        <v>500929</v>
      </c>
      <c r="H20" s="63">
        <v>425527</v>
      </c>
      <c r="I20" s="63">
        <v>71529</v>
      </c>
      <c r="J20" s="63">
        <v>2086</v>
      </c>
      <c r="K20" s="319">
        <v>3873</v>
      </c>
      <c r="L20" s="7">
        <v>359789</v>
      </c>
      <c r="M20" s="63">
        <v>296675</v>
      </c>
      <c r="N20" s="63">
        <v>46394</v>
      </c>
      <c r="O20" s="63">
        <v>15842</v>
      </c>
      <c r="P20" s="319">
        <v>16720</v>
      </c>
      <c r="Q20" s="9">
        <v>272076</v>
      </c>
      <c r="R20" s="600">
        <v>219652</v>
      </c>
      <c r="S20" s="600">
        <v>31654</v>
      </c>
      <c r="T20" s="600">
        <v>34444</v>
      </c>
      <c r="U20" s="615">
        <v>20770</v>
      </c>
      <c r="V20" s="600">
        <v>260560</v>
      </c>
      <c r="W20" s="5">
        <v>204186</v>
      </c>
      <c r="X20" s="600">
        <v>32160</v>
      </c>
      <c r="Y20" s="600">
        <v>34075</v>
      </c>
      <c r="Z20" s="600">
        <v>24143</v>
      </c>
      <c r="AA20" s="600">
        <v>253953</v>
      </c>
      <c r="AB20" s="600">
        <v>176738</v>
      </c>
      <c r="AC20" s="600">
        <v>30230</v>
      </c>
      <c r="AD20" s="600">
        <v>37921</v>
      </c>
      <c r="AE20" s="726">
        <v>26859</v>
      </c>
      <c r="AF20" s="201">
        <v>532985</v>
      </c>
      <c r="AG20" s="63">
        <v>425380</v>
      </c>
      <c r="AH20" s="63">
        <v>103745</v>
      </c>
      <c r="AI20" s="63">
        <v>2449</v>
      </c>
      <c r="AJ20" s="319">
        <v>3860</v>
      </c>
      <c r="AK20" s="7">
        <v>541895</v>
      </c>
      <c r="AL20" s="63">
        <v>419278</v>
      </c>
      <c r="AM20" s="63">
        <v>107540</v>
      </c>
      <c r="AN20" s="63">
        <v>10764</v>
      </c>
      <c r="AO20" s="319">
        <v>15077</v>
      </c>
      <c r="AP20" s="7">
        <v>434549</v>
      </c>
      <c r="AQ20" s="63">
        <v>326638</v>
      </c>
      <c r="AR20" s="63">
        <v>89588</v>
      </c>
      <c r="AS20" s="63">
        <v>22633</v>
      </c>
      <c r="AT20" s="319">
        <v>18323</v>
      </c>
      <c r="AU20" s="63">
        <v>410812</v>
      </c>
      <c r="AV20" s="63">
        <v>308294</v>
      </c>
      <c r="AW20" s="63">
        <v>83264</v>
      </c>
      <c r="AX20" s="63">
        <v>23937</v>
      </c>
      <c r="AY20" s="63">
        <v>19180</v>
      </c>
      <c r="AZ20" s="63">
        <v>396682</v>
      </c>
      <c r="BA20" s="63">
        <v>279749</v>
      </c>
      <c r="BB20" s="63">
        <v>84191</v>
      </c>
      <c r="BC20" s="63">
        <v>23531</v>
      </c>
      <c r="BD20" s="63">
        <v>19015</v>
      </c>
      <c r="BE20" s="14">
        <v>693245</v>
      </c>
      <c r="BF20" s="63">
        <v>532862</v>
      </c>
      <c r="BG20" s="63">
        <v>120495</v>
      </c>
      <c r="BH20" s="63">
        <v>57173</v>
      </c>
      <c r="BI20" s="584">
        <f t="shared" si="344"/>
        <v>39888</v>
      </c>
      <c r="BJ20" s="350">
        <v>268253</v>
      </c>
      <c r="BK20" s="351">
        <v>426225</v>
      </c>
      <c r="BL20" s="351">
        <v>580953</v>
      </c>
      <c r="BM20" s="351">
        <v>888432</v>
      </c>
      <c r="BN20" s="14">
        <v>1511917</v>
      </c>
      <c r="BO20" s="63">
        <v>1335174.5789999999</v>
      </c>
      <c r="BP20" s="63">
        <v>159721.872</v>
      </c>
      <c r="BQ20" s="63">
        <v>7601.2840000000006</v>
      </c>
      <c r="BR20" s="319">
        <v>8400.3040000000001</v>
      </c>
      <c r="BS20" s="7">
        <v>2105152</v>
      </c>
      <c r="BT20" s="63">
        <v>1827392</v>
      </c>
      <c r="BU20" s="63">
        <v>255975</v>
      </c>
      <c r="BV20" s="63">
        <v>11386</v>
      </c>
      <c r="BW20" s="319">
        <v>21785</v>
      </c>
      <c r="BX20" s="7">
        <v>2843244</v>
      </c>
      <c r="BY20" s="63">
        <v>2395794</v>
      </c>
      <c r="BZ20" s="63">
        <v>373778</v>
      </c>
      <c r="CA20" s="63">
        <v>33040</v>
      </c>
      <c r="CB20" s="63">
        <v>73672</v>
      </c>
      <c r="CC20" s="352">
        <v>3283956</v>
      </c>
      <c r="CD20" s="63">
        <v>2723213</v>
      </c>
      <c r="CE20" s="63">
        <v>462743</v>
      </c>
      <c r="CF20" s="63">
        <v>98000</v>
      </c>
      <c r="CG20" s="63">
        <v>54632</v>
      </c>
      <c r="CH20" s="201">
        <v>3375905</v>
      </c>
      <c r="CI20" s="63">
        <v>2800521</v>
      </c>
      <c r="CJ20" s="63">
        <v>473798</v>
      </c>
      <c r="CK20" s="63">
        <v>101586</v>
      </c>
      <c r="CL20" s="63">
        <v>58755</v>
      </c>
      <c r="CM20" s="64">
        <v>3439085</v>
      </c>
      <c r="CN20" s="64">
        <v>2848904</v>
      </c>
      <c r="CO20" s="64">
        <v>483659</v>
      </c>
      <c r="CP20" s="64">
        <v>106522</v>
      </c>
      <c r="CQ20" s="64">
        <v>64957</v>
      </c>
      <c r="CR20" s="14">
        <v>3501749</v>
      </c>
      <c r="CS20" s="63">
        <v>2889237</v>
      </c>
      <c r="CT20" s="63">
        <v>499530</v>
      </c>
      <c r="CU20" s="63">
        <v>79259</v>
      </c>
      <c r="CV20" s="63">
        <v>79577</v>
      </c>
      <c r="CW20" s="14">
        <v>3555537.26</v>
      </c>
      <c r="CX20" s="63">
        <v>2927278.44</v>
      </c>
      <c r="CY20" s="63">
        <v>510367.35799999995</v>
      </c>
      <c r="CZ20" s="63">
        <v>87203.707999999999</v>
      </c>
      <c r="DA20" s="621">
        <f t="shared" si="345"/>
        <v>117891.46199999988</v>
      </c>
      <c r="DB20" s="63">
        <v>3623171</v>
      </c>
      <c r="DC20" s="63">
        <v>2969641</v>
      </c>
      <c r="DD20" s="63">
        <v>525764</v>
      </c>
      <c r="DE20" s="63">
        <v>91624</v>
      </c>
      <c r="DF20" s="63">
        <v>126220</v>
      </c>
      <c r="DG20" s="63">
        <v>3683278</v>
      </c>
      <c r="DH20" s="63">
        <v>2953839</v>
      </c>
      <c r="DI20" s="63">
        <v>536626</v>
      </c>
      <c r="DJ20" s="63">
        <v>92073</v>
      </c>
      <c r="DK20" s="63">
        <v>84386</v>
      </c>
      <c r="DL20" s="14">
        <f>153080+166949</f>
        <v>320029</v>
      </c>
      <c r="DM20" s="63">
        <f>145279+134138</f>
        <v>279417</v>
      </c>
      <c r="DN20" s="63">
        <f>17087+19544</f>
        <v>36631</v>
      </c>
      <c r="DO20" s="63">
        <f>1015+908</f>
        <v>1923</v>
      </c>
      <c r="DP20" s="319">
        <f>267+517+311+704</f>
        <v>1799</v>
      </c>
      <c r="DQ20" s="7">
        <v>661296</v>
      </c>
      <c r="DR20" s="63">
        <v>563230</v>
      </c>
      <c r="DS20" s="63">
        <v>91719</v>
      </c>
      <c r="DT20" s="63">
        <v>4214</v>
      </c>
      <c r="DU20" s="319">
        <v>6347</v>
      </c>
      <c r="DV20" s="7">
        <v>927857</v>
      </c>
      <c r="DW20" s="63">
        <v>764539</v>
      </c>
      <c r="DX20" s="63">
        <v>140258</v>
      </c>
      <c r="DY20" s="63">
        <v>11715</v>
      </c>
      <c r="DZ20" s="319">
        <v>23060</v>
      </c>
      <c r="EA20" s="7">
        <v>1148161</v>
      </c>
      <c r="EB20" s="63">
        <v>926065</v>
      </c>
      <c r="EC20" s="63">
        <v>189678</v>
      </c>
      <c r="ED20" s="63">
        <v>24169</v>
      </c>
      <c r="EE20" s="319">
        <v>32418</v>
      </c>
      <c r="EF20" s="7">
        <v>1152572.4850000001</v>
      </c>
      <c r="EG20" s="63">
        <v>927317.52</v>
      </c>
      <c r="EH20" s="63">
        <v>191782.04800000001</v>
      </c>
      <c r="EI20" s="63">
        <v>26276.613999999998</v>
      </c>
      <c r="EJ20" s="319">
        <v>33472.917000000074</v>
      </c>
      <c r="EK20" s="63">
        <v>1173959</v>
      </c>
      <c r="EL20" s="63">
        <v>938141</v>
      </c>
      <c r="EM20" s="63">
        <v>199470</v>
      </c>
      <c r="EN20" s="63">
        <v>27321</v>
      </c>
      <c r="EO20" s="661">
        <v>35763</v>
      </c>
      <c r="EP20" s="661">
        <v>1199268</v>
      </c>
      <c r="EQ20" s="661">
        <v>935909</v>
      </c>
      <c r="ER20" s="661">
        <v>204699</v>
      </c>
      <c r="ES20" s="661">
        <v>28718</v>
      </c>
      <c r="ET20" s="661">
        <v>38201</v>
      </c>
      <c r="EU20" s="14">
        <v>130284</v>
      </c>
      <c r="EV20" s="63">
        <v>111464</v>
      </c>
      <c r="EW20" s="63">
        <v>16941</v>
      </c>
      <c r="EX20" s="63">
        <v>972</v>
      </c>
      <c r="EY20" s="319">
        <v>1879</v>
      </c>
      <c r="EZ20" s="7">
        <v>177708</v>
      </c>
      <c r="FA20" s="63">
        <v>148430</v>
      </c>
      <c r="FB20" s="63">
        <v>24335</v>
      </c>
      <c r="FC20" s="63">
        <v>2236</v>
      </c>
      <c r="FD20" s="319">
        <v>4943</v>
      </c>
      <c r="FE20" s="201">
        <v>258166</v>
      </c>
      <c r="FF20" s="63">
        <v>212314</v>
      </c>
      <c r="FG20" s="63">
        <v>37324</v>
      </c>
      <c r="FH20" s="63">
        <v>5619</v>
      </c>
      <c r="FI20" s="63">
        <v>8528</v>
      </c>
      <c r="FJ20" s="201"/>
      <c r="FK20" s="63"/>
      <c r="FL20" s="63"/>
      <c r="FM20" s="63"/>
      <c r="FN20" s="319"/>
      <c r="FO20" s="63">
        <v>268586</v>
      </c>
      <c r="FP20" s="63">
        <v>219965</v>
      </c>
      <c r="FQ20" s="63">
        <v>40075</v>
      </c>
      <c r="FR20" s="63">
        <v>5743</v>
      </c>
      <c r="FS20" s="63">
        <v>8412</v>
      </c>
      <c r="FT20" s="63">
        <v>277840</v>
      </c>
      <c r="FU20" s="63">
        <v>222262</v>
      </c>
      <c r="FV20" s="63">
        <v>42298</v>
      </c>
      <c r="FW20" s="63">
        <v>6011</v>
      </c>
      <c r="FX20" s="63">
        <v>9144</v>
      </c>
      <c r="FY20" s="609">
        <f t="shared" si="346"/>
        <v>631275</v>
      </c>
      <c r="FZ20" s="584">
        <f t="shared" si="347"/>
        <v>559624</v>
      </c>
      <c r="GA20" s="584">
        <f t="shared" si="348"/>
        <v>60723</v>
      </c>
      <c r="GB20" s="584">
        <f t="shared" si="349"/>
        <v>4466</v>
      </c>
      <c r="GC20" s="584">
        <f t="shared" si="350"/>
        <v>10928</v>
      </c>
      <c r="GD20" s="609">
        <f t="shared" si="351"/>
        <v>910396</v>
      </c>
      <c r="GE20" s="584">
        <f t="shared" si="352"/>
        <v>785779</v>
      </c>
      <c r="GF20" s="584">
        <f t="shared" si="353"/>
        <v>92601</v>
      </c>
      <c r="GG20" s="584">
        <f t="shared" si="354"/>
        <v>10629</v>
      </c>
      <c r="GH20" s="584">
        <f t="shared" si="355"/>
        <v>32016</v>
      </c>
      <c r="GI20" s="201">
        <v>1047711</v>
      </c>
      <c r="GJ20" s="63">
        <v>890924</v>
      </c>
      <c r="GK20" s="63">
        <v>114347</v>
      </c>
      <c r="GL20" s="63">
        <v>19451</v>
      </c>
      <c r="GM20" s="63">
        <v>42440</v>
      </c>
      <c r="GN20" s="599"/>
      <c r="GO20" s="600"/>
      <c r="GP20" s="600"/>
      <c r="GQ20" s="600"/>
      <c r="GR20" s="600"/>
      <c r="GS20" s="600">
        <v>1285726</v>
      </c>
      <c r="GT20" s="600">
        <v>1080436</v>
      </c>
      <c r="GU20" s="600">
        <v>149426</v>
      </c>
      <c r="GV20" s="600">
        <v>24930</v>
      </c>
      <c r="GW20" s="615">
        <v>55425</v>
      </c>
      <c r="GX20" s="600">
        <v>4312212</v>
      </c>
      <c r="GY20" s="600">
        <v>1092735</v>
      </c>
      <c r="GZ20" s="600">
        <v>157465</v>
      </c>
      <c r="HA20" s="600">
        <v>25889</v>
      </c>
      <c r="HB20" s="600">
        <v>36594</v>
      </c>
      <c r="HC20" s="14">
        <v>330742</v>
      </c>
      <c r="HD20" s="7">
        <v>296558</v>
      </c>
      <c r="HE20" s="7">
        <v>29667</v>
      </c>
      <c r="HF20" s="7">
        <v>2085</v>
      </c>
      <c r="HG20" s="7">
        <v>4517</v>
      </c>
      <c r="HH20" s="14">
        <v>478463</v>
      </c>
      <c r="HI20" s="63">
        <v>416710</v>
      </c>
      <c r="HJ20" s="63">
        <v>46840</v>
      </c>
      <c r="HK20" s="63">
        <v>5223</v>
      </c>
      <c r="HL20" s="63">
        <v>14913</v>
      </c>
      <c r="HM20" s="201">
        <v>623580</v>
      </c>
      <c r="HN20" s="63">
        <v>534005</v>
      </c>
      <c r="HO20" s="63">
        <v>66155</v>
      </c>
      <c r="HP20" s="63">
        <v>10899</v>
      </c>
      <c r="HQ20" s="63">
        <v>23420</v>
      </c>
      <c r="HR20" s="201">
        <v>637955.25</v>
      </c>
      <c r="HS20" s="63">
        <v>543241.98</v>
      </c>
      <c r="HT20" s="63">
        <v>68763.957999999999</v>
      </c>
      <c r="HU20" s="63">
        <v>11550.16</v>
      </c>
      <c r="HV20" s="63">
        <v>25949.31200000002</v>
      </c>
      <c r="HW20" s="63">
        <v>674064</v>
      </c>
      <c r="HX20" s="63">
        <v>561308</v>
      </c>
      <c r="HY20" s="63">
        <v>74613</v>
      </c>
      <c r="HZ20" s="63">
        <v>13591</v>
      </c>
      <c r="IA20" s="63">
        <v>28433</v>
      </c>
      <c r="IB20" s="353">
        <v>45916</v>
      </c>
      <c r="IC20" s="354">
        <v>71660</v>
      </c>
      <c r="ID20" s="339">
        <v>105044</v>
      </c>
      <c r="IE20" s="355">
        <f t="shared" si="303"/>
        <v>60890</v>
      </c>
      <c r="IF20" s="355">
        <f t="shared" si="304"/>
        <v>44154</v>
      </c>
      <c r="IG20" s="355">
        <f t="shared" si="305"/>
        <v>96965</v>
      </c>
      <c r="IH20" s="341">
        <v>57488</v>
      </c>
      <c r="II20" s="341">
        <v>39477</v>
      </c>
      <c r="IJ20" s="355">
        <f t="shared" si="306"/>
        <v>8079</v>
      </c>
      <c r="IK20" s="341">
        <v>3402</v>
      </c>
      <c r="IL20" s="341">
        <v>4677</v>
      </c>
      <c r="IM20" s="339">
        <v>168529</v>
      </c>
      <c r="IN20" s="355">
        <f t="shared" si="307"/>
        <v>97820</v>
      </c>
      <c r="IO20" s="355">
        <f t="shared" si="308"/>
        <v>70709</v>
      </c>
      <c r="IP20" s="355">
        <f t="shared" si="309"/>
        <v>154618</v>
      </c>
      <c r="IQ20" s="341">
        <v>92150</v>
      </c>
      <c r="IR20" s="341">
        <v>62468</v>
      </c>
      <c r="IS20" s="355">
        <f t="shared" si="310"/>
        <v>12494</v>
      </c>
      <c r="IT20" s="341">
        <v>4773</v>
      </c>
      <c r="IU20" s="341">
        <v>7721</v>
      </c>
      <c r="IV20" s="355">
        <f t="shared" si="311"/>
        <v>1417</v>
      </c>
      <c r="IW20" s="341">
        <v>897</v>
      </c>
      <c r="IX20" s="341">
        <v>520</v>
      </c>
      <c r="IY20" s="339">
        <v>339173</v>
      </c>
      <c r="IZ20" s="355">
        <f t="shared" si="312"/>
        <v>193258</v>
      </c>
      <c r="JA20" s="355">
        <f t="shared" si="313"/>
        <v>145915</v>
      </c>
      <c r="JB20" s="63">
        <f>177814+127140</f>
        <v>304954</v>
      </c>
      <c r="JC20" s="341">
        <v>177814</v>
      </c>
      <c r="JD20" s="341">
        <v>127140</v>
      </c>
      <c r="JE20" s="341">
        <v>15444</v>
      </c>
      <c r="JF20" s="341">
        <v>18775</v>
      </c>
      <c r="JG20" s="63">
        <f>11977+16419</f>
        <v>28396</v>
      </c>
      <c r="JH20" s="341">
        <v>11977</v>
      </c>
      <c r="JI20" s="341">
        <v>16419</v>
      </c>
      <c r="JJ20" s="63">
        <f>1016+773</f>
        <v>1789</v>
      </c>
      <c r="JK20" s="341">
        <v>1016</v>
      </c>
      <c r="JL20" s="341">
        <v>773</v>
      </c>
      <c r="JM20" s="356">
        <f t="shared" si="314"/>
        <v>4034</v>
      </c>
      <c r="JN20" s="356">
        <f t="shared" si="315"/>
        <v>2451</v>
      </c>
      <c r="JO20" s="356">
        <f t="shared" si="316"/>
        <v>1583</v>
      </c>
      <c r="JP20" s="357">
        <f t="shared" si="317"/>
        <v>316</v>
      </c>
      <c r="JQ20" s="357">
        <f t="shared" si="318"/>
        <v>234</v>
      </c>
      <c r="JR20" s="357">
        <f t="shared" si="319"/>
        <v>82</v>
      </c>
      <c r="JS20" s="341">
        <v>3718</v>
      </c>
      <c r="JT20" s="341">
        <v>2217</v>
      </c>
      <c r="JU20" s="341">
        <v>1501</v>
      </c>
      <c r="JV20" s="16">
        <f t="shared" si="320"/>
        <v>500991</v>
      </c>
      <c r="JW20" s="355">
        <f t="shared" si="321"/>
        <v>269093</v>
      </c>
      <c r="JX20" s="355">
        <f t="shared" si="322"/>
        <v>231898</v>
      </c>
      <c r="JY20" s="15">
        <f t="shared" si="323"/>
        <v>448160</v>
      </c>
      <c r="JZ20" s="151">
        <f t="shared" si="324"/>
        <v>445647</v>
      </c>
      <c r="KA20" s="341">
        <v>245339</v>
      </c>
      <c r="KB20" s="341">
        <v>200308</v>
      </c>
      <c r="KC20" s="341">
        <v>23754</v>
      </c>
      <c r="KD20" s="341">
        <v>31590</v>
      </c>
      <c r="KE20" s="15">
        <f t="shared" si="325"/>
        <v>43782</v>
      </c>
      <c r="KF20" s="151">
        <f t="shared" si="326"/>
        <v>43576</v>
      </c>
      <c r="KG20" s="341">
        <v>16863</v>
      </c>
      <c r="KH20" s="341">
        <v>26713</v>
      </c>
      <c r="KI20" s="15">
        <f t="shared" si="327"/>
        <v>3494</v>
      </c>
      <c r="KJ20" s="341">
        <v>2028</v>
      </c>
      <c r="KK20" s="341">
        <v>1466</v>
      </c>
      <c r="KL20" s="13">
        <f t="shared" si="328"/>
        <v>9049</v>
      </c>
      <c r="KM20" s="358">
        <f t="shared" si="329"/>
        <v>4863</v>
      </c>
      <c r="KN20" s="358">
        <f t="shared" si="330"/>
        <v>3411</v>
      </c>
      <c r="KO20" s="359">
        <f t="shared" si="331"/>
        <v>116</v>
      </c>
      <c r="KP20" s="359">
        <f t="shared" si="332"/>
        <v>46</v>
      </c>
      <c r="KQ20" s="359">
        <f t="shared" si="333"/>
        <v>70</v>
      </c>
      <c r="KR20" s="360">
        <f t="shared" si="334"/>
        <v>8158</v>
      </c>
      <c r="KS20" s="360">
        <f t="shared" si="335"/>
        <v>4817</v>
      </c>
      <c r="KT20" s="360">
        <f t="shared" si="336"/>
        <v>3341</v>
      </c>
      <c r="KU20" s="341">
        <v>443</v>
      </c>
      <c r="KV20" s="341">
        <v>394</v>
      </c>
      <c r="KW20" s="341">
        <v>4374</v>
      </c>
      <c r="KX20" s="341">
        <v>2947</v>
      </c>
      <c r="KY20" s="361">
        <v>732688</v>
      </c>
      <c r="KZ20" s="341">
        <v>371605</v>
      </c>
      <c r="LA20" s="341">
        <v>361083</v>
      </c>
      <c r="LB20" s="9">
        <f t="shared" si="337"/>
        <v>637349</v>
      </c>
      <c r="LC20" s="9">
        <v>330921</v>
      </c>
      <c r="LD20" s="9">
        <v>306428</v>
      </c>
      <c r="LE20" s="140">
        <f t="shared" si="338"/>
        <v>632166</v>
      </c>
      <c r="LF20" s="341">
        <v>328124</v>
      </c>
      <c r="LG20" s="341">
        <v>304042</v>
      </c>
      <c r="LH20" s="9">
        <f t="shared" si="339"/>
        <v>68266</v>
      </c>
      <c r="LI20" s="341">
        <v>26265</v>
      </c>
      <c r="LJ20" s="341">
        <v>42001</v>
      </c>
      <c r="LK20" s="9">
        <f t="shared" si="340"/>
        <v>8393</v>
      </c>
      <c r="LL20" s="341">
        <v>4446</v>
      </c>
      <c r="LM20" s="341">
        <v>3947</v>
      </c>
      <c r="LN20" s="140">
        <f t="shared" si="341"/>
        <v>27073</v>
      </c>
      <c r="LO20" s="140">
        <f t="shared" si="342"/>
        <v>14419</v>
      </c>
      <c r="LP20" s="140">
        <f t="shared" si="343"/>
        <v>12654</v>
      </c>
      <c r="LQ20" s="349">
        <v>879597</v>
      </c>
      <c r="LR20" s="341">
        <v>757878</v>
      </c>
      <c r="LS20" s="341">
        <v>85976</v>
      </c>
      <c r="LT20" s="341">
        <v>35743</v>
      </c>
      <c r="LU20" s="9">
        <v>11985</v>
      </c>
      <c r="LV20" s="201">
        <v>914639</v>
      </c>
      <c r="LW20" s="63">
        <v>785993</v>
      </c>
      <c r="LX20" s="63">
        <v>90613</v>
      </c>
      <c r="LY20" s="63">
        <v>38033</v>
      </c>
      <c r="LZ20" s="63">
        <v>12358</v>
      </c>
      <c r="MA20" s="201">
        <v>942859</v>
      </c>
      <c r="MB20" s="63">
        <v>807119</v>
      </c>
      <c r="MC20" s="63">
        <v>94559</v>
      </c>
      <c r="MD20" s="63">
        <v>41181</v>
      </c>
      <c r="ME20" s="63">
        <v>13987</v>
      </c>
      <c r="MF20" s="201">
        <v>964514</v>
      </c>
      <c r="MG20" s="63">
        <v>822042</v>
      </c>
      <c r="MH20" s="63">
        <v>99718</v>
      </c>
      <c r="MI20" s="63">
        <v>42754</v>
      </c>
      <c r="MJ20" s="63">
        <v>16905</v>
      </c>
      <c r="MK20" s="14">
        <v>986704.11999999988</v>
      </c>
      <c r="ML20" s="63">
        <v>837353.88</v>
      </c>
      <c r="MM20" s="63">
        <v>105353.954</v>
      </c>
      <c r="MN20" s="63">
        <v>18047.125</v>
      </c>
      <c r="MO20" s="63">
        <v>43996.285999999876</v>
      </c>
      <c r="MP20" s="63">
        <v>1017140</v>
      </c>
      <c r="MQ20" s="63">
        <v>860471</v>
      </c>
      <c r="MR20" s="63">
        <v>109351</v>
      </c>
      <c r="MS20" s="63">
        <v>19187</v>
      </c>
      <c r="MT20" s="2">
        <v>47013</v>
      </c>
      <c r="MU20" s="2">
        <v>1050891</v>
      </c>
      <c r="MV20" s="2">
        <v>870473</v>
      </c>
      <c r="MW20" s="2">
        <v>115167</v>
      </c>
      <c r="MX20" s="2">
        <v>19878</v>
      </c>
      <c r="MY20" s="2">
        <v>31099</v>
      </c>
      <c r="MZ20" s="14">
        <v>170249</v>
      </c>
      <c r="NA20" s="7">
        <v>151602</v>
      </c>
      <c r="NB20" s="7">
        <v>14115</v>
      </c>
      <c r="NC20" s="7">
        <v>1409</v>
      </c>
      <c r="ND20" s="7">
        <v>4532</v>
      </c>
      <c r="NE20" s="14">
        <v>254225</v>
      </c>
      <c r="NF20" s="63">
        <v>220639</v>
      </c>
      <c r="NG20" s="63">
        <v>21426</v>
      </c>
      <c r="NH20" s="63">
        <v>3170</v>
      </c>
      <c r="NI20" s="63">
        <v>12160</v>
      </c>
      <c r="NJ20" s="14">
        <v>340934</v>
      </c>
      <c r="NK20" s="63">
        <v>288037</v>
      </c>
      <c r="NL20" s="63">
        <v>33563</v>
      </c>
      <c r="NM20" s="63">
        <v>6006</v>
      </c>
      <c r="NN20" s="63">
        <v>19334</v>
      </c>
      <c r="NO20" s="14">
        <v>348748.86999999994</v>
      </c>
      <c r="NP20" s="63">
        <v>294111.90000000002</v>
      </c>
      <c r="NQ20" s="63">
        <v>36589.995999999999</v>
      </c>
      <c r="NR20" s="63">
        <v>6496.9650000000001</v>
      </c>
      <c r="NS20" s="319">
        <v>18046.973999999915</v>
      </c>
      <c r="NT20" s="1">
        <v>363971</v>
      </c>
      <c r="NU20" s="2">
        <v>305177</v>
      </c>
      <c r="NV20" s="2">
        <v>37766</v>
      </c>
      <c r="NW20" s="2">
        <v>6479</v>
      </c>
      <c r="NX20" s="79">
        <v>20874</v>
      </c>
      <c r="NY20" s="2">
        <v>376827</v>
      </c>
      <c r="NZ20" s="2">
        <v>309165</v>
      </c>
      <c r="OA20" s="2">
        <v>40554</v>
      </c>
      <c r="OB20" s="2">
        <v>6287</v>
      </c>
      <c r="OC20" s="2">
        <v>22438</v>
      </c>
    </row>
    <row r="21" spans="1:393" ht="14.25" x14ac:dyDescent="0.2">
      <c r="A21" s="239" t="s">
        <v>13</v>
      </c>
      <c r="B21" s="201">
        <f>258240+333787+197000+260893+359522+231183</f>
        <v>1640625</v>
      </c>
      <c r="C21" s="63">
        <f>66613+169198+133332+51747+168413+153066</f>
        <v>742369</v>
      </c>
      <c r="D21" s="63">
        <f>35986+44830+22001+27977+50255+29115</f>
        <v>210164</v>
      </c>
      <c r="E21" s="63">
        <f>153668+117252+40310+177763+136688+46718</f>
        <v>672399</v>
      </c>
      <c r="F21" s="319">
        <f>564+839+749+1069+1209+425+432+873+774+2533+2902+1319</f>
        <v>13688</v>
      </c>
      <c r="G21" s="7">
        <v>1387528</v>
      </c>
      <c r="H21" s="63">
        <v>875053</v>
      </c>
      <c r="I21" s="63">
        <v>133858</v>
      </c>
      <c r="J21" s="63">
        <v>806630</v>
      </c>
      <c r="K21" s="319">
        <v>378617</v>
      </c>
      <c r="L21" s="7">
        <v>1465420</v>
      </c>
      <c r="M21" s="63">
        <v>877801</v>
      </c>
      <c r="N21" s="63">
        <v>89530</v>
      </c>
      <c r="O21" s="63">
        <v>1074838</v>
      </c>
      <c r="P21" s="319">
        <v>498089</v>
      </c>
      <c r="Q21" s="9">
        <v>1536433</v>
      </c>
      <c r="R21" s="600">
        <v>1064847</v>
      </c>
      <c r="S21" s="600">
        <v>69658</v>
      </c>
      <c r="T21" s="600">
        <v>1230505</v>
      </c>
      <c r="U21" s="615">
        <v>401928</v>
      </c>
      <c r="V21" s="600">
        <v>1522152</v>
      </c>
      <c r="W21" s="5">
        <v>1100586</v>
      </c>
      <c r="X21" s="600">
        <v>64759</v>
      </c>
      <c r="Y21" s="600">
        <v>1229426</v>
      </c>
      <c r="Z21" s="600">
        <v>356807</v>
      </c>
      <c r="AA21" s="600">
        <v>1517494</v>
      </c>
      <c r="AB21" s="600">
        <v>165467</v>
      </c>
      <c r="AC21" s="600">
        <v>61561</v>
      </c>
      <c r="AD21" s="600">
        <v>1233551</v>
      </c>
      <c r="AE21" s="726">
        <v>333153</v>
      </c>
      <c r="AF21" s="201">
        <v>1485031</v>
      </c>
      <c r="AG21" s="63">
        <v>1056520</v>
      </c>
      <c r="AH21" s="63">
        <v>244692</v>
      </c>
      <c r="AI21" s="63">
        <v>373154</v>
      </c>
      <c r="AJ21" s="319">
        <v>183819</v>
      </c>
      <c r="AK21" s="7">
        <v>1649141</v>
      </c>
      <c r="AL21" s="63">
        <v>1071404</v>
      </c>
      <c r="AM21" s="63">
        <v>244573</v>
      </c>
      <c r="AN21" s="63">
        <v>656630</v>
      </c>
      <c r="AO21" s="319">
        <v>333164</v>
      </c>
      <c r="AP21" s="7">
        <v>1513114</v>
      </c>
      <c r="AQ21" s="63">
        <v>1055443</v>
      </c>
      <c r="AR21" s="63">
        <v>189834</v>
      </c>
      <c r="AS21" s="63">
        <v>797971</v>
      </c>
      <c r="AT21" s="319">
        <v>267837</v>
      </c>
      <c r="AU21" s="63">
        <v>1517129</v>
      </c>
      <c r="AV21" s="63">
        <v>1082641</v>
      </c>
      <c r="AW21" s="63">
        <v>185429</v>
      </c>
      <c r="AX21" s="63">
        <v>829258</v>
      </c>
      <c r="AY21" s="63">
        <v>249059</v>
      </c>
      <c r="AZ21" s="63">
        <v>1512343</v>
      </c>
      <c r="BA21" s="63">
        <v>430163</v>
      </c>
      <c r="BB21" s="63">
        <v>187310</v>
      </c>
      <c r="BC21" s="63">
        <v>843158</v>
      </c>
      <c r="BD21" s="63">
        <v>235320</v>
      </c>
      <c r="BE21" s="14">
        <v>3059939</v>
      </c>
      <c r="BF21" s="63">
        <v>2155074</v>
      </c>
      <c r="BG21" s="63">
        <v>252622</v>
      </c>
      <c r="BH21" s="63">
        <v>2051874</v>
      </c>
      <c r="BI21" s="584">
        <f t="shared" si="344"/>
        <v>652243</v>
      </c>
      <c r="BJ21" s="350">
        <v>834876</v>
      </c>
      <c r="BK21" s="351">
        <v>1260685</v>
      </c>
      <c r="BL21" s="351">
        <v>1989554</v>
      </c>
      <c r="BM21" s="351">
        <v>2756519</v>
      </c>
      <c r="BN21" s="14">
        <v>4974371</v>
      </c>
      <c r="BO21" s="63">
        <v>3992800.6640000003</v>
      </c>
      <c r="BP21" s="63">
        <v>442046.88</v>
      </c>
      <c r="BQ21" s="63">
        <v>465968.03</v>
      </c>
      <c r="BR21" s="319">
        <v>71238.684000000008</v>
      </c>
      <c r="BS21" s="7">
        <v>7438046</v>
      </c>
      <c r="BT21" s="63">
        <v>6177033</v>
      </c>
      <c r="BU21" s="63">
        <v>738700</v>
      </c>
      <c r="BV21" s="63">
        <v>947947</v>
      </c>
      <c r="BW21" s="319">
        <v>522313</v>
      </c>
      <c r="BX21" s="7">
        <v>9676332</v>
      </c>
      <c r="BY21" s="63">
        <v>7574175</v>
      </c>
      <c r="BZ21" s="63">
        <v>1047116</v>
      </c>
      <c r="CA21" s="63">
        <v>1680568</v>
      </c>
      <c r="CB21" s="63">
        <v>1055041</v>
      </c>
      <c r="CC21" s="352">
        <v>11383858</v>
      </c>
      <c r="CD21" s="63">
        <v>8587580</v>
      </c>
      <c r="CE21" s="63">
        <v>1299847</v>
      </c>
      <c r="CF21" s="63">
        <v>1496431</v>
      </c>
      <c r="CG21" s="63">
        <v>2474597</v>
      </c>
      <c r="CH21" s="201">
        <v>11720149</v>
      </c>
      <c r="CI21" s="63">
        <v>8901330</v>
      </c>
      <c r="CJ21" s="63">
        <v>1344301</v>
      </c>
      <c r="CK21" s="63">
        <v>1474518</v>
      </c>
      <c r="CL21" s="63">
        <v>2607520</v>
      </c>
      <c r="CM21" s="64">
        <v>11990037</v>
      </c>
      <c r="CN21" s="64">
        <v>9189345</v>
      </c>
      <c r="CO21" s="64">
        <v>1397466</v>
      </c>
      <c r="CP21" s="64">
        <v>1403226</v>
      </c>
      <c r="CQ21" s="64">
        <v>2689661</v>
      </c>
      <c r="CR21" s="14">
        <v>12399247</v>
      </c>
      <c r="CS21" s="63">
        <v>9561767</v>
      </c>
      <c r="CT21" s="63">
        <v>1486828</v>
      </c>
      <c r="CU21" s="63">
        <v>2864863</v>
      </c>
      <c r="CV21" s="63">
        <v>1177623</v>
      </c>
      <c r="CW21" s="14">
        <v>12712942.085999999</v>
      </c>
      <c r="CX21" s="63">
        <v>9805588.8839999996</v>
      </c>
      <c r="CY21" s="63">
        <v>1539023.9139999999</v>
      </c>
      <c r="CZ21" s="63">
        <v>3009414.87</v>
      </c>
      <c r="DA21" s="621">
        <f t="shared" si="345"/>
        <v>1368329.2879999997</v>
      </c>
      <c r="DB21" s="63">
        <v>13041436</v>
      </c>
      <c r="DC21" s="63">
        <v>10092463</v>
      </c>
      <c r="DD21" s="63">
        <v>1583662</v>
      </c>
      <c r="DE21" s="63">
        <v>3157719</v>
      </c>
      <c r="DF21" s="63">
        <v>1365311</v>
      </c>
      <c r="DG21" s="63">
        <v>13356793</v>
      </c>
      <c r="DH21" s="63">
        <v>7649725</v>
      </c>
      <c r="DI21" s="63">
        <v>1633819</v>
      </c>
      <c r="DJ21" s="63">
        <v>3281801</v>
      </c>
      <c r="DK21" s="63">
        <v>808033</v>
      </c>
      <c r="DL21" s="14">
        <f>680030+667850</f>
        <v>1347880</v>
      </c>
      <c r="DM21" s="63">
        <f>542781+538765</f>
        <v>1081546</v>
      </c>
      <c r="DN21" s="63">
        <f>59637+63682</f>
        <v>123319</v>
      </c>
      <c r="DO21" s="63">
        <f>52541+72777</f>
        <v>125318</v>
      </c>
      <c r="DP21" s="319">
        <f>2795+5372+2168+6199</f>
        <v>16534</v>
      </c>
      <c r="DQ21" s="7">
        <v>2702979</v>
      </c>
      <c r="DR21" s="63">
        <v>2230874</v>
      </c>
      <c r="DS21" s="63">
        <v>289619</v>
      </c>
      <c r="DT21" s="63">
        <v>355244</v>
      </c>
      <c r="DU21" s="319">
        <v>182486</v>
      </c>
      <c r="DV21" s="7">
        <v>3527296</v>
      </c>
      <c r="DW21" s="63">
        <v>2746490</v>
      </c>
      <c r="DX21" s="63">
        <v>421669</v>
      </c>
      <c r="DY21" s="63">
        <v>625832</v>
      </c>
      <c r="DZ21" s="319">
        <v>359137</v>
      </c>
      <c r="EA21" s="7">
        <v>4490922</v>
      </c>
      <c r="EB21" s="63">
        <v>3439349</v>
      </c>
      <c r="EC21" s="63">
        <v>627035</v>
      </c>
      <c r="ED21" s="63">
        <v>1067602</v>
      </c>
      <c r="EE21" s="319">
        <v>424538</v>
      </c>
      <c r="EF21" s="7">
        <v>4589908.3710000003</v>
      </c>
      <c r="EG21" s="63">
        <v>3507982.3479999998</v>
      </c>
      <c r="EH21" s="63">
        <v>650367.49800000002</v>
      </c>
      <c r="EI21" s="63">
        <v>1119664.4550000001</v>
      </c>
      <c r="EJ21" s="319">
        <v>431558.52500000049</v>
      </c>
      <c r="EK21" s="63">
        <v>4714810</v>
      </c>
      <c r="EL21" s="63">
        <v>3617981</v>
      </c>
      <c r="EM21" s="63">
        <v>664833</v>
      </c>
      <c r="EN21" s="63">
        <v>1181713</v>
      </c>
      <c r="EO21" s="661">
        <v>431996</v>
      </c>
      <c r="EP21" s="661">
        <v>4798516</v>
      </c>
      <c r="EQ21" s="661">
        <v>2695294</v>
      </c>
      <c r="ER21" s="661">
        <v>681303</v>
      </c>
      <c r="ES21" s="661">
        <v>1215578</v>
      </c>
      <c r="ET21" s="661">
        <v>431840</v>
      </c>
      <c r="EU21" s="14">
        <v>531540</v>
      </c>
      <c r="EV21" s="63">
        <v>428473</v>
      </c>
      <c r="EW21" s="63">
        <v>58313</v>
      </c>
      <c r="EX21" s="63">
        <v>77473</v>
      </c>
      <c r="EY21" s="319">
        <v>44754</v>
      </c>
      <c r="EZ21" s="7">
        <v>668494</v>
      </c>
      <c r="FA21" s="63">
        <v>513198</v>
      </c>
      <c r="FB21" s="63">
        <v>78521</v>
      </c>
      <c r="FC21" s="63">
        <v>117122</v>
      </c>
      <c r="FD21" s="319">
        <v>76775</v>
      </c>
      <c r="FE21" s="201">
        <v>970431</v>
      </c>
      <c r="FF21" s="63">
        <v>744720</v>
      </c>
      <c r="FG21" s="63">
        <v>129636</v>
      </c>
      <c r="FH21" s="63">
        <v>222646</v>
      </c>
      <c r="FI21" s="63">
        <v>96075</v>
      </c>
      <c r="FJ21" s="201"/>
      <c r="FK21" s="63"/>
      <c r="FL21" s="63"/>
      <c r="FM21" s="63"/>
      <c r="FN21" s="319"/>
      <c r="FO21" s="63">
        <v>1046805</v>
      </c>
      <c r="FP21" s="63">
        <v>802411</v>
      </c>
      <c r="FQ21" s="63">
        <v>137346</v>
      </c>
      <c r="FR21" s="63">
        <v>255661</v>
      </c>
      <c r="FS21" s="63">
        <v>107048</v>
      </c>
      <c r="FT21" s="63">
        <v>1076946</v>
      </c>
      <c r="FU21" s="63">
        <v>609870</v>
      </c>
      <c r="FV21" s="63">
        <v>141892</v>
      </c>
      <c r="FW21" s="63">
        <v>263028</v>
      </c>
      <c r="FX21" s="63">
        <v>109838</v>
      </c>
      <c r="FY21" s="609">
        <f t="shared" si="346"/>
        <v>2626445</v>
      </c>
      <c r="FZ21" s="584">
        <f t="shared" si="347"/>
        <v>2263928</v>
      </c>
      <c r="GA21" s="584">
        <f t="shared" si="348"/>
        <v>192182</v>
      </c>
      <c r="GB21" s="584">
        <f t="shared" si="349"/>
        <v>232787</v>
      </c>
      <c r="GC21" s="584">
        <f t="shared" si="350"/>
        <v>170335</v>
      </c>
      <c r="GD21" s="609">
        <f t="shared" si="351"/>
        <v>3640787</v>
      </c>
      <c r="GE21" s="584">
        <f t="shared" si="352"/>
        <v>2969351</v>
      </c>
      <c r="GF21" s="584">
        <f t="shared" si="353"/>
        <v>290499</v>
      </c>
      <c r="GG21" s="584">
        <f t="shared" si="354"/>
        <v>421857</v>
      </c>
      <c r="GH21" s="584">
        <f t="shared" si="355"/>
        <v>380937</v>
      </c>
      <c r="GI21" s="201">
        <v>4332522</v>
      </c>
      <c r="GJ21" s="63">
        <v>3437067</v>
      </c>
      <c r="GK21" s="63">
        <v>397154</v>
      </c>
      <c r="GL21" s="63">
        <v>696027</v>
      </c>
      <c r="GM21" s="63">
        <v>498301</v>
      </c>
      <c r="GN21" s="599"/>
      <c r="GO21" s="600"/>
      <c r="GP21" s="600"/>
      <c r="GQ21" s="600"/>
      <c r="GR21" s="600"/>
      <c r="GS21" s="600">
        <v>5292426</v>
      </c>
      <c r="GT21" s="600">
        <v>4165187</v>
      </c>
      <c r="GU21" s="600">
        <v>509277</v>
      </c>
      <c r="GV21" s="600">
        <v>878549</v>
      </c>
      <c r="GW21" s="615">
        <v>617962</v>
      </c>
      <c r="GX21" s="600">
        <v>16810681</v>
      </c>
      <c r="GY21" s="600">
        <v>3522913</v>
      </c>
      <c r="GZ21" s="600">
        <v>539016</v>
      </c>
      <c r="HA21" s="600">
        <v>918789</v>
      </c>
      <c r="HB21" s="600">
        <v>376254</v>
      </c>
      <c r="HC21" s="14">
        <v>1428031</v>
      </c>
      <c r="HD21" s="7">
        <v>1256246</v>
      </c>
      <c r="HE21" s="7">
        <v>92024</v>
      </c>
      <c r="HF21" s="7">
        <v>106558</v>
      </c>
      <c r="HG21" s="7">
        <v>79761</v>
      </c>
      <c r="HH21" s="14">
        <v>1996250</v>
      </c>
      <c r="HI21" s="63">
        <v>1658073</v>
      </c>
      <c r="HJ21" s="63">
        <v>147745</v>
      </c>
      <c r="HK21" s="63">
        <v>206895</v>
      </c>
      <c r="HL21" s="63">
        <v>190432</v>
      </c>
      <c r="HM21" s="201">
        <v>2661834</v>
      </c>
      <c r="HN21" s="63">
        <v>2142452</v>
      </c>
      <c r="HO21" s="63">
        <v>225054</v>
      </c>
      <c r="HP21" s="63">
        <v>398359</v>
      </c>
      <c r="HQ21" s="63">
        <v>294328</v>
      </c>
      <c r="HR21" s="201">
        <v>2744481.2939999998</v>
      </c>
      <c r="HS21" s="63">
        <v>2202965.0239999997</v>
      </c>
      <c r="HT21" s="63">
        <v>236497.272</v>
      </c>
      <c r="HU21" s="63">
        <v>425573.82</v>
      </c>
      <c r="HV21" s="63">
        <v>305018.99800000002</v>
      </c>
      <c r="HW21" s="63">
        <v>2932559</v>
      </c>
      <c r="HX21" s="63">
        <v>1943628</v>
      </c>
      <c r="HY21" s="63">
        <v>265078</v>
      </c>
      <c r="HZ21" s="63">
        <v>466522</v>
      </c>
      <c r="IA21" s="63">
        <v>333962</v>
      </c>
      <c r="IB21" s="353">
        <v>150419</v>
      </c>
      <c r="IC21" s="354">
        <v>254365</v>
      </c>
      <c r="ID21" s="339">
        <v>403447</v>
      </c>
      <c r="IE21" s="355">
        <f t="shared" si="303"/>
        <v>238174</v>
      </c>
      <c r="IF21" s="355">
        <f t="shared" si="304"/>
        <v>165273</v>
      </c>
      <c r="IG21" s="355">
        <f t="shared" si="305"/>
        <v>380189</v>
      </c>
      <c r="IH21" s="341">
        <v>229145</v>
      </c>
      <c r="II21" s="341">
        <v>151044</v>
      </c>
      <c r="IJ21" s="355">
        <f t="shared" si="306"/>
        <v>23258</v>
      </c>
      <c r="IK21" s="341">
        <v>9029</v>
      </c>
      <c r="IL21" s="341">
        <v>14229</v>
      </c>
      <c r="IM21" s="339">
        <v>663143</v>
      </c>
      <c r="IN21" s="355">
        <f t="shared" si="307"/>
        <v>397121</v>
      </c>
      <c r="IO21" s="355">
        <f t="shared" si="308"/>
        <v>266022</v>
      </c>
      <c r="IP21" s="355">
        <f t="shared" si="309"/>
        <v>597992</v>
      </c>
      <c r="IQ21" s="341">
        <v>363619</v>
      </c>
      <c r="IR21" s="341">
        <v>234373</v>
      </c>
      <c r="IS21" s="355">
        <f t="shared" si="310"/>
        <v>30345</v>
      </c>
      <c r="IT21" s="341">
        <v>11596</v>
      </c>
      <c r="IU21" s="341">
        <v>18749</v>
      </c>
      <c r="IV21" s="355">
        <f t="shared" si="311"/>
        <v>34806</v>
      </c>
      <c r="IW21" s="341">
        <v>21906</v>
      </c>
      <c r="IX21" s="341">
        <v>12900</v>
      </c>
      <c r="IY21" s="339">
        <v>1340981</v>
      </c>
      <c r="IZ21" s="355">
        <f t="shared" si="312"/>
        <v>792622</v>
      </c>
      <c r="JA21" s="355">
        <f t="shared" si="313"/>
        <v>548359</v>
      </c>
      <c r="JB21" s="63">
        <f>462265+696595</f>
        <v>1158860</v>
      </c>
      <c r="JC21" s="341">
        <v>696595</v>
      </c>
      <c r="JD21" s="341">
        <v>462265</v>
      </c>
      <c r="JE21" s="341">
        <v>96027</v>
      </c>
      <c r="JF21" s="341">
        <v>86094</v>
      </c>
      <c r="JG21" s="63">
        <f>33242+42901</f>
        <v>76143</v>
      </c>
      <c r="JH21" s="341">
        <v>33242</v>
      </c>
      <c r="JI21" s="341">
        <v>42901</v>
      </c>
      <c r="JJ21" s="63">
        <f>43231+30396</f>
        <v>73627</v>
      </c>
      <c r="JK21" s="341">
        <v>43231</v>
      </c>
      <c r="JL21" s="341">
        <v>30396</v>
      </c>
      <c r="JM21" s="356">
        <f t="shared" si="314"/>
        <v>32351</v>
      </c>
      <c r="JN21" s="356">
        <f t="shared" si="315"/>
        <v>19554</v>
      </c>
      <c r="JO21" s="356">
        <f t="shared" si="316"/>
        <v>12797</v>
      </c>
      <c r="JP21" s="357">
        <f t="shared" si="317"/>
        <v>1533</v>
      </c>
      <c r="JQ21" s="357">
        <f t="shared" si="318"/>
        <v>1026</v>
      </c>
      <c r="JR21" s="357">
        <f t="shared" si="319"/>
        <v>507</v>
      </c>
      <c r="JS21" s="341">
        <v>30818</v>
      </c>
      <c r="JT21" s="341">
        <v>18528</v>
      </c>
      <c r="JU21" s="341">
        <v>12290</v>
      </c>
      <c r="JV21" s="16">
        <f t="shared" si="320"/>
        <v>2094905</v>
      </c>
      <c r="JW21" s="355">
        <f t="shared" si="321"/>
        <v>1159039</v>
      </c>
      <c r="JX21" s="355">
        <f t="shared" si="322"/>
        <v>935866</v>
      </c>
      <c r="JY21" s="15">
        <f t="shared" si="323"/>
        <v>1835455</v>
      </c>
      <c r="JZ21" s="151">
        <f t="shared" si="324"/>
        <v>1725910</v>
      </c>
      <c r="KA21" s="341">
        <v>971282</v>
      </c>
      <c r="KB21" s="341">
        <v>754628</v>
      </c>
      <c r="KC21" s="341">
        <v>187757</v>
      </c>
      <c r="KD21" s="341">
        <v>181238</v>
      </c>
      <c r="KE21" s="15">
        <f t="shared" si="325"/>
        <v>133869</v>
      </c>
      <c r="KF21" s="151">
        <f t="shared" si="326"/>
        <v>132669</v>
      </c>
      <c r="KG21" s="341">
        <v>59265</v>
      </c>
      <c r="KH21" s="341">
        <v>73404</v>
      </c>
      <c r="KI21" s="15">
        <f t="shared" si="327"/>
        <v>155314</v>
      </c>
      <c r="KJ21" s="341">
        <v>82236</v>
      </c>
      <c r="KK21" s="341">
        <v>73078</v>
      </c>
      <c r="KL21" s="13">
        <f t="shared" si="328"/>
        <v>125581</v>
      </c>
      <c r="KM21" s="358">
        <f t="shared" si="329"/>
        <v>46256</v>
      </c>
      <c r="KN21" s="358">
        <f t="shared" si="330"/>
        <v>34756</v>
      </c>
      <c r="KO21" s="359">
        <f t="shared" si="331"/>
        <v>847</v>
      </c>
      <c r="KP21" s="359">
        <f t="shared" si="332"/>
        <v>531</v>
      </c>
      <c r="KQ21" s="359">
        <f t="shared" si="333"/>
        <v>316</v>
      </c>
      <c r="KR21" s="360">
        <f t="shared" si="334"/>
        <v>80165</v>
      </c>
      <c r="KS21" s="360">
        <f t="shared" si="335"/>
        <v>45725</v>
      </c>
      <c r="KT21" s="360">
        <f t="shared" si="336"/>
        <v>34440</v>
      </c>
      <c r="KU21" s="341">
        <v>3415</v>
      </c>
      <c r="KV21" s="341">
        <v>2423</v>
      </c>
      <c r="KW21" s="341">
        <v>42310</v>
      </c>
      <c r="KX21" s="341">
        <v>32017</v>
      </c>
      <c r="KY21" s="361">
        <v>2972293</v>
      </c>
      <c r="KZ21" s="341">
        <v>1556073</v>
      </c>
      <c r="LA21" s="341">
        <v>1416220</v>
      </c>
      <c r="LB21" s="9">
        <f t="shared" si="337"/>
        <v>2456153</v>
      </c>
      <c r="LC21" s="9">
        <v>1305191</v>
      </c>
      <c r="LD21" s="9">
        <v>1150962</v>
      </c>
      <c r="LE21" s="140">
        <f t="shared" si="338"/>
        <v>2240491</v>
      </c>
      <c r="LF21" s="341">
        <v>1199471</v>
      </c>
      <c r="LG21" s="341">
        <v>1041020</v>
      </c>
      <c r="LH21" s="9">
        <f t="shared" si="339"/>
        <v>211978</v>
      </c>
      <c r="LI21" s="341">
        <v>91937</v>
      </c>
      <c r="LJ21" s="341">
        <v>120041</v>
      </c>
      <c r="LK21" s="9">
        <f t="shared" si="340"/>
        <v>304735</v>
      </c>
      <c r="LL21" s="341">
        <v>148308</v>
      </c>
      <c r="LM21" s="341">
        <v>156427</v>
      </c>
      <c r="LN21" s="140">
        <f t="shared" si="341"/>
        <v>304162</v>
      </c>
      <c r="LO21" s="140">
        <f t="shared" si="342"/>
        <v>158945</v>
      </c>
      <c r="LP21" s="140">
        <f t="shared" si="343"/>
        <v>145217</v>
      </c>
      <c r="LQ21" s="349">
        <v>3584154</v>
      </c>
      <c r="LR21" s="341">
        <v>2854356</v>
      </c>
      <c r="LS21" s="341">
        <v>276028</v>
      </c>
      <c r="LT21" s="341">
        <v>453770</v>
      </c>
      <c r="LU21" s="9">
        <v>461676</v>
      </c>
      <c r="LV21" s="201">
        <v>3719713</v>
      </c>
      <c r="LW21" s="63">
        <v>2959333</v>
      </c>
      <c r="LX21" s="63">
        <v>294208</v>
      </c>
      <c r="LY21" s="63">
        <v>466172</v>
      </c>
      <c r="LZ21" s="63">
        <v>490379</v>
      </c>
      <c r="MA21" s="201">
        <v>3840464</v>
      </c>
      <c r="MB21" s="63">
        <v>3071167</v>
      </c>
      <c r="MC21" s="63">
        <v>302697</v>
      </c>
      <c r="MD21" s="63">
        <v>466600</v>
      </c>
      <c r="ME21" s="63">
        <v>512279</v>
      </c>
      <c r="MF21" s="201">
        <v>3982036</v>
      </c>
      <c r="MG21" s="63">
        <v>3162601</v>
      </c>
      <c r="MH21" s="63">
        <v>332852</v>
      </c>
      <c r="MI21" s="63">
        <v>486583</v>
      </c>
      <c r="MJ21" s="63">
        <v>553022</v>
      </c>
      <c r="MK21" s="14">
        <v>4100949.0599999996</v>
      </c>
      <c r="ML21" s="63">
        <v>3256556.9919999996</v>
      </c>
      <c r="MM21" s="63">
        <v>351162.61599999998</v>
      </c>
      <c r="MN21" s="63">
        <v>587697.18000000005</v>
      </c>
      <c r="MO21" s="63">
        <v>493229.45199999999</v>
      </c>
      <c r="MP21" s="63">
        <v>4245621</v>
      </c>
      <c r="MQ21" s="63">
        <v>3362776</v>
      </c>
      <c r="MR21" s="63">
        <v>371931</v>
      </c>
      <c r="MS21" s="63">
        <v>622888</v>
      </c>
      <c r="MT21" s="2">
        <v>510914</v>
      </c>
      <c r="MU21" s="2">
        <v>4413123</v>
      </c>
      <c r="MV21" s="2">
        <v>2913043</v>
      </c>
      <c r="MW21" s="2">
        <v>397124</v>
      </c>
      <c r="MX21" s="2">
        <v>655761</v>
      </c>
      <c r="MY21" s="2">
        <v>314546</v>
      </c>
      <c r="MZ21" s="14">
        <v>666874</v>
      </c>
      <c r="NA21" s="7">
        <v>579209</v>
      </c>
      <c r="NB21" s="7">
        <v>41845</v>
      </c>
      <c r="NC21" s="7">
        <v>48756</v>
      </c>
      <c r="ND21" s="7">
        <v>45820</v>
      </c>
      <c r="NE21" s="14">
        <v>976043</v>
      </c>
      <c r="NF21" s="63">
        <v>798080</v>
      </c>
      <c r="NG21" s="63">
        <v>64233</v>
      </c>
      <c r="NH21" s="63">
        <v>97840</v>
      </c>
      <c r="NI21" s="63">
        <v>113730</v>
      </c>
      <c r="NJ21" s="14">
        <v>1320202</v>
      </c>
      <c r="NK21" s="63">
        <v>1020149</v>
      </c>
      <c r="NL21" s="63">
        <v>107798</v>
      </c>
      <c r="NM21" s="63">
        <v>154663</v>
      </c>
      <c r="NN21" s="63">
        <v>192255</v>
      </c>
      <c r="NO21" s="14">
        <v>1356467.7659999998</v>
      </c>
      <c r="NP21" s="63">
        <v>1053591.9680000001</v>
      </c>
      <c r="NQ21" s="63">
        <v>114665.344</v>
      </c>
      <c r="NR21" s="63">
        <v>162123.36000000002</v>
      </c>
      <c r="NS21" s="319">
        <v>188210.45399999974</v>
      </c>
      <c r="NT21" s="1">
        <v>1416179</v>
      </c>
      <c r="NU21" s="2">
        <v>1094405</v>
      </c>
      <c r="NV21" s="2">
        <v>120967</v>
      </c>
      <c r="NW21" s="2">
        <v>175302</v>
      </c>
      <c r="NX21" s="79">
        <v>200807</v>
      </c>
      <c r="NY21" s="2">
        <v>1480564</v>
      </c>
      <c r="NZ21" s="2">
        <v>969415</v>
      </c>
      <c r="OA21" s="2">
        <v>132046</v>
      </c>
      <c r="OB21" s="2">
        <v>189239</v>
      </c>
      <c r="OC21" s="2">
        <v>219195</v>
      </c>
    </row>
    <row r="22" spans="1:393" ht="14.25" x14ac:dyDescent="0.2">
      <c r="A22" s="239" t="s">
        <v>14</v>
      </c>
      <c r="B22" s="201">
        <f>86181+181000+76611+63160+180761+90255</f>
        <v>677968</v>
      </c>
      <c r="C22" s="63">
        <f>52226+134035+60161+37542+127915+68228</f>
        <v>480107</v>
      </c>
      <c r="D22" s="63">
        <f>32477+44236+15522+23143+48576+20121</f>
        <v>184075</v>
      </c>
      <c r="E22" s="63">
        <f>982+1894+685+1100+2104+1036</f>
        <v>7801</v>
      </c>
      <c r="F22" s="319">
        <f>120+212+114+349+516+121+93+284+92+1164+1748+695</f>
        <v>5508</v>
      </c>
      <c r="G22" s="7">
        <v>443668</v>
      </c>
      <c r="H22" s="63">
        <v>308766</v>
      </c>
      <c r="I22" s="63">
        <v>118013</v>
      </c>
      <c r="J22" s="63">
        <v>14194</v>
      </c>
      <c r="K22" s="319">
        <v>16889</v>
      </c>
      <c r="L22" s="7">
        <v>338184</v>
      </c>
      <c r="M22" s="63">
        <v>216029</v>
      </c>
      <c r="N22" s="63">
        <v>81723</v>
      </c>
      <c r="O22" s="63">
        <v>39380</v>
      </c>
      <c r="P22" s="319">
        <v>40432</v>
      </c>
      <c r="Q22" s="9">
        <v>292857</v>
      </c>
      <c r="R22" s="600">
        <v>183111</v>
      </c>
      <c r="S22" s="600">
        <v>62745</v>
      </c>
      <c r="T22" s="600">
        <v>68005</v>
      </c>
      <c r="U22" s="615">
        <v>47001</v>
      </c>
      <c r="V22" s="600">
        <v>278157</v>
      </c>
      <c r="W22" s="5">
        <v>171814</v>
      </c>
      <c r="X22" s="600">
        <v>56892</v>
      </c>
      <c r="Y22" s="600">
        <v>71502</v>
      </c>
      <c r="Z22" s="600">
        <v>49451</v>
      </c>
      <c r="AA22" s="600">
        <v>268572</v>
      </c>
      <c r="AB22" s="600">
        <v>124934</v>
      </c>
      <c r="AC22" s="600">
        <v>53924</v>
      </c>
      <c r="AD22" s="600">
        <v>69393</v>
      </c>
      <c r="AE22" s="726">
        <v>47932</v>
      </c>
      <c r="AF22" s="201">
        <v>543535</v>
      </c>
      <c r="AG22" s="63">
        <v>378211</v>
      </c>
      <c r="AH22" s="63">
        <v>150880</v>
      </c>
      <c r="AI22" s="63">
        <v>10673</v>
      </c>
      <c r="AJ22" s="319">
        <v>14444</v>
      </c>
      <c r="AK22" s="7">
        <v>526426</v>
      </c>
      <c r="AL22" s="63">
        <v>335037</v>
      </c>
      <c r="AM22" s="63">
        <v>155196</v>
      </c>
      <c r="AN22" s="63">
        <v>25567</v>
      </c>
      <c r="AO22" s="319">
        <v>36193</v>
      </c>
      <c r="AP22" s="7">
        <v>433915</v>
      </c>
      <c r="AQ22" s="63">
        <v>263808</v>
      </c>
      <c r="AR22" s="63">
        <v>132047</v>
      </c>
      <c r="AS22" s="63">
        <v>41133</v>
      </c>
      <c r="AT22" s="319">
        <v>38060</v>
      </c>
      <c r="AU22" s="63">
        <v>406591</v>
      </c>
      <c r="AV22" s="63">
        <v>247849</v>
      </c>
      <c r="AW22" s="63">
        <v>121345</v>
      </c>
      <c r="AX22" s="63">
        <v>42570</v>
      </c>
      <c r="AY22" s="63">
        <v>37397</v>
      </c>
      <c r="AZ22" s="63">
        <v>393756</v>
      </c>
      <c r="BA22" s="63">
        <v>213394</v>
      </c>
      <c r="BB22" s="63">
        <v>119081</v>
      </c>
      <c r="BC22" s="63">
        <v>41871</v>
      </c>
      <c r="BD22" s="63">
        <v>35319</v>
      </c>
      <c r="BE22" s="14">
        <v>696056</v>
      </c>
      <c r="BF22" s="63">
        <v>429971</v>
      </c>
      <c r="BG22" s="63">
        <v>183751</v>
      </c>
      <c r="BH22" s="63">
        <v>110002</v>
      </c>
      <c r="BI22" s="584">
        <f t="shared" si="344"/>
        <v>82334</v>
      </c>
      <c r="BJ22" s="350">
        <v>293071</v>
      </c>
      <c r="BK22" s="351">
        <v>507780</v>
      </c>
      <c r="BL22" s="351">
        <v>790439</v>
      </c>
      <c r="BM22" s="351">
        <v>1168723</v>
      </c>
      <c r="BN22" s="14">
        <v>1955875</v>
      </c>
      <c r="BO22" s="63">
        <v>1670933.9680000001</v>
      </c>
      <c r="BP22" s="63">
        <v>223334.26</v>
      </c>
      <c r="BQ22" s="63">
        <v>27269.712000000003</v>
      </c>
      <c r="BR22" s="319">
        <v>32534.133000000002</v>
      </c>
      <c r="BS22" s="7">
        <v>2987611</v>
      </c>
      <c r="BT22" s="63">
        <v>2476927</v>
      </c>
      <c r="BU22" s="63">
        <v>408102</v>
      </c>
      <c r="BV22" s="63">
        <v>59549</v>
      </c>
      <c r="BW22" s="319">
        <v>102582</v>
      </c>
      <c r="BX22" s="7">
        <v>3801964</v>
      </c>
      <c r="BY22" s="63">
        <v>2953546</v>
      </c>
      <c r="BZ22" s="63">
        <v>596593</v>
      </c>
      <c r="CA22" s="63">
        <v>110241</v>
      </c>
      <c r="CB22" s="63">
        <v>251825</v>
      </c>
      <c r="CC22" s="352">
        <v>4310766</v>
      </c>
      <c r="CD22" s="63">
        <v>3244158</v>
      </c>
      <c r="CE22" s="63">
        <v>718664</v>
      </c>
      <c r="CF22" s="63">
        <v>347944</v>
      </c>
      <c r="CG22" s="63">
        <v>178388</v>
      </c>
      <c r="CH22" s="201">
        <v>4377474</v>
      </c>
      <c r="CI22" s="63">
        <v>3285634</v>
      </c>
      <c r="CJ22" s="63">
        <v>733988</v>
      </c>
      <c r="CK22" s="63">
        <v>357852</v>
      </c>
      <c r="CL22" s="63">
        <v>186685</v>
      </c>
      <c r="CM22" s="66">
        <v>4432496</v>
      </c>
      <c r="CN22" s="64">
        <v>3318362</v>
      </c>
      <c r="CO22" s="64">
        <v>749229</v>
      </c>
      <c r="CP22" s="64">
        <v>364905</v>
      </c>
      <c r="CQ22" s="64">
        <v>197207</v>
      </c>
      <c r="CR22" s="14">
        <v>4554995</v>
      </c>
      <c r="CS22" s="63">
        <v>3381735</v>
      </c>
      <c r="CT22" s="63">
        <v>772713</v>
      </c>
      <c r="CU22" s="63">
        <v>221893</v>
      </c>
      <c r="CV22" s="63">
        <v>337995</v>
      </c>
      <c r="CW22" s="14">
        <v>4658220.99</v>
      </c>
      <c r="CX22" s="63">
        <v>3439767.4560000002</v>
      </c>
      <c r="CY22" s="63">
        <v>793647.17599999998</v>
      </c>
      <c r="CZ22" s="63">
        <v>237354.15599999999</v>
      </c>
      <c r="DA22" s="621">
        <f t="shared" si="345"/>
        <v>424806.35800000001</v>
      </c>
      <c r="DB22" s="63">
        <v>4748305</v>
      </c>
      <c r="DC22" s="63">
        <v>3495864</v>
      </c>
      <c r="DD22" s="63">
        <v>813898</v>
      </c>
      <c r="DE22" s="63">
        <v>249910</v>
      </c>
      <c r="DF22" s="63">
        <v>438543</v>
      </c>
      <c r="DG22" s="63">
        <v>4837135</v>
      </c>
      <c r="DH22" s="63">
        <v>3370881</v>
      </c>
      <c r="DI22" s="63">
        <v>830882</v>
      </c>
      <c r="DJ22" s="63">
        <v>269338</v>
      </c>
      <c r="DK22" s="63">
        <v>262831</v>
      </c>
      <c r="DL22" s="14">
        <f>212528+255596</f>
        <v>468124</v>
      </c>
      <c r="DM22" s="63">
        <f>217675+176502</f>
        <v>394177</v>
      </c>
      <c r="DN22" s="63">
        <f>28173+29658</f>
        <v>57831</v>
      </c>
      <c r="DO22" s="63">
        <f>3818+3775</f>
        <v>7593</v>
      </c>
      <c r="DP22" s="319">
        <f>420+3302+516+3569</f>
        <v>7807</v>
      </c>
      <c r="DQ22" s="7">
        <v>955518</v>
      </c>
      <c r="DR22" s="63">
        <v>778941</v>
      </c>
      <c r="DS22" s="63">
        <v>145230</v>
      </c>
      <c r="DT22" s="63">
        <v>22593</v>
      </c>
      <c r="DU22" s="319">
        <v>31347</v>
      </c>
      <c r="DV22" s="7">
        <v>1214513</v>
      </c>
      <c r="DW22" s="63">
        <v>919333</v>
      </c>
      <c r="DX22" s="63">
        <v>222477</v>
      </c>
      <c r="DY22" s="63">
        <v>38343</v>
      </c>
      <c r="DZ22" s="319">
        <v>72703</v>
      </c>
      <c r="EA22" s="7">
        <v>1425433</v>
      </c>
      <c r="EB22" s="63">
        <v>1024270</v>
      </c>
      <c r="EC22" s="63">
        <v>295872</v>
      </c>
      <c r="ED22" s="63">
        <v>73480</v>
      </c>
      <c r="EE22" s="319">
        <v>105291</v>
      </c>
      <c r="EF22" s="7">
        <v>1445654.79</v>
      </c>
      <c r="EG22" s="63">
        <v>1034254.4040000001</v>
      </c>
      <c r="EH22" s="63">
        <v>302993.38</v>
      </c>
      <c r="EI22" s="63">
        <v>77730.015999999989</v>
      </c>
      <c r="EJ22" s="319">
        <v>108407.00599999994</v>
      </c>
      <c r="EK22" s="63">
        <v>1467967</v>
      </c>
      <c r="EL22" s="63">
        <v>1046516</v>
      </c>
      <c r="EM22" s="63">
        <v>309248</v>
      </c>
      <c r="EN22" s="63">
        <v>80431</v>
      </c>
      <c r="EO22" s="661">
        <v>112203</v>
      </c>
      <c r="EP22" s="661">
        <v>1496624</v>
      </c>
      <c r="EQ22" s="661">
        <v>1004578</v>
      </c>
      <c r="ER22" s="661">
        <v>320104</v>
      </c>
      <c r="ES22" s="661">
        <v>88153</v>
      </c>
      <c r="ET22" s="661">
        <v>114345</v>
      </c>
      <c r="EU22" s="14">
        <v>219511</v>
      </c>
      <c r="EV22" s="63">
        <v>182542</v>
      </c>
      <c r="EW22" s="63">
        <v>27880</v>
      </c>
      <c r="EX22" s="63">
        <v>5205</v>
      </c>
      <c r="EY22" s="319">
        <v>9089</v>
      </c>
      <c r="EZ22" s="7">
        <v>262813</v>
      </c>
      <c r="FA22" s="63">
        <v>202932</v>
      </c>
      <c r="FB22" s="63">
        <v>41086</v>
      </c>
      <c r="FC22" s="63">
        <v>8593</v>
      </c>
      <c r="FD22" s="319">
        <v>18795</v>
      </c>
      <c r="FE22" s="201">
        <v>353195</v>
      </c>
      <c r="FF22" s="63">
        <v>258769</v>
      </c>
      <c r="FG22" s="63">
        <v>65658</v>
      </c>
      <c r="FH22" s="63">
        <v>17098</v>
      </c>
      <c r="FI22" s="63">
        <v>28768</v>
      </c>
      <c r="FJ22" s="201"/>
      <c r="FK22" s="63"/>
      <c r="FL22" s="63"/>
      <c r="FM22" s="63"/>
      <c r="FN22" s="319"/>
      <c r="FO22" s="63">
        <v>377135</v>
      </c>
      <c r="FP22" s="63">
        <v>273919</v>
      </c>
      <c r="FQ22" s="63">
        <v>71792</v>
      </c>
      <c r="FR22" s="63">
        <v>18384</v>
      </c>
      <c r="FS22" s="63">
        <v>31424</v>
      </c>
      <c r="FT22" s="63">
        <v>393267</v>
      </c>
      <c r="FU22" s="63">
        <v>271201</v>
      </c>
      <c r="FV22" s="63">
        <v>76211</v>
      </c>
      <c r="FW22" s="63">
        <v>20557</v>
      </c>
      <c r="FX22" s="63">
        <v>33274</v>
      </c>
      <c r="FY22" s="609">
        <f t="shared" si="346"/>
        <v>1192405</v>
      </c>
      <c r="FZ22" s="584">
        <f t="shared" si="347"/>
        <v>1036123</v>
      </c>
      <c r="GA22" s="584">
        <f t="shared" si="348"/>
        <v>103352</v>
      </c>
      <c r="GB22" s="584">
        <f t="shared" si="349"/>
        <v>24105</v>
      </c>
      <c r="GC22" s="584">
        <f t="shared" si="350"/>
        <v>52930</v>
      </c>
      <c r="GD22" s="609">
        <f t="shared" si="351"/>
        <v>1637801</v>
      </c>
      <c r="GE22" s="584">
        <f t="shared" si="352"/>
        <v>1334281</v>
      </c>
      <c r="GF22" s="584">
        <f t="shared" si="353"/>
        <v>167084</v>
      </c>
      <c r="GG22" s="584">
        <f t="shared" si="354"/>
        <v>44792</v>
      </c>
      <c r="GH22" s="584">
        <f t="shared" si="355"/>
        <v>136436</v>
      </c>
      <c r="GI22" s="201">
        <v>1794206</v>
      </c>
      <c r="GJ22" s="63">
        <v>1388200</v>
      </c>
      <c r="GK22" s="63">
        <v>208082</v>
      </c>
      <c r="GL22" s="63">
        <v>77925</v>
      </c>
      <c r="GM22" s="63">
        <v>197924</v>
      </c>
      <c r="GN22" s="599"/>
      <c r="GO22" s="600"/>
      <c r="GP22" s="600"/>
      <c r="GQ22" s="600"/>
      <c r="GR22" s="600"/>
      <c r="GS22" s="600">
        <v>2275156</v>
      </c>
      <c r="GT22" s="600">
        <v>1736539</v>
      </c>
      <c r="GU22" s="600">
        <v>272913</v>
      </c>
      <c r="GV22" s="600">
        <v>99653</v>
      </c>
      <c r="GW22" s="615">
        <v>265704</v>
      </c>
      <c r="GX22" s="600">
        <v>6497746</v>
      </c>
      <c r="GY22" s="600">
        <v>1708571</v>
      </c>
      <c r="GZ22" s="600">
        <v>284645</v>
      </c>
      <c r="HA22" s="600">
        <v>106440</v>
      </c>
      <c r="HB22" s="600">
        <v>158652</v>
      </c>
      <c r="HC22" s="14">
        <v>612679</v>
      </c>
      <c r="HD22" s="7">
        <v>535216</v>
      </c>
      <c r="HE22" s="7">
        <v>50841</v>
      </c>
      <c r="HF22" s="7">
        <v>11445</v>
      </c>
      <c r="HG22" s="7">
        <v>26622</v>
      </c>
      <c r="HH22" s="14">
        <v>835011</v>
      </c>
      <c r="HI22" s="63">
        <v>681568</v>
      </c>
      <c r="HJ22" s="63">
        <v>83384</v>
      </c>
      <c r="HK22" s="63">
        <v>21696</v>
      </c>
      <c r="HL22" s="63">
        <v>70059</v>
      </c>
      <c r="HM22" s="201">
        <v>1051740</v>
      </c>
      <c r="HN22" s="63">
        <v>815907</v>
      </c>
      <c r="HO22" s="63">
        <v>115091</v>
      </c>
      <c r="HP22" s="63">
        <v>47801</v>
      </c>
      <c r="HQ22" s="63">
        <v>120742</v>
      </c>
      <c r="HR22" s="201">
        <v>1081563.9539999999</v>
      </c>
      <c r="HS22" s="63">
        <v>832826.58</v>
      </c>
      <c r="HT22" s="63">
        <v>120219.95400000001</v>
      </c>
      <c r="HU22" s="63">
        <v>48581.26</v>
      </c>
      <c r="HV22" s="63">
        <v>128517.41999999994</v>
      </c>
      <c r="HW22" s="63">
        <v>1137430</v>
      </c>
      <c r="HX22" s="63">
        <v>832455</v>
      </c>
      <c r="HY22" s="63">
        <v>128938</v>
      </c>
      <c r="HZ22" s="63">
        <v>54020</v>
      </c>
      <c r="IA22" s="63">
        <v>138609</v>
      </c>
      <c r="IB22" s="353">
        <v>60616</v>
      </c>
      <c r="IC22" s="354">
        <v>113070</v>
      </c>
      <c r="ID22" s="339">
        <v>174904</v>
      </c>
      <c r="IE22" s="355">
        <f t="shared" si="303"/>
        <v>104867</v>
      </c>
      <c r="IF22" s="355">
        <f t="shared" si="304"/>
        <v>70037</v>
      </c>
      <c r="IG22" s="355">
        <f t="shared" si="305"/>
        <v>162225</v>
      </c>
      <c r="IH22" s="341">
        <v>99896</v>
      </c>
      <c r="II22" s="341">
        <v>62329</v>
      </c>
      <c r="IJ22" s="355">
        <f t="shared" si="306"/>
        <v>12679</v>
      </c>
      <c r="IK22" s="341">
        <v>4971</v>
      </c>
      <c r="IL22" s="341">
        <v>7708</v>
      </c>
      <c r="IM22" s="339">
        <v>303287</v>
      </c>
      <c r="IN22" s="355">
        <f t="shared" si="307"/>
        <v>184167</v>
      </c>
      <c r="IO22" s="355">
        <f t="shared" si="308"/>
        <v>119120</v>
      </c>
      <c r="IP22" s="355">
        <f t="shared" si="309"/>
        <v>281197</v>
      </c>
      <c r="IQ22" s="341">
        <v>174390</v>
      </c>
      <c r="IR22" s="341">
        <v>106807</v>
      </c>
      <c r="IS22" s="355">
        <f t="shared" si="310"/>
        <v>17062</v>
      </c>
      <c r="IT22" s="341">
        <v>6428</v>
      </c>
      <c r="IU22" s="341">
        <v>10634</v>
      </c>
      <c r="IV22" s="355">
        <f t="shared" si="311"/>
        <v>5028</v>
      </c>
      <c r="IW22" s="341">
        <v>3349</v>
      </c>
      <c r="IX22" s="341">
        <v>1679</v>
      </c>
      <c r="IY22" s="339">
        <v>598069</v>
      </c>
      <c r="IZ22" s="355">
        <f t="shared" si="312"/>
        <v>346388</v>
      </c>
      <c r="JA22" s="355">
        <f t="shared" si="313"/>
        <v>251681</v>
      </c>
      <c r="JB22" s="63">
        <f>315374+217567</f>
        <v>532941</v>
      </c>
      <c r="JC22" s="341">
        <v>315374</v>
      </c>
      <c r="JD22" s="341">
        <v>217567</v>
      </c>
      <c r="JE22" s="341">
        <v>31014</v>
      </c>
      <c r="JF22" s="341">
        <v>34114</v>
      </c>
      <c r="JG22" s="63">
        <f>17425+23700</f>
        <v>41125</v>
      </c>
      <c r="JH22" s="341">
        <v>17425</v>
      </c>
      <c r="JI22" s="341">
        <v>23700</v>
      </c>
      <c r="JJ22" s="63">
        <f>4965+3624</f>
        <v>8589</v>
      </c>
      <c r="JK22" s="341">
        <v>4965</v>
      </c>
      <c r="JL22" s="341">
        <v>3624</v>
      </c>
      <c r="JM22" s="356">
        <f t="shared" si="314"/>
        <v>15414</v>
      </c>
      <c r="JN22" s="356">
        <f t="shared" si="315"/>
        <v>8624</v>
      </c>
      <c r="JO22" s="356">
        <f t="shared" si="316"/>
        <v>6790</v>
      </c>
      <c r="JP22" s="357">
        <f t="shared" si="317"/>
        <v>1138</v>
      </c>
      <c r="JQ22" s="357">
        <f t="shared" si="318"/>
        <v>836</v>
      </c>
      <c r="JR22" s="357">
        <f t="shared" si="319"/>
        <v>302</v>
      </c>
      <c r="JS22" s="341">
        <v>14276</v>
      </c>
      <c r="JT22" s="341">
        <v>7788</v>
      </c>
      <c r="JU22" s="341">
        <v>6488</v>
      </c>
      <c r="JV22" s="16">
        <f t="shared" si="320"/>
        <v>972894</v>
      </c>
      <c r="JW22" s="355">
        <f t="shared" si="321"/>
        <v>528170</v>
      </c>
      <c r="JX22" s="355">
        <f t="shared" si="322"/>
        <v>444724</v>
      </c>
      <c r="JY22" s="15">
        <f t="shared" si="323"/>
        <v>853581</v>
      </c>
      <c r="JZ22" s="151">
        <f t="shared" si="324"/>
        <v>839728</v>
      </c>
      <c r="KA22" s="341">
        <v>465213</v>
      </c>
      <c r="KB22" s="341">
        <v>374515</v>
      </c>
      <c r="KC22" s="341">
        <v>62957</v>
      </c>
      <c r="KD22" s="341">
        <v>70209</v>
      </c>
      <c r="KE22" s="15">
        <f t="shared" si="325"/>
        <v>75472</v>
      </c>
      <c r="KF22" s="151">
        <f t="shared" si="326"/>
        <v>75001</v>
      </c>
      <c r="KG22" s="341">
        <v>31355</v>
      </c>
      <c r="KH22" s="341">
        <v>43646</v>
      </c>
      <c r="KI22" s="15">
        <f t="shared" si="327"/>
        <v>18900</v>
      </c>
      <c r="KJ22" s="341">
        <v>10513</v>
      </c>
      <c r="KK22" s="341">
        <v>8387</v>
      </c>
      <c r="KL22" s="13">
        <f t="shared" si="328"/>
        <v>43841</v>
      </c>
      <c r="KM22" s="358">
        <f t="shared" si="329"/>
        <v>21089</v>
      </c>
      <c r="KN22" s="358">
        <f t="shared" si="330"/>
        <v>18176</v>
      </c>
      <c r="KO22" s="359">
        <f t="shared" si="331"/>
        <v>373</v>
      </c>
      <c r="KP22" s="359">
        <f t="shared" si="332"/>
        <v>221</v>
      </c>
      <c r="KQ22" s="359">
        <f t="shared" si="333"/>
        <v>152</v>
      </c>
      <c r="KR22" s="360">
        <f t="shared" si="334"/>
        <v>38892</v>
      </c>
      <c r="KS22" s="360">
        <f t="shared" si="335"/>
        <v>20868</v>
      </c>
      <c r="KT22" s="360">
        <f t="shared" si="336"/>
        <v>18024</v>
      </c>
      <c r="KU22" s="341">
        <v>865</v>
      </c>
      <c r="KV22" s="341">
        <v>571</v>
      </c>
      <c r="KW22" s="341">
        <v>20003</v>
      </c>
      <c r="KX22" s="341">
        <v>17453</v>
      </c>
      <c r="KY22" s="361">
        <v>1374988</v>
      </c>
      <c r="KZ22" s="341">
        <v>703626</v>
      </c>
      <c r="LA22" s="341">
        <v>671362</v>
      </c>
      <c r="LB22" s="9">
        <f t="shared" si="337"/>
        <v>1131349</v>
      </c>
      <c r="LC22" s="9">
        <v>590978</v>
      </c>
      <c r="LD22" s="9">
        <v>540371</v>
      </c>
      <c r="LE22" s="140">
        <f t="shared" si="338"/>
        <v>1107601</v>
      </c>
      <c r="LF22" s="341">
        <v>579122</v>
      </c>
      <c r="LG22" s="341">
        <v>528479</v>
      </c>
      <c r="LH22" s="9">
        <f t="shared" si="339"/>
        <v>125998</v>
      </c>
      <c r="LI22" s="341">
        <v>52071</v>
      </c>
      <c r="LJ22" s="341">
        <v>73927</v>
      </c>
      <c r="LK22" s="9">
        <f t="shared" si="340"/>
        <v>36199</v>
      </c>
      <c r="LL22" s="341">
        <v>18074</v>
      </c>
      <c r="LM22" s="341">
        <v>18125</v>
      </c>
      <c r="LN22" s="140">
        <f t="shared" si="341"/>
        <v>117641</v>
      </c>
      <c r="LO22" s="140">
        <f t="shared" si="342"/>
        <v>60577</v>
      </c>
      <c r="LP22" s="140">
        <f t="shared" si="343"/>
        <v>57064</v>
      </c>
      <c r="LQ22" s="349">
        <v>1661709</v>
      </c>
      <c r="LR22" s="341">
        <v>1324987</v>
      </c>
      <c r="LS22" s="341">
        <v>161035</v>
      </c>
      <c r="LT22" s="341">
        <v>175687</v>
      </c>
      <c r="LU22" s="9">
        <v>56597</v>
      </c>
      <c r="LV22" s="201">
        <v>1697369</v>
      </c>
      <c r="LW22" s="63">
        <v>1350523</v>
      </c>
      <c r="LX22" s="63">
        <v>164765</v>
      </c>
      <c r="LY22" s="63">
        <v>182081</v>
      </c>
      <c r="LZ22" s="63">
        <v>63130</v>
      </c>
      <c r="MA22" s="201">
        <v>1737186</v>
      </c>
      <c r="MB22" s="63">
        <v>1379390</v>
      </c>
      <c r="MC22" s="63">
        <v>169047</v>
      </c>
      <c r="MD22" s="63">
        <v>188749</v>
      </c>
      <c r="ME22" s="63">
        <v>65653</v>
      </c>
      <c r="MF22" s="201">
        <v>1791467</v>
      </c>
      <c r="MG22" s="63">
        <v>1398402</v>
      </c>
      <c r="MH22" s="63">
        <v>182026</v>
      </c>
      <c r="MI22" s="63">
        <v>211039</v>
      </c>
      <c r="MJ22" s="63">
        <v>73697</v>
      </c>
      <c r="MK22" s="14">
        <v>1847225.5649999999</v>
      </c>
      <c r="ML22" s="63">
        <v>1429362.828</v>
      </c>
      <c r="MM22" s="63">
        <v>190592.61000000002</v>
      </c>
      <c r="MN22" s="63">
        <v>76688.989000000001</v>
      </c>
      <c r="MO22" s="63">
        <v>227270.12699999995</v>
      </c>
      <c r="MP22" s="63">
        <v>1898021</v>
      </c>
      <c r="MQ22" s="63">
        <v>1462620</v>
      </c>
      <c r="MR22" s="63">
        <v>201121</v>
      </c>
      <c r="MS22" s="63">
        <v>81269</v>
      </c>
      <c r="MT22" s="2">
        <v>234280</v>
      </c>
      <c r="MU22" s="2">
        <v>1952409</v>
      </c>
      <c r="MV22" s="2">
        <v>1437370</v>
      </c>
      <c r="MW22" s="2">
        <v>208434</v>
      </c>
      <c r="MX22" s="2">
        <v>85883</v>
      </c>
      <c r="MY22" s="2">
        <v>139988</v>
      </c>
      <c r="MZ22" s="14">
        <v>360215</v>
      </c>
      <c r="NA22" s="7">
        <v>318365</v>
      </c>
      <c r="NB22" s="7">
        <v>24631</v>
      </c>
      <c r="NC22" s="7">
        <v>7455</v>
      </c>
      <c r="ND22" s="7">
        <v>17219</v>
      </c>
      <c r="NE22" s="14">
        <v>539977</v>
      </c>
      <c r="NF22" s="63">
        <v>449781</v>
      </c>
      <c r="NG22" s="63">
        <v>42614</v>
      </c>
      <c r="NH22" s="63">
        <v>14503</v>
      </c>
      <c r="NI22" s="63">
        <v>47582</v>
      </c>
      <c r="NJ22" s="14">
        <v>739727</v>
      </c>
      <c r="NK22" s="63">
        <v>582495</v>
      </c>
      <c r="NL22" s="63">
        <v>66935</v>
      </c>
      <c r="NM22" s="63">
        <v>25896</v>
      </c>
      <c r="NN22" s="63">
        <v>90297</v>
      </c>
      <c r="NO22" s="14">
        <v>765661.61100000003</v>
      </c>
      <c r="NP22" s="63">
        <v>596536.24800000002</v>
      </c>
      <c r="NQ22" s="63">
        <v>70372.656000000003</v>
      </c>
      <c r="NR22" s="63">
        <v>28107.728999999999</v>
      </c>
      <c r="NS22" s="319">
        <v>98752.707000000009</v>
      </c>
      <c r="NT22" s="1">
        <v>791123</v>
      </c>
      <c r="NU22" s="2">
        <v>613516</v>
      </c>
      <c r="NV22" s="2">
        <v>74706</v>
      </c>
      <c r="NW22" s="2">
        <v>29339</v>
      </c>
      <c r="NX22" s="79">
        <v>102901</v>
      </c>
      <c r="NY22" s="2">
        <v>814979</v>
      </c>
      <c r="NZ22" s="2">
        <v>604915</v>
      </c>
      <c r="OA22" s="2">
        <v>79496</v>
      </c>
      <c r="OB22" s="2">
        <v>31863</v>
      </c>
      <c r="OC22" s="2">
        <v>107455</v>
      </c>
    </row>
    <row r="23" spans="1:393" ht="14.25" x14ac:dyDescent="0.2">
      <c r="A23" s="243" t="s">
        <v>15</v>
      </c>
      <c r="B23" s="366">
        <f>28873+59039+68703+23199+60091+81129</f>
        <v>321034</v>
      </c>
      <c r="C23" s="367">
        <f>26925+56503+67080+21594+57208+78565</f>
        <v>307875</v>
      </c>
      <c r="D23" s="367">
        <f>1543+1768+1107+1215+2131+1852</f>
        <v>9616</v>
      </c>
      <c r="E23" s="367">
        <f>339+675+433+210+519+524</f>
        <v>2700</v>
      </c>
      <c r="F23" s="368">
        <f>22+88+70+27+5+13+45+78+66+105+139+107</f>
        <v>765</v>
      </c>
      <c r="G23" s="265">
        <v>196319</v>
      </c>
      <c r="H23" s="367">
        <v>191094</v>
      </c>
      <c r="I23" s="367">
        <v>4485</v>
      </c>
      <c r="J23" s="367">
        <v>547</v>
      </c>
      <c r="K23" s="368">
        <v>740</v>
      </c>
      <c r="L23" s="265">
        <v>123622</v>
      </c>
      <c r="M23" s="367">
        <v>119115</v>
      </c>
      <c r="N23" s="367">
        <v>2533</v>
      </c>
      <c r="O23" s="367">
        <v>734</v>
      </c>
      <c r="P23" s="368">
        <v>1974</v>
      </c>
      <c r="Q23" s="274">
        <v>84648</v>
      </c>
      <c r="R23" s="602">
        <v>81131</v>
      </c>
      <c r="S23" s="602">
        <v>1318</v>
      </c>
      <c r="T23" s="602">
        <v>1262</v>
      </c>
      <c r="U23" s="616">
        <v>2199</v>
      </c>
      <c r="V23" s="602">
        <v>75592</v>
      </c>
      <c r="W23" s="187">
        <v>72379</v>
      </c>
      <c r="X23" s="602">
        <v>1037</v>
      </c>
      <c r="Y23" s="602">
        <v>1190</v>
      </c>
      <c r="Z23" s="602">
        <v>2176</v>
      </c>
      <c r="AA23" s="602">
        <v>72402</v>
      </c>
      <c r="AB23" s="602">
        <v>68483</v>
      </c>
      <c r="AC23" s="602">
        <v>1018</v>
      </c>
      <c r="AD23" s="602">
        <v>1345</v>
      </c>
      <c r="AE23" s="483">
        <v>2003</v>
      </c>
      <c r="AF23" s="366">
        <v>202208</v>
      </c>
      <c r="AG23" s="367">
        <v>194287</v>
      </c>
      <c r="AH23" s="367">
        <v>7250</v>
      </c>
      <c r="AI23" s="367">
        <v>719</v>
      </c>
      <c r="AJ23" s="368">
        <v>671</v>
      </c>
      <c r="AK23" s="265">
        <v>182192</v>
      </c>
      <c r="AL23" s="367">
        <v>174394</v>
      </c>
      <c r="AM23" s="367">
        <v>5638</v>
      </c>
      <c r="AN23" s="367">
        <v>914</v>
      </c>
      <c r="AO23" s="368">
        <v>2160</v>
      </c>
      <c r="AP23" s="265">
        <v>140116</v>
      </c>
      <c r="AQ23" s="367">
        <v>133082</v>
      </c>
      <c r="AR23" s="367">
        <v>4408</v>
      </c>
      <c r="AS23" s="367">
        <v>1507</v>
      </c>
      <c r="AT23" s="368">
        <v>2626</v>
      </c>
      <c r="AU23" s="367">
        <v>131821</v>
      </c>
      <c r="AV23" s="367">
        <v>124390</v>
      </c>
      <c r="AW23" s="367">
        <v>4480</v>
      </c>
      <c r="AX23" s="367">
        <v>1428</v>
      </c>
      <c r="AY23" s="367">
        <v>2913</v>
      </c>
      <c r="AZ23" s="367">
        <v>129476</v>
      </c>
      <c r="BA23" s="367">
        <v>121798</v>
      </c>
      <c r="BB23" s="367">
        <v>3989</v>
      </c>
      <c r="BC23" s="367">
        <v>1488</v>
      </c>
      <c r="BD23" s="63">
        <v>2619</v>
      </c>
      <c r="BE23" s="264">
        <v>214978</v>
      </c>
      <c r="BF23" s="367">
        <v>204212</v>
      </c>
      <c r="BG23" s="367">
        <v>5569</v>
      </c>
      <c r="BH23" s="367">
        <v>2678</v>
      </c>
      <c r="BI23" s="585">
        <f t="shared" si="344"/>
        <v>5197</v>
      </c>
      <c r="BJ23" s="581">
        <v>162954</v>
      </c>
      <c r="BK23" s="369">
        <v>254055</v>
      </c>
      <c r="BL23" s="369">
        <v>305540</v>
      </c>
      <c r="BM23" s="369">
        <v>403410</v>
      </c>
      <c r="BN23" s="264">
        <v>642188</v>
      </c>
      <c r="BO23" s="367">
        <v>617080.36500000011</v>
      </c>
      <c r="BP23" s="367">
        <v>18319.59</v>
      </c>
      <c r="BQ23" s="367">
        <v>3242.835</v>
      </c>
      <c r="BR23" s="368">
        <v>3210.915</v>
      </c>
      <c r="BS23" s="265">
        <v>773239</v>
      </c>
      <c r="BT23" s="367">
        <v>746629</v>
      </c>
      <c r="BU23" s="367">
        <v>21519</v>
      </c>
      <c r="BV23" s="367">
        <v>2996</v>
      </c>
      <c r="BW23" s="368">
        <v>5091</v>
      </c>
      <c r="BX23" s="265">
        <v>927767</v>
      </c>
      <c r="BY23" s="367">
        <v>886385</v>
      </c>
      <c r="BZ23" s="367">
        <v>26773</v>
      </c>
      <c r="CA23" s="367">
        <v>4747</v>
      </c>
      <c r="CB23" s="367">
        <v>14609</v>
      </c>
      <c r="CC23" s="370">
        <v>1018506</v>
      </c>
      <c r="CD23" s="367">
        <v>969567</v>
      </c>
      <c r="CE23" s="367">
        <v>31793</v>
      </c>
      <c r="CF23" s="367">
        <v>17146</v>
      </c>
      <c r="CG23" s="367">
        <v>6472</v>
      </c>
      <c r="CH23" s="366">
        <v>1027797</v>
      </c>
      <c r="CI23" s="367">
        <v>978908</v>
      </c>
      <c r="CJ23" s="367">
        <v>31779</v>
      </c>
      <c r="CK23" s="367">
        <v>17110</v>
      </c>
      <c r="CL23" s="367">
        <v>6610</v>
      </c>
      <c r="CM23" s="268">
        <v>1032067</v>
      </c>
      <c r="CN23" s="269">
        <v>981698</v>
      </c>
      <c r="CO23" s="269">
        <v>30712</v>
      </c>
      <c r="CP23" s="269">
        <v>19657</v>
      </c>
      <c r="CQ23" s="269">
        <v>8124</v>
      </c>
      <c r="CR23" s="264">
        <v>1065387</v>
      </c>
      <c r="CS23" s="367">
        <v>1012016</v>
      </c>
      <c r="CT23" s="367">
        <v>32367</v>
      </c>
      <c r="CU23" s="367">
        <v>8181</v>
      </c>
      <c r="CV23" s="367">
        <v>10029</v>
      </c>
      <c r="CW23" s="264">
        <v>1080072.534</v>
      </c>
      <c r="CX23" s="367">
        <v>1024752.4349999999</v>
      </c>
      <c r="CY23" s="367">
        <v>31559.65</v>
      </c>
      <c r="CZ23" s="367">
        <v>9029.3119999999999</v>
      </c>
      <c r="DA23" s="622">
        <f t="shared" si="345"/>
        <v>23760.449000000044</v>
      </c>
      <c r="DB23" s="367">
        <v>1089980</v>
      </c>
      <c r="DC23" s="367">
        <v>1034844</v>
      </c>
      <c r="DD23" s="367">
        <v>31660</v>
      </c>
      <c r="DE23" s="367">
        <v>8925</v>
      </c>
      <c r="DF23" s="367">
        <v>23074</v>
      </c>
      <c r="DG23" s="367">
        <v>1096625</v>
      </c>
      <c r="DH23" s="367">
        <v>1032155</v>
      </c>
      <c r="DI23" s="367">
        <v>32566</v>
      </c>
      <c r="DJ23" s="367">
        <v>9529</v>
      </c>
      <c r="DK23" s="63">
        <v>18499</v>
      </c>
      <c r="DL23" s="264">
        <f>55360+59022</f>
        <v>114382</v>
      </c>
      <c r="DM23" s="367">
        <f>56243+52926</f>
        <v>109169</v>
      </c>
      <c r="DN23" s="367">
        <f>1892+2071</f>
        <v>3963</v>
      </c>
      <c r="DO23" s="367">
        <f>382+305</f>
        <v>687</v>
      </c>
      <c r="DP23" s="368">
        <f>64+124+54+219</f>
        <v>461</v>
      </c>
      <c r="DQ23" s="265">
        <v>199598</v>
      </c>
      <c r="DR23" s="367">
        <v>191753</v>
      </c>
      <c r="DS23" s="367">
        <v>6804</v>
      </c>
      <c r="DT23" s="367">
        <v>986</v>
      </c>
      <c r="DU23" s="368">
        <v>1041</v>
      </c>
      <c r="DV23" s="265">
        <v>258473</v>
      </c>
      <c r="DW23" s="367">
        <v>245563</v>
      </c>
      <c r="DX23" s="367">
        <v>9050</v>
      </c>
      <c r="DY23" s="367">
        <v>1381</v>
      </c>
      <c r="DZ23" s="368">
        <v>3860</v>
      </c>
      <c r="EA23" s="265">
        <v>313726</v>
      </c>
      <c r="EB23" s="367">
        <v>295218</v>
      </c>
      <c r="EC23" s="367">
        <v>11695</v>
      </c>
      <c r="ED23" s="367">
        <v>3161</v>
      </c>
      <c r="EE23" s="368">
        <v>6813</v>
      </c>
      <c r="EF23" s="265">
        <v>314697.39299999998</v>
      </c>
      <c r="EG23" s="367">
        <v>296476.995</v>
      </c>
      <c r="EH23" s="367">
        <v>11175.829</v>
      </c>
      <c r="EI23" s="367">
        <v>3368.4480000000003</v>
      </c>
      <c r="EJ23" s="368">
        <v>7044.5689999999868</v>
      </c>
      <c r="EK23" s="367">
        <v>319146</v>
      </c>
      <c r="EL23" s="367">
        <v>299347</v>
      </c>
      <c r="EM23" s="367">
        <v>12205</v>
      </c>
      <c r="EN23" s="367">
        <v>3227</v>
      </c>
      <c r="EO23" s="662">
        <v>7337</v>
      </c>
      <c r="EP23" s="718">
        <v>324874</v>
      </c>
      <c r="EQ23" s="718">
        <v>302438</v>
      </c>
      <c r="ER23" s="718">
        <v>11866</v>
      </c>
      <c r="ES23" s="718">
        <v>3218</v>
      </c>
      <c r="ET23" s="718">
        <v>7881</v>
      </c>
      <c r="EU23" s="264">
        <v>44509</v>
      </c>
      <c r="EV23" s="367">
        <v>42964</v>
      </c>
      <c r="EW23" s="367">
        <v>1242</v>
      </c>
      <c r="EX23" s="367">
        <v>231</v>
      </c>
      <c r="EY23" s="368">
        <v>303</v>
      </c>
      <c r="EZ23" s="265">
        <v>53448</v>
      </c>
      <c r="FA23" s="367">
        <v>51023</v>
      </c>
      <c r="FB23" s="367">
        <v>1541</v>
      </c>
      <c r="FC23" s="367">
        <v>245</v>
      </c>
      <c r="FD23" s="368">
        <v>884</v>
      </c>
      <c r="FE23" s="366">
        <v>75683</v>
      </c>
      <c r="FF23" s="367">
        <v>71583</v>
      </c>
      <c r="FG23" s="367">
        <v>2443</v>
      </c>
      <c r="FH23" s="367">
        <v>742</v>
      </c>
      <c r="FI23" s="367">
        <v>1657</v>
      </c>
      <c r="FJ23" s="366"/>
      <c r="FK23" s="367"/>
      <c r="FL23" s="367"/>
      <c r="FM23" s="367"/>
      <c r="FN23" s="368"/>
      <c r="FO23" s="366">
        <v>80373</v>
      </c>
      <c r="FP23" s="367">
        <v>76544</v>
      </c>
      <c r="FQ23" s="367">
        <v>2067</v>
      </c>
      <c r="FR23" s="367">
        <v>756</v>
      </c>
      <c r="FS23" s="368">
        <v>1762</v>
      </c>
      <c r="FT23" s="63">
        <v>84486</v>
      </c>
      <c r="FU23" s="63">
        <v>80123</v>
      </c>
      <c r="FV23" s="63">
        <v>1848</v>
      </c>
      <c r="FW23" s="63">
        <v>724</v>
      </c>
      <c r="FX23" s="63">
        <v>1913</v>
      </c>
      <c r="FY23" s="609">
        <f t="shared" si="346"/>
        <v>189027</v>
      </c>
      <c r="FZ23" s="584">
        <f t="shared" si="347"/>
        <v>181049</v>
      </c>
      <c r="GA23" s="584">
        <f t="shared" si="348"/>
        <v>4866</v>
      </c>
      <c r="GB23" s="584">
        <f t="shared" si="349"/>
        <v>981</v>
      </c>
      <c r="GC23" s="584">
        <f t="shared" si="350"/>
        <v>3112</v>
      </c>
      <c r="GD23" s="609">
        <f t="shared" si="351"/>
        <v>236408</v>
      </c>
      <c r="GE23" s="584">
        <f t="shared" si="352"/>
        <v>224029</v>
      </c>
      <c r="GF23" s="584">
        <f t="shared" si="353"/>
        <v>5565</v>
      </c>
      <c r="GG23" s="584">
        <f t="shared" si="354"/>
        <v>1502</v>
      </c>
      <c r="GH23" s="584">
        <f t="shared" si="355"/>
        <v>6814</v>
      </c>
      <c r="GI23" s="366">
        <v>252882</v>
      </c>
      <c r="GJ23" s="367">
        <v>239225</v>
      </c>
      <c r="GK23" s="367">
        <v>6568</v>
      </c>
      <c r="GL23" s="367">
        <v>2485</v>
      </c>
      <c r="GM23" s="367">
        <v>7089</v>
      </c>
      <c r="GN23" s="601"/>
      <c r="GO23" s="602"/>
      <c r="GP23" s="602"/>
      <c r="GQ23" s="602"/>
      <c r="GR23" s="602"/>
      <c r="GS23" s="602">
        <v>317964</v>
      </c>
      <c r="GT23" s="602">
        <v>300597</v>
      </c>
      <c r="GU23" s="602">
        <v>7585</v>
      </c>
      <c r="GV23" s="602">
        <v>3415</v>
      </c>
      <c r="GW23" s="616">
        <v>9782</v>
      </c>
      <c r="GX23" s="602">
        <v>1159968</v>
      </c>
      <c r="GY23" s="602">
        <v>308319</v>
      </c>
      <c r="GZ23" s="602">
        <v>7630</v>
      </c>
      <c r="HA23" s="602">
        <v>3531</v>
      </c>
      <c r="HB23" s="602">
        <v>6880</v>
      </c>
      <c r="HC23" s="264">
        <v>88136</v>
      </c>
      <c r="HD23" s="265">
        <v>84796</v>
      </c>
      <c r="HE23" s="265">
        <v>2352</v>
      </c>
      <c r="HF23" s="265">
        <v>389</v>
      </c>
      <c r="HG23" s="265">
        <v>988</v>
      </c>
      <c r="HH23" s="264">
        <v>109651</v>
      </c>
      <c r="HI23" s="367">
        <v>104428</v>
      </c>
      <c r="HJ23" s="367">
        <v>2585</v>
      </c>
      <c r="HK23" s="367">
        <v>780</v>
      </c>
      <c r="HL23" s="367">
        <v>2638</v>
      </c>
      <c r="HM23" s="366">
        <v>136100</v>
      </c>
      <c r="HN23" s="367">
        <v>129653</v>
      </c>
      <c r="HO23" s="367">
        <v>3178</v>
      </c>
      <c r="HP23" s="367">
        <v>1137</v>
      </c>
      <c r="HQ23" s="367">
        <v>3269</v>
      </c>
      <c r="HR23" s="366">
        <v>143750.66099999999</v>
      </c>
      <c r="HS23" s="367">
        <v>136551.64499999999</v>
      </c>
      <c r="HT23" s="367">
        <v>3527.2550000000001</v>
      </c>
      <c r="HU23" s="367">
        <v>1321.6480000000001</v>
      </c>
      <c r="HV23" s="367">
        <v>3671.7610000000032</v>
      </c>
      <c r="HW23" s="367">
        <v>150542</v>
      </c>
      <c r="HX23" s="367">
        <v>141638</v>
      </c>
      <c r="HY23" s="367">
        <v>3654</v>
      </c>
      <c r="HZ23" s="367">
        <v>1583</v>
      </c>
      <c r="IA23" s="367">
        <v>3857</v>
      </c>
      <c r="IB23" s="553">
        <v>31163</v>
      </c>
      <c r="IC23" s="371">
        <v>44710</v>
      </c>
      <c r="ID23" s="372">
        <v>52323</v>
      </c>
      <c r="IE23" s="373">
        <f t="shared" si="303"/>
        <v>29445</v>
      </c>
      <c r="IF23" s="373">
        <f t="shared" si="304"/>
        <v>22878</v>
      </c>
      <c r="IG23" s="373">
        <f t="shared" si="305"/>
        <v>50264</v>
      </c>
      <c r="IH23" s="374">
        <v>28570</v>
      </c>
      <c r="II23" s="374">
        <v>21694</v>
      </c>
      <c r="IJ23" s="373">
        <f t="shared" si="306"/>
        <v>2059</v>
      </c>
      <c r="IK23" s="374">
        <v>875</v>
      </c>
      <c r="IL23" s="374">
        <v>1184</v>
      </c>
      <c r="IM23" s="372">
        <v>65575</v>
      </c>
      <c r="IN23" s="373">
        <f t="shared" si="307"/>
        <v>36364</v>
      </c>
      <c r="IO23" s="373">
        <f t="shared" si="308"/>
        <v>29211</v>
      </c>
      <c r="IP23" s="373">
        <f t="shared" si="309"/>
        <v>63407</v>
      </c>
      <c r="IQ23" s="374">
        <v>35395</v>
      </c>
      <c r="IR23" s="374">
        <v>28012</v>
      </c>
      <c r="IS23" s="373">
        <f t="shared" si="310"/>
        <v>1765</v>
      </c>
      <c r="IT23" s="374">
        <v>713</v>
      </c>
      <c r="IU23" s="374">
        <v>1052</v>
      </c>
      <c r="IV23" s="373">
        <f t="shared" si="311"/>
        <v>403</v>
      </c>
      <c r="IW23" s="374">
        <v>256</v>
      </c>
      <c r="IX23" s="374">
        <v>147</v>
      </c>
      <c r="IY23" s="372">
        <v>119488</v>
      </c>
      <c r="IZ23" s="373">
        <f t="shared" si="312"/>
        <v>66078</v>
      </c>
      <c r="JA23" s="373">
        <f t="shared" si="313"/>
        <v>53410</v>
      </c>
      <c r="JB23" s="367">
        <f>62794+50630</f>
        <v>113424</v>
      </c>
      <c r="JC23" s="374">
        <v>62794</v>
      </c>
      <c r="JD23" s="374">
        <v>50630</v>
      </c>
      <c r="JE23" s="374">
        <v>3284</v>
      </c>
      <c r="JF23" s="374">
        <v>2780</v>
      </c>
      <c r="JG23" s="367">
        <f>1443+1799</f>
        <v>3242</v>
      </c>
      <c r="JH23" s="374">
        <v>1443</v>
      </c>
      <c r="JI23" s="374">
        <v>1799</v>
      </c>
      <c r="JJ23" s="367">
        <f>543+275</f>
        <v>818</v>
      </c>
      <c r="JK23" s="374">
        <v>543</v>
      </c>
      <c r="JL23" s="374">
        <v>275</v>
      </c>
      <c r="JM23" s="375">
        <f t="shared" si="314"/>
        <v>2004</v>
      </c>
      <c r="JN23" s="375">
        <f t="shared" si="315"/>
        <v>1298</v>
      </c>
      <c r="JO23" s="375">
        <f t="shared" si="316"/>
        <v>706</v>
      </c>
      <c r="JP23" s="376">
        <f t="shared" si="317"/>
        <v>94</v>
      </c>
      <c r="JQ23" s="376">
        <f t="shared" si="318"/>
        <v>72</v>
      </c>
      <c r="JR23" s="376">
        <f t="shared" si="319"/>
        <v>22</v>
      </c>
      <c r="JS23" s="374">
        <v>1910</v>
      </c>
      <c r="JT23" s="374">
        <v>1226</v>
      </c>
      <c r="JU23" s="374">
        <v>684</v>
      </c>
      <c r="JV23" s="270">
        <f t="shared" si="320"/>
        <v>144518</v>
      </c>
      <c r="JW23" s="373">
        <f t="shared" si="321"/>
        <v>75430</v>
      </c>
      <c r="JX23" s="373">
        <f t="shared" si="322"/>
        <v>69088</v>
      </c>
      <c r="JY23" s="271">
        <f t="shared" si="323"/>
        <v>138085</v>
      </c>
      <c r="JZ23" s="272">
        <f t="shared" si="324"/>
        <v>137468</v>
      </c>
      <c r="KA23" s="374">
        <v>71807</v>
      </c>
      <c r="KB23" s="374">
        <v>65661</v>
      </c>
      <c r="KC23" s="374">
        <v>3623</v>
      </c>
      <c r="KD23" s="374">
        <v>3427</v>
      </c>
      <c r="KE23" s="271">
        <f t="shared" si="325"/>
        <v>3624</v>
      </c>
      <c r="KF23" s="272">
        <f t="shared" si="326"/>
        <v>3600</v>
      </c>
      <c r="KG23" s="374">
        <v>1711</v>
      </c>
      <c r="KH23" s="374">
        <v>1889</v>
      </c>
      <c r="KI23" s="271">
        <f t="shared" si="327"/>
        <v>750</v>
      </c>
      <c r="KJ23" s="374">
        <v>380</v>
      </c>
      <c r="KK23" s="374">
        <v>370</v>
      </c>
      <c r="KL23" s="273">
        <f t="shared" si="328"/>
        <v>2809</v>
      </c>
      <c r="KM23" s="377">
        <f t="shared" si="329"/>
        <v>1532</v>
      </c>
      <c r="KN23" s="377">
        <f t="shared" si="330"/>
        <v>1168</v>
      </c>
      <c r="KO23" s="378">
        <f t="shared" si="331"/>
        <v>14</v>
      </c>
      <c r="KP23" s="378">
        <f t="shared" si="332"/>
        <v>0</v>
      </c>
      <c r="KQ23" s="378">
        <f t="shared" si="333"/>
        <v>14</v>
      </c>
      <c r="KR23" s="379">
        <f t="shared" si="334"/>
        <v>2686</v>
      </c>
      <c r="KS23" s="379">
        <f t="shared" si="335"/>
        <v>1532</v>
      </c>
      <c r="KT23" s="379">
        <f t="shared" si="336"/>
        <v>1154</v>
      </c>
      <c r="KU23" s="374">
        <v>69</v>
      </c>
      <c r="KV23" s="374">
        <v>51</v>
      </c>
      <c r="KW23" s="374">
        <v>1463</v>
      </c>
      <c r="KX23" s="374">
        <v>1103</v>
      </c>
      <c r="KY23" s="380">
        <v>182960</v>
      </c>
      <c r="KZ23" s="374">
        <v>92209</v>
      </c>
      <c r="LA23" s="374">
        <v>90751</v>
      </c>
      <c r="LB23" s="274">
        <f t="shared" si="337"/>
        <v>173006</v>
      </c>
      <c r="LC23" s="274">
        <v>87147</v>
      </c>
      <c r="LD23" s="274">
        <v>85859</v>
      </c>
      <c r="LE23" s="275">
        <f t="shared" si="338"/>
        <v>172046</v>
      </c>
      <c r="LF23" s="374">
        <v>86651</v>
      </c>
      <c r="LG23" s="374">
        <v>85395</v>
      </c>
      <c r="LH23" s="274">
        <f t="shared" si="339"/>
        <v>4024</v>
      </c>
      <c r="LI23" s="374">
        <v>1869</v>
      </c>
      <c r="LJ23" s="374">
        <v>2155</v>
      </c>
      <c r="LK23" s="274">
        <f t="shared" si="340"/>
        <v>1257</v>
      </c>
      <c r="LL23" s="374">
        <v>705</v>
      </c>
      <c r="LM23" s="374">
        <v>552</v>
      </c>
      <c r="LN23" s="275">
        <f t="shared" si="341"/>
        <v>5930</v>
      </c>
      <c r="LO23" s="275">
        <f t="shared" si="342"/>
        <v>3193</v>
      </c>
      <c r="LP23" s="275">
        <f t="shared" si="343"/>
        <v>2737</v>
      </c>
      <c r="LQ23" s="381">
        <v>211965</v>
      </c>
      <c r="LR23" s="374">
        <v>199853</v>
      </c>
      <c r="LS23" s="374">
        <v>5190</v>
      </c>
      <c r="LT23" s="374">
        <v>6922</v>
      </c>
      <c r="LU23" s="274">
        <v>1809</v>
      </c>
      <c r="LV23" s="366">
        <v>214524</v>
      </c>
      <c r="LW23" s="367">
        <v>202876</v>
      </c>
      <c r="LX23" s="367">
        <v>5283</v>
      </c>
      <c r="LY23" s="367">
        <v>6365</v>
      </c>
      <c r="LZ23" s="367">
        <v>1709</v>
      </c>
      <c r="MA23" s="366">
        <v>217052</v>
      </c>
      <c r="MB23" s="367">
        <v>205157</v>
      </c>
      <c r="MC23" s="367">
        <v>4855</v>
      </c>
      <c r="MD23" s="367">
        <v>7040</v>
      </c>
      <c r="ME23" s="367">
        <v>1874</v>
      </c>
      <c r="MF23" s="366">
        <v>222752</v>
      </c>
      <c r="MG23" s="367">
        <v>210554</v>
      </c>
      <c r="MH23" s="367">
        <v>5062</v>
      </c>
      <c r="MI23" s="367">
        <v>7136</v>
      </c>
      <c r="MJ23" s="367">
        <v>2157</v>
      </c>
      <c r="MK23" s="264">
        <v>231814.12900000002</v>
      </c>
      <c r="ML23" s="367">
        <v>217744.51500000001</v>
      </c>
      <c r="MM23" s="367">
        <v>5420.8339999999998</v>
      </c>
      <c r="MN23" s="367">
        <v>2479.5520000000001</v>
      </c>
      <c r="MO23" s="367">
        <v>8648.7800000000025</v>
      </c>
      <c r="MP23" s="367">
        <v>237591</v>
      </c>
      <c r="MQ23" s="367">
        <v>224053</v>
      </c>
      <c r="MR23" s="367">
        <v>5518</v>
      </c>
      <c r="MS23" s="367">
        <v>2659</v>
      </c>
      <c r="MT23" s="2">
        <v>8020</v>
      </c>
      <c r="MU23" s="2">
        <v>244672</v>
      </c>
      <c r="MV23" s="2">
        <v>228196</v>
      </c>
      <c r="MW23" s="2">
        <v>5782</v>
      </c>
      <c r="MX23" s="2">
        <v>2807</v>
      </c>
      <c r="MY23" s="2">
        <v>5252</v>
      </c>
      <c r="MZ23" s="264">
        <v>56382</v>
      </c>
      <c r="NA23" s="265">
        <v>53289</v>
      </c>
      <c r="NB23" s="265">
        <v>1272</v>
      </c>
      <c r="NC23" s="265">
        <v>361</v>
      </c>
      <c r="ND23" s="265">
        <v>1821</v>
      </c>
      <c r="NE23" s="264">
        <v>73309</v>
      </c>
      <c r="NF23" s="367">
        <v>68578</v>
      </c>
      <c r="NG23" s="367">
        <v>1439</v>
      </c>
      <c r="NH23" s="367">
        <v>477</v>
      </c>
      <c r="NI23" s="367">
        <v>3292</v>
      </c>
      <c r="NJ23" s="264">
        <v>86652</v>
      </c>
      <c r="NK23" s="367">
        <v>80901</v>
      </c>
      <c r="NL23" s="367">
        <v>1884</v>
      </c>
      <c r="NM23" s="367">
        <v>1020</v>
      </c>
      <c r="NN23" s="367">
        <v>3867</v>
      </c>
      <c r="NO23" s="264">
        <v>88063.468000000008</v>
      </c>
      <c r="NP23" s="367">
        <v>81192.87000000001</v>
      </c>
      <c r="NQ23" s="367">
        <v>1893.579</v>
      </c>
      <c r="NR23" s="367">
        <v>1157.904</v>
      </c>
      <c r="NS23" s="368">
        <v>4977.0189999999984</v>
      </c>
      <c r="NT23" s="4">
        <v>90206</v>
      </c>
      <c r="NU23" s="4">
        <v>83950</v>
      </c>
      <c r="NV23" s="4">
        <v>1924</v>
      </c>
      <c r="NW23" s="4">
        <v>999</v>
      </c>
      <c r="NX23" s="233">
        <v>4332</v>
      </c>
      <c r="NY23" s="2">
        <v>94130</v>
      </c>
      <c r="NZ23" s="2">
        <v>86558</v>
      </c>
      <c r="OA23" s="2">
        <v>2128</v>
      </c>
      <c r="OB23" s="2">
        <v>1224</v>
      </c>
      <c r="OC23" s="2">
        <v>4644</v>
      </c>
    </row>
    <row r="24" spans="1:393" x14ac:dyDescent="0.2">
      <c r="A24" s="247" t="s">
        <v>183</v>
      </c>
      <c r="B24" s="281" t="s">
        <v>186</v>
      </c>
      <c r="C24" s="282" t="s">
        <v>186</v>
      </c>
      <c r="D24" s="282" t="s">
        <v>186</v>
      </c>
      <c r="E24" s="282" t="s">
        <v>186</v>
      </c>
      <c r="F24" s="283" t="s">
        <v>186</v>
      </c>
      <c r="G24" s="288">
        <f>SUM(G26:G38)</f>
        <v>3070922</v>
      </c>
      <c r="H24" s="288">
        <f t="shared" ref="H24:AT24" si="356">SUM(H26:H38)</f>
        <v>1677005</v>
      </c>
      <c r="I24" s="288">
        <f t="shared" si="356"/>
        <v>112575</v>
      </c>
      <c r="J24" s="288">
        <f t="shared" si="356"/>
        <v>1579686</v>
      </c>
      <c r="K24" s="289">
        <f t="shared" si="356"/>
        <v>1281342</v>
      </c>
      <c r="L24" s="288">
        <f>SUM(L26:L38)</f>
        <v>3490247</v>
      </c>
      <c r="M24" s="288">
        <f t="shared" si="356"/>
        <v>1509548</v>
      </c>
      <c r="N24" s="288">
        <f t="shared" si="356"/>
        <v>78279</v>
      </c>
      <c r="O24" s="288">
        <f t="shared" si="356"/>
        <v>2267507</v>
      </c>
      <c r="P24" s="289">
        <f t="shared" si="356"/>
        <v>1867744</v>
      </c>
      <c r="Q24" s="385">
        <f>SUM(Q26:Q38)</f>
        <v>3598315</v>
      </c>
      <c r="R24" s="385">
        <f t="shared" ref="R24:W24" si="357">SUM(R26:R38)</f>
        <v>2012096</v>
      </c>
      <c r="S24" s="385">
        <f t="shared" si="357"/>
        <v>73524</v>
      </c>
      <c r="T24" s="385">
        <f t="shared" si="357"/>
        <v>2610800</v>
      </c>
      <c r="U24" s="603">
        <f t="shared" si="357"/>
        <v>1512695</v>
      </c>
      <c r="V24" s="385">
        <f>SUM(V26:V38)</f>
        <v>3600341</v>
      </c>
      <c r="W24" s="385">
        <f t="shared" si="357"/>
        <v>2026050</v>
      </c>
      <c r="X24" s="385">
        <f t="shared" ref="X24" si="358">SUM(X26:X38)</f>
        <v>72950</v>
      </c>
      <c r="Y24" s="385">
        <f t="shared" ref="Y24" si="359">SUM(Y26:Y38)</f>
        <v>2628979</v>
      </c>
      <c r="Z24" s="603">
        <f t="shared" ref="Z24:AE24" si="360">SUM(Z26:Z38)</f>
        <v>1501207</v>
      </c>
      <c r="AA24" s="603">
        <f t="shared" si="360"/>
        <v>3597820</v>
      </c>
      <c r="AB24" s="603">
        <f t="shared" si="360"/>
        <v>415154</v>
      </c>
      <c r="AC24" s="603">
        <f t="shared" si="360"/>
        <v>71834</v>
      </c>
      <c r="AD24" s="603">
        <f t="shared" si="360"/>
        <v>2628070</v>
      </c>
      <c r="AE24" s="603">
        <f t="shared" si="360"/>
        <v>1506648</v>
      </c>
      <c r="AF24" s="288">
        <f>SUM(AF26:AF38)</f>
        <v>4029170</v>
      </c>
      <c r="AG24" s="288">
        <f t="shared" si="356"/>
        <v>2946804</v>
      </c>
      <c r="AH24" s="288">
        <f t="shared" si="356"/>
        <v>268300</v>
      </c>
      <c r="AI24" s="288">
        <f t="shared" si="356"/>
        <v>973015</v>
      </c>
      <c r="AJ24" s="289">
        <f t="shared" si="356"/>
        <v>814066</v>
      </c>
      <c r="AK24" s="288">
        <f>SUM(AK26:AK38)</f>
        <v>4306724</v>
      </c>
      <c r="AL24" s="288">
        <f t="shared" si="356"/>
        <v>2665485</v>
      </c>
      <c r="AM24" s="288">
        <f t="shared" si="356"/>
        <v>260573</v>
      </c>
      <c r="AN24" s="288">
        <f t="shared" si="356"/>
        <v>1510816</v>
      </c>
      <c r="AO24" s="289">
        <f t="shared" si="356"/>
        <v>1345359</v>
      </c>
      <c r="AP24" s="288">
        <f>SUM(AP26:AP38)</f>
        <v>3692468</v>
      </c>
      <c r="AQ24" s="288">
        <f t="shared" si="356"/>
        <v>2396910</v>
      </c>
      <c r="AR24" s="288">
        <f t="shared" si="356"/>
        <v>189627</v>
      </c>
      <c r="AS24" s="288">
        <f t="shared" si="356"/>
        <v>1741129</v>
      </c>
      <c r="AT24" s="289">
        <f t="shared" si="356"/>
        <v>1105931</v>
      </c>
      <c r="AU24" s="289">
        <f t="shared" ref="AU24:BI24" si="361">SUM(AU26:AU38)</f>
        <v>3668913</v>
      </c>
      <c r="AV24" s="289">
        <f t="shared" si="361"/>
        <v>2378228</v>
      </c>
      <c r="AW24" s="289">
        <f t="shared" si="361"/>
        <v>183674</v>
      </c>
      <c r="AX24" s="289">
        <f t="shared" si="361"/>
        <v>1784574</v>
      </c>
      <c r="AY24" s="289">
        <f t="shared" si="361"/>
        <v>1106819</v>
      </c>
      <c r="AZ24" s="289">
        <f t="shared" si="361"/>
        <v>3638039</v>
      </c>
      <c r="BA24" s="289">
        <f t="shared" si="361"/>
        <v>1241086</v>
      </c>
      <c r="BB24" s="289">
        <f t="shared" si="361"/>
        <v>187885</v>
      </c>
      <c r="BC24" s="289">
        <f t="shared" si="361"/>
        <v>1793873</v>
      </c>
      <c r="BD24" s="289">
        <f t="shared" si="361"/>
        <v>1111356</v>
      </c>
      <c r="BE24" s="579">
        <f t="shared" si="361"/>
        <v>7305869</v>
      </c>
      <c r="BF24" s="288">
        <f t="shared" si="361"/>
        <v>4418263</v>
      </c>
      <c r="BG24" s="288">
        <f t="shared" si="361"/>
        <v>256515</v>
      </c>
      <c r="BH24" s="288">
        <f t="shared" si="361"/>
        <v>4405657</v>
      </c>
      <c r="BI24" s="288">
        <f t="shared" si="361"/>
        <v>2631091</v>
      </c>
      <c r="BJ24" s="281" t="s">
        <v>186</v>
      </c>
      <c r="BK24" s="282" t="s">
        <v>186</v>
      </c>
      <c r="BL24" s="282" t="s">
        <v>186</v>
      </c>
      <c r="BM24" s="282" t="s">
        <v>186</v>
      </c>
      <c r="BN24" s="281" t="s">
        <v>186</v>
      </c>
      <c r="BO24" s="282" t="s">
        <v>186</v>
      </c>
      <c r="BP24" s="282" t="s">
        <v>186</v>
      </c>
      <c r="BQ24" s="282" t="s">
        <v>186</v>
      </c>
      <c r="BR24" s="283" t="s">
        <v>186</v>
      </c>
      <c r="BS24" s="288">
        <f>SUM(BS26:BS38)</f>
        <v>26015125</v>
      </c>
      <c r="BT24" s="288">
        <f t="shared" ref="BT24:BW24" si="362">SUM(BT26:BT38)</f>
        <v>21618084</v>
      </c>
      <c r="BU24" s="288">
        <f t="shared" si="362"/>
        <v>1218498</v>
      </c>
      <c r="BV24" s="288">
        <f t="shared" si="362"/>
        <v>2339863</v>
      </c>
      <c r="BW24" s="289">
        <f t="shared" si="362"/>
        <v>3178543</v>
      </c>
      <c r="BX24" s="288">
        <f>SUM(BX26:BX38)</f>
        <v>32127941</v>
      </c>
      <c r="BY24" s="288">
        <f t="shared" ref="BY24:HN24" si="363">SUM(BY26:BY38)</f>
        <v>24790915</v>
      </c>
      <c r="BZ24" s="288">
        <f t="shared" si="363"/>
        <v>1451830</v>
      </c>
      <c r="CA24" s="288">
        <f t="shared" si="363"/>
        <v>3685446</v>
      </c>
      <c r="CB24" s="288">
        <f t="shared" si="363"/>
        <v>5757766</v>
      </c>
      <c r="CC24" s="288">
        <f>SUM(CC26:CC38)</f>
        <v>36983068</v>
      </c>
      <c r="CD24" s="288">
        <f t="shared" si="363"/>
        <v>27739773</v>
      </c>
      <c r="CE24" s="288">
        <f t="shared" si="363"/>
        <v>1678286</v>
      </c>
      <c r="CF24" s="288">
        <f t="shared" si="363"/>
        <v>7565009</v>
      </c>
      <c r="CG24" s="289">
        <f t="shared" si="363"/>
        <v>5663946</v>
      </c>
      <c r="CH24" s="288">
        <f>SUM(CH26:CH38)</f>
        <v>37657117</v>
      </c>
      <c r="CI24" s="288">
        <f t="shared" si="363"/>
        <v>28374576</v>
      </c>
      <c r="CJ24" s="288">
        <f t="shared" si="363"/>
        <v>1708981</v>
      </c>
      <c r="CK24" s="288">
        <f t="shared" si="363"/>
        <v>7573560</v>
      </c>
      <c r="CL24" s="289">
        <f t="shared" si="363"/>
        <v>5886982</v>
      </c>
      <c r="CM24" s="288">
        <f>SUM(CM26:CM38)</f>
        <v>38235571</v>
      </c>
      <c r="CN24" s="288">
        <f t="shared" si="363"/>
        <v>28934045</v>
      </c>
      <c r="CO24" s="288">
        <f t="shared" si="363"/>
        <v>1759952</v>
      </c>
      <c r="CP24" s="288">
        <f t="shared" si="363"/>
        <v>7541574</v>
      </c>
      <c r="CQ24" s="288">
        <f t="shared" si="363"/>
        <v>6024676</v>
      </c>
      <c r="CR24" s="288">
        <f t="shared" ref="CR24:DK24" si="364">SUM(CR26:CR38)</f>
        <v>38857247</v>
      </c>
      <c r="CS24" s="288">
        <f t="shared" si="364"/>
        <v>29347597</v>
      </c>
      <c r="CT24" s="288">
        <f t="shared" si="364"/>
        <v>1807161</v>
      </c>
      <c r="CU24" s="288">
        <f t="shared" si="364"/>
        <v>6253362</v>
      </c>
      <c r="CV24" s="288">
        <f t="shared" si="364"/>
        <v>6678300</v>
      </c>
      <c r="CW24" s="288">
        <f t="shared" si="364"/>
        <v>39525024.861000001</v>
      </c>
      <c r="CX24" s="288">
        <f t="shared" si="364"/>
        <v>29815207.877000004</v>
      </c>
      <c r="CY24" s="288">
        <f t="shared" si="364"/>
        <v>1836201.4809999999</v>
      </c>
      <c r="CZ24" s="288">
        <f t="shared" si="364"/>
        <v>6522260.2780000009</v>
      </c>
      <c r="DA24" s="289">
        <f t="shared" si="364"/>
        <v>7873615.5029999996</v>
      </c>
      <c r="DB24" s="289">
        <f t="shared" si="364"/>
        <v>40226083</v>
      </c>
      <c r="DC24" s="288">
        <f t="shared" si="364"/>
        <v>30245923</v>
      </c>
      <c r="DD24" s="288">
        <f t="shared" si="364"/>
        <v>1878366</v>
      </c>
      <c r="DE24" s="288">
        <f t="shared" si="364"/>
        <v>6792740</v>
      </c>
      <c r="DF24" s="288">
        <f t="shared" si="364"/>
        <v>8099540</v>
      </c>
      <c r="DG24" s="288">
        <f t="shared" si="364"/>
        <v>40924889</v>
      </c>
      <c r="DH24" s="288">
        <f t="shared" si="364"/>
        <v>26127616</v>
      </c>
      <c r="DI24" s="288">
        <f t="shared" si="364"/>
        <v>1913184</v>
      </c>
      <c r="DJ24" s="288">
        <f t="shared" si="364"/>
        <v>7060332</v>
      </c>
      <c r="DK24" s="288">
        <f t="shared" si="364"/>
        <v>4620587</v>
      </c>
      <c r="DL24" s="281" t="s">
        <v>186</v>
      </c>
      <c r="DM24" s="282" t="s">
        <v>186</v>
      </c>
      <c r="DN24" s="282" t="s">
        <v>186</v>
      </c>
      <c r="DO24" s="282" t="s">
        <v>186</v>
      </c>
      <c r="DP24" s="283" t="s">
        <v>186</v>
      </c>
      <c r="DQ24" s="288">
        <f>SUM(DQ26:DQ38)</f>
        <v>10272291</v>
      </c>
      <c r="DR24" s="288">
        <f t="shared" si="363"/>
        <v>8502412</v>
      </c>
      <c r="DS24" s="288">
        <f t="shared" si="363"/>
        <v>589085</v>
      </c>
      <c r="DT24" s="288">
        <f t="shared" si="363"/>
        <v>966767</v>
      </c>
      <c r="DU24" s="289">
        <f t="shared" si="363"/>
        <v>1180794</v>
      </c>
      <c r="DV24" s="288">
        <f>SUM(DV26:DV38)</f>
        <v>12564353</v>
      </c>
      <c r="DW24" s="288">
        <f t="shared" si="363"/>
        <v>9718193</v>
      </c>
      <c r="DX24" s="288">
        <f t="shared" si="363"/>
        <v>700020</v>
      </c>
      <c r="DY24" s="288">
        <f t="shared" si="363"/>
        <v>1506758</v>
      </c>
      <c r="DZ24" s="289">
        <f t="shared" si="363"/>
        <v>2097599</v>
      </c>
      <c r="EA24" s="288">
        <f t="shared" si="363"/>
        <v>14692377</v>
      </c>
      <c r="EB24" s="288">
        <f t="shared" si="363"/>
        <v>11204549</v>
      </c>
      <c r="EC24" s="288">
        <f t="shared" si="363"/>
        <v>847631</v>
      </c>
      <c r="ED24" s="288">
        <f t="shared" si="363"/>
        <v>2480189</v>
      </c>
      <c r="EE24" s="289">
        <f t="shared" si="363"/>
        <v>2640197</v>
      </c>
      <c r="EF24" s="288">
        <f t="shared" si="363"/>
        <v>14898089.930999998</v>
      </c>
      <c r="EG24" s="288">
        <f t="shared" si="363"/>
        <v>11357261.867999999</v>
      </c>
      <c r="EH24" s="288">
        <f t="shared" si="363"/>
        <v>861683.95299999998</v>
      </c>
      <c r="EI24" s="288">
        <f t="shared" si="363"/>
        <v>2587519.29</v>
      </c>
      <c r="EJ24" s="289">
        <f t="shared" si="363"/>
        <v>2679144.1099999994</v>
      </c>
      <c r="EK24" s="289">
        <f t="shared" si="363"/>
        <v>15120564</v>
      </c>
      <c r="EL24" s="289">
        <f t="shared" si="363"/>
        <v>11493723</v>
      </c>
      <c r="EM24" s="289">
        <f t="shared" si="363"/>
        <v>880002</v>
      </c>
      <c r="EN24" s="289">
        <f t="shared" si="363"/>
        <v>2707878</v>
      </c>
      <c r="EO24" s="289">
        <f t="shared" si="363"/>
        <v>2745605</v>
      </c>
      <c r="EP24" s="289">
        <f t="shared" si="363"/>
        <v>15335730</v>
      </c>
      <c r="EQ24" s="289">
        <f t="shared" si="363"/>
        <v>9811541</v>
      </c>
      <c r="ER24" s="289">
        <f t="shared" si="363"/>
        <v>899373</v>
      </c>
      <c r="ES24" s="289">
        <f t="shared" si="363"/>
        <v>2811790</v>
      </c>
      <c r="ET24" s="289">
        <f t="shared" si="363"/>
        <v>2822383</v>
      </c>
      <c r="EU24" s="383">
        <f>SUM(EU26:EU38)</f>
        <v>2505787</v>
      </c>
      <c r="EV24" s="288">
        <f t="shared" si="363"/>
        <v>2008539</v>
      </c>
      <c r="EW24" s="288">
        <f t="shared" si="363"/>
        <v>142935</v>
      </c>
      <c r="EX24" s="288">
        <f t="shared" si="363"/>
        <v>248269</v>
      </c>
      <c r="EY24" s="289">
        <f t="shared" si="363"/>
        <v>354313</v>
      </c>
      <c r="EZ24" s="288">
        <f>SUM(EZ26:EZ38)</f>
        <v>2839898</v>
      </c>
      <c r="FA24" s="288">
        <f t="shared" si="363"/>
        <v>2135794</v>
      </c>
      <c r="FB24" s="288">
        <f t="shared" si="363"/>
        <v>153622</v>
      </c>
      <c r="FC24" s="288">
        <f t="shared" si="363"/>
        <v>316516</v>
      </c>
      <c r="FD24" s="289">
        <f t="shared" si="363"/>
        <v>540569</v>
      </c>
      <c r="FE24" s="288">
        <f>SUM(FE26:FE38)</f>
        <v>3677385</v>
      </c>
      <c r="FF24" s="288">
        <f t="shared" si="363"/>
        <v>2760254</v>
      </c>
      <c r="FG24" s="288">
        <f t="shared" si="363"/>
        <v>201722</v>
      </c>
      <c r="FH24" s="288">
        <f t="shared" si="363"/>
        <v>559242</v>
      </c>
      <c r="FI24" s="288">
        <f t="shared" si="363"/>
        <v>715409</v>
      </c>
      <c r="FJ24" s="288">
        <f>SUM(FJ26:FJ38)</f>
        <v>0</v>
      </c>
      <c r="FK24" s="288">
        <f t="shared" si="363"/>
        <v>0</v>
      </c>
      <c r="FL24" s="288">
        <f t="shared" si="363"/>
        <v>0</v>
      </c>
      <c r="FM24" s="288">
        <f t="shared" si="363"/>
        <v>0</v>
      </c>
      <c r="FN24" s="289">
        <f t="shared" si="363"/>
        <v>0</v>
      </c>
      <c r="FO24" s="289">
        <f t="shared" si="363"/>
        <v>3856754</v>
      </c>
      <c r="FP24" s="289">
        <f t="shared" si="363"/>
        <v>2901904</v>
      </c>
      <c r="FQ24" s="289">
        <f t="shared" si="363"/>
        <v>208272</v>
      </c>
      <c r="FR24" s="289">
        <f t="shared" si="363"/>
        <v>615578</v>
      </c>
      <c r="FS24" s="289">
        <f t="shared" si="363"/>
        <v>746409</v>
      </c>
      <c r="FT24" s="289">
        <f t="shared" si="363"/>
        <v>3978896</v>
      </c>
      <c r="FU24" s="289">
        <f t="shared" si="363"/>
        <v>2563794</v>
      </c>
      <c r="FV24" s="289">
        <f t="shared" si="363"/>
        <v>211690</v>
      </c>
      <c r="FW24" s="289">
        <f t="shared" si="363"/>
        <v>646304</v>
      </c>
      <c r="FX24" s="289">
        <f t="shared" si="363"/>
        <v>777685</v>
      </c>
      <c r="FY24" s="579">
        <f t="shared" si="363"/>
        <v>10011231</v>
      </c>
      <c r="FZ24" s="555">
        <f t="shared" si="363"/>
        <v>8355717</v>
      </c>
      <c r="GA24" s="555">
        <f t="shared" si="363"/>
        <v>379178</v>
      </c>
      <c r="GB24" s="555">
        <f t="shared" si="363"/>
        <v>610810</v>
      </c>
      <c r="GC24" s="555">
        <f t="shared" si="363"/>
        <v>1276336</v>
      </c>
      <c r="GD24" s="579">
        <f t="shared" si="363"/>
        <v>13313395</v>
      </c>
      <c r="GE24" s="555">
        <f t="shared" si="363"/>
        <v>10426562</v>
      </c>
      <c r="GF24" s="555">
        <f t="shared" si="363"/>
        <v>465153</v>
      </c>
      <c r="GG24" s="555">
        <f t="shared" si="363"/>
        <v>934240</v>
      </c>
      <c r="GH24" s="555">
        <f t="shared" si="363"/>
        <v>2383206</v>
      </c>
      <c r="GI24" s="288">
        <f>SUM(GI26:GI38)</f>
        <v>14956858</v>
      </c>
      <c r="GJ24" s="288">
        <f t="shared" si="363"/>
        <v>11307865</v>
      </c>
      <c r="GK24" s="288">
        <f t="shared" si="363"/>
        <v>558755</v>
      </c>
      <c r="GL24" s="288">
        <f t="shared" si="363"/>
        <v>1503479</v>
      </c>
      <c r="GM24" s="289">
        <f t="shared" si="363"/>
        <v>3090238</v>
      </c>
      <c r="GN24" s="385">
        <f>SUM(GN26:GN38)</f>
        <v>0</v>
      </c>
      <c r="GO24" s="385">
        <f t="shared" si="363"/>
        <v>0</v>
      </c>
      <c r="GP24" s="385">
        <f t="shared" si="363"/>
        <v>0</v>
      </c>
      <c r="GQ24" s="385">
        <f t="shared" si="363"/>
        <v>0</v>
      </c>
      <c r="GR24" s="603">
        <f t="shared" si="363"/>
        <v>0</v>
      </c>
      <c r="GS24" s="603">
        <f t="shared" si="363"/>
        <v>18070084</v>
      </c>
      <c r="GT24" s="603">
        <f t="shared" si="363"/>
        <v>13651228</v>
      </c>
      <c r="GU24" s="603">
        <f t="shared" si="363"/>
        <v>668866</v>
      </c>
      <c r="GV24" s="603">
        <f t="shared" si="363"/>
        <v>1846140</v>
      </c>
      <c r="GW24" s="603">
        <f t="shared" si="363"/>
        <v>3749448</v>
      </c>
      <c r="GX24" s="603">
        <f t="shared" si="363"/>
        <v>54047277</v>
      </c>
      <c r="GY24" s="603">
        <f t="shared" si="363"/>
        <v>12690033</v>
      </c>
      <c r="GZ24" s="603">
        <f t="shared" si="363"/>
        <v>683761</v>
      </c>
      <c r="HA24" s="603">
        <f t="shared" si="363"/>
        <v>1939339</v>
      </c>
      <c r="HB24" s="603">
        <f t="shared" si="363"/>
        <v>2075931</v>
      </c>
      <c r="HC24" s="288">
        <f>SUM(HC26:HC38)</f>
        <v>4966348</v>
      </c>
      <c r="HD24" s="288">
        <f t="shared" si="363"/>
        <v>4164544</v>
      </c>
      <c r="HE24" s="288">
        <f t="shared" si="363"/>
        <v>160603</v>
      </c>
      <c r="HF24" s="288">
        <f t="shared" si="363"/>
        <v>241211</v>
      </c>
      <c r="HG24" s="289">
        <f t="shared" si="363"/>
        <v>641201</v>
      </c>
      <c r="HH24" s="288">
        <f>SUM(HH26:HH38)</f>
        <v>6801505</v>
      </c>
      <c r="HI24" s="288">
        <f t="shared" si="363"/>
        <v>5322432</v>
      </c>
      <c r="HJ24" s="288">
        <f t="shared" si="363"/>
        <v>207160</v>
      </c>
      <c r="HK24" s="288">
        <f t="shared" si="363"/>
        <v>410810</v>
      </c>
      <c r="HL24" s="288">
        <f t="shared" si="363"/>
        <v>1251283</v>
      </c>
      <c r="HM24" s="288">
        <f>SUM(HM26:HM38)</f>
        <v>8713663</v>
      </c>
      <c r="HN24" s="288">
        <f t="shared" si="363"/>
        <v>6535219</v>
      </c>
      <c r="HO24" s="288">
        <f t="shared" ref="HO24:HQ24" si="365">SUM(HO26:HO38)</f>
        <v>286269</v>
      </c>
      <c r="HP24" s="288">
        <f t="shared" si="365"/>
        <v>787210</v>
      </c>
      <c r="HQ24" s="288">
        <f t="shared" si="365"/>
        <v>1892175</v>
      </c>
      <c r="HR24" s="288">
        <f>SUM(HR26:HR38)</f>
        <v>8878691.3919999991</v>
      </c>
      <c r="HS24" s="288">
        <f t="shared" ref="HS24:IA24" si="366">SUM(HS26:HS38)</f>
        <v>6651047.9590000017</v>
      </c>
      <c r="HT24" s="288">
        <f t="shared" si="366"/>
        <v>292043.65999999992</v>
      </c>
      <c r="HU24" s="288">
        <f t="shared" si="366"/>
        <v>822454.25300000014</v>
      </c>
      <c r="HV24" s="288">
        <f t="shared" si="366"/>
        <v>1935599.7730000003</v>
      </c>
      <c r="HW24" s="288">
        <f t="shared" si="366"/>
        <v>9290473</v>
      </c>
      <c r="HX24" s="288">
        <f t="shared" si="366"/>
        <v>6321749</v>
      </c>
      <c r="HY24" s="288">
        <f t="shared" si="366"/>
        <v>306044</v>
      </c>
      <c r="HZ24" s="288">
        <f t="shared" si="366"/>
        <v>907671</v>
      </c>
      <c r="IA24" s="288">
        <f t="shared" si="366"/>
        <v>2045881</v>
      </c>
      <c r="IB24" s="281" t="s">
        <v>186</v>
      </c>
      <c r="IC24" s="282" t="s">
        <v>186</v>
      </c>
      <c r="ID24" s="307">
        <f t="shared" ref="ID24:KO24" si="367">SUM(ID26:ID38)</f>
        <v>1468260</v>
      </c>
      <c r="IE24" s="280">
        <f t="shared" si="367"/>
        <v>893287</v>
      </c>
      <c r="IF24" s="280">
        <f t="shared" si="367"/>
        <v>574973</v>
      </c>
      <c r="IG24" s="280">
        <f t="shared" si="367"/>
        <v>1409215</v>
      </c>
      <c r="IH24" s="280">
        <f t="shared" si="367"/>
        <v>858738</v>
      </c>
      <c r="II24" s="280">
        <f t="shared" si="367"/>
        <v>550477</v>
      </c>
      <c r="IJ24" s="280">
        <f t="shared" si="367"/>
        <v>59045</v>
      </c>
      <c r="IK24" s="280">
        <f t="shared" si="367"/>
        <v>34549</v>
      </c>
      <c r="IL24" s="280">
        <f t="shared" si="367"/>
        <v>24496</v>
      </c>
      <c r="IM24" s="382">
        <f t="shared" si="367"/>
        <v>2451817</v>
      </c>
      <c r="IN24" s="280">
        <f t="shared" si="367"/>
        <v>1485523</v>
      </c>
      <c r="IO24" s="280">
        <f t="shared" si="367"/>
        <v>966294</v>
      </c>
      <c r="IP24" s="280">
        <f t="shared" si="367"/>
        <v>2301528</v>
      </c>
      <c r="IQ24" s="280">
        <f t="shared" si="367"/>
        <v>1396650</v>
      </c>
      <c r="IR24" s="280">
        <f t="shared" si="367"/>
        <v>904878</v>
      </c>
      <c r="IS24" s="280">
        <f t="shared" si="367"/>
        <v>45928</v>
      </c>
      <c r="IT24" s="280">
        <f t="shared" si="367"/>
        <v>22731</v>
      </c>
      <c r="IU24" s="280">
        <f t="shared" si="367"/>
        <v>23197</v>
      </c>
      <c r="IV24" s="280">
        <f t="shared" si="367"/>
        <v>104361</v>
      </c>
      <c r="IW24" s="280">
        <f t="shared" si="367"/>
        <v>66142</v>
      </c>
      <c r="IX24" s="280">
        <f t="shared" si="367"/>
        <v>38219</v>
      </c>
      <c r="IY24" s="307">
        <f t="shared" si="367"/>
        <v>4844282</v>
      </c>
      <c r="IZ24" s="280">
        <f t="shared" si="367"/>
        <v>2875900</v>
      </c>
      <c r="JA24" s="280">
        <f t="shared" si="367"/>
        <v>1968382</v>
      </c>
      <c r="JB24" s="288">
        <f t="shared" si="367"/>
        <v>4176071</v>
      </c>
      <c r="JC24" s="280">
        <f t="shared" si="367"/>
        <v>2495442</v>
      </c>
      <c r="JD24" s="280">
        <f t="shared" si="367"/>
        <v>1680629</v>
      </c>
      <c r="JE24" s="280">
        <f t="shared" si="367"/>
        <v>380458</v>
      </c>
      <c r="JF24" s="280">
        <f t="shared" si="367"/>
        <v>287753</v>
      </c>
      <c r="JG24" s="288">
        <f t="shared" si="367"/>
        <v>128075</v>
      </c>
      <c r="JH24" s="280">
        <f t="shared" si="367"/>
        <v>68057</v>
      </c>
      <c r="JI24" s="280">
        <f t="shared" si="367"/>
        <v>60018</v>
      </c>
      <c r="JJ24" s="288">
        <f t="shared" si="367"/>
        <v>184813</v>
      </c>
      <c r="JK24" s="280">
        <f t="shared" si="367"/>
        <v>114596</v>
      </c>
      <c r="JL24" s="280">
        <f t="shared" si="367"/>
        <v>70217</v>
      </c>
      <c r="JM24" s="280">
        <f t="shared" si="367"/>
        <v>355323</v>
      </c>
      <c r="JN24" s="280">
        <f t="shared" si="367"/>
        <v>197805</v>
      </c>
      <c r="JO24" s="280">
        <f t="shared" si="367"/>
        <v>157518</v>
      </c>
      <c r="JP24" s="280">
        <f t="shared" si="367"/>
        <v>7834</v>
      </c>
      <c r="JQ24" s="280">
        <f t="shared" si="367"/>
        <v>4981</v>
      </c>
      <c r="JR24" s="280">
        <f t="shared" si="367"/>
        <v>2853</v>
      </c>
      <c r="JS24" s="280">
        <f t="shared" si="367"/>
        <v>347489</v>
      </c>
      <c r="JT24" s="280">
        <f t="shared" si="367"/>
        <v>192824</v>
      </c>
      <c r="JU24" s="280">
        <f t="shared" si="367"/>
        <v>154665</v>
      </c>
      <c r="JV24" s="383">
        <f t="shared" si="367"/>
        <v>7505444</v>
      </c>
      <c r="JW24" s="280">
        <f t="shared" si="367"/>
        <v>4191087</v>
      </c>
      <c r="JX24" s="280">
        <f t="shared" si="367"/>
        <v>3314357</v>
      </c>
      <c r="JY24" s="288">
        <f t="shared" si="367"/>
        <v>6347178</v>
      </c>
      <c r="JZ24" s="288">
        <f t="shared" si="367"/>
        <v>6122945</v>
      </c>
      <c r="KA24" s="280">
        <f t="shared" si="367"/>
        <v>3453771</v>
      </c>
      <c r="KB24" s="280">
        <f t="shared" si="367"/>
        <v>2669174</v>
      </c>
      <c r="KC24" s="280">
        <f t="shared" si="367"/>
        <v>737316</v>
      </c>
      <c r="KD24" s="280">
        <f t="shared" si="367"/>
        <v>645183</v>
      </c>
      <c r="KE24" s="288">
        <f t="shared" si="367"/>
        <v>236243</v>
      </c>
      <c r="KF24" s="288">
        <f t="shared" si="367"/>
        <v>230401</v>
      </c>
      <c r="KG24" s="280">
        <f t="shared" si="367"/>
        <v>116790</v>
      </c>
      <c r="KH24" s="280">
        <f t="shared" si="367"/>
        <v>113611</v>
      </c>
      <c r="KI24" s="288">
        <f t="shared" si="367"/>
        <v>363541</v>
      </c>
      <c r="KJ24" s="280">
        <f t="shared" si="367"/>
        <v>206482</v>
      </c>
      <c r="KK24" s="280">
        <f t="shared" si="367"/>
        <v>157059</v>
      </c>
      <c r="KL24" s="289">
        <f t="shared" si="367"/>
        <v>922023</v>
      </c>
      <c r="KM24" s="384">
        <f t="shared" si="367"/>
        <v>414044</v>
      </c>
      <c r="KN24" s="384">
        <f t="shared" si="367"/>
        <v>374513</v>
      </c>
      <c r="KO24" s="384">
        <f t="shared" si="367"/>
        <v>5067</v>
      </c>
      <c r="KP24" s="384">
        <f t="shared" ref="KP24:MJ24" si="368">SUM(KP26:KP38)</f>
        <v>2825</v>
      </c>
      <c r="KQ24" s="384">
        <f t="shared" si="368"/>
        <v>2242</v>
      </c>
      <c r="KR24" s="384">
        <f t="shared" si="368"/>
        <v>783490</v>
      </c>
      <c r="KS24" s="384">
        <f t="shared" si="368"/>
        <v>411219</v>
      </c>
      <c r="KT24" s="384">
        <f t="shared" si="368"/>
        <v>372271</v>
      </c>
      <c r="KU24" s="280">
        <f t="shared" si="368"/>
        <v>18245</v>
      </c>
      <c r="KV24" s="280">
        <f t="shared" si="368"/>
        <v>17588</v>
      </c>
      <c r="KW24" s="280">
        <f t="shared" si="368"/>
        <v>392974</v>
      </c>
      <c r="KX24" s="280">
        <f t="shared" si="368"/>
        <v>354683</v>
      </c>
      <c r="KY24" s="332">
        <f t="shared" si="368"/>
        <v>10473497</v>
      </c>
      <c r="KZ24" s="280">
        <f t="shared" si="368"/>
        <v>5495354</v>
      </c>
      <c r="LA24" s="280">
        <f t="shared" si="368"/>
        <v>4978143</v>
      </c>
      <c r="LB24" s="385">
        <f t="shared" si="368"/>
        <v>8290768</v>
      </c>
      <c r="LC24" s="385">
        <f t="shared" si="368"/>
        <v>4412891</v>
      </c>
      <c r="LD24" s="385">
        <f t="shared" si="368"/>
        <v>3877877</v>
      </c>
      <c r="LE24" s="385">
        <f t="shared" si="368"/>
        <v>7933349</v>
      </c>
      <c r="LF24" s="280">
        <f t="shared" si="368"/>
        <v>4232780</v>
      </c>
      <c r="LG24" s="280">
        <f t="shared" si="368"/>
        <v>3700569</v>
      </c>
      <c r="LH24" s="385">
        <f t="shared" si="368"/>
        <v>311531</v>
      </c>
      <c r="LI24" s="280">
        <f t="shared" si="368"/>
        <v>149301</v>
      </c>
      <c r="LJ24" s="280">
        <f t="shared" si="368"/>
        <v>162230</v>
      </c>
      <c r="LK24" s="385">
        <f t="shared" si="368"/>
        <v>630210</v>
      </c>
      <c r="LL24" s="280">
        <f t="shared" si="368"/>
        <v>314815</v>
      </c>
      <c r="LM24" s="280">
        <f t="shared" si="368"/>
        <v>315395</v>
      </c>
      <c r="LN24" s="385">
        <f t="shared" si="368"/>
        <v>1871198</v>
      </c>
      <c r="LO24" s="280">
        <f t="shared" si="368"/>
        <v>933162</v>
      </c>
      <c r="LP24" s="280">
        <f t="shared" si="368"/>
        <v>938036</v>
      </c>
      <c r="LQ24" s="333">
        <f t="shared" si="368"/>
        <v>12639355</v>
      </c>
      <c r="LR24" s="280">
        <f t="shared" si="368"/>
        <v>9676154</v>
      </c>
      <c r="LS24" s="280">
        <f t="shared" si="368"/>
        <v>820749</v>
      </c>
      <c r="LT24" s="280">
        <f t="shared" si="368"/>
        <v>2562471</v>
      </c>
      <c r="LU24" s="385">
        <f t="shared" si="368"/>
        <v>969886</v>
      </c>
      <c r="LV24" s="383">
        <f t="shared" si="368"/>
        <v>12966029</v>
      </c>
      <c r="LW24" s="288">
        <f t="shared" si="368"/>
        <v>9932724</v>
      </c>
      <c r="LX24" s="288">
        <f t="shared" si="368"/>
        <v>412158</v>
      </c>
      <c r="LY24" s="288">
        <f t="shared" si="368"/>
        <v>2621147</v>
      </c>
      <c r="LZ24" s="288">
        <f t="shared" si="368"/>
        <v>1030655</v>
      </c>
      <c r="MA24" s="383">
        <f t="shared" si="368"/>
        <v>13295956</v>
      </c>
      <c r="MB24" s="288">
        <f t="shared" si="368"/>
        <v>10181940</v>
      </c>
      <c r="MC24" s="288">
        <f t="shared" si="368"/>
        <v>427268</v>
      </c>
      <c r="MD24" s="288">
        <f t="shared" si="368"/>
        <v>2686748</v>
      </c>
      <c r="ME24" s="288">
        <f t="shared" si="368"/>
        <v>1070600</v>
      </c>
      <c r="MF24" s="383">
        <f t="shared" si="368"/>
        <v>13583340</v>
      </c>
      <c r="MG24" s="288">
        <f t="shared" si="368"/>
        <v>10317072</v>
      </c>
      <c r="MH24" s="288">
        <f t="shared" si="368"/>
        <v>439816</v>
      </c>
      <c r="MI24" s="288">
        <f>SUM(MI26:MI38)</f>
        <v>2826452</v>
      </c>
      <c r="MJ24" s="288">
        <f t="shared" si="368"/>
        <v>1124598</v>
      </c>
      <c r="MK24" s="288">
        <f>SUM(MK26:MK38)</f>
        <v>13851814.833000001</v>
      </c>
      <c r="ML24" s="288">
        <f>SUM(ML26:ML38)</f>
        <v>10519374.331000002</v>
      </c>
      <c r="MM24" s="288">
        <f>SUM(MM26:MM38)</f>
        <v>448051.55099999998</v>
      </c>
      <c r="MN24" s="288">
        <f>SUM(MN26:MN38)</f>
        <v>1170105.5430000001</v>
      </c>
      <c r="MO24" s="288">
        <f>SUM(MO26:MO38)</f>
        <v>2884388.9509999999</v>
      </c>
      <c r="MP24" s="288">
        <f t="shared" ref="MP24:MS24" si="369">SUM(MP26:MP38)</f>
        <v>14213330</v>
      </c>
      <c r="MQ24" s="288">
        <f t="shared" si="369"/>
        <v>10749324</v>
      </c>
      <c r="MR24" s="288">
        <f t="shared" si="369"/>
        <v>460594</v>
      </c>
      <c r="MS24" s="288">
        <f t="shared" si="369"/>
        <v>1230562</v>
      </c>
      <c r="MT24" s="288">
        <f t="shared" ref="MT24:MY24" si="370">SUM(MT26:MT38)</f>
        <v>3003039</v>
      </c>
      <c r="MU24" s="288">
        <f t="shared" si="370"/>
        <v>14613751</v>
      </c>
      <c r="MV24" s="288">
        <f t="shared" si="370"/>
        <v>10126239</v>
      </c>
      <c r="MW24" s="288">
        <f t="shared" si="370"/>
        <v>472071</v>
      </c>
      <c r="MX24" s="288">
        <f t="shared" si="370"/>
        <v>1293035</v>
      </c>
      <c r="MY24" s="288">
        <f t="shared" si="370"/>
        <v>1661641</v>
      </c>
      <c r="MZ24" s="383">
        <f t="shared" ref="MZ24:OC24" si="371">SUM(MZ26:MZ38)</f>
        <v>2539096</v>
      </c>
      <c r="NA24" s="288">
        <f t="shared" si="371"/>
        <v>2182634</v>
      </c>
      <c r="NB24" s="288">
        <f t="shared" si="371"/>
        <v>75640</v>
      </c>
      <c r="NC24" s="288">
        <f t="shared" si="371"/>
        <v>121330</v>
      </c>
      <c r="ND24" s="289">
        <f t="shared" si="371"/>
        <v>280822</v>
      </c>
      <c r="NE24" s="288">
        <f t="shared" si="371"/>
        <v>3671992</v>
      </c>
      <c r="NF24" s="288">
        <f t="shared" si="371"/>
        <v>2968336</v>
      </c>
      <c r="NG24" s="288">
        <f t="shared" si="371"/>
        <v>104371</v>
      </c>
      <c r="NH24" s="288">
        <f t="shared" si="371"/>
        <v>206914</v>
      </c>
      <c r="NI24" s="288">
        <f t="shared" si="371"/>
        <v>591354</v>
      </c>
      <c r="NJ24" s="383">
        <f t="shared" si="371"/>
        <v>4869677</v>
      </c>
      <c r="NK24" s="288">
        <f t="shared" si="371"/>
        <v>3781853</v>
      </c>
      <c r="NL24" s="288">
        <f t="shared" si="371"/>
        <v>153547</v>
      </c>
      <c r="NM24" s="288">
        <f t="shared" si="371"/>
        <v>337388</v>
      </c>
      <c r="NN24" s="288">
        <f t="shared" si="371"/>
        <v>934277</v>
      </c>
      <c r="NO24" s="383">
        <f t="shared" si="371"/>
        <v>4973123.4409999996</v>
      </c>
      <c r="NP24" s="288">
        <f t="shared" si="371"/>
        <v>3868326.372</v>
      </c>
      <c r="NQ24" s="288">
        <f t="shared" si="371"/>
        <v>156007.89099999997</v>
      </c>
      <c r="NR24" s="288">
        <f t="shared" si="371"/>
        <v>347651.29000000004</v>
      </c>
      <c r="NS24" s="289">
        <f t="shared" si="371"/>
        <v>948789.17800000007</v>
      </c>
      <c r="NT24" s="288">
        <f t="shared" si="371"/>
        <v>5140543</v>
      </c>
      <c r="NU24" s="288">
        <f t="shared" si="371"/>
        <v>3956999</v>
      </c>
      <c r="NV24" s="288">
        <f t="shared" si="371"/>
        <v>160746</v>
      </c>
      <c r="NW24" s="288">
        <f t="shared" si="371"/>
        <v>370289</v>
      </c>
      <c r="NX24" s="554">
        <f t="shared" si="371"/>
        <v>1022740</v>
      </c>
      <c r="NY24" s="554">
        <f t="shared" si="371"/>
        <v>5323278</v>
      </c>
      <c r="NZ24" s="554">
        <f t="shared" si="371"/>
        <v>3804490</v>
      </c>
      <c r="OA24" s="554">
        <f t="shared" si="371"/>
        <v>166027</v>
      </c>
      <c r="OB24" s="554">
        <f t="shared" si="371"/>
        <v>385364</v>
      </c>
      <c r="OC24" s="554">
        <f t="shared" si="371"/>
        <v>1076191</v>
      </c>
    </row>
    <row r="25" spans="1:393" ht="14.25" x14ac:dyDescent="0.2">
      <c r="A25" s="247" t="s">
        <v>182</v>
      </c>
      <c r="B25" s="281" t="s">
        <v>186</v>
      </c>
      <c r="C25" s="282" t="s">
        <v>186</v>
      </c>
      <c r="D25" s="282" t="s">
        <v>186</v>
      </c>
      <c r="E25" s="282" t="s">
        <v>186</v>
      </c>
      <c r="F25" s="283" t="s">
        <v>186</v>
      </c>
      <c r="G25" s="251"/>
      <c r="H25" s="251"/>
      <c r="I25" s="251"/>
      <c r="J25" s="251"/>
      <c r="K25" s="335"/>
      <c r="L25" s="251"/>
      <c r="M25" s="251"/>
      <c r="N25" s="251"/>
      <c r="O25" s="251"/>
      <c r="P25" s="335"/>
      <c r="Q25" s="348"/>
      <c r="R25" s="348"/>
      <c r="S25" s="348"/>
      <c r="T25" s="348"/>
      <c r="U25" s="614"/>
      <c r="V25" s="348"/>
      <c r="W25" s="348"/>
      <c r="X25" s="348"/>
      <c r="Y25" s="348"/>
      <c r="Z25" s="348"/>
      <c r="AA25" s="348">
        <v>0</v>
      </c>
      <c r="AB25" s="348">
        <v>0</v>
      </c>
      <c r="AC25" s="348"/>
      <c r="AD25" s="348"/>
      <c r="AE25" s="600">
        <v>0</v>
      </c>
      <c r="AF25" s="249"/>
      <c r="AG25" s="251"/>
      <c r="AH25" s="251"/>
      <c r="AI25" s="251"/>
      <c r="AJ25" s="335"/>
      <c r="AK25" s="251"/>
      <c r="AL25" s="251"/>
      <c r="AM25" s="251"/>
      <c r="AN25" s="251"/>
      <c r="AO25" s="335"/>
      <c r="AP25" s="251"/>
      <c r="AQ25" s="251"/>
      <c r="AR25" s="251"/>
      <c r="AS25" s="251"/>
      <c r="AT25" s="335"/>
      <c r="AU25" s="251"/>
      <c r="AV25" s="251"/>
      <c r="AW25" s="251"/>
      <c r="AX25" s="251"/>
      <c r="AY25" s="251"/>
      <c r="AZ25" s="251">
        <v>0</v>
      </c>
      <c r="BA25" s="251">
        <v>0</v>
      </c>
      <c r="BB25" s="251"/>
      <c r="BC25" s="251"/>
      <c r="BD25" s="251">
        <v>0</v>
      </c>
      <c r="BE25" s="249"/>
      <c r="BF25" s="251"/>
      <c r="BG25" s="251"/>
      <c r="BH25" s="251"/>
      <c r="BI25" s="288"/>
      <c r="BJ25" s="281" t="s">
        <v>186</v>
      </c>
      <c r="BK25" s="282" t="s">
        <v>186</v>
      </c>
      <c r="BL25" s="282" t="s">
        <v>186</v>
      </c>
      <c r="BM25" s="282" t="s">
        <v>186</v>
      </c>
      <c r="BN25" s="281" t="s">
        <v>186</v>
      </c>
      <c r="BO25" s="282" t="s">
        <v>186</v>
      </c>
      <c r="BP25" s="282" t="s">
        <v>186</v>
      </c>
      <c r="BQ25" s="282" t="s">
        <v>186</v>
      </c>
      <c r="BR25" s="283" t="s">
        <v>186</v>
      </c>
      <c r="BS25" s="251"/>
      <c r="BT25" s="251"/>
      <c r="BU25" s="251"/>
      <c r="BV25" s="251"/>
      <c r="BW25" s="335"/>
      <c r="BX25" s="251"/>
      <c r="BY25" s="251"/>
      <c r="BZ25" s="251"/>
      <c r="CA25" s="251"/>
      <c r="CB25" s="251"/>
      <c r="CC25" s="336"/>
      <c r="CD25" s="251"/>
      <c r="CE25" s="251"/>
      <c r="CF25" s="251"/>
      <c r="CG25" s="251"/>
      <c r="CH25" s="249"/>
      <c r="CI25" s="251"/>
      <c r="CJ25" s="251"/>
      <c r="CK25" s="251"/>
      <c r="CL25" s="251"/>
      <c r="CM25" s="249"/>
      <c r="CN25" s="251"/>
      <c r="CO25" s="251"/>
      <c r="CP25" s="251"/>
      <c r="CQ25" s="251"/>
      <c r="CR25" s="249"/>
      <c r="CS25" s="251"/>
      <c r="CT25" s="251"/>
      <c r="CU25" s="251"/>
      <c r="CV25" s="251"/>
      <c r="CW25" s="249"/>
      <c r="CX25" s="251"/>
      <c r="CY25" s="251"/>
      <c r="CZ25" s="251"/>
      <c r="DA25" s="289"/>
      <c r="DB25" s="251"/>
      <c r="DC25" s="251"/>
      <c r="DD25" s="251"/>
      <c r="DE25" s="251"/>
      <c r="DF25" s="288"/>
      <c r="DG25" s="288"/>
      <c r="DH25" s="288">
        <v>0</v>
      </c>
      <c r="DI25" s="288"/>
      <c r="DJ25" s="288"/>
      <c r="DK25" s="288">
        <v>0</v>
      </c>
      <c r="DL25" s="281" t="s">
        <v>186</v>
      </c>
      <c r="DM25" s="282" t="s">
        <v>186</v>
      </c>
      <c r="DN25" s="282" t="s">
        <v>186</v>
      </c>
      <c r="DO25" s="282" t="s">
        <v>186</v>
      </c>
      <c r="DP25" s="283" t="s">
        <v>186</v>
      </c>
      <c r="DQ25" s="251"/>
      <c r="DR25" s="251"/>
      <c r="DS25" s="251"/>
      <c r="DT25" s="251"/>
      <c r="DU25" s="335"/>
      <c r="DV25" s="251"/>
      <c r="DW25" s="251"/>
      <c r="DX25" s="251"/>
      <c r="DY25" s="251"/>
      <c r="DZ25" s="335"/>
      <c r="EA25" s="251"/>
      <c r="EB25" s="251"/>
      <c r="EC25" s="251"/>
      <c r="ED25" s="251"/>
      <c r="EE25" s="335"/>
      <c r="EF25" s="251"/>
      <c r="EG25" s="251"/>
      <c r="EH25" s="251"/>
      <c r="EI25" s="251"/>
      <c r="EJ25" s="335"/>
      <c r="EK25" s="251"/>
      <c r="EL25" s="251"/>
      <c r="EM25" s="251"/>
      <c r="EN25" s="251"/>
      <c r="EO25" s="661"/>
      <c r="EP25" s="661">
        <v>0</v>
      </c>
      <c r="EQ25" s="661"/>
      <c r="ER25" s="661"/>
      <c r="ES25" s="661"/>
      <c r="ET25" s="661">
        <v>0</v>
      </c>
      <c r="EU25" s="249"/>
      <c r="EV25" s="251"/>
      <c r="EW25" s="251"/>
      <c r="EX25" s="251"/>
      <c r="EY25" s="335"/>
      <c r="EZ25" s="251"/>
      <c r="FA25" s="251"/>
      <c r="FB25" s="251"/>
      <c r="FC25" s="251"/>
      <c r="FD25" s="335"/>
      <c r="FE25" s="249"/>
      <c r="FF25" s="251"/>
      <c r="FG25" s="251"/>
      <c r="FH25" s="251"/>
      <c r="FI25" s="251"/>
      <c r="FJ25" s="249"/>
      <c r="FK25" s="251"/>
      <c r="FL25" s="251"/>
      <c r="FM25" s="251"/>
      <c r="FN25" s="335"/>
      <c r="FO25" s="251"/>
      <c r="FP25" s="251"/>
      <c r="FQ25" s="251"/>
      <c r="FR25" s="251"/>
      <c r="FS25" s="251"/>
      <c r="FT25" s="251"/>
      <c r="FU25" s="251">
        <v>0</v>
      </c>
      <c r="FV25" s="251"/>
      <c r="FW25" s="251"/>
      <c r="FX25" s="251">
        <v>0</v>
      </c>
      <c r="FY25" s="383"/>
      <c r="FZ25" s="288"/>
      <c r="GA25" s="288"/>
      <c r="GB25" s="288"/>
      <c r="GC25" s="288"/>
      <c r="GD25" s="383"/>
      <c r="GE25" s="288"/>
      <c r="GF25" s="288"/>
      <c r="GG25" s="288"/>
      <c r="GH25" s="288"/>
      <c r="GI25" s="249"/>
      <c r="GJ25" s="251"/>
      <c r="GK25" s="251"/>
      <c r="GL25" s="251"/>
      <c r="GM25" s="251"/>
      <c r="GN25" s="604"/>
      <c r="GO25" s="348"/>
      <c r="GP25" s="348"/>
      <c r="GQ25" s="348"/>
      <c r="GR25" s="348"/>
      <c r="GS25" s="348"/>
      <c r="GT25" s="348"/>
      <c r="GU25" s="348"/>
      <c r="GV25" s="348"/>
      <c r="GW25" s="614"/>
      <c r="GX25" s="348"/>
      <c r="GY25" s="348">
        <v>0</v>
      </c>
      <c r="GZ25" s="348"/>
      <c r="HA25" s="348"/>
      <c r="HB25" s="348">
        <v>0</v>
      </c>
      <c r="HC25" s="249"/>
      <c r="HD25" s="251"/>
      <c r="HE25" s="251"/>
      <c r="HF25" s="251"/>
      <c r="HG25" s="251"/>
      <c r="HH25" s="249"/>
      <c r="HI25" s="251"/>
      <c r="HJ25" s="251"/>
      <c r="HK25" s="251"/>
      <c r="HL25" s="251"/>
      <c r="HM25" s="249"/>
      <c r="HN25" s="251"/>
      <c r="HO25" s="251"/>
      <c r="HP25" s="251"/>
      <c r="HQ25" s="251"/>
      <c r="HR25" s="249"/>
      <c r="HS25" s="251"/>
      <c r="HT25" s="251"/>
      <c r="HU25" s="251"/>
      <c r="HV25" s="251"/>
      <c r="HW25" s="251"/>
      <c r="HX25" s="251">
        <v>0</v>
      </c>
      <c r="HY25" s="251"/>
      <c r="HZ25" s="251"/>
      <c r="IA25" s="251">
        <v>0</v>
      </c>
      <c r="IB25" s="281" t="s">
        <v>186</v>
      </c>
      <c r="IC25" s="282" t="s">
        <v>186</v>
      </c>
      <c r="ID25" s="339"/>
      <c r="IE25" s="341"/>
      <c r="IF25" s="341"/>
      <c r="IG25" s="341"/>
      <c r="IH25" s="341"/>
      <c r="II25" s="341"/>
      <c r="IJ25" s="341"/>
      <c r="IK25" s="341"/>
      <c r="IL25" s="341"/>
      <c r="IM25" s="339"/>
      <c r="IN25" s="341"/>
      <c r="IO25" s="341"/>
      <c r="IP25" s="341"/>
      <c r="IQ25" s="341"/>
      <c r="IR25" s="341"/>
      <c r="IS25" s="341"/>
      <c r="IT25" s="341"/>
      <c r="IU25" s="341"/>
      <c r="IV25" s="341"/>
      <c r="IW25" s="341"/>
      <c r="IX25" s="341"/>
      <c r="IY25" s="339"/>
      <c r="IZ25" s="341"/>
      <c r="JA25" s="341"/>
      <c r="JB25" s="251"/>
      <c r="JC25" s="341"/>
      <c r="JD25" s="341"/>
      <c r="JE25" s="341"/>
      <c r="JF25" s="341"/>
      <c r="JG25" s="251"/>
      <c r="JH25" s="341"/>
      <c r="JI25" s="341"/>
      <c r="JJ25" s="251"/>
      <c r="JK25" s="341"/>
      <c r="JL25" s="341"/>
      <c r="JM25" s="341"/>
      <c r="JN25" s="341"/>
      <c r="JO25" s="341"/>
      <c r="JP25" s="357"/>
      <c r="JQ25" s="357"/>
      <c r="JR25" s="357"/>
      <c r="JS25" s="341"/>
      <c r="JT25" s="341"/>
      <c r="JU25" s="341"/>
      <c r="JV25" s="249"/>
      <c r="JW25" s="341"/>
      <c r="JX25" s="341"/>
      <c r="JY25" s="251"/>
      <c r="JZ25" s="251"/>
      <c r="KA25" s="341"/>
      <c r="KB25" s="341"/>
      <c r="KC25" s="341"/>
      <c r="KD25" s="341"/>
      <c r="KE25" s="251"/>
      <c r="KF25" s="251"/>
      <c r="KG25" s="341"/>
      <c r="KH25" s="341"/>
      <c r="KI25" s="251"/>
      <c r="KJ25" s="341"/>
      <c r="KK25" s="341"/>
      <c r="KL25" s="335"/>
      <c r="KM25" s="386"/>
      <c r="KN25" s="386"/>
      <c r="KO25" s="359"/>
      <c r="KP25" s="359"/>
      <c r="KQ25" s="359"/>
      <c r="KR25" s="386"/>
      <c r="KS25" s="386"/>
      <c r="KT25" s="386"/>
      <c r="KU25" s="341"/>
      <c r="KV25" s="341"/>
      <c r="KW25" s="341"/>
      <c r="KX25" s="341"/>
      <c r="KY25" s="361"/>
      <c r="KZ25" s="341"/>
      <c r="LA25" s="341"/>
      <c r="LB25" s="348"/>
      <c r="LC25" s="348"/>
      <c r="LD25" s="348"/>
      <c r="LE25" s="387"/>
      <c r="LF25" s="341"/>
      <c r="LG25" s="341"/>
      <c r="LH25" s="348"/>
      <c r="LI25" s="341"/>
      <c r="LJ25" s="341"/>
      <c r="LK25" s="348"/>
      <c r="LL25" s="341"/>
      <c r="LM25" s="341"/>
      <c r="LN25" s="348"/>
      <c r="LO25" s="64"/>
      <c r="LP25" s="64"/>
      <c r="LQ25" s="349"/>
      <c r="LR25" s="341"/>
      <c r="LS25" s="341"/>
      <c r="LT25" s="341"/>
      <c r="LU25" s="348"/>
      <c r="LV25" s="249"/>
      <c r="LW25" s="251"/>
      <c r="LX25" s="251"/>
      <c r="LY25" s="251"/>
      <c r="LZ25" s="251"/>
      <c r="MA25" s="249"/>
      <c r="MB25" s="251"/>
      <c r="MC25" s="251"/>
      <c r="MD25" s="251"/>
      <c r="ME25" s="251"/>
      <c r="MF25" s="249"/>
      <c r="MG25" s="251"/>
      <c r="MH25" s="251"/>
      <c r="MI25" s="251"/>
      <c r="MJ25" s="251"/>
      <c r="MK25" s="249"/>
      <c r="ML25" s="251"/>
      <c r="MM25" s="251"/>
      <c r="MN25" s="251"/>
      <c r="MO25" s="251"/>
      <c r="MP25" s="251"/>
      <c r="MQ25" s="251"/>
      <c r="MR25" s="251"/>
      <c r="MS25" s="251"/>
      <c r="MT25" s="2"/>
      <c r="MU25" s="2">
        <v>0</v>
      </c>
      <c r="MV25" s="2">
        <v>0</v>
      </c>
      <c r="MW25" s="2"/>
      <c r="MX25" s="2"/>
      <c r="MY25" s="2">
        <v>0</v>
      </c>
      <c r="MZ25" s="249"/>
      <c r="NA25" s="251"/>
      <c r="NB25" s="251"/>
      <c r="NC25" s="251"/>
      <c r="ND25" s="251"/>
      <c r="NE25" s="249"/>
      <c r="NF25" s="251"/>
      <c r="NG25" s="251"/>
      <c r="NH25" s="251"/>
      <c r="NI25" s="251"/>
      <c r="NJ25" s="249"/>
      <c r="NK25" s="251"/>
      <c r="NL25" s="251"/>
      <c r="NM25" s="251"/>
      <c r="NN25" s="251"/>
      <c r="NO25" s="249"/>
      <c r="NP25" s="251"/>
      <c r="NQ25" s="251"/>
      <c r="NR25" s="251"/>
      <c r="NS25" s="335"/>
      <c r="NT25" s="1"/>
      <c r="NX25" s="79"/>
      <c r="NZ25" s="2">
        <v>0</v>
      </c>
      <c r="OC25" s="2">
        <v>0</v>
      </c>
    </row>
    <row r="26" spans="1:393" ht="14.25" x14ac:dyDescent="0.2">
      <c r="A26" s="240" t="s">
        <v>17</v>
      </c>
      <c r="B26" s="281" t="s">
        <v>186</v>
      </c>
      <c r="C26" s="282" t="s">
        <v>186</v>
      </c>
      <c r="D26" s="282" t="s">
        <v>186</v>
      </c>
      <c r="E26" s="282" t="s">
        <v>186</v>
      </c>
      <c r="F26" s="283" t="s">
        <v>186</v>
      </c>
      <c r="G26" s="7">
        <v>16621</v>
      </c>
      <c r="H26" s="7">
        <v>5239</v>
      </c>
      <c r="I26" s="7">
        <v>403</v>
      </c>
      <c r="J26" s="7">
        <v>689</v>
      </c>
      <c r="K26" s="12">
        <v>10979</v>
      </c>
      <c r="L26" s="7">
        <v>15663</v>
      </c>
      <c r="M26" s="7">
        <v>4388</v>
      </c>
      <c r="N26" s="7">
        <v>301</v>
      </c>
      <c r="O26" s="7">
        <v>1262</v>
      </c>
      <c r="P26" s="12">
        <v>10974</v>
      </c>
      <c r="Q26" s="9">
        <v>13436</v>
      </c>
      <c r="R26" s="9">
        <v>4315</v>
      </c>
      <c r="S26" s="9">
        <v>380</v>
      </c>
      <c r="T26" s="9">
        <v>1853</v>
      </c>
      <c r="U26" s="617">
        <v>8741</v>
      </c>
      <c r="V26" s="9">
        <v>13373</v>
      </c>
      <c r="W26" s="9">
        <v>4605</v>
      </c>
      <c r="X26" s="9">
        <v>498</v>
      </c>
      <c r="Y26" s="9">
        <v>1595</v>
      </c>
      <c r="Z26" s="9">
        <v>8270</v>
      </c>
      <c r="AA26" s="9">
        <v>14288</v>
      </c>
      <c r="AB26" s="9">
        <v>3865</v>
      </c>
      <c r="AC26" s="9">
        <v>772</v>
      </c>
      <c r="AD26" s="9">
        <v>1376</v>
      </c>
      <c r="AE26" s="726">
        <v>8986</v>
      </c>
      <c r="AF26" s="14">
        <v>26623</v>
      </c>
      <c r="AG26" s="7">
        <v>17564</v>
      </c>
      <c r="AH26" s="7">
        <v>907</v>
      </c>
      <c r="AI26" s="7">
        <v>1039</v>
      </c>
      <c r="AJ26" s="12">
        <v>8152</v>
      </c>
      <c r="AK26" s="7">
        <v>28619</v>
      </c>
      <c r="AL26" s="7">
        <v>16726</v>
      </c>
      <c r="AM26" s="7">
        <v>1024</v>
      </c>
      <c r="AN26" s="7">
        <v>1397</v>
      </c>
      <c r="AO26" s="12">
        <v>10869</v>
      </c>
      <c r="AP26" s="7">
        <v>24982</v>
      </c>
      <c r="AQ26" s="7">
        <v>13239</v>
      </c>
      <c r="AR26" s="7">
        <v>870</v>
      </c>
      <c r="AS26" s="7">
        <v>2356</v>
      </c>
      <c r="AT26" s="12">
        <v>10873</v>
      </c>
      <c r="AU26" s="7">
        <v>25194</v>
      </c>
      <c r="AV26" s="7">
        <v>12401</v>
      </c>
      <c r="AW26" s="7">
        <v>1144</v>
      </c>
      <c r="AX26" s="7">
        <v>2213</v>
      </c>
      <c r="AY26" s="7">
        <v>11649</v>
      </c>
      <c r="AZ26" s="7">
        <v>23682</v>
      </c>
      <c r="BA26" s="7">
        <v>10618</v>
      </c>
      <c r="BB26" s="7">
        <v>1198</v>
      </c>
      <c r="BC26" s="7">
        <v>1434</v>
      </c>
      <c r="BD26" s="63">
        <v>10922</v>
      </c>
      <c r="BE26" s="14">
        <v>38132</v>
      </c>
      <c r="BF26" s="7">
        <v>17588</v>
      </c>
      <c r="BG26" s="7">
        <v>1327</v>
      </c>
      <c r="BH26" s="7">
        <v>3522</v>
      </c>
      <c r="BI26" s="313">
        <f t="shared" ref="BI26:BI38" si="372">BE26-BF26-BG26</f>
        <v>19217</v>
      </c>
      <c r="BJ26" s="582" t="s">
        <v>186</v>
      </c>
      <c r="BK26" s="298" t="s">
        <v>186</v>
      </c>
      <c r="BL26" s="298" t="s">
        <v>186</v>
      </c>
      <c r="BM26" s="298" t="s">
        <v>186</v>
      </c>
      <c r="BN26" s="281" t="s">
        <v>186</v>
      </c>
      <c r="BO26" s="282" t="s">
        <v>186</v>
      </c>
      <c r="BP26" s="282" t="s">
        <v>186</v>
      </c>
      <c r="BQ26" s="282" t="s">
        <v>186</v>
      </c>
      <c r="BR26" s="283" t="s">
        <v>186</v>
      </c>
      <c r="BS26" s="7">
        <v>280185</v>
      </c>
      <c r="BT26" s="7">
        <v>232656</v>
      </c>
      <c r="BU26" s="7">
        <v>9782</v>
      </c>
      <c r="BV26" s="7">
        <v>7097</v>
      </c>
      <c r="BW26" s="12">
        <v>37747</v>
      </c>
      <c r="BX26" s="7">
        <v>335274</v>
      </c>
      <c r="BY26" s="7">
        <v>260359</v>
      </c>
      <c r="BZ26" s="7">
        <v>10405</v>
      </c>
      <c r="CA26" s="7">
        <v>9604</v>
      </c>
      <c r="CB26" s="7">
        <v>64510</v>
      </c>
      <c r="CC26" s="214">
        <v>377169</v>
      </c>
      <c r="CD26" s="7">
        <v>287746</v>
      </c>
      <c r="CE26" s="7">
        <v>12060</v>
      </c>
      <c r="CF26" s="7">
        <v>77363</v>
      </c>
      <c r="CG26" s="7">
        <v>14038</v>
      </c>
      <c r="CH26" s="14">
        <v>382884</v>
      </c>
      <c r="CI26" s="7">
        <v>289840</v>
      </c>
      <c r="CJ26" s="7">
        <v>12287</v>
      </c>
      <c r="CK26" s="7">
        <v>80757</v>
      </c>
      <c r="CL26" s="7">
        <v>15062</v>
      </c>
      <c r="CM26" s="66">
        <v>385563</v>
      </c>
      <c r="CN26" s="64">
        <v>290742</v>
      </c>
      <c r="CO26" s="64">
        <v>13214</v>
      </c>
      <c r="CP26" s="64">
        <v>81607</v>
      </c>
      <c r="CQ26" s="64">
        <v>16567</v>
      </c>
      <c r="CR26" s="14">
        <v>401089</v>
      </c>
      <c r="CS26" s="7">
        <v>301096</v>
      </c>
      <c r="CT26" s="7">
        <v>12646</v>
      </c>
      <c r="CU26" s="7">
        <v>15330</v>
      </c>
      <c r="CV26" s="7">
        <v>69363</v>
      </c>
      <c r="CW26" s="14">
        <v>410477.23499999999</v>
      </c>
      <c r="CX26" s="7">
        <v>308120.71400000004</v>
      </c>
      <c r="CY26" s="7">
        <v>12945.610999999999</v>
      </c>
      <c r="CZ26" s="7">
        <v>16045.76</v>
      </c>
      <c r="DA26" s="567">
        <f t="shared" ref="DA26:DA38" si="373">CW26-CX26-CY26</f>
        <v>89410.909999999945</v>
      </c>
      <c r="DB26" s="7">
        <v>418503</v>
      </c>
      <c r="DC26" s="7">
        <v>313416</v>
      </c>
      <c r="DD26" s="7">
        <v>12979</v>
      </c>
      <c r="DE26" s="7">
        <v>16926</v>
      </c>
      <c r="DF26" s="7">
        <v>92108</v>
      </c>
      <c r="DG26" s="7">
        <v>423471</v>
      </c>
      <c r="DH26" s="7">
        <v>303874</v>
      </c>
      <c r="DI26" s="7">
        <v>12883</v>
      </c>
      <c r="DJ26" s="7">
        <v>19991</v>
      </c>
      <c r="DK26" s="7">
        <v>55750</v>
      </c>
      <c r="DL26" s="281" t="s">
        <v>186</v>
      </c>
      <c r="DM26" s="282" t="s">
        <v>186</v>
      </c>
      <c r="DN26" s="282" t="s">
        <v>186</v>
      </c>
      <c r="DO26" s="282" t="s">
        <v>186</v>
      </c>
      <c r="DP26" s="283" t="s">
        <v>186</v>
      </c>
      <c r="DQ26" s="7">
        <v>112763</v>
      </c>
      <c r="DR26" s="7">
        <v>93746</v>
      </c>
      <c r="DS26" s="7">
        <v>5088</v>
      </c>
      <c r="DT26" s="7">
        <v>3505</v>
      </c>
      <c r="DU26" s="12">
        <v>13929</v>
      </c>
      <c r="DV26" s="7">
        <v>135655</v>
      </c>
      <c r="DW26" s="7">
        <v>106683</v>
      </c>
      <c r="DX26" s="7">
        <v>5549</v>
      </c>
      <c r="DY26" s="7">
        <v>4226</v>
      </c>
      <c r="DZ26" s="12">
        <v>23423</v>
      </c>
      <c r="EA26" s="7">
        <v>164552</v>
      </c>
      <c r="EB26" s="7">
        <v>122583</v>
      </c>
      <c r="EC26" s="7">
        <v>6720</v>
      </c>
      <c r="ED26" s="7">
        <v>7113</v>
      </c>
      <c r="EE26" s="12">
        <v>35249</v>
      </c>
      <c r="EF26" s="7">
        <v>168228.375</v>
      </c>
      <c r="EG26" s="7">
        <v>125723.674</v>
      </c>
      <c r="EH26" s="7">
        <v>6608.3989999999994</v>
      </c>
      <c r="EI26" s="7">
        <v>7298.8639999999996</v>
      </c>
      <c r="EJ26" s="12">
        <v>35896.302000000003</v>
      </c>
      <c r="EK26" s="7">
        <v>168199</v>
      </c>
      <c r="EL26" s="7">
        <v>126245</v>
      </c>
      <c r="EM26" s="7">
        <v>5930</v>
      </c>
      <c r="EN26" s="7">
        <v>7673</v>
      </c>
      <c r="EO26" s="661">
        <v>36024</v>
      </c>
      <c r="EP26" s="661">
        <v>167568</v>
      </c>
      <c r="EQ26" s="661">
        <v>119399</v>
      </c>
      <c r="ER26" s="661">
        <v>5689</v>
      </c>
      <c r="ES26" s="661">
        <v>8724</v>
      </c>
      <c r="ET26" s="661">
        <v>37161</v>
      </c>
      <c r="EU26" s="14">
        <v>23444</v>
      </c>
      <c r="EV26" s="7">
        <v>19656</v>
      </c>
      <c r="EW26" s="7">
        <v>1021</v>
      </c>
      <c r="EX26" s="7">
        <v>799</v>
      </c>
      <c r="EY26" s="12">
        <v>2767</v>
      </c>
      <c r="EZ26" s="7">
        <v>27213</v>
      </c>
      <c r="FA26" s="7">
        <v>22080</v>
      </c>
      <c r="FB26" s="7">
        <v>1156</v>
      </c>
      <c r="FC26" s="7">
        <v>848</v>
      </c>
      <c r="FD26" s="12">
        <v>3977</v>
      </c>
      <c r="FE26" s="14">
        <v>34742</v>
      </c>
      <c r="FF26" s="7">
        <v>27259</v>
      </c>
      <c r="FG26" s="7">
        <v>1933</v>
      </c>
      <c r="FH26" s="7">
        <v>1578</v>
      </c>
      <c r="FI26" s="7">
        <v>5550</v>
      </c>
      <c r="FJ26" s="14"/>
      <c r="FK26" s="7"/>
      <c r="FL26" s="7"/>
      <c r="FM26" s="7"/>
      <c r="FN26" s="12"/>
      <c r="FO26" s="7">
        <v>36430</v>
      </c>
      <c r="FP26" s="7">
        <v>28774</v>
      </c>
      <c r="FQ26" s="7">
        <v>1490</v>
      </c>
      <c r="FR26" s="7">
        <v>2045</v>
      </c>
      <c r="FS26" s="7">
        <v>6166</v>
      </c>
      <c r="FT26" s="7">
        <v>37077</v>
      </c>
      <c r="FU26" s="7">
        <v>27816</v>
      </c>
      <c r="FV26" s="7">
        <v>1131</v>
      </c>
      <c r="FW26" s="7">
        <v>2083</v>
      </c>
      <c r="FX26" s="7">
        <v>6894</v>
      </c>
      <c r="FY26" s="609">
        <f t="shared" ref="FY26" si="374">EU26+HC26+MZ26</f>
        <v>97941</v>
      </c>
      <c r="FZ26" s="584">
        <f t="shared" ref="FZ26" si="375">EV26+HD26+NA26</f>
        <v>88105</v>
      </c>
      <c r="GA26" s="584">
        <f t="shared" ref="GA26" si="376">EW26+HE26+NB26</f>
        <v>2586</v>
      </c>
      <c r="GB26" s="584">
        <f t="shared" ref="GB26" si="377">EX26+HF26+NC26</f>
        <v>2084</v>
      </c>
      <c r="GC26" s="584">
        <f t="shared" ref="GC26" si="378">EY26+HG26+ND26</f>
        <v>7250</v>
      </c>
      <c r="GD26" s="609">
        <f t="shared" ref="GD26" si="379">EZ26+HH26+NE26</f>
        <v>121020</v>
      </c>
      <c r="GE26" s="584">
        <f t="shared" ref="GE26" si="380">FA26+HI26+NF26</f>
        <v>104478</v>
      </c>
      <c r="GF26" s="584">
        <f t="shared" ref="GF26" si="381">FB26+HJ26+NG26</f>
        <v>2903</v>
      </c>
      <c r="GG26" s="584">
        <f t="shared" ref="GG26" si="382">FC26+HK26+NH26</f>
        <v>2723</v>
      </c>
      <c r="GH26" s="584">
        <f t="shared" ref="GH26" si="383">FD26+HL26+NI26</f>
        <v>13639</v>
      </c>
      <c r="GI26" s="14">
        <v>135094</v>
      </c>
      <c r="GJ26" s="7">
        <v>112306</v>
      </c>
      <c r="GK26" s="7">
        <v>4317</v>
      </c>
      <c r="GL26" s="7">
        <v>4770</v>
      </c>
      <c r="GM26" s="7">
        <v>18471</v>
      </c>
      <c r="GN26" s="605"/>
      <c r="GO26" s="9"/>
      <c r="GP26" s="9"/>
      <c r="GQ26" s="9"/>
      <c r="GR26" s="9"/>
      <c r="GS26" s="9">
        <v>161980</v>
      </c>
      <c r="GT26" s="9">
        <v>134954</v>
      </c>
      <c r="GU26" s="9">
        <v>5056</v>
      </c>
      <c r="GV26" s="9">
        <v>6452</v>
      </c>
      <c r="GW26" s="617">
        <v>21970</v>
      </c>
      <c r="GX26" s="9">
        <v>512469</v>
      </c>
      <c r="GY26" s="9">
        <v>132103</v>
      </c>
      <c r="GZ26" s="9">
        <v>4492</v>
      </c>
      <c r="HA26" s="9">
        <v>6981</v>
      </c>
      <c r="HB26" s="9">
        <v>12138</v>
      </c>
      <c r="HC26" s="14">
        <v>48617</v>
      </c>
      <c r="HD26" s="7">
        <v>44154</v>
      </c>
      <c r="HE26" s="7">
        <v>1087</v>
      </c>
      <c r="HF26" s="7">
        <v>918</v>
      </c>
      <c r="HG26" s="7">
        <v>3376</v>
      </c>
      <c r="HH26" s="14">
        <v>61196</v>
      </c>
      <c r="HI26" s="7">
        <v>52939</v>
      </c>
      <c r="HJ26" s="7">
        <v>1163</v>
      </c>
      <c r="HK26" s="7">
        <v>1343</v>
      </c>
      <c r="HL26" s="7">
        <v>7094</v>
      </c>
      <c r="HM26" s="14">
        <v>78973</v>
      </c>
      <c r="HN26" s="7">
        <v>65929</v>
      </c>
      <c r="HO26" s="7">
        <v>1992</v>
      </c>
      <c r="HP26" s="7">
        <v>2554</v>
      </c>
      <c r="HQ26" s="7">
        <v>11052</v>
      </c>
      <c r="HR26" s="14">
        <v>80301.010999999999</v>
      </c>
      <c r="HS26" s="7">
        <v>66444.635999999999</v>
      </c>
      <c r="HT26" s="7">
        <v>2283.6799999999998</v>
      </c>
      <c r="HU26" s="7">
        <v>2700.384</v>
      </c>
      <c r="HV26" s="7">
        <v>11572.695</v>
      </c>
      <c r="HW26" s="7">
        <v>79853</v>
      </c>
      <c r="HX26" s="7">
        <v>64198</v>
      </c>
      <c r="HY26" s="7">
        <v>2283</v>
      </c>
      <c r="HZ26" s="7">
        <v>3187</v>
      </c>
      <c r="IA26" s="7">
        <v>11553</v>
      </c>
      <c r="IB26" s="281" t="s">
        <v>186</v>
      </c>
      <c r="IC26" s="282" t="s">
        <v>186</v>
      </c>
      <c r="ID26" s="339">
        <v>9963</v>
      </c>
      <c r="IE26" s="355">
        <f t="shared" ref="IE26:IE38" si="384">+IH26+IK26</f>
        <v>6084</v>
      </c>
      <c r="IF26" s="355">
        <f t="shared" ref="IF26:IF38" si="385">+II26+IL26</f>
        <v>3879</v>
      </c>
      <c r="IG26" s="355">
        <f t="shared" ref="IG26:IG38" si="386">+IH26+II26</f>
        <v>9723</v>
      </c>
      <c r="IH26" s="341">
        <v>5930</v>
      </c>
      <c r="II26" s="341">
        <v>3793</v>
      </c>
      <c r="IJ26" s="355">
        <f t="shared" ref="IJ26:IJ38" si="387">+IK26+IL26</f>
        <v>240</v>
      </c>
      <c r="IK26" s="341">
        <v>154</v>
      </c>
      <c r="IL26" s="341">
        <v>86</v>
      </c>
      <c r="IM26" s="339">
        <v>18875</v>
      </c>
      <c r="IN26" s="355">
        <f t="shared" ref="IN26:IN38" si="388">+IQ26+IT26+IW26</f>
        <v>11357</v>
      </c>
      <c r="IO26" s="355">
        <f t="shared" ref="IO26:IO38" si="389">+IR26+IU26+IX26</f>
        <v>7518</v>
      </c>
      <c r="IP26" s="355">
        <f t="shared" ref="IP26:IP38" si="390">+IQ26+IR26</f>
        <v>18327</v>
      </c>
      <c r="IQ26" s="341">
        <v>11061</v>
      </c>
      <c r="IR26" s="341">
        <v>7266</v>
      </c>
      <c r="IS26" s="355">
        <f t="shared" ref="IS26:IS38" si="391">+IT26+IU26</f>
        <v>281</v>
      </c>
      <c r="IT26" s="341">
        <v>123</v>
      </c>
      <c r="IU26" s="341">
        <v>158</v>
      </c>
      <c r="IV26" s="355">
        <f t="shared" ref="IV26:IV38" si="392">+IW26+IX26</f>
        <v>267</v>
      </c>
      <c r="IW26" s="341">
        <v>173</v>
      </c>
      <c r="IX26" s="341">
        <v>94</v>
      </c>
      <c r="IY26" s="339">
        <v>44554</v>
      </c>
      <c r="IZ26" s="355">
        <f t="shared" ref="IZ26:IZ38" si="393">+JC26+JH26+JK26+JN26</f>
        <v>26284</v>
      </c>
      <c r="JA26" s="355">
        <f t="shared" ref="JA26:JA38" si="394">+JD26+JI26+JL26+JO26</f>
        <v>18270</v>
      </c>
      <c r="JB26" s="365">
        <f t="shared" ref="JB26:JB38" si="395">+JC26+JD26</f>
        <v>41381</v>
      </c>
      <c r="JC26" s="341">
        <v>24670</v>
      </c>
      <c r="JD26" s="341">
        <v>16711</v>
      </c>
      <c r="JE26" s="341">
        <v>1614</v>
      </c>
      <c r="JF26" s="341">
        <v>1559</v>
      </c>
      <c r="JG26" s="365">
        <f t="shared" ref="JG26:JG38" si="396">+JH26+JI26</f>
        <v>615</v>
      </c>
      <c r="JH26" s="341">
        <v>305</v>
      </c>
      <c r="JI26" s="341">
        <v>310</v>
      </c>
      <c r="JJ26" s="365">
        <f t="shared" ref="JJ26:JJ38" si="397">+JK26+JL26</f>
        <v>570</v>
      </c>
      <c r="JK26" s="341">
        <v>300</v>
      </c>
      <c r="JL26" s="341">
        <v>270</v>
      </c>
      <c r="JM26" s="356">
        <f t="shared" ref="JM26:JM38" si="398">+JN26+JO26</f>
        <v>1988</v>
      </c>
      <c r="JN26" s="356">
        <f t="shared" ref="JN26:JN38" si="399">+JQ26+JT26</f>
        <v>1009</v>
      </c>
      <c r="JO26" s="356">
        <f t="shared" ref="JO26:JO38" si="400">+JR26+JU26</f>
        <v>979</v>
      </c>
      <c r="JP26" s="357">
        <f t="shared" ref="JP26:JP38" si="401">+JQ26+JR26</f>
        <v>33</v>
      </c>
      <c r="JQ26" s="357">
        <f t="shared" ref="JQ26:JQ38" si="402">+JE26-JH26-JK26-JT26</f>
        <v>20</v>
      </c>
      <c r="JR26" s="357">
        <f t="shared" ref="JR26:JR38" si="403">+JF26-JI26-JL26-JU26</f>
        <v>13</v>
      </c>
      <c r="JS26" s="341">
        <v>1955</v>
      </c>
      <c r="JT26" s="341">
        <v>989</v>
      </c>
      <c r="JU26" s="341">
        <v>966</v>
      </c>
      <c r="JV26" s="16">
        <f t="shared" ref="JV26:JV38" si="404">+HC26+MZ26</f>
        <v>74497</v>
      </c>
      <c r="JW26" s="355">
        <f t="shared" ref="JW26:JW38" si="405">+KA26+KG26+KJ26+KM26</f>
        <v>40702</v>
      </c>
      <c r="JX26" s="355">
        <f t="shared" ref="JX26:JX38" si="406">+KB26+KH26+KK26+KN26</f>
        <v>33795</v>
      </c>
      <c r="JY26" s="15">
        <f t="shared" ref="JY26:JY38" si="407">+HD26+NA26</f>
        <v>68449</v>
      </c>
      <c r="JZ26" s="151">
        <f t="shared" ref="JZ26:JZ38" si="408">+KA26+KB26</f>
        <v>67691</v>
      </c>
      <c r="KA26" s="341">
        <v>37496</v>
      </c>
      <c r="KB26" s="341">
        <v>30195</v>
      </c>
      <c r="KC26" s="341">
        <v>3206</v>
      </c>
      <c r="KD26" s="341">
        <v>3600</v>
      </c>
      <c r="KE26" s="15">
        <f t="shared" ref="KE26:KE38" si="409">+HE26+NB26</f>
        <v>1565</v>
      </c>
      <c r="KF26" s="151">
        <f t="shared" ref="KF26:KF38" si="410">+KG26+KH26</f>
        <v>1556</v>
      </c>
      <c r="KG26" s="341">
        <v>800</v>
      </c>
      <c r="KH26" s="341">
        <v>756</v>
      </c>
      <c r="KI26" s="15">
        <f t="shared" ref="KI26:KI38" si="411">+KJ26+KK26</f>
        <v>1285</v>
      </c>
      <c r="KJ26" s="341">
        <v>605</v>
      </c>
      <c r="KK26" s="341">
        <v>680</v>
      </c>
      <c r="KL26" s="13">
        <f t="shared" ref="KL26:KL38" si="412">+HG26+ND26</f>
        <v>4483</v>
      </c>
      <c r="KM26" s="358">
        <f t="shared" ref="KM26:KM38" si="413">+KP26+KS26</f>
        <v>1801</v>
      </c>
      <c r="KN26" s="358">
        <f t="shared" ref="KN26:KN38" si="414">+KQ26+KT26</f>
        <v>2164</v>
      </c>
      <c r="KO26" s="359">
        <f t="shared" ref="KO26:KO38" si="415">+KP26+KQ26</f>
        <v>28</v>
      </c>
      <c r="KP26" s="359">
        <f t="shared" ref="KP26:KP38" si="416">+KC26-KG26-KJ26-KS26</f>
        <v>18</v>
      </c>
      <c r="KQ26" s="359">
        <f t="shared" ref="KQ26:KQ38" si="417">+KD26-KH26-KK26-KT26</f>
        <v>10</v>
      </c>
      <c r="KR26" s="360">
        <f t="shared" ref="KR26:KR38" si="418">+KS26+KT26</f>
        <v>3937</v>
      </c>
      <c r="KS26" s="360">
        <f t="shared" ref="KS26:KS38" si="419">+KU26+KW26</f>
        <v>1783</v>
      </c>
      <c r="KT26" s="360">
        <f t="shared" ref="KT26:KT38" si="420">+KV26+KX26</f>
        <v>2154</v>
      </c>
      <c r="KU26" s="341">
        <v>730</v>
      </c>
      <c r="KV26" s="341">
        <v>972</v>
      </c>
      <c r="KW26" s="341">
        <v>1053</v>
      </c>
      <c r="KX26" s="341">
        <v>1182</v>
      </c>
      <c r="KY26" s="361">
        <v>93807</v>
      </c>
      <c r="KZ26" s="341">
        <v>47150</v>
      </c>
      <c r="LA26" s="341">
        <v>46657</v>
      </c>
      <c r="LB26" s="9">
        <f t="shared" ref="LB26:LB38" si="421">+HI26+NF26</f>
        <v>82398</v>
      </c>
      <c r="LC26" s="9">
        <v>42105</v>
      </c>
      <c r="LD26" s="9">
        <v>40293</v>
      </c>
      <c r="LE26" s="140">
        <f t="shared" ref="LE26:LE38" si="422">+LF26+LG26</f>
        <v>81447</v>
      </c>
      <c r="LF26" s="341">
        <v>41663</v>
      </c>
      <c r="LG26" s="341">
        <v>39784</v>
      </c>
      <c r="LH26" s="9">
        <f t="shared" ref="LH26:LH38" si="423">+LI26+LJ26</f>
        <v>1747</v>
      </c>
      <c r="LI26" s="341">
        <v>888</v>
      </c>
      <c r="LJ26" s="341">
        <v>859</v>
      </c>
      <c r="LK26" s="9">
        <f t="shared" ref="LK26:LK38" si="424">+LL26+LM26</f>
        <v>1875</v>
      </c>
      <c r="LL26" s="341">
        <v>822</v>
      </c>
      <c r="LM26" s="341">
        <v>1053</v>
      </c>
      <c r="LN26" s="140">
        <f t="shared" ref="LN26:LN38" si="425">+KY26-LB26-LH26</f>
        <v>9662</v>
      </c>
      <c r="LO26" s="140">
        <f t="shared" ref="LO26:LO38" si="426">+KZ26-LC26-LI26</f>
        <v>4157</v>
      </c>
      <c r="LP26" s="140">
        <f t="shared" ref="LP26:LP38" si="427">+LA26-LD26-LJ26</f>
        <v>5505</v>
      </c>
      <c r="LQ26" s="349">
        <v>109602</v>
      </c>
      <c r="LR26" s="341">
        <v>96048</v>
      </c>
      <c r="LS26" s="341">
        <v>2306</v>
      </c>
      <c r="LT26" s="341">
        <v>11248</v>
      </c>
      <c r="LU26" s="9">
        <v>2819</v>
      </c>
      <c r="LV26" s="14">
        <v>112005</v>
      </c>
      <c r="LW26" s="7">
        <v>97090</v>
      </c>
      <c r="LX26" s="7">
        <v>2289</v>
      </c>
      <c r="LY26" s="7">
        <v>12626</v>
      </c>
      <c r="LZ26" s="7">
        <v>3366</v>
      </c>
      <c r="MA26" s="14">
        <v>112052</v>
      </c>
      <c r="MB26" s="7">
        <v>96873</v>
      </c>
      <c r="MC26" s="7">
        <v>2462</v>
      </c>
      <c r="MD26" s="7">
        <v>12717</v>
      </c>
      <c r="ME26" s="7">
        <v>3615</v>
      </c>
      <c r="MF26" s="14">
        <v>120291</v>
      </c>
      <c r="MG26" s="7">
        <v>102650</v>
      </c>
      <c r="MH26" s="7">
        <v>2658</v>
      </c>
      <c r="MI26" s="7">
        <v>14983</v>
      </c>
      <c r="MJ26" s="7">
        <v>3886</v>
      </c>
      <c r="MK26" s="14">
        <v>122470.257</v>
      </c>
      <c r="ML26" s="7">
        <v>103901.171</v>
      </c>
      <c r="MM26" s="7">
        <v>2954.511</v>
      </c>
      <c r="MN26" s="7">
        <v>4011.44</v>
      </c>
      <c r="MO26" s="7">
        <v>15614.574999999995</v>
      </c>
      <c r="MP26" s="7">
        <v>125550</v>
      </c>
      <c r="MQ26" s="7">
        <v>106180</v>
      </c>
      <c r="MR26" s="7">
        <v>3566</v>
      </c>
      <c r="MS26" s="7">
        <v>4407</v>
      </c>
      <c r="MT26" s="2">
        <v>15804</v>
      </c>
      <c r="MU26" s="2">
        <v>126557</v>
      </c>
      <c r="MV26" s="2">
        <v>104287</v>
      </c>
      <c r="MW26" s="2">
        <v>3361</v>
      </c>
      <c r="MX26" s="2">
        <v>4898</v>
      </c>
      <c r="MY26" s="2">
        <v>8482</v>
      </c>
      <c r="MZ26" s="14">
        <v>25880</v>
      </c>
      <c r="NA26" s="7">
        <v>24295</v>
      </c>
      <c r="NB26" s="7">
        <v>478</v>
      </c>
      <c r="NC26" s="7">
        <v>367</v>
      </c>
      <c r="ND26" s="7">
        <v>1107</v>
      </c>
      <c r="NE26" s="14">
        <v>32611</v>
      </c>
      <c r="NF26" s="7">
        <v>29459</v>
      </c>
      <c r="NG26" s="7">
        <v>584</v>
      </c>
      <c r="NH26" s="7">
        <v>532</v>
      </c>
      <c r="NI26" s="7">
        <v>2568</v>
      </c>
      <c r="NJ26" s="14">
        <v>41318</v>
      </c>
      <c r="NK26" s="7">
        <v>36721</v>
      </c>
      <c r="NL26" s="7">
        <v>666</v>
      </c>
      <c r="NM26" s="7">
        <v>1332</v>
      </c>
      <c r="NN26" s="7">
        <v>3931</v>
      </c>
      <c r="NO26" s="14">
        <v>42169.245999999999</v>
      </c>
      <c r="NP26" s="7">
        <v>37456.535000000003</v>
      </c>
      <c r="NQ26" s="7">
        <v>670.83100000000002</v>
      </c>
      <c r="NR26" s="7">
        <v>1311.056</v>
      </c>
      <c r="NS26" s="12">
        <v>4041.8799999999956</v>
      </c>
      <c r="NT26" s="1">
        <v>45572</v>
      </c>
      <c r="NU26" s="2">
        <v>40382</v>
      </c>
      <c r="NV26" s="2">
        <v>942</v>
      </c>
      <c r="NW26" s="2">
        <v>1473</v>
      </c>
      <c r="NX26" s="79">
        <v>4248</v>
      </c>
      <c r="NY26" s="2">
        <v>46704</v>
      </c>
      <c r="NZ26" s="2">
        <v>40089</v>
      </c>
      <c r="OA26" s="2">
        <v>1078</v>
      </c>
      <c r="OB26" s="2">
        <v>1711</v>
      </c>
      <c r="OC26" s="2">
        <v>4214</v>
      </c>
    </row>
    <row r="27" spans="1:393" ht="14.25" x14ac:dyDescent="0.2">
      <c r="A27" s="240" t="s">
        <v>18</v>
      </c>
      <c r="B27" s="281" t="s">
        <v>186</v>
      </c>
      <c r="C27" s="282" t="s">
        <v>186</v>
      </c>
      <c r="D27" s="282" t="s">
        <v>186</v>
      </c>
      <c r="E27" s="282" t="s">
        <v>186</v>
      </c>
      <c r="F27" s="283" t="s">
        <v>186</v>
      </c>
      <c r="G27" s="7">
        <v>207509</v>
      </c>
      <c r="H27" s="7">
        <v>125615</v>
      </c>
      <c r="I27" s="7">
        <v>5554</v>
      </c>
      <c r="J27" s="7">
        <v>98831</v>
      </c>
      <c r="K27" s="12">
        <v>76340</v>
      </c>
      <c r="L27" s="7">
        <v>254696</v>
      </c>
      <c r="M27" s="7">
        <v>135524</v>
      </c>
      <c r="N27" s="7">
        <v>4606</v>
      </c>
      <c r="O27" s="7">
        <v>169144</v>
      </c>
      <c r="P27" s="12">
        <v>114566</v>
      </c>
      <c r="Q27" s="9">
        <v>270592</v>
      </c>
      <c r="R27" s="9">
        <v>195664</v>
      </c>
      <c r="S27" s="9">
        <v>5426</v>
      </c>
      <c r="T27" s="9">
        <v>196767</v>
      </c>
      <c r="U27" s="617">
        <v>69502</v>
      </c>
      <c r="V27" s="9">
        <v>265676</v>
      </c>
      <c r="W27" s="9">
        <v>186998</v>
      </c>
      <c r="X27" s="9">
        <v>5429</v>
      </c>
      <c r="Y27" s="9">
        <v>194235</v>
      </c>
      <c r="Z27" s="9">
        <v>73249</v>
      </c>
      <c r="AA27" s="9">
        <v>270293</v>
      </c>
      <c r="AB27" s="9">
        <v>42779</v>
      </c>
      <c r="AC27" s="9">
        <v>6098</v>
      </c>
      <c r="AD27" s="9">
        <v>196717</v>
      </c>
      <c r="AE27" s="726">
        <v>75695</v>
      </c>
      <c r="AF27" s="14">
        <v>283571</v>
      </c>
      <c r="AG27" s="7">
        <v>219844</v>
      </c>
      <c r="AH27" s="7">
        <v>9258</v>
      </c>
      <c r="AI27" s="7">
        <v>60244</v>
      </c>
      <c r="AJ27" s="12">
        <v>54469</v>
      </c>
      <c r="AK27" s="7">
        <v>364851</v>
      </c>
      <c r="AL27" s="7">
        <v>249375</v>
      </c>
      <c r="AM27" s="7">
        <v>11712</v>
      </c>
      <c r="AN27" s="7">
        <v>127860</v>
      </c>
      <c r="AO27" s="12">
        <v>103764</v>
      </c>
      <c r="AP27" s="7">
        <v>338129</v>
      </c>
      <c r="AQ27" s="7">
        <v>254079</v>
      </c>
      <c r="AR27" s="7">
        <v>11873</v>
      </c>
      <c r="AS27" s="7">
        <v>154421</v>
      </c>
      <c r="AT27" s="12">
        <v>72177</v>
      </c>
      <c r="AU27" s="7">
        <v>336443</v>
      </c>
      <c r="AV27" s="7">
        <v>250090</v>
      </c>
      <c r="AW27" s="7">
        <v>12199</v>
      </c>
      <c r="AX27" s="7">
        <v>156173</v>
      </c>
      <c r="AY27" s="7">
        <v>74154</v>
      </c>
      <c r="AZ27" s="7">
        <v>337448</v>
      </c>
      <c r="BA27" s="7">
        <v>131458</v>
      </c>
      <c r="BB27" s="7">
        <v>12881</v>
      </c>
      <c r="BC27" s="7">
        <v>161984</v>
      </c>
      <c r="BD27" s="63">
        <v>74692</v>
      </c>
      <c r="BE27" s="14">
        <v>605702</v>
      </c>
      <c r="BF27" s="7">
        <v>443378</v>
      </c>
      <c r="BG27" s="7">
        <v>16851</v>
      </c>
      <c r="BH27" s="7">
        <v>348517</v>
      </c>
      <c r="BI27" s="313">
        <f t="shared" si="372"/>
        <v>145473</v>
      </c>
      <c r="BJ27" s="281" t="s">
        <v>186</v>
      </c>
      <c r="BK27" s="282" t="s">
        <v>186</v>
      </c>
      <c r="BL27" s="282" t="s">
        <v>186</v>
      </c>
      <c r="BM27" s="282" t="s">
        <v>186</v>
      </c>
      <c r="BN27" s="281" t="s">
        <v>186</v>
      </c>
      <c r="BO27" s="282" t="s">
        <v>186</v>
      </c>
      <c r="BP27" s="282" t="s">
        <v>186</v>
      </c>
      <c r="BQ27" s="282" t="s">
        <v>186</v>
      </c>
      <c r="BR27" s="283" t="s">
        <v>186</v>
      </c>
      <c r="BS27" s="7">
        <v>1810097</v>
      </c>
      <c r="BT27" s="7">
        <v>1615423</v>
      </c>
      <c r="BU27" s="7">
        <v>44695</v>
      </c>
      <c r="BV27" s="7">
        <v>170380</v>
      </c>
      <c r="BW27" s="12">
        <v>149979</v>
      </c>
      <c r="BX27" s="7">
        <v>2636637</v>
      </c>
      <c r="BY27" s="7">
        <v>2245285</v>
      </c>
      <c r="BZ27" s="7">
        <v>72963</v>
      </c>
      <c r="CA27" s="7">
        <v>328514</v>
      </c>
      <c r="CB27" s="7">
        <v>318389</v>
      </c>
      <c r="CC27" s="214">
        <v>3296122</v>
      </c>
      <c r="CD27" s="7">
        <v>2741802</v>
      </c>
      <c r="CE27" s="7">
        <v>104196</v>
      </c>
      <c r="CF27" s="7">
        <v>450124</v>
      </c>
      <c r="CG27" s="7">
        <v>546773</v>
      </c>
      <c r="CH27" s="14">
        <v>3417935</v>
      </c>
      <c r="CI27" s="7">
        <v>2860694</v>
      </c>
      <c r="CJ27" s="7">
        <v>112237</v>
      </c>
      <c r="CK27" s="7">
        <v>445004</v>
      </c>
      <c r="CL27" s="7">
        <v>579708</v>
      </c>
      <c r="CM27" s="66">
        <v>3501893</v>
      </c>
      <c r="CN27" s="64">
        <v>2950148</v>
      </c>
      <c r="CO27" s="64">
        <v>120031</v>
      </c>
      <c r="CP27" s="64">
        <v>431714</v>
      </c>
      <c r="CQ27" s="64">
        <v>609345</v>
      </c>
      <c r="CR27" s="14">
        <v>3479684</v>
      </c>
      <c r="CS27" s="7">
        <v>2946162</v>
      </c>
      <c r="CT27" s="7">
        <v>129571</v>
      </c>
      <c r="CU27" s="7">
        <v>589070</v>
      </c>
      <c r="CV27" s="7">
        <v>351862</v>
      </c>
      <c r="CW27" s="14">
        <v>3542940.2680000002</v>
      </c>
      <c r="CX27" s="7">
        <v>2993659.2270000004</v>
      </c>
      <c r="CY27" s="7">
        <v>133601.37600000002</v>
      </c>
      <c r="CZ27" s="7">
        <v>620554.02300000004</v>
      </c>
      <c r="DA27" s="567">
        <f t="shared" si="373"/>
        <v>415679.66499999969</v>
      </c>
      <c r="DB27" s="7">
        <v>3607470</v>
      </c>
      <c r="DC27" s="7">
        <v>3037136</v>
      </c>
      <c r="DD27" s="7">
        <v>139116</v>
      </c>
      <c r="DE27" s="7">
        <v>642485</v>
      </c>
      <c r="DF27" s="7">
        <v>431218</v>
      </c>
      <c r="DG27" s="7">
        <v>3666325</v>
      </c>
      <c r="DH27" s="7">
        <v>2591676</v>
      </c>
      <c r="DI27" s="7">
        <v>142422</v>
      </c>
      <c r="DJ27" s="7">
        <v>659840</v>
      </c>
      <c r="DK27" s="7">
        <v>249321</v>
      </c>
      <c r="DL27" s="281" t="s">
        <v>186</v>
      </c>
      <c r="DM27" s="282" t="s">
        <v>186</v>
      </c>
      <c r="DN27" s="282" t="s">
        <v>186</v>
      </c>
      <c r="DO27" s="282" t="s">
        <v>186</v>
      </c>
      <c r="DP27" s="283" t="s">
        <v>186</v>
      </c>
      <c r="DQ27" s="7">
        <v>741784</v>
      </c>
      <c r="DR27" s="7">
        <v>659654</v>
      </c>
      <c r="DS27" s="7">
        <v>23175</v>
      </c>
      <c r="DT27" s="7">
        <v>70378</v>
      </c>
      <c r="DU27" s="12">
        <v>58955</v>
      </c>
      <c r="DV27" s="7">
        <v>1078521</v>
      </c>
      <c r="DW27" s="7">
        <v>915562</v>
      </c>
      <c r="DX27" s="7">
        <v>35040</v>
      </c>
      <c r="DY27" s="7">
        <v>136058</v>
      </c>
      <c r="DZ27" s="12">
        <v>127919</v>
      </c>
      <c r="EA27" s="7">
        <v>1406947</v>
      </c>
      <c r="EB27" s="7">
        <v>1187200</v>
      </c>
      <c r="EC27" s="7">
        <v>60630</v>
      </c>
      <c r="ED27" s="7">
        <v>240598</v>
      </c>
      <c r="EE27" s="12">
        <v>159117</v>
      </c>
      <c r="EF27" s="7">
        <v>1431281.49</v>
      </c>
      <c r="EG27" s="7">
        <v>1206399.9870000002</v>
      </c>
      <c r="EH27" s="7">
        <v>64393.455999999998</v>
      </c>
      <c r="EI27" s="7">
        <v>258483.50100000002</v>
      </c>
      <c r="EJ27" s="12">
        <v>160488.04699999979</v>
      </c>
      <c r="EK27" s="7">
        <v>1447853</v>
      </c>
      <c r="EL27" s="7">
        <v>1215317</v>
      </c>
      <c r="EM27" s="7">
        <v>67497</v>
      </c>
      <c r="EN27" s="7">
        <v>267090</v>
      </c>
      <c r="EO27" s="661">
        <v>165039</v>
      </c>
      <c r="EP27" s="661">
        <v>1458487</v>
      </c>
      <c r="EQ27" s="661">
        <v>1017716</v>
      </c>
      <c r="ER27" s="661">
        <v>67789</v>
      </c>
      <c r="ES27" s="661">
        <v>275126</v>
      </c>
      <c r="ET27" s="661">
        <v>171177</v>
      </c>
      <c r="EU27" s="14">
        <v>157456</v>
      </c>
      <c r="EV27" s="7">
        <v>138410</v>
      </c>
      <c r="EW27" s="7">
        <v>5224</v>
      </c>
      <c r="EX27" s="7">
        <v>15808</v>
      </c>
      <c r="EY27" s="12">
        <v>13822</v>
      </c>
      <c r="EZ27" s="7">
        <v>219356</v>
      </c>
      <c r="FA27" s="7">
        <v>184383</v>
      </c>
      <c r="FB27" s="7">
        <v>7858</v>
      </c>
      <c r="FC27" s="7">
        <v>26418</v>
      </c>
      <c r="FD27" s="12">
        <v>27115</v>
      </c>
      <c r="FE27" s="14">
        <v>327702</v>
      </c>
      <c r="FF27" s="7">
        <v>275051</v>
      </c>
      <c r="FG27" s="7">
        <v>14281</v>
      </c>
      <c r="FH27" s="7">
        <v>54754</v>
      </c>
      <c r="FI27" s="7">
        <v>38370</v>
      </c>
      <c r="FJ27" s="14"/>
      <c r="FK27" s="7"/>
      <c r="FL27" s="7"/>
      <c r="FM27" s="7"/>
      <c r="FN27" s="12"/>
      <c r="FO27" s="7">
        <v>347863</v>
      </c>
      <c r="FP27" s="7">
        <v>290368</v>
      </c>
      <c r="FQ27" s="7">
        <v>16093</v>
      </c>
      <c r="FR27" s="7">
        <v>59478</v>
      </c>
      <c r="FS27" s="7">
        <v>41402</v>
      </c>
      <c r="FT27" s="7">
        <v>360777</v>
      </c>
      <c r="FU27" s="7">
        <v>257418</v>
      </c>
      <c r="FV27" s="7">
        <v>15774</v>
      </c>
      <c r="FW27" s="7">
        <v>61480</v>
      </c>
      <c r="FX27" s="7">
        <v>42190</v>
      </c>
      <c r="FY27" s="609">
        <f t="shared" ref="FY27:FY38" si="428">EU27+HC27+MZ27</f>
        <v>624329</v>
      </c>
      <c r="FZ27" s="584">
        <f t="shared" ref="FZ27:FZ38" si="429">EV27+HD27+NA27</f>
        <v>572916</v>
      </c>
      <c r="GA27" s="584">
        <f t="shared" ref="GA27:GA38" si="430">EW27+HE27+NB27</f>
        <v>13728</v>
      </c>
      <c r="GB27" s="584">
        <f t="shared" ref="GB27:GB38" si="431">EX27+HF27+NC27</f>
        <v>38651</v>
      </c>
      <c r="GC27" s="584">
        <f t="shared" ref="GC27:GC38" si="432">EY27+HG27+ND27</f>
        <v>37685</v>
      </c>
      <c r="GD27" s="609">
        <f t="shared" ref="GD27:GD38" si="433">EZ27+HH27+NE27</f>
        <v>985568</v>
      </c>
      <c r="GE27" s="584">
        <f t="shared" ref="GE27:GE38" si="434">FA27+HI27+NF27</f>
        <v>868612</v>
      </c>
      <c r="GF27" s="584">
        <f t="shared" ref="GF27:GF38" si="435">FB27+HJ27+NG27</f>
        <v>24459</v>
      </c>
      <c r="GG27" s="584">
        <f t="shared" ref="GG27:GG38" si="436">FC27+HK27+NH27</f>
        <v>77338</v>
      </c>
      <c r="GH27" s="584">
        <f t="shared" ref="GH27:GH38" si="437">FD27+HL27+NI27</f>
        <v>92497</v>
      </c>
      <c r="GI27" s="14">
        <v>1210219</v>
      </c>
      <c r="GJ27" s="7">
        <v>1043617</v>
      </c>
      <c r="GK27" s="7">
        <v>40840</v>
      </c>
      <c r="GL27" s="7">
        <v>137035</v>
      </c>
      <c r="GM27" s="7">
        <v>125762</v>
      </c>
      <c r="GN27" s="605"/>
      <c r="GO27" s="9"/>
      <c r="GP27" s="9"/>
      <c r="GQ27" s="9"/>
      <c r="GR27" s="9"/>
      <c r="GS27" s="9">
        <v>1470955</v>
      </c>
      <c r="GT27" s="9">
        <v>1262269</v>
      </c>
      <c r="GU27" s="9">
        <v>50038</v>
      </c>
      <c r="GV27" s="9">
        <v>165999</v>
      </c>
      <c r="GW27" s="617">
        <v>158648</v>
      </c>
      <c r="GX27" s="9">
        <v>4683466</v>
      </c>
      <c r="GY27" s="9">
        <v>1175499</v>
      </c>
      <c r="GZ27" s="9">
        <v>51075</v>
      </c>
      <c r="HA27" s="9">
        <v>170940</v>
      </c>
      <c r="HB27" s="9">
        <v>91624</v>
      </c>
      <c r="HC27" s="14">
        <v>306554</v>
      </c>
      <c r="HD27" s="7">
        <v>285607</v>
      </c>
      <c r="HE27" s="7">
        <v>5882</v>
      </c>
      <c r="HF27" s="7">
        <v>15325</v>
      </c>
      <c r="HG27" s="7">
        <v>15065</v>
      </c>
      <c r="HH27" s="14">
        <v>493419</v>
      </c>
      <c r="HI27" s="7">
        <v>441978</v>
      </c>
      <c r="HJ27" s="7">
        <v>10942</v>
      </c>
      <c r="HK27" s="7">
        <v>33315</v>
      </c>
      <c r="HL27" s="7">
        <v>40499</v>
      </c>
      <c r="HM27" s="14">
        <v>679812</v>
      </c>
      <c r="HN27" s="7">
        <v>592599</v>
      </c>
      <c r="HO27" s="7">
        <v>20765</v>
      </c>
      <c r="HP27" s="7">
        <v>69025</v>
      </c>
      <c r="HQ27" s="7">
        <v>66448</v>
      </c>
      <c r="HR27" s="14">
        <v>696971.85600000003</v>
      </c>
      <c r="HS27" s="7">
        <v>608355.549</v>
      </c>
      <c r="HT27" s="7">
        <v>20461.472000000002</v>
      </c>
      <c r="HU27" s="7">
        <v>71639.622000000003</v>
      </c>
      <c r="HV27" s="7">
        <v>68154.835000000021</v>
      </c>
      <c r="HW27" s="7">
        <v>732925</v>
      </c>
      <c r="HX27" s="7">
        <v>578031</v>
      </c>
      <c r="HY27" s="7">
        <v>22671</v>
      </c>
      <c r="HZ27" s="7">
        <v>75591</v>
      </c>
      <c r="IA27" s="7">
        <v>75658</v>
      </c>
      <c r="IB27" s="281" t="s">
        <v>186</v>
      </c>
      <c r="IC27" s="282" t="s">
        <v>186</v>
      </c>
      <c r="ID27" s="339">
        <v>60011</v>
      </c>
      <c r="IE27" s="355">
        <f t="shared" si="384"/>
        <v>35135</v>
      </c>
      <c r="IF27" s="355">
        <f t="shared" si="385"/>
        <v>24876</v>
      </c>
      <c r="IG27" s="355">
        <f t="shared" si="386"/>
        <v>58955</v>
      </c>
      <c r="IH27" s="341">
        <v>34625</v>
      </c>
      <c r="II27" s="341">
        <v>24330</v>
      </c>
      <c r="IJ27" s="355">
        <f t="shared" si="387"/>
        <v>1056</v>
      </c>
      <c r="IK27" s="341">
        <v>510</v>
      </c>
      <c r="IL27" s="341">
        <v>546</v>
      </c>
      <c r="IM27" s="339">
        <v>119584</v>
      </c>
      <c r="IN27" s="355">
        <f t="shared" si="388"/>
        <v>71108</v>
      </c>
      <c r="IO27" s="355">
        <f t="shared" si="389"/>
        <v>48476</v>
      </c>
      <c r="IP27" s="355">
        <f t="shared" si="390"/>
        <v>112440</v>
      </c>
      <c r="IQ27" s="341">
        <v>66784</v>
      </c>
      <c r="IR27" s="341">
        <v>45656</v>
      </c>
      <c r="IS27" s="355">
        <f t="shared" si="391"/>
        <v>1105</v>
      </c>
      <c r="IT27" s="341">
        <v>566</v>
      </c>
      <c r="IU27" s="341">
        <v>539</v>
      </c>
      <c r="IV27" s="355">
        <f t="shared" si="392"/>
        <v>6039</v>
      </c>
      <c r="IW27" s="341">
        <v>3758</v>
      </c>
      <c r="IX27" s="341">
        <v>2281</v>
      </c>
      <c r="IY27" s="339">
        <v>271460</v>
      </c>
      <c r="IZ27" s="355">
        <f t="shared" si="393"/>
        <v>159358</v>
      </c>
      <c r="JA27" s="355">
        <f t="shared" si="394"/>
        <v>112102</v>
      </c>
      <c r="JB27" s="365">
        <f t="shared" si="395"/>
        <v>250374</v>
      </c>
      <c r="JC27" s="341">
        <v>146702</v>
      </c>
      <c r="JD27" s="341">
        <v>103672</v>
      </c>
      <c r="JE27" s="341">
        <v>12656</v>
      </c>
      <c r="JF27" s="341">
        <v>8430</v>
      </c>
      <c r="JG27" s="365">
        <f t="shared" si="396"/>
        <v>3690</v>
      </c>
      <c r="JH27" s="341">
        <v>2028</v>
      </c>
      <c r="JI27" s="341">
        <v>1662</v>
      </c>
      <c r="JJ27" s="365">
        <f t="shared" si="397"/>
        <v>10874</v>
      </c>
      <c r="JK27" s="341">
        <v>6901</v>
      </c>
      <c r="JL27" s="341">
        <v>3973</v>
      </c>
      <c r="JM27" s="356">
        <f t="shared" si="398"/>
        <v>6522</v>
      </c>
      <c r="JN27" s="356">
        <f t="shared" si="399"/>
        <v>3727</v>
      </c>
      <c r="JO27" s="356">
        <f t="shared" si="400"/>
        <v>2795</v>
      </c>
      <c r="JP27" s="357">
        <f t="shared" si="401"/>
        <v>269</v>
      </c>
      <c r="JQ27" s="357">
        <f t="shared" si="402"/>
        <v>171</v>
      </c>
      <c r="JR27" s="357">
        <f t="shared" si="403"/>
        <v>98</v>
      </c>
      <c r="JS27" s="341">
        <v>6253</v>
      </c>
      <c r="JT27" s="341">
        <v>3556</v>
      </c>
      <c r="JU27" s="341">
        <v>2697</v>
      </c>
      <c r="JV27" s="16">
        <f t="shared" si="404"/>
        <v>466873</v>
      </c>
      <c r="JW27" s="355">
        <f t="shared" si="405"/>
        <v>260790</v>
      </c>
      <c r="JX27" s="355">
        <f t="shared" si="406"/>
        <v>206083</v>
      </c>
      <c r="JY27" s="15">
        <f t="shared" si="407"/>
        <v>434506</v>
      </c>
      <c r="JZ27" s="151">
        <f t="shared" si="408"/>
        <v>419799</v>
      </c>
      <c r="KA27" s="341">
        <v>234826</v>
      </c>
      <c r="KB27" s="341">
        <v>184973</v>
      </c>
      <c r="KC27" s="341">
        <v>25964</v>
      </c>
      <c r="KD27" s="341">
        <v>21110</v>
      </c>
      <c r="KE27" s="15">
        <f t="shared" si="409"/>
        <v>8504</v>
      </c>
      <c r="KF27" s="151">
        <f t="shared" si="410"/>
        <v>8318</v>
      </c>
      <c r="KG27" s="341">
        <v>4528</v>
      </c>
      <c r="KH27" s="341">
        <v>3790</v>
      </c>
      <c r="KI27" s="15">
        <f t="shared" si="411"/>
        <v>22843</v>
      </c>
      <c r="KJ27" s="341">
        <v>12761</v>
      </c>
      <c r="KK27" s="341">
        <v>10082</v>
      </c>
      <c r="KL27" s="13">
        <f t="shared" si="412"/>
        <v>23863</v>
      </c>
      <c r="KM27" s="358">
        <f t="shared" si="413"/>
        <v>8675</v>
      </c>
      <c r="KN27" s="358">
        <f t="shared" si="414"/>
        <v>7238</v>
      </c>
      <c r="KO27" s="359">
        <f t="shared" si="415"/>
        <v>250</v>
      </c>
      <c r="KP27" s="359">
        <f t="shared" si="416"/>
        <v>166</v>
      </c>
      <c r="KQ27" s="359">
        <f t="shared" si="417"/>
        <v>84</v>
      </c>
      <c r="KR27" s="360">
        <f t="shared" si="418"/>
        <v>15663</v>
      </c>
      <c r="KS27" s="360">
        <f t="shared" si="419"/>
        <v>8509</v>
      </c>
      <c r="KT27" s="360">
        <f t="shared" si="420"/>
        <v>7154</v>
      </c>
      <c r="KU27" s="341">
        <v>1849</v>
      </c>
      <c r="KV27" s="341">
        <v>2275</v>
      </c>
      <c r="KW27" s="341">
        <v>6660</v>
      </c>
      <c r="KX27" s="341">
        <v>4879</v>
      </c>
      <c r="KY27" s="361">
        <v>766212</v>
      </c>
      <c r="KZ27" s="341">
        <v>408206</v>
      </c>
      <c r="LA27" s="341">
        <v>358006</v>
      </c>
      <c r="LB27" s="9">
        <f t="shared" si="421"/>
        <v>684229</v>
      </c>
      <c r="LC27" s="9">
        <v>366618</v>
      </c>
      <c r="LD27" s="9">
        <v>317611</v>
      </c>
      <c r="LE27" s="140">
        <f t="shared" si="422"/>
        <v>654054</v>
      </c>
      <c r="LF27" s="341">
        <v>351223</v>
      </c>
      <c r="LG27" s="341">
        <v>302831</v>
      </c>
      <c r="LH27" s="9">
        <f t="shared" si="423"/>
        <v>16601</v>
      </c>
      <c r="LI27" s="341">
        <v>8900</v>
      </c>
      <c r="LJ27" s="341">
        <v>7701</v>
      </c>
      <c r="LK27" s="9">
        <f t="shared" si="424"/>
        <v>50920</v>
      </c>
      <c r="LL27" s="341">
        <v>25799</v>
      </c>
      <c r="LM27" s="341">
        <v>25121</v>
      </c>
      <c r="LN27" s="140">
        <f t="shared" si="425"/>
        <v>65382</v>
      </c>
      <c r="LO27" s="140">
        <f t="shared" si="426"/>
        <v>32688</v>
      </c>
      <c r="LP27" s="140">
        <f t="shared" si="427"/>
        <v>32694</v>
      </c>
      <c r="LQ27" s="349">
        <v>996952</v>
      </c>
      <c r="LR27" s="341">
        <v>867925</v>
      </c>
      <c r="LS27" s="341">
        <v>27033</v>
      </c>
      <c r="LT27" s="341">
        <v>101994</v>
      </c>
      <c r="LU27" s="9">
        <v>82847</v>
      </c>
      <c r="LV27" s="14">
        <v>1034668</v>
      </c>
      <c r="LW27" s="7">
        <v>901240</v>
      </c>
      <c r="LX27" s="7">
        <v>29882</v>
      </c>
      <c r="LY27" s="7">
        <v>103546</v>
      </c>
      <c r="LZ27" s="7">
        <v>91876</v>
      </c>
      <c r="MA27" s="14">
        <v>1068291</v>
      </c>
      <c r="MB27" s="7">
        <v>930252</v>
      </c>
      <c r="MC27" s="7">
        <v>30898</v>
      </c>
      <c r="MD27" s="7">
        <v>107141</v>
      </c>
      <c r="ME27" s="7">
        <v>99204</v>
      </c>
      <c r="MF27" s="14">
        <v>1067774</v>
      </c>
      <c r="MG27" s="7">
        <v>928685</v>
      </c>
      <c r="MH27" s="7">
        <v>33092</v>
      </c>
      <c r="MI27" s="7">
        <v>105997</v>
      </c>
      <c r="MJ27" s="7">
        <v>97996</v>
      </c>
      <c r="MK27" s="14">
        <v>1091092.8459999999</v>
      </c>
      <c r="ML27" s="7">
        <v>948622.21200000006</v>
      </c>
      <c r="MM27" s="7">
        <v>32497.632000000001</v>
      </c>
      <c r="MN27" s="7">
        <v>100682.712</v>
      </c>
      <c r="MO27" s="7">
        <v>109973.00199999985</v>
      </c>
      <c r="MP27" s="7">
        <v>1123092</v>
      </c>
      <c r="MQ27" s="7">
        <v>971901</v>
      </c>
      <c r="MR27" s="7">
        <v>33945</v>
      </c>
      <c r="MS27" s="7">
        <v>106521</v>
      </c>
      <c r="MT27" s="2">
        <v>117246</v>
      </c>
      <c r="MU27" s="2">
        <v>1160483</v>
      </c>
      <c r="MV27" s="2">
        <v>918081</v>
      </c>
      <c r="MW27" s="2">
        <v>35301</v>
      </c>
      <c r="MX27" s="2">
        <v>109460</v>
      </c>
      <c r="MY27" s="2">
        <v>69101</v>
      </c>
      <c r="MZ27" s="14">
        <v>160319</v>
      </c>
      <c r="NA27" s="7">
        <v>148899</v>
      </c>
      <c r="NB27" s="7">
        <v>2622</v>
      </c>
      <c r="NC27" s="7">
        <v>7518</v>
      </c>
      <c r="ND27" s="7">
        <v>8798</v>
      </c>
      <c r="NE27" s="14">
        <v>272793</v>
      </c>
      <c r="NF27" s="7">
        <v>242251</v>
      </c>
      <c r="NG27" s="7">
        <v>5659</v>
      </c>
      <c r="NH27" s="7">
        <v>17605</v>
      </c>
      <c r="NI27" s="7">
        <v>24883</v>
      </c>
      <c r="NJ27" s="14">
        <v>387962</v>
      </c>
      <c r="NK27" s="7">
        <v>336086</v>
      </c>
      <c r="NL27" s="7">
        <v>12327</v>
      </c>
      <c r="NM27" s="7">
        <v>28971</v>
      </c>
      <c r="NN27" s="7">
        <v>39549</v>
      </c>
      <c r="NO27" s="14">
        <v>394120.99</v>
      </c>
      <c r="NP27" s="7">
        <v>340266.663</v>
      </c>
      <c r="NQ27" s="7">
        <v>12036.16</v>
      </c>
      <c r="NR27" s="7">
        <v>29043.09</v>
      </c>
      <c r="NS27" s="12">
        <v>41818.166999999987</v>
      </c>
      <c r="NT27" s="1">
        <v>406718</v>
      </c>
      <c r="NU27" s="2">
        <v>350272</v>
      </c>
      <c r="NV27" s="2">
        <v>12313</v>
      </c>
      <c r="NW27" s="2">
        <v>31238</v>
      </c>
      <c r="NX27" s="79">
        <v>44133</v>
      </c>
      <c r="NY27" s="2">
        <v>427558</v>
      </c>
      <c r="NZ27" s="2">
        <v>340050</v>
      </c>
      <c r="OA27" s="2">
        <v>12630</v>
      </c>
      <c r="OB27" s="2">
        <v>33869</v>
      </c>
      <c r="OC27" s="2">
        <v>48158</v>
      </c>
    </row>
    <row r="28" spans="1:393" ht="14.25" x14ac:dyDescent="0.2">
      <c r="A28" s="240" t="s">
        <v>19</v>
      </c>
      <c r="B28" s="281" t="s">
        <v>186</v>
      </c>
      <c r="C28" s="282" t="s">
        <v>186</v>
      </c>
      <c r="D28" s="282" t="s">
        <v>186</v>
      </c>
      <c r="E28" s="282" t="s">
        <v>186</v>
      </c>
      <c r="F28" s="283" t="s">
        <v>186</v>
      </c>
      <c r="G28" s="7">
        <v>2085905</v>
      </c>
      <c r="H28" s="7">
        <v>1009478</v>
      </c>
      <c r="I28" s="7">
        <v>91656</v>
      </c>
      <c r="J28" s="7">
        <v>1287579</v>
      </c>
      <c r="K28" s="12">
        <v>984771</v>
      </c>
      <c r="L28" s="7">
        <v>2446324</v>
      </c>
      <c r="M28" s="7">
        <v>944575</v>
      </c>
      <c r="N28" s="7">
        <v>59276</v>
      </c>
      <c r="O28" s="7">
        <v>1791232</v>
      </c>
      <c r="P28" s="12">
        <v>1442473</v>
      </c>
      <c r="Q28" s="9">
        <v>2502987</v>
      </c>
      <c r="R28" s="9">
        <v>1302612</v>
      </c>
      <c r="S28" s="9">
        <v>47209</v>
      </c>
      <c r="T28" s="9">
        <v>1937088</v>
      </c>
      <c r="U28" s="617">
        <v>1153166</v>
      </c>
      <c r="V28" s="9">
        <v>2516506</v>
      </c>
      <c r="W28" s="9">
        <v>1357233</v>
      </c>
      <c r="X28" s="9">
        <v>46264</v>
      </c>
      <c r="Y28" s="9">
        <v>1954860</v>
      </c>
      <c r="Z28" s="9">
        <v>1113009</v>
      </c>
      <c r="AA28" s="9">
        <v>2513977</v>
      </c>
      <c r="AB28" s="9">
        <v>187499</v>
      </c>
      <c r="AC28" s="9">
        <v>44344</v>
      </c>
      <c r="AD28" s="9">
        <v>1955499</v>
      </c>
      <c r="AE28" s="726">
        <v>1118966</v>
      </c>
      <c r="AF28" s="14">
        <v>2364623</v>
      </c>
      <c r="AG28" s="7">
        <v>1576239</v>
      </c>
      <c r="AH28" s="7">
        <v>218745</v>
      </c>
      <c r="AI28" s="7">
        <v>751685</v>
      </c>
      <c r="AJ28" s="12">
        <v>569639</v>
      </c>
      <c r="AK28" s="7">
        <v>2496419</v>
      </c>
      <c r="AL28" s="7">
        <v>1340552</v>
      </c>
      <c r="AM28" s="7">
        <v>200066</v>
      </c>
      <c r="AN28" s="7">
        <v>1141744</v>
      </c>
      <c r="AO28" s="12">
        <v>955801</v>
      </c>
      <c r="AP28" s="7">
        <v>2112517</v>
      </c>
      <c r="AQ28" s="7">
        <v>1217784</v>
      </c>
      <c r="AR28" s="7">
        <v>134573</v>
      </c>
      <c r="AS28" s="7">
        <v>1216131</v>
      </c>
      <c r="AT28" s="12">
        <v>760160</v>
      </c>
      <c r="AU28" s="7">
        <v>2102121</v>
      </c>
      <c r="AV28" s="7">
        <v>1236309</v>
      </c>
      <c r="AW28" s="7">
        <v>127606</v>
      </c>
      <c r="AX28" s="7">
        <v>1247582</v>
      </c>
      <c r="AY28" s="7">
        <v>738206</v>
      </c>
      <c r="AZ28" s="7">
        <v>2084453</v>
      </c>
      <c r="BA28" s="7">
        <v>472169</v>
      </c>
      <c r="BB28" s="7">
        <v>129043</v>
      </c>
      <c r="BC28" s="7">
        <v>1249992</v>
      </c>
      <c r="BD28" s="63">
        <v>742254</v>
      </c>
      <c r="BE28" s="14">
        <v>4629940</v>
      </c>
      <c r="BF28" s="7">
        <v>2565991</v>
      </c>
      <c r="BG28" s="7">
        <v>175681</v>
      </c>
      <c r="BH28" s="7">
        <v>3190815</v>
      </c>
      <c r="BI28" s="313">
        <f t="shared" si="372"/>
        <v>1888268</v>
      </c>
      <c r="BJ28" s="281" t="s">
        <v>186</v>
      </c>
      <c r="BK28" s="282" t="s">
        <v>186</v>
      </c>
      <c r="BL28" s="282" t="s">
        <v>186</v>
      </c>
      <c r="BM28" s="282" t="s">
        <v>186</v>
      </c>
      <c r="BN28" s="281" t="s">
        <v>186</v>
      </c>
      <c r="BO28" s="282" t="s">
        <v>186</v>
      </c>
      <c r="BP28" s="282" t="s">
        <v>186</v>
      </c>
      <c r="BQ28" s="282" t="s">
        <v>186</v>
      </c>
      <c r="BR28" s="283" t="s">
        <v>186</v>
      </c>
      <c r="BS28" s="7">
        <v>14244971</v>
      </c>
      <c r="BT28" s="7">
        <v>11131555</v>
      </c>
      <c r="BU28" s="7">
        <v>960576</v>
      </c>
      <c r="BV28" s="7">
        <v>1665848</v>
      </c>
      <c r="BW28" s="12">
        <v>2152840</v>
      </c>
      <c r="BX28" s="7">
        <v>16356157</v>
      </c>
      <c r="BY28" s="7">
        <v>11403802</v>
      </c>
      <c r="BZ28" s="7">
        <v>1073459</v>
      </c>
      <c r="CA28" s="7">
        <v>2567791</v>
      </c>
      <c r="CB28" s="7">
        <v>3878896</v>
      </c>
      <c r="CC28" s="214">
        <v>18455872</v>
      </c>
      <c r="CD28" s="7">
        <v>12243091</v>
      </c>
      <c r="CE28" s="7">
        <v>1180362</v>
      </c>
      <c r="CF28" s="7">
        <v>5032419</v>
      </c>
      <c r="CG28" s="7">
        <v>3813888</v>
      </c>
      <c r="CH28" s="14">
        <v>18649528</v>
      </c>
      <c r="CI28" s="7">
        <v>12432627</v>
      </c>
      <c r="CJ28" s="7">
        <v>1190785</v>
      </c>
      <c r="CK28" s="7">
        <v>5026116</v>
      </c>
      <c r="CL28" s="7">
        <v>3942278</v>
      </c>
      <c r="CM28" s="66">
        <v>18900212</v>
      </c>
      <c r="CN28" s="64">
        <v>12689763</v>
      </c>
      <c r="CO28" s="64">
        <v>1219405</v>
      </c>
      <c r="CP28" s="64">
        <v>4991044</v>
      </c>
      <c r="CQ28" s="64">
        <v>4009338</v>
      </c>
      <c r="CR28" s="14">
        <v>19171540</v>
      </c>
      <c r="CS28" s="7">
        <v>12868678</v>
      </c>
      <c r="CT28" s="7">
        <v>1237255</v>
      </c>
      <c r="CU28" s="7">
        <v>4176895</v>
      </c>
      <c r="CV28" s="7">
        <v>4562979</v>
      </c>
      <c r="CW28" s="14">
        <v>19484330.16</v>
      </c>
      <c r="CX28" s="7">
        <v>13080293.424000001</v>
      </c>
      <c r="CY28" s="7">
        <v>1252622.608</v>
      </c>
      <c r="CZ28" s="7">
        <v>4352482.9460000005</v>
      </c>
      <c r="DA28" s="567">
        <f t="shared" si="373"/>
        <v>5151414.1279999996</v>
      </c>
      <c r="DB28" s="7">
        <v>19825957</v>
      </c>
      <c r="DC28" s="7">
        <v>13264020</v>
      </c>
      <c r="DD28" s="7">
        <v>1269610</v>
      </c>
      <c r="DE28" s="7">
        <v>4521216</v>
      </c>
      <c r="DF28" s="7">
        <v>5292327</v>
      </c>
      <c r="DG28" s="7">
        <v>20194592</v>
      </c>
      <c r="DH28" s="7">
        <v>10531538</v>
      </c>
      <c r="DI28" s="7">
        <v>1284764</v>
      </c>
      <c r="DJ28" s="7">
        <v>4704636</v>
      </c>
      <c r="DK28" s="7">
        <v>2943981</v>
      </c>
      <c r="DL28" s="281" t="s">
        <v>186</v>
      </c>
      <c r="DM28" s="282" t="s">
        <v>186</v>
      </c>
      <c r="DN28" s="282" t="s">
        <v>186</v>
      </c>
      <c r="DO28" s="282" t="s">
        <v>186</v>
      </c>
      <c r="DP28" s="283" t="s">
        <v>186</v>
      </c>
      <c r="DQ28" s="7">
        <v>5710400</v>
      </c>
      <c r="DR28" s="7">
        <v>4435676</v>
      </c>
      <c r="DS28" s="7">
        <v>465558</v>
      </c>
      <c r="DT28" s="7">
        <v>707672</v>
      </c>
      <c r="DU28" s="12">
        <v>809166</v>
      </c>
      <c r="DV28" s="7">
        <v>6397739</v>
      </c>
      <c r="DW28" s="7">
        <v>4478573</v>
      </c>
      <c r="DX28" s="7">
        <v>522533</v>
      </c>
      <c r="DY28" s="7">
        <v>1070970</v>
      </c>
      <c r="DZ28" s="12">
        <v>1396633</v>
      </c>
      <c r="EA28" s="7">
        <v>7092090</v>
      </c>
      <c r="EB28" s="7">
        <v>4840266</v>
      </c>
      <c r="EC28" s="7">
        <v>587358</v>
      </c>
      <c r="ED28" s="7">
        <v>1668657</v>
      </c>
      <c r="EE28" s="12">
        <v>1664466</v>
      </c>
      <c r="EF28" s="7">
        <v>7186052.46</v>
      </c>
      <c r="EG28" s="7">
        <v>4912933.176</v>
      </c>
      <c r="EH28" s="7">
        <v>594174.46400000004</v>
      </c>
      <c r="EI28" s="7">
        <v>1734958.54</v>
      </c>
      <c r="EJ28" s="12">
        <v>1678944.8199999998</v>
      </c>
      <c r="EK28" s="7">
        <v>7287011</v>
      </c>
      <c r="EL28" s="7">
        <v>4969495</v>
      </c>
      <c r="EM28" s="7">
        <v>601912</v>
      </c>
      <c r="EN28" s="7">
        <v>1814222</v>
      </c>
      <c r="EO28" s="661">
        <v>1715604</v>
      </c>
      <c r="EP28" s="661">
        <v>7401918</v>
      </c>
      <c r="EQ28" s="661">
        <v>3852204</v>
      </c>
      <c r="ER28" s="661">
        <v>611748</v>
      </c>
      <c r="ES28" s="661">
        <v>1888125</v>
      </c>
      <c r="ET28" s="661">
        <v>1768630</v>
      </c>
      <c r="EU28" s="14">
        <v>1484489</v>
      </c>
      <c r="EV28" s="7">
        <v>1112617</v>
      </c>
      <c r="EW28" s="7">
        <v>117727</v>
      </c>
      <c r="EX28" s="7">
        <v>191619</v>
      </c>
      <c r="EY28" s="12">
        <v>254145</v>
      </c>
      <c r="EZ28" s="7">
        <v>1518403</v>
      </c>
      <c r="FA28" s="7">
        <v>1033287</v>
      </c>
      <c r="FB28" s="7">
        <v>115840</v>
      </c>
      <c r="FC28" s="7">
        <v>227594</v>
      </c>
      <c r="FD28" s="12">
        <v>369276</v>
      </c>
      <c r="FE28" s="14">
        <v>1811636</v>
      </c>
      <c r="FF28" s="7">
        <v>1209859</v>
      </c>
      <c r="FG28" s="7">
        <v>140180</v>
      </c>
      <c r="FH28" s="7">
        <v>376489</v>
      </c>
      <c r="FI28" s="7">
        <v>461597</v>
      </c>
      <c r="FJ28" s="14"/>
      <c r="FK28" s="7"/>
      <c r="FL28" s="7"/>
      <c r="FM28" s="7"/>
      <c r="FN28" s="12"/>
      <c r="FO28" s="7">
        <v>1886900</v>
      </c>
      <c r="FP28" s="7">
        <v>1269599</v>
      </c>
      <c r="FQ28" s="7">
        <v>140938</v>
      </c>
      <c r="FR28" s="7">
        <v>411478</v>
      </c>
      <c r="FS28" s="7">
        <v>476363</v>
      </c>
      <c r="FT28" s="7">
        <v>1941154</v>
      </c>
      <c r="FU28" s="7">
        <v>1026773</v>
      </c>
      <c r="FV28" s="7">
        <v>143573</v>
      </c>
      <c r="FW28" s="7">
        <v>431884</v>
      </c>
      <c r="FX28" s="7">
        <v>493724</v>
      </c>
      <c r="FY28" s="609">
        <f t="shared" si="428"/>
        <v>5851163</v>
      </c>
      <c r="FZ28" s="584">
        <f t="shared" si="429"/>
        <v>4597272</v>
      </c>
      <c r="GA28" s="584">
        <f t="shared" si="430"/>
        <v>305981</v>
      </c>
      <c r="GB28" s="584">
        <f t="shared" si="431"/>
        <v>454670</v>
      </c>
      <c r="GC28" s="584">
        <f t="shared" si="432"/>
        <v>947910</v>
      </c>
      <c r="GD28" s="609">
        <f t="shared" si="433"/>
        <v>7188369</v>
      </c>
      <c r="GE28" s="584">
        <f t="shared" si="434"/>
        <v>5111007</v>
      </c>
      <c r="GF28" s="584">
        <f t="shared" si="435"/>
        <v>344788</v>
      </c>
      <c r="GG28" s="584">
        <f t="shared" si="436"/>
        <v>653566</v>
      </c>
      <c r="GH28" s="584">
        <f t="shared" si="437"/>
        <v>1732574</v>
      </c>
      <c r="GI28" s="14">
        <v>7731618</v>
      </c>
      <c r="GJ28" s="7">
        <v>5161692</v>
      </c>
      <c r="GK28" s="7">
        <v>386012</v>
      </c>
      <c r="GL28" s="7">
        <v>1012819</v>
      </c>
      <c r="GM28" s="7">
        <v>2183914</v>
      </c>
      <c r="GN28" s="605"/>
      <c r="GO28" s="9"/>
      <c r="GP28" s="9"/>
      <c r="GQ28" s="9"/>
      <c r="GR28" s="9"/>
      <c r="GS28" s="9">
        <v>9335769</v>
      </c>
      <c r="GT28" s="9">
        <v>6232631</v>
      </c>
      <c r="GU28" s="9">
        <v>457079</v>
      </c>
      <c r="GV28" s="9">
        <v>1237314</v>
      </c>
      <c r="GW28" s="617">
        <v>2646059</v>
      </c>
      <c r="GX28" s="9">
        <v>27202240</v>
      </c>
      <c r="GY28" s="9">
        <v>5516050</v>
      </c>
      <c r="GZ28" s="9">
        <v>464263</v>
      </c>
      <c r="HA28" s="9">
        <v>1295545</v>
      </c>
      <c r="HB28" s="9">
        <v>1425866</v>
      </c>
      <c r="HC28" s="14">
        <v>2858107</v>
      </c>
      <c r="HD28" s="7">
        <v>2247814</v>
      </c>
      <c r="HE28" s="7">
        <v>127428</v>
      </c>
      <c r="HF28" s="7">
        <v>174825</v>
      </c>
      <c r="HG28" s="7">
        <v>482865</v>
      </c>
      <c r="HH28" s="14">
        <v>3640157</v>
      </c>
      <c r="HI28" s="7">
        <v>2560688</v>
      </c>
      <c r="HJ28" s="7">
        <v>152066</v>
      </c>
      <c r="HK28" s="7">
        <v>284020</v>
      </c>
      <c r="HL28" s="7">
        <v>927403</v>
      </c>
      <c r="HM28" s="14">
        <v>4556096</v>
      </c>
      <c r="HN28" s="7">
        <v>2982002</v>
      </c>
      <c r="HO28" s="7">
        <v>199212</v>
      </c>
      <c r="HP28" s="7">
        <v>534263</v>
      </c>
      <c r="HQ28" s="7">
        <v>1374882</v>
      </c>
      <c r="HR28" s="14">
        <v>4629939.84</v>
      </c>
      <c r="HS28" s="7">
        <v>3019732.8119999999</v>
      </c>
      <c r="HT28" s="7">
        <v>202819.16799999998</v>
      </c>
      <c r="HU28" s="7">
        <v>558204.05200000003</v>
      </c>
      <c r="HV28" s="7">
        <v>1407387.8599999999</v>
      </c>
      <c r="HW28" s="7">
        <v>4831171</v>
      </c>
      <c r="HX28" s="7">
        <v>2733784</v>
      </c>
      <c r="HY28" s="7">
        <v>207533</v>
      </c>
      <c r="HZ28" s="7">
        <v>615602</v>
      </c>
      <c r="IA28" s="7">
        <v>1485488</v>
      </c>
      <c r="IB28" s="281" t="s">
        <v>186</v>
      </c>
      <c r="IC28" s="282" t="s">
        <v>186</v>
      </c>
      <c r="ID28" s="339">
        <v>872668</v>
      </c>
      <c r="IE28" s="355">
        <f t="shared" si="384"/>
        <v>534205</v>
      </c>
      <c r="IF28" s="355">
        <f t="shared" si="385"/>
        <v>338463</v>
      </c>
      <c r="IG28" s="355">
        <f t="shared" si="386"/>
        <v>835343</v>
      </c>
      <c r="IH28" s="341">
        <v>512423</v>
      </c>
      <c r="II28" s="341">
        <v>322920</v>
      </c>
      <c r="IJ28" s="355">
        <f t="shared" si="387"/>
        <v>37325</v>
      </c>
      <c r="IK28" s="341">
        <v>21782</v>
      </c>
      <c r="IL28" s="341">
        <v>15543</v>
      </c>
      <c r="IM28" s="339">
        <v>1477559</v>
      </c>
      <c r="IN28" s="355">
        <f t="shared" si="388"/>
        <v>900185</v>
      </c>
      <c r="IO28" s="355">
        <f t="shared" si="389"/>
        <v>577374</v>
      </c>
      <c r="IP28" s="355">
        <f t="shared" si="390"/>
        <v>1362140</v>
      </c>
      <c r="IQ28" s="341">
        <v>833049</v>
      </c>
      <c r="IR28" s="341">
        <v>529091</v>
      </c>
      <c r="IS28" s="355">
        <f t="shared" si="391"/>
        <v>38241</v>
      </c>
      <c r="IT28" s="341">
        <v>18643</v>
      </c>
      <c r="IU28" s="341">
        <v>19598</v>
      </c>
      <c r="IV28" s="355">
        <f t="shared" si="392"/>
        <v>77178</v>
      </c>
      <c r="IW28" s="341">
        <v>48493</v>
      </c>
      <c r="IX28" s="341">
        <v>28685</v>
      </c>
      <c r="IY28" s="339">
        <v>2752865</v>
      </c>
      <c r="IZ28" s="355">
        <f t="shared" si="393"/>
        <v>1638294</v>
      </c>
      <c r="JA28" s="355">
        <f t="shared" si="394"/>
        <v>1114571</v>
      </c>
      <c r="JB28" s="365">
        <f t="shared" si="395"/>
        <v>2271155</v>
      </c>
      <c r="JC28" s="341">
        <v>1364819</v>
      </c>
      <c r="JD28" s="341">
        <v>906336</v>
      </c>
      <c r="JE28" s="341">
        <v>273475</v>
      </c>
      <c r="JF28" s="341">
        <v>208235</v>
      </c>
      <c r="JG28" s="365">
        <f t="shared" si="396"/>
        <v>103894</v>
      </c>
      <c r="JH28" s="341">
        <v>54029</v>
      </c>
      <c r="JI28" s="341">
        <v>49865</v>
      </c>
      <c r="JJ28" s="365">
        <f t="shared" si="397"/>
        <v>131043</v>
      </c>
      <c r="JK28" s="341">
        <v>81287</v>
      </c>
      <c r="JL28" s="341">
        <v>49756</v>
      </c>
      <c r="JM28" s="356">
        <f t="shared" si="398"/>
        <v>246773</v>
      </c>
      <c r="JN28" s="356">
        <f t="shared" si="399"/>
        <v>138159</v>
      </c>
      <c r="JO28" s="356">
        <f t="shared" si="400"/>
        <v>108614</v>
      </c>
      <c r="JP28" s="357">
        <f t="shared" si="401"/>
        <v>5565</v>
      </c>
      <c r="JQ28" s="357">
        <f t="shared" si="402"/>
        <v>3495</v>
      </c>
      <c r="JR28" s="357">
        <f t="shared" si="403"/>
        <v>2070</v>
      </c>
      <c r="JS28" s="341">
        <v>241208</v>
      </c>
      <c r="JT28" s="341">
        <v>134664</v>
      </c>
      <c r="JU28" s="341">
        <v>106544</v>
      </c>
      <c r="JV28" s="16">
        <f t="shared" si="404"/>
        <v>4366674</v>
      </c>
      <c r="JW28" s="355">
        <f t="shared" si="405"/>
        <v>2441861</v>
      </c>
      <c r="JX28" s="355">
        <f t="shared" si="406"/>
        <v>1924813</v>
      </c>
      <c r="JY28" s="15">
        <f t="shared" si="407"/>
        <v>3484655</v>
      </c>
      <c r="JZ28" s="151">
        <f t="shared" si="408"/>
        <v>3325709</v>
      </c>
      <c r="KA28" s="341">
        <v>1886964</v>
      </c>
      <c r="KB28" s="341">
        <v>1438745</v>
      </c>
      <c r="KC28" s="341">
        <v>554897</v>
      </c>
      <c r="KD28" s="341">
        <v>486068</v>
      </c>
      <c r="KE28" s="15">
        <f t="shared" si="409"/>
        <v>188254</v>
      </c>
      <c r="KF28" s="151">
        <f t="shared" si="410"/>
        <v>184171</v>
      </c>
      <c r="KG28" s="341">
        <v>91776</v>
      </c>
      <c r="KH28" s="341">
        <v>92395</v>
      </c>
      <c r="KI28" s="15">
        <f t="shared" si="411"/>
        <v>263051</v>
      </c>
      <c r="KJ28" s="341">
        <v>149673</v>
      </c>
      <c r="KK28" s="341">
        <v>113378</v>
      </c>
      <c r="KL28" s="13">
        <f t="shared" si="412"/>
        <v>693765</v>
      </c>
      <c r="KM28" s="358">
        <f t="shared" si="413"/>
        <v>313448</v>
      </c>
      <c r="KN28" s="358">
        <f t="shared" si="414"/>
        <v>280295</v>
      </c>
      <c r="KO28" s="359">
        <f t="shared" si="415"/>
        <v>3761</v>
      </c>
      <c r="KP28" s="359">
        <f t="shared" si="416"/>
        <v>2046</v>
      </c>
      <c r="KQ28" s="359">
        <f t="shared" si="417"/>
        <v>1715</v>
      </c>
      <c r="KR28" s="360">
        <f t="shared" si="418"/>
        <v>589982</v>
      </c>
      <c r="KS28" s="360">
        <f t="shared" si="419"/>
        <v>311402</v>
      </c>
      <c r="KT28" s="360">
        <f t="shared" si="420"/>
        <v>278580</v>
      </c>
      <c r="KU28" s="341">
        <v>7679</v>
      </c>
      <c r="KV28" s="341">
        <v>6758</v>
      </c>
      <c r="KW28" s="341">
        <v>303723</v>
      </c>
      <c r="KX28" s="341">
        <v>271822</v>
      </c>
      <c r="KY28" s="361">
        <v>5669966</v>
      </c>
      <c r="KZ28" s="341">
        <v>2966146</v>
      </c>
      <c r="LA28" s="341">
        <v>2703820</v>
      </c>
      <c r="LB28" s="9">
        <f t="shared" si="421"/>
        <v>4077720</v>
      </c>
      <c r="LC28" s="9">
        <v>2177690</v>
      </c>
      <c r="LD28" s="9">
        <v>1900030</v>
      </c>
      <c r="LE28" s="140">
        <f t="shared" si="422"/>
        <v>3841308</v>
      </c>
      <c r="LF28" s="341">
        <v>2058235</v>
      </c>
      <c r="LG28" s="341">
        <v>1783073</v>
      </c>
      <c r="LH28" s="9">
        <f t="shared" si="423"/>
        <v>228948</v>
      </c>
      <c r="LI28" s="341">
        <v>105028</v>
      </c>
      <c r="LJ28" s="341">
        <v>123920</v>
      </c>
      <c r="LK28" s="9">
        <f t="shared" si="424"/>
        <v>425972</v>
      </c>
      <c r="LL28" s="341">
        <v>212606</v>
      </c>
      <c r="LM28" s="341">
        <v>213366</v>
      </c>
      <c r="LN28" s="140">
        <f t="shared" si="425"/>
        <v>1363298</v>
      </c>
      <c r="LO28" s="140">
        <f t="shared" si="426"/>
        <v>683428</v>
      </c>
      <c r="LP28" s="140">
        <f t="shared" si="427"/>
        <v>679870</v>
      </c>
      <c r="LQ28" s="349">
        <v>6711219</v>
      </c>
      <c r="LR28" s="341">
        <v>4557841</v>
      </c>
      <c r="LS28" s="341">
        <v>285209</v>
      </c>
      <c r="LT28" s="341">
        <v>1868169</v>
      </c>
      <c r="LU28" s="9">
        <v>656854</v>
      </c>
      <c r="LV28" s="14">
        <v>6836450</v>
      </c>
      <c r="LW28" s="7">
        <v>4644586</v>
      </c>
      <c r="LX28" s="7">
        <v>289354</v>
      </c>
      <c r="LY28" s="7">
        <v>1902510</v>
      </c>
      <c r="LZ28" s="7">
        <v>692890</v>
      </c>
      <c r="MA28" s="14">
        <v>7013942</v>
      </c>
      <c r="MB28" s="7">
        <v>4770011</v>
      </c>
      <c r="MC28" s="7">
        <v>298450</v>
      </c>
      <c r="MD28" s="7">
        <v>1945481</v>
      </c>
      <c r="ME28" s="7">
        <v>713437</v>
      </c>
      <c r="MF28" s="14">
        <v>7147639</v>
      </c>
      <c r="MG28" s="7">
        <v>4799827</v>
      </c>
      <c r="MH28" s="7">
        <v>304588</v>
      </c>
      <c r="MI28" s="7">
        <v>2043224</v>
      </c>
      <c r="MJ28" s="7">
        <v>755735</v>
      </c>
      <c r="MK28" s="14">
        <v>7258395.2699999996</v>
      </c>
      <c r="ML28" s="7">
        <v>4865994.324</v>
      </c>
      <c r="MM28" s="7">
        <v>311370.272</v>
      </c>
      <c r="MN28" s="7">
        <v>784502.99200000009</v>
      </c>
      <c r="MO28" s="7">
        <v>2081030.6739999996</v>
      </c>
      <c r="MP28" s="7">
        <v>7448869</v>
      </c>
      <c r="MQ28" s="7">
        <v>4963032</v>
      </c>
      <c r="MR28" s="7">
        <v>316141</v>
      </c>
      <c r="MS28" s="7">
        <v>825836</v>
      </c>
      <c r="MT28" s="2">
        <v>2169696</v>
      </c>
      <c r="MU28" s="2">
        <v>7636198</v>
      </c>
      <c r="MV28" s="2">
        <v>4489277</v>
      </c>
      <c r="MW28" s="2">
        <v>320690</v>
      </c>
      <c r="MX28" s="2">
        <v>863661</v>
      </c>
      <c r="MY28" s="2">
        <v>1172134</v>
      </c>
      <c r="MZ28" s="14">
        <v>1508567</v>
      </c>
      <c r="NA28" s="7">
        <v>1236841</v>
      </c>
      <c r="NB28" s="7">
        <v>60826</v>
      </c>
      <c r="NC28" s="7">
        <v>88226</v>
      </c>
      <c r="ND28" s="7">
        <v>210900</v>
      </c>
      <c r="NE28" s="14">
        <v>2029809</v>
      </c>
      <c r="NF28" s="7">
        <v>1517032</v>
      </c>
      <c r="NG28" s="7">
        <v>76882</v>
      </c>
      <c r="NH28" s="7">
        <v>141952</v>
      </c>
      <c r="NI28" s="7">
        <v>435895</v>
      </c>
      <c r="NJ28" s="14">
        <v>2591543</v>
      </c>
      <c r="NK28" s="7">
        <v>1817825</v>
      </c>
      <c r="NL28" s="7">
        <v>105376</v>
      </c>
      <c r="NM28" s="7">
        <v>221472</v>
      </c>
      <c r="NN28" s="7">
        <v>668342</v>
      </c>
      <c r="NO28" s="14">
        <v>2628455.4300000002</v>
      </c>
      <c r="NP28" s="7">
        <v>1846261.5120000001</v>
      </c>
      <c r="NQ28" s="7">
        <v>108551.10399999999</v>
      </c>
      <c r="NR28" s="7">
        <v>226298.94</v>
      </c>
      <c r="NS28" s="12">
        <v>673642.81400000001</v>
      </c>
      <c r="NT28" s="1">
        <v>2717291</v>
      </c>
      <c r="NU28" s="2">
        <v>1877331</v>
      </c>
      <c r="NV28" s="2">
        <v>109818</v>
      </c>
      <c r="NW28" s="2">
        <v>241518</v>
      </c>
      <c r="NX28" s="79">
        <v>730142</v>
      </c>
      <c r="NY28" s="2">
        <v>2805027</v>
      </c>
      <c r="NZ28" s="2">
        <v>1755493</v>
      </c>
      <c r="OA28" s="2">
        <v>113157</v>
      </c>
      <c r="OB28" s="2">
        <v>248059</v>
      </c>
      <c r="OC28" s="2">
        <v>763807</v>
      </c>
    </row>
    <row r="29" spans="1:393" ht="14.25" x14ac:dyDescent="0.2">
      <c r="A29" s="240" t="s">
        <v>20</v>
      </c>
      <c r="B29" s="281" t="s">
        <v>186</v>
      </c>
      <c r="C29" s="282" t="s">
        <v>186</v>
      </c>
      <c r="D29" s="282" t="s">
        <v>186</v>
      </c>
      <c r="E29" s="282" t="s">
        <v>186</v>
      </c>
      <c r="F29" s="283" t="s">
        <v>186</v>
      </c>
      <c r="G29" s="7">
        <v>118252</v>
      </c>
      <c r="H29" s="7">
        <v>90878</v>
      </c>
      <c r="I29" s="7">
        <v>3396</v>
      </c>
      <c r="J29" s="7">
        <v>43921</v>
      </c>
      <c r="K29" s="12">
        <v>23978</v>
      </c>
      <c r="L29" s="7">
        <v>134348</v>
      </c>
      <c r="M29" s="7">
        <v>81015</v>
      </c>
      <c r="N29" s="7">
        <v>2710</v>
      </c>
      <c r="O29" s="7">
        <v>82601</v>
      </c>
      <c r="P29" s="12">
        <v>50623</v>
      </c>
      <c r="Q29" s="9">
        <v>146741</v>
      </c>
      <c r="R29" s="9">
        <v>99185</v>
      </c>
      <c r="S29" s="9">
        <v>6454</v>
      </c>
      <c r="T29" s="9">
        <v>101512</v>
      </c>
      <c r="U29" s="617">
        <v>41102</v>
      </c>
      <c r="V29" s="9">
        <v>138565</v>
      </c>
      <c r="W29" s="9">
        <v>89724</v>
      </c>
      <c r="X29" s="9">
        <v>5885</v>
      </c>
      <c r="Y29" s="9">
        <v>97079</v>
      </c>
      <c r="Z29" s="9">
        <v>42956</v>
      </c>
      <c r="AA29" s="9">
        <v>134605</v>
      </c>
      <c r="AB29" s="9">
        <v>25092</v>
      </c>
      <c r="AC29" s="9">
        <v>5745</v>
      </c>
      <c r="AD29" s="9">
        <v>93407</v>
      </c>
      <c r="AE29" s="726">
        <v>39322</v>
      </c>
      <c r="AF29" s="14">
        <v>209804</v>
      </c>
      <c r="AG29" s="7">
        <v>173693</v>
      </c>
      <c r="AH29" s="7">
        <v>10778</v>
      </c>
      <c r="AI29" s="7">
        <v>46911</v>
      </c>
      <c r="AJ29" s="12">
        <v>25333</v>
      </c>
      <c r="AK29" s="7">
        <v>228691</v>
      </c>
      <c r="AL29" s="7">
        <v>168023</v>
      </c>
      <c r="AM29" s="7">
        <v>12107</v>
      </c>
      <c r="AN29" s="7">
        <v>75323</v>
      </c>
      <c r="AO29" s="12">
        <v>48561</v>
      </c>
      <c r="AP29" s="7">
        <v>197220</v>
      </c>
      <c r="AQ29" s="7">
        <v>148482</v>
      </c>
      <c r="AR29" s="7">
        <v>9195</v>
      </c>
      <c r="AS29" s="7">
        <v>88426</v>
      </c>
      <c r="AT29" s="12">
        <v>39543</v>
      </c>
      <c r="AU29" s="7">
        <v>194918</v>
      </c>
      <c r="AV29" s="7">
        <v>145858</v>
      </c>
      <c r="AW29" s="7">
        <v>9594</v>
      </c>
      <c r="AX29" s="7">
        <v>89629</v>
      </c>
      <c r="AY29" s="7">
        <v>39466</v>
      </c>
      <c r="AZ29" s="7">
        <v>195528</v>
      </c>
      <c r="BA29" s="7">
        <v>86383</v>
      </c>
      <c r="BB29" s="7">
        <v>9246</v>
      </c>
      <c r="BC29" s="7">
        <v>90701</v>
      </c>
      <c r="BD29" s="63">
        <v>36474</v>
      </c>
      <c r="BE29" s="14">
        <v>339527</v>
      </c>
      <c r="BF29" s="7">
        <v>241651</v>
      </c>
      <c r="BG29" s="7">
        <v>14956</v>
      </c>
      <c r="BH29" s="7">
        <v>189256</v>
      </c>
      <c r="BI29" s="313">
        <f t="shared" si="372"/>
        <v>82920</v>
      </c>
      <c r="BJ29" s="281" t="s">
        <v>186</v>
      </c>
      <c r="BK29" s="282" t="s">
        <v>186</v>
      </c>
      <c r="BL29" s="282" t="s">
        <v>186</v>
      </c>
      <c r="BM29" s="282" t="s">
        <v>186</v>
      </c>
      <c r="BN29" s="281" t="s">
        <v>186</v>
      </c>
      <c r="BO29" s="282" t="s">
        <v>186</v>
      </c>
      <c r="BP29" s="282" t="s">
        <v>186</v>
      </c>
      <c r="BQ29" s="282" t="s">
        <v>186</v>
      </c>
      <c r="BR29" s="283" t="s">
        <v>186</v>
      </c>
      <c r="BS29" s="7">
        <v>1779016</v>
      </c>
      <c r="BT29" s="7">
        <v>1634189</v>
      </c>
      <c r="BU29" s="7">
        <v>59517</v>
      </c>
      <c r="BV29" s="7">
        <v>127088</v>
      </c>
      <c r="BW29" s="12">
        <v>85310</v>
      </c>
      <c r="BX29" s="7">
        <v>2413593</v>
      </c>
      <c r="BY29" s="7">
        <v>2132617</v>
      </c>
      <c r="BZ29" s="7">
        <v>80037</v>
      </c>
      <c r="CA29" s="7">
        <v>218902</v>
      </c>
      <c r="CB29" s="7">
        <v>200939</v>
      </c>
      <c r="CC29" s="214">
        <v>2764064</v>
      </c>
      <c r="CD29" s="7">
        <v>2415863</v>
      </c>
      <c r="CE29" s="7">
        <v>94833</v>
      </c>
      <c r="CF29" s="7">
        <v>253368</v>
      </c>
      <c r="CG29" s="7">
        <v>314893</v>
      </c>
      <c r="CH29" s="14">
        <v>2824971</v>
      </c>
      <c r="CI29" s="7">
        <v>2478074</v>
      </c>
      <c r="CJ29" s="7">
        <v>96943</v>
      </c>
      <c r="CK29" s="7">
        <v>249954</v>
      </c>
      <c r="CL29" s="7">
        <v>329718</v>
      </c>
      <c r="CM29" s="66">
        <v>2875287</v>
      </c>
      <c r="CN29" s="64">
        <v>2536735</v>
      </c>
      <c r="CO29" s="64">
        <v>99335</v>
      </c>
      <c r="CP29" s="64">
        <v>239217</v>
      </c>
      <c r="CQ29" s="64">
        <v>330689</v>
      </c>
      <c r="CR29" s="14">
        <v>2924059</v>
      </c>
      <c r="CS29" s="7">
        <v>2577536</v>
      </c>
      <c r="CT29" s="7">
        <v>103966</v>
      </c>
      <c r="CU29" s="7">
        <v>341256</v>
      </c>
      <c r="CV29" s="7">
        <v>187398</v>
      </c>
      <c r="CW29" s="14">
        <v>2989168.11</v>
      </c>
      <c r="CX29" s="7">
        <v>2632270.17</v>
      </c>
      <c r="CY29" s="7">
        <v>108644.40000000001</v>
      </c>
      <c r="CZ29" s="7">
        <v>357726.228</v>
      </c>
      <c r="DA29" s="567">
        <f t="shared" si="373"/>
        <v>248253.53999999992</v>
      </c>
      <c r="DB29" s="7">
        <v>3054940</v>
      </c>
      <c r="DC29" s="7">
        <v>2692427</v>
      </c>
      <c r="DD29" s="7">
        <v>111190</v>
      </c>
      <c r="DE29" s="7">
        <v>375810</v>
      </c>
      <c r="DF29" s="7">
        <v>251323</v>
      </c>
      <c r="DG29" s="7">
        <v>3119219</v>
      </c>
      <c r="DH29" s="7">
        <v>2464298</v>
      </c>
      <c r="DI29" s="7">
        <v>114824</v>
      </c>
      <c r="DJ29" s="7">
        <v>390925</v>
      </c>
      <c r="DK29" s="7">
        <v>157530</v>
      </c>
      <c r="DL29" s="281" t="s">
        <v>186</v>
      </c>
      <c r="DM29" s="282" t="s">
        <v>186</v>
      </c>
      <c r="DN29" s="282" t="s">
        <v>186</v>
      </c>
      <c r="DO29" s="282" t="s">
        <v>186</v>
      </c>
      <c r="DP29" s="283" t="s">
        <v>186</v>
      </c>
      <c r="DQ29" s="7">
        <v>652448</v>
      </c>
      <c r="DR29" s="7">
        <v>594007</v>
      </c>
      <c r="DS29" s="7">
        <v>27150</v>
      </c>
      <c r="DT29" s="7">
        <v>48139</v>
      </c>
      <c r="DU29" s="12">
        <v>31291</v>
      </c>
      <c r="DV29" s="7">
        <v>861478</v>
      </c>
      <c r="DW29" s="7">
        <v>752728</v>
      </c>
      <c r="DX29" s="7">
        <v>36067</v>
      </c>
      <c r="DY29" s="7">
        <v>81748</v>
      </c>
      <c r="DZ29" s="12">
        <v>72683</v>
      </c>
      <c r="EA29" s="7">
        <v>1000718</v>
      </c>
      <c r="EB29" s="7">
        <v>868482</v>
      </c>
      <c r="EC29" s="7">
        <v>44073</v>
      </c>
      <c r="ED29" s="7">
        <v>127818</v>
      </c>
      <c r="EE29" s="12">
        <v>88163</v>
      </c>
      <c r="EF29" s="7">
        <v>1025238.0599999999</v>
      </c>
      <c r="EG29" s="7">
        <v>888930.58199999994</v>
      </c>
      <c r="EH29" s="7">
        <v>46968</v>
      </c>
      <c r="EI29" s="7">
        <v>134010.59</v>
      </c>
      <c r="EJ29" s="12">
        <v>89339.478000000003</v>
      </c>
      <c r="EK29" s="7">
        <v>1049462</v>
      </c>
      <c r="EL29" s="7">
        <v>911826</v>
      </c>
      <c r="EM29" s="7">
        <v>48357</v>
      </c>
      <c r="EN29" s="7">
        <v>143754</v>
      </c>
      <c r="EO29" s="661">
        <v>89279</v>
      </c>
      <c r="EP29" s="661">
        <v>1073304</v>
      </c>
      <c r="EQ29" s="661">
        <v>824814</v>
      </c>
      <c r="ER29" s="661">
        <v>50160</v>
      </c>
      <c r="ES29" s="661">
        <v>150862</v>
      </c>
      <c r="ET29" s="661">
        <v>90928</v>
      </c>
      <c r="EU29" s="14">
        <v>146411</v>
      </c>
      <c r="EV29" s="7">
        <v>133823</v>
      </c>
      <c r="EW29" s="7">
        <v>5097</v>
      </c>
      <c r="EX29" s="7">
        <v>10763</v>
      </c>
      <c r="EY29" s="12">
        <v>7491</v>
      </c>
      <c r="EZ29" s="7">
        <v>193868</v>
      </c>
      <c r="FA29" s="7">
        <v>168336</v>
      </c>
      <c r="FB29" s="7">
        <v>8373</v>
      </c>
      <c r="FC29" s="7">
        <v>17248</v>
      </c>
      <c r="FD29" s="12">
        <v>17159</v>
      </c>
      <c r="FE29" s="14">
        <v>254123</v>
      </c>
      <c r="FF29" s="7">
        <v>221638</v>
      </c>
      <c r="FG29" s="7">
        <v>11189</v>
      </c>
      <c r="FH29" s="7">
        <v>28511</v>
      </c>
      <c r="FI29" s="7">
        <v>21296</v>
      </c>
      <c r="FJ29" s="14"/>
      <c r="FK29" s="7"/>
      <c r="FL29" s="7"/>
      <c r="FM29" s="7"/>
      <c r="FN29" s="12"/>
      <c r="FO29" s="7">
        <v>275976</v>
      </c>
      <c r="FP29" s="7">
        <v>241008</v>
      </c>
      <c r="FQ29" s="7">
        <v>12711</v>
      </c>
      <c r="FR29" s="7">
        <v>33799</v>
      </c>
      <c r="FS29" s="7">
        <v>22257</v>
      </c>
      <c r="FT29" s="7">
        <v>285564</v>
      </c>
      <c r="FU29" s="7">
        <v>225376</v>
      </c>
      <c r="FV29" s="7">
        <v>11474</v>
      </c>
      <c r="FW29" s="7">
        <v>35061</v>
      </c>
      <c r="FX29" s="7">
        <v>23151</v>
      </c>
      <c r="FY29" s="609">
        <f t="shared" si="428"/>
        <v>714667</v>
      </c>
      <c r="FZ29" s="584">
        <f t="shared" si="429"/>
        <v>670943</v>
      </c>
      <c r="GA29" s="584">
        <f t="shared" si="430"/>
        <v>17721</v>
      </c>
      <c r="GB29" s="584">
        <f t="shared" si="431"/>
        <v>29413</v>
      </c>
      <c r="GC29" s="584">
        <f t="shared" si="432"/>
        <v>26003</v>
      </c>
      <c r="GD29" s="609">
        <f t="shared" si="433"/>
        <v>1101623</v>
      </c>
      <c r="GE29" s="584">
        <f t="shared" si="434"/>
        <v>1001890</v>
      </c>
      <c r="GF29" s="584">
        <f t="shared" si="435"/>
        <v>27789</v>
      </c>
      <c r="GG29" s="584">
        <f t="shared" si="436"/>
        <v>56583</v>
      </c>
      <c r="GH29" s="584">
        <f t="shared" si="437"/>
        <v>71944</v>
      </c>
      <c r="GI29" s="14">
        <v>1231846</v>
      </c>
      <c r="GJ29" s="7">
        <v>1115430</v>
      </c>
      <c r="GK29" s="7">
        <v>32227</v>
      </c>
      <c r="GL29" s="7">
        <v>82944</v>
      </c>
      <c r="GM29" s="7">
        <v>84189</v>
      </c>
      <c r="GN29" s="605"/>
      <c r="GO29" s="9"/>
      <c r="GP29" s="9"/>
      <c r="GQ29" s="9"/>
      <c r="GR29" s="9"/>
      <c r="GS29" s="9">
        <v>1523482</v>
      </c>
      <c r="GT29" s="9">
        <v>1378697</v>
      </c>
      <c r="GU29" s="9">
        <v>41298</v>
      </c>
      <c r="GV29" s="9">
        <v>103493</v>
      </c>
      <c r="GW29" s="617">
        <v>103487</v>
      </c>
      <c r="GX29" s="9">
        <v>4312230</v>
      </c>
      <c r="GY29" s="9">
        <v>1338761</v>
      </c>
      <c r="GZ29" s="9">
        <v>41787</v>
      </c>
      <c r="HA29" s="9">
        <v>108590</v>
      </c>
      <c r="HB29" s="9">
        <v>67307</v>
      </c>
      <c r="HC29" s="14">
        <v>379150</v>
      </c>
      <c r="HD29" s="7">
        <v>358584</v>
      </c>
      <c r="HE29" s="7">
        <v>8908</v>
      </c>
      <c r="HF29" s="7">
        <v>12579</v>
      </c>
      <c r="HG29" s="7">
        <v>11658</v>
      </c>
      <c r="HH29" s="14">
        <v>599028</v>
      </c>
      <c r="HI29" s="7">
        <v>550595</v>
      </c>
      <c r="HJ29" s="7">
        <v>13095</v>
      </c>
      <c r="HK29" s="7">
        <v>26994</v>
      </c>
      <c r="HL29" s="7">
        <v>35338</v>
      </c>
      <c r="HM29" s="14">
        <v>758515</v>
      </c>
      <c r="HN29" s="7">
        <v>694442</v>
      </c>
      <c r="HO29" s="7">
        <v>16436</v>
      </c>
      <c r="HP29" s="7">
        <v>44637</v>
      </c>
      <c r="HQ29" s="7">
        <v>47637</v>
      </c>
      <c r="HR29" s="14">
        <v>775585.93500000006</v>
      </c>
      <c r="HS29" s="7">
        <v>710569.10600000003</v>
      </c>
      <c r="HT29" s="7">
        <v>17427.599999999999</v>
      </c>
      <c r="HU29" s="7">
        <v>47040.451999999997</v>
      </c>
      <c r="HV29" s="7">
        <v>47589.229000000028</v>
      </c>
      <c r="HW29" s="7">
        <v>815551</v>
      </c>
      <c r="HX29" s="7">
        <v>706154</v>
      </c>
      <c r="HY29" s="7">
        <v>18937</v>
      </c>
      <c r="HZ29" s="7">
        <v>49195</v>
      </c>
      <c r="IA29" s="7">
        <v>52275</v>
      </c>
      <c r="IB29" s="281" t="s">
        <v>186</v>
      </c>
      <c r="IC29" s="282" t="s">
        <v>186</v>
      </c>
      <c r="ID29" s="339">
        <v>100717</v>
      </c>
      <c r="IE29" s="355">
        <f t="shared" si="384"/>
        <v>59471</v>
      </c>
      <c r="IF29" s="355">
        <f t="shared" si="385"/>
        <v>41246</v>
      </c>
      <c r="IG29" s="355">
        <f t="shared" si="386"/>
        <v>98738</v>
      </c>
      <c r="IH29" s="341">
        <v>58354</v>
      </c>
      <c r="II29" s="341">
        <v>40384</v>
      </c>
      <c r="IJ29" s="355">
        <f t="shared" si="387"/>
        <v>1979</v>
      </c>
      <c r="IK29" s="341">
        <v>1117</v>
      </c>
      <c r="IL29" s="341">
        <v>862</v>
      </c>
      <c r="IM29" s="339">
        <v>174247</v>
      </c>
      <c r="IN29" s="355">
        <f t="shared" si="388"/>
        <v>103484</v>
      </c>
      <c r="IO29" s="355">
        <f t="shared" si="389"/>
        <v>70763</v>
      </c>
      <c r="IP29" s="355">
        <f t="shared" si="390"/>
        <v>166585</v>
      </c>
      <c r="IQ29" s="341">
        <v>98801</v>
      </c>
      <c r="IR29" s="341">
        <v>67784</v>
      </c>
      <c r="IS29" s="355">
        <f t="shared" si="391"/>
        <v>2118</v>
      </c>
      <c r="IT29" s="341">
        <v>1127</v>
      </c>
      <c r="IU29" s="341">
        <v>991</v>
      </c>
      <c r="IV29" s="355">
        <f t="shared" si="392"/>
        <v>5544</v>
      </c>
      <c r="IW29" s="341">
        <v>3556</v>
      </c>
      <c r="IX29" s="341">
        <v>1988</v>
      </c>
      <c r="IY29" s="339">
        <v>382013</v>
      </c>
      <c r="IZ29" s="355">
        <f t="shared" si="393"/>
        <v>225044</v>
      </c>
      <c r="JA29" s="355">
        <f t="shared" si="394"/>
        <v>156969</v>
      </c>
      <c r="JB29" s="365">
        <f t="shared" si="395"/>
        <v>358334</v>
      </c>
      <c r="JC29" s="341">
        <v>210434</v>
      </c>
      <c r="JD29" s="341">
        <v>147900</v>
      </c>
      <c r="JE29" s="341">
        <v>14610</v>
      </c>
      <c r="JF29" s="341">
        <v>9069</v>
      </c>
      <c r="JG29" s="365">
        <f t="shared" si="396"/>
        <v>6685</v>
      </c>
      <c r="JH29" s="341">
        <v>3909</v>
      </c>
      <c r="JI29" s="341">
        <v>2776</v>
      </c>
      <c r="JJ29" s="365">
        <f t="shared" si="397"/>
        <v>10529</v>
      </c>
      <c r="JK29" s="341">
        <v>6573</v>
      </c>
      <c r="JL29" s="341">
        <v>3956</v>
      </c>
      <c r="JM29" s="356">
        <f t="shared" si="398"/>
        <v>6465</v>
      </c>
      <c r="JN29" s="356">
        <f t="shared" si="399"/>
        <v>4128</v>
      </c>
      <c r="JO29" s="356">
        <f t="shared" si="400"/>
        <v>2337</v>
      </c>
      <c r="JP29" s="357">
        <f t="shared" si="401"/>
        <v>372</v>
      </c>
      <c r="JQ29" s="357">
        <f t="shared" si="402"/>
        <v>236</v>
      </c>
      <c r="JR29" s="357">
        <f t="shared" si="403"/>
        <v>136</v>
      </c>
      <c r="JS29" s="341">
        <v>6093</v>
      </c>
      <c r="JT29" s="341">
        <v>3892</v>
      </c>
      <c r="JU29" s="341">
        <v>2201</v>
      </c>
      <c r="JV29" s="16">
        <f t="shared" si="404"/>
        <v>568256</v>
      </c>
      <c r="JW29" s="355">
        <f t="shared" si="405"/>
        <v>313266</v>
      </c>
      <c r="JX29" s="355">
        <f t="shared" si="406"/>
        <v>254990</v>
      </c>
      <c r="JY29" s="15">
        <f t="shared" si="407"/>
        <v>537120</v>
      </c>
      <c r="JZ29" s="151">
        <f t="shared" si="408"/>
        <v>524660</v>
      </c>
      <c r="KA29" s="341">
        <v>289073</v>
      </c>
      <c r="KB29" s="341">
        <v>235587</v>
      </c>
      <c r="KC29" s="341">
        <v>24193</v>
      </c>
      <c r="KD29" s="341">
        <v>19403</v>
      </c>
      <c r="KE29" s="15">
        <f t="shared" si="409"/>
        <v>12624</v>
      </c>
      <c r="KF29" s="151">
        <f t="shared" si="410"/>
        <v>12444</v>
      </c>
      <c r="KG29" s="341">
        <v>6794</v>
      </c>
      <c r="KH29" s="341">
        <v>5650</v>
      </c>
      <c r="KI29" s="15">
        <f t="shared" si="411"/>
        <v>18650</v>
      </c>
      <c r="KJ29" s="341">
        <v>10655</v>
      </c>
      <c r="KK29" s="341">
        <v>7995</v>
      </c>
      <c r="KL29" s="13">
        <f t="shared" si="412"/>
        <v>18512</v>
      </c>
      <c r="KM29" s="358">
        <f t="shared" si="413"/>
        <v>6744</v>
      </c>
      <c r="KN29" s="358">
        <f t="shared" si="414"/>
        <v>5758</v>
      </c>
      <c r="KO29" s="359">
        <f t="shared" si="415"/>
        <v>124</v>
      </c>
      <c r="KP29" s="359">
        <f t="shared" si="416"/>
        <v>43</v>
      </c>
      <c r="KQ29" s="359">
        <f t="shared" si="417"/>
        <v>81</v>
      </c>
      <c r="KR29" s="360">
        <f t="shared" si="418"/>
        <v>12378</v>
      </c>
      <c r="KS29" s="360">
        <f t="shared" si="419"/>
        <v>6701</v>
      </c>
      <c r="KT29" s="360">
        <f t="shared" si="420"/>
        <v>5677</v>
      </c>
      <c r="KU29" s="341">
        <v>852</v>
      </c>
      <c r="KV29" s="341">
        <v>835</v>
      </c>
      <c r="KW29" s="341">
        <v>5849</v>
      </c>
      <c r="KX29" s="341">
        <v>4842</v>
      </c>
      <c r="KY29" s="361">
        <v>907755</v>
      </c>
      <c r="KZ29" s="341">
        <v>474911</v>
      </c>
      <c r="LA29" s="341">
        <v>432844</v>
      </c>
      <c r="LB29" s="9">
        <f t="shared" si="421"/>
        <v>833554</v>
      </c>
      <c r="LC29" s="9">
        <v>436751</v>
      </c>
      <c r="LD29" s="9">
        <v>396803</v>
      </c>
      <c r="LE29" s="140">
        <f t="shared" si="422"/>
        <v>809119</v>
      </c>
      <c r="LF29" s="341">
        <v>424477</v>
      </c>
      <c r="LG29" s="341">
        <v>384642</v>
      </c>
      <c r="LH29" s="9">
        <f t="shared" si="423"/>
        <v>19416</v>
      </c>
      <c r="LI29" s="341">
        <v>10276</v>
      </c>
      <c r="LJ29" s="341">
        <v>9140</v>
      </c>
      <c r="LK29" s="9">
        <f t="shared" si="424"/>
        <v>39335</v>
      </c>
      <c r="LL29" s="341">
        <v>19648</v>
      </c>
      <c r="LM29" s="341">
        <v>19687</v>
      </c>
      <c r="LN29" s="140">
        <f t="shared" si="425"/>
        <v>54785</v>
      </c>
      <c r="LO29" s="140">
        <f t="shared" si="426"/>
        <v>27884</v>
      </c>
      <c r="LP29" s="140">
        <f t="shared" si="427"/>
        <v>26901</v>
      </c>
      <c r="LQ29" s="349">
        <v>1084233</v>
      </c>
      <c r="LR29" s="341">
        <v>983327</v>
      </c>
      <c r="LS29" s="341">
        <v>24191</v>
      </c>
      <c r="LT29" s="341">
        <v>76715</v>
      </c>
      <c r="LU29" s="9">
        <v>57489</v>
      </c>
      <c r="LV29" s="14">
        <v>1116029</v>
      </c>
      <c r="LW29" s="7">
        <v>1013252</v>
      </c>
      <c r="LX29" s="7">
        <v>24782</v>
      </c>
      <c r="LY29" s="7">
        <v>77995</v>
      </c>
      <c r="LZ29" s="7">
        <v>60337</v>
      </c>
      <c r="MA29" s="14">
        <v>1150604</v>
      </c>
      <c r="MB29" s="7">
        <v>1047961</v>
      </c>
      <c r="MC29" s="7">
        <v>25585</v>
      </c>
      <c r="MD29" s="7">
        <v>77058</v>
      </c>
      <c r="ME29" s="7">
        <v>63131</v>
      </c>
      <c r="MF29" s="14">
        <v>1182070</v>
      </c>
      <c r="MG29" s="7">
        <v>1079946</v>
      </c>
      <c r="MH29" s="7">
        <v>25352</v>
      </c>
      <c r="MI29" s="7">
        <v>76772</v>
      </c>
      <c r="MJ29" s="7">
        <v>64422</v>
      </c>
      <c r="MK29" s="14">
        <v>1211644.98</v>
      </c>
      <c r="ML29" s="7">
        <v>1107567.23</v>
      </c>
      <c r="MM29" s="7">
        <v>26326.799999999999</v>
      </c>
      <c r="MN29" s="7">
        <v>68372.75</v>
      </c>
      <c r="MO29" s="7">
        <v>77750.95</v>
      </c>
      <c r="MP29" s="7">
        <v>1247506</v>
      </c>
      <c r="MQ29" s="7">
        <v>1137689</v>
      </c>
      <c r="MR29" s="7">
        <v>28587</v>
      </c>
      <c r="MS29" s="7">
        <v>69694</v>
      </c>
      <c r="MT29" s="2">
        <v>81230</v>
      </c>
      <c r="MU29" s="2">
        <v>1287990</v>
      </c>
      <c r="MV29" s="2">
        <v>1113385</v>
      </c>
      <c r="MW29" s="2">
        <v>30313</v>
      </c>
      <c r="MX29" s="2">
        <v>73529</v>
      </c>
      <c r="MY29" s="2">
        <v>53599</v>
      </c>
      <c r="MZ29" s="14">
        <v>189106</v>
      </c>
      <c r="NA29" s="7">
        <v>178536</v>
      </c>
      <c r="NB29" s="7">
        <v>3716</v>
      </c>
      <c r="NC29" s="7">
        <v>6071</v>
      </c>
      <c r="ND29" s="7">
        <v>6854</v>
      </c>
      <c r="NE29" s="14">
        <v>308727</v>
      </c>
      <c r="NF29" s="7">
        <v>282959</v>
      </c>
      <c r="NG29" s="7">
        <v>6321</v>
      </c>
      <c r="NH29" s="7">
        <v>12341</v>
      </c>
      <c r="NI29" s="7">
        <v>19447</v>
      </c>
      <c r="NJ29" s="14">
        <v>423555</v>
      </c>
      <c r="NK29" s="7">
        <v>385504</v>
      </c>
      <c r="NL29" s="7">
        <v>8916</v>
      </c>
      <c r="NM29" s="7">
        <v>19785</v>
      </c>
      <c r="NN29" s="7">
        <v>29135</v>
      </c>
      <c r="NO29" s="14">
        <v>436059.04500000004</v>
      </c>
      <c r="NP29" s="7">
        <v>396998.12400000001</v>
      </c>
      <c r="NQ29" s="7">
        <v>8899.2000000000007</v>
      </c>
      <c r="NR29" s="7">
        <v>21332.297999999999</v>
      </c>
      <c r="NS29" s="12">
        <v>30161.72100000003</v>
      </c>
      <c r="NT29" s="1">
        <v>452826</v>
      </c>
      <c r="NU29" s="2">
        <v>410614</v>
      </c>
      <c r="NV29" s="2">
        <v>10453</v>
      </c>
      <c r="NW29" s="2">
        <v>22867</v>
      </c>
      <c r="NX29" s="79">
        <v>31759</v>
      </c>
      <c r="NY29" s="2">
        <v>472439</v>
      </c>
      <c r="NZ29" s="2">
        <v>407231</v>
      </c>
      <c r="OA29" s="2">
        <v>11376</v>
      </c>
      <c r="OB29" s="2">
        <v>24334</v>
      </c>
      <c r="OC29" s="2">
        <v>35130</v>
      </c>
    </row>
    <row r="30" spans="1:393" ht="14.25" x14ac:dyDescent="0.2">
      <c r="A30" s="240" t="s">
        <v>22</v>
      </c>
      <c r="B30" s="281" t="s">
        <v>186</v>
      </c>
      <c r="C30" s="282" t="s">
        <v>186</v>
      </c>
      <c r="D30" s="282" t="s">
        <v>186</v>
      </c>
      <c r="E30" s="282" t="s">
        <v>186</v>
      </c>
      <c r="F30" s="283" t="s">
        <v>186</v>
      </c>
      <c r="G30" s="7">
        <v>71806</v>
      </c>
      <c r="H30" s="7">
        <v>8649</v>
      </c>
      <c r="I30" s="7">
        <v>157</v>
      </c>
      <c r="J30" s="7">
        <v>4406</v>
      </c>
      <c r="K30" s="12">
        <v>63000</v>
      </c>
      <c r="L30" s="7">
        <v>57805</v>
      </c>
      <c r="M30" s="7">
        <v>4464</v>
      </c>
      <c r="N30" s="7">
        <v>205</v>
      </c>
      <c r="O30" s="7">
        <v>2508</v>
      </c>
      <c r="P30" s="12">
        <v>53136</v>
      </c>
      <c r="Q30" s="9">
        <v>43005</v>
      </c>
      <c r="R30" s="9">
        <v>3492</v>
      </c>
      <c r="S30" s="9">
        <v>72</v>
      </c>
      <c r="T30" s="9">
        <v>2656</v>
      </c>
      <c r="U30" s="617">
        <v>39441</v>
      </c>
      <c r="V30" s="9">
        <v>42786</v>
      </c>
      <c r="W30" s="9">
        <v>3558</v>
      </c>
      <c r="X30" s="9">
        <v>123</v>
      </c>
      <c r="Y30" s="9">
        <v>3150</v>
      </c>
      <c r="Z30" s="9">
        <v>39105</v>
      </c>
      <c r="AA30" s="9">
        <v>39867</v>
      </c>
      <c r="AB30" s="9">
        <v>2151</v>
      </c>
      <c r="AC30" s="9">
        <v>243</v>
      </c>
      <c r="AD30" s="9">
        <v>2881</v>
      </c>
      <c r="AE30" s="726">
        <v>36684</v>
      </c>
      <c r="AF30" s="14">
        <v>69700</v>
      </c>
      <c r="AG30" s="7">
        <v>17322</v>
      </c>
      <c r="AH30" s="7">
        <v>565</v>
      </c>
      <c r="AI30" s="7">
        <v>5588</v>
      </c>
      <c r="AJ30" s="12">
        <v>51813</v>
      </c>
      <c r="AK30" s="7">
        <v>66006</v>
      </c>
      <c r="AL30" s="7">
        <v>11438</v>
      </c>
      <c r="AM30" s="7">
        <v>653</v>
      </c>
      <c r="AN30" s="7">
        <v>5068</v>
      </c>
      <c r="AO30" s="12">
        <v>53915</v>
      </c>
      <c r="AP30" s="7">
        <v>47251</v>
      </c>
      <c r="AQ30" s="7">
        <v>8416</v>
      </c>
      <c r="AR30" s="7">
        <v>492</v>
      </c>
      <c r="AS30" s="7">
        <v>5258</v>
      </c>
      <c r="AT30" s="12">
        <v>38343</v>
      </c>
      <c r="AU30" s="7">
        <v>49367</v>
      </c>
      <c r="AV30" s="7">
        <v>7694</v>
      </c>
      <c r="AW30" s="7">
        <v>710</v>
      </c>
      <c r="AX30" s="7">
        <v>5547</v>
      </c>
      <c r="AY30" s="7">
        <v>40963</v>
      </c>
      <c r="AZ30" s="7">
        <v>48983</v>
      </c>
      <c r="BA30" s="7">
        <v>5992</v>
      </c>
      <c r="BB30" s="7">
        <v>399</v>
      </c>
      <c r="BC30" s="7">
        <v>4827</v>
      </c>
      <c r="BD30" s="63">
        <v>41257</v>
      </c>
      <c r="BE30" s="14">
        <v>90951</v>
      </c>
      <c r="BF30" s="7">
        <v>12287</v>
      </c>
      <c r="BG30" s="7">
        <v>753</v>
      </c>
      <c r="BH30" s="7">
        <v>8107</v>
      </c>
      <c r="BI30" s="313">
        <f t="shared" si="372"/>
        <v>77911</v>
      </c>
      <c r="BJ30" s="281" t="s">
        <v>186</v>
      </c>
      <c r="BK30" s="282" t="s">
        <v>186</v>
      </c>
      <c r="BL30" s="282" t="s">
        <v>186</v>
      </c>
      <c r="BM30" s="282" t="s">
        <v>186</v>
      </c>
      <c r="BN30" s="281" t="s">
        <v>186</v>
      </c>
      <c r="BO30" s="282" t="s">
        <v>186</v>
      </c>
      <c r="BP30" s="282" t="s">
        <v>186</v>
      </c>
      <c r="BQ30" s="282" t="s">
        <v>186</v>
      </c>
      <c r="BR30" s="283" t="s">
        <v>186</v>
      </c>
      <c r="BS30" s="7">
        <v>568314</v>
      </c>
      <c r="BT30" s="7">
        <v>216683</v>
      </c>
      <c r="BU30" s="7">
        <v>11756</v>
      </c>
      <c r="BV30" s="7">
        <v>28344</v>
      </c>
      <c r="BW30" s="12">
        <v>339875</v>
      </c>
      <c r="BX30" s="7">
        <v>678666</v>
      </c>
      <c r="BY30" s="7">
        <v>200647</v>
      </c>
      <c r="BZ30" s="7">
        <v>11261</v>
      </c>
      <c r="CA30" s="7">
        <v>33375</v>
      </c>
      <c r="CB30" s="7">
        <v>466758</v>
      </c>
      <c r="CC30" s="214">
        <v>769475</v>
      </c>
      <c r="CD30" s="7">
        <v>231329</v>
      </c>
      <c r="CE30" s="7">
        <v>16142</v>
      </c>
      <c r="CF30" s="7">
        <v>522004</v>
      </c>
      <c r="CG30" s="7">
        <v>45230</v>
      </c>
      <c r="CH30" s="14">
        <v>777356</v>
      </c>
      <c r="CI30" s="7">
        <v>235684</v>
      </c>
      <c r="CJ30" s="7">
        <v>16471</v>
      </c>
      <c r="CK30" s="7">
        <v>525201</v>
      </c>
      <c r="CL30" s="7">
        <v>47155</v>
      </c>
      <c r="CM30" s="66">
        <v>785496</v>
      </c>
      <c r="CN30" s="64">
        <v>237805</v>
      </c>
      <c r="CO30" s="64">
        <v>16503</v>
      </c>
      <c r="CP30" s="64">
        <v>531188</v>
      </c>
      <c r="CQ30" s="64">
        <v>48722</v>
      </c>
      <c r="CR30" s="14">
        <v>826124</v>
      </c>
      <c r="CS30" s="7">
        <v>242046</v>
      </c>
      <c r="CT30" s="7">
        <v>12413</v>
      </c>
      <c r="CU30" s="7">
        <v>51430</v>
      </c>
      <c r="CV30" s="7">
        <v>429750</v>
      </c>
      <c r="CW30" s="14">
        <v>838049.01600000006</v>
      </c>
      <c r="CX30" s="7">
        <v>243692.96000000002</v>
      </c>
      <c r="CY30" s="7">
        <v>13204.020999999999</v>
      </c>
      <c r="CZ30" s="7">
        <v>53373.979999999996</v>
      </c>
      <c r="DA30" s="567">
        <f t="shared" si="373"/>
        <v>581152.03500000015</v>
      </c>
      <c r="DB30" s="7">
        <v>848885</v>
      </c>
      <c r="DC30" s="7">
        <v>249103</v>
      </c>
      <c r="DD30" s="7">
        <v>13911</v>
      </c>
      <c r="DE30" s="7">
        <v>54635</v>
      </c>
      <c r="DF30" s="7">
        <v>585871</v>
      </c>
      <c r="DG30" s="7">
        <v>860062</v>
      </c>
      <c r="DH30" s="7">
        <v>236798</v>
      </c>
      <c r="DI30" s="7">
        <v>15890</v>
      </c>
      <c r="DJ30" s="7">
        <v>57995</v>
      </c>
      <c r="DK30" s="7">
        <v>354152</v>
      </c>
      <c r="DL30" s="281" t="s">
        <v>186</v>
      </c>
      <c r="DM30" s="282" t="s">
        <v>186</v>
      </c>
      <c r="DN30" s="282" t="s">
        <v>186</v>
      </c>
      <c r="DO30" s="282" t="s">
        <v>186</v>
      </c>
      <c r="DP30" s="283" t="s">
        <v>186</v>
      </c>
      <c r="DQ30" s="7">
        <v>201997</v>
      </c>
      <c r="DR30" s="7">
        <v>84167</v>
      </c>
      <c r="DS30" s="7">
        <v>6062</v>
      </c>
      <c r="DT30" s="7">
        <v>11670</v>
      </c>
      <c r="DU30" s="12">
        <v>111768</v>
      </c>
      <c r="DV30" s="7">
        <v>239793</v>
      </c>
      <c r="DW30" s="7">
        <v>75408</v>
      </c>
      <c r="DX30" s="7">
        <v>5713</v>
      </c>
      <c r="DY30" s="7">
        <v>13559</v>
      </c>
      <c r="DZ30" s="12">
        <v>158672</v>
      </c>
      <c r="EA30" s="7">
        <v>293545</v>
      </c>
      <c r="EB30" s="7">
        <v>87472</v>
      </c>
      <c r="EC30" s="7">
        <v>6338</v>
      </c>
      <c r="ED30" s="7">
        <v>20460</v>
      </c>
      <c r="EE30" s="12">
        <v>199735</v>
      </c>
      <c r="EF30" s="7">
        <v>298839.18400000001</v>
      </c>
      <c r="EG30" s="7">
        <v>88825.060000000012</v>
      </c>
      <c r="EH30" s="7">
        <v>7208.5309999999999</v>
      </c>
      <c r="EI30" s="7">
        <v>21435.579999999998</v>
      </c>
      <c r="EJ30" s="12">
        <v>202805.59300000002</v>
      </c>
      <c r="EK30" s="7">
        <v>303741</v>
      </c>
      <c r="EL30" s="7">
        <v>91324</v>
      </c>
      <c r="EM30" s="7">
        <v>7473</v>
      </c>
      <c r="EN30" s="7">
        <v>22166</v>
      </c>
      <c r="EO30" s="661">
        <v>204944</v>
      </c>
      <c r="EP30" s="661">
        <v>308151</v>
      </c>
      <c r="EQ30" s="661">
        <v>85335</v>
      </c>
      <c r="ER30" s="661">
        <v>8386</v>
      </c>
      <c r="ES30" s="661">
        <v>23955</v>
      </c>
      <c r="ET30" s="661">
        <v>207340</v>
      </c>
      <c r="EU30" s="14">
        <v>59116</v>
      </c>
      <c r="EV30" s="7">
        <v>21117</v>
      </c>
      <c r="EW30" s="7">
        <v>1018</v>
      </c>
      <c r="EX30" s="7">
        <v>3076</v>
      </c>
      <c r="EY30" s="12">
        <v>36981</v>
      </c>
      <c r="EZ30" s="7">
        <v>64701</v>
      </c>
      <c r="FA30" s="7">
        <v>17204</v>
      </c>
      <c r="FB30" s="7">
        <v>1307</v>
      </c>
      <c r="FC30" s="7">
        <v>3633</v>
      </c>
      <c r="FD30" s="12">
        <v>46190</v>
      </c>
      <c r="FE30" s="14">
        <v>88030</v>
      </c>
      <c r="FF30" s="7">
        <v>23643</v>
      </c>
      <c r="FG30" s="7">
        <v>2075</v>
      </c>
      <c r="FH30" s="7">
        <v>5424</v>
      </c>
      <c r="FI30" s="7">
        <v>62312</v>
      </c>
      <c r="FJ30" s="14"/>
      <c r="FK30" s="7"/>
      <c r="FL30" s="7"/>
      <c r="FM30" s="7"/>
      <c r="FN30" s="12"/>
      <c r="FO30" s="7">
        <v>92020</v>
      </c>
      <c r="FP30" s="7">
        <v>25283</v>
      </c>
      <c r="FQ30" s="7">
        <v>2483</v>
      </c>
      <c r="FR30" s="7">
        <v>6345</v>
      </c>
      <c r="FS30" s="7">
        <v>64254</v>
      </c>
      <c r="FT30" s="7">
        <v>96373</v>
      </c>
      <c r="FU30" s="7">
        <v>24458</v>
      </c>
      <c r="FV30" s="7">
        <v>2403</v>
      </c>
      <c r="FW30" s="7">
        <v>7046</v>
      </c>
      <c r="FX30" s="7">
        <v>67490</v>
      </c>
      <c r="FY30" s="609">
        <f t="shared" si="428"/>
        <v>221540</v>
      </c>
      <c r="FZ30" s="584">
        <f t="shared" si="429"/>
        <v>94399</v>
      </c>
      <c r="GA30" s="584">
        <f t="shared" si="430"/>
        <v>2915</v>
      </c>
      <c r="GB30" s="584">
        <f t="shared" si="431"/>
        <v>7041</v>
      </c>
      <c r="GC30" s="584">
        <f t="shared" si="432"/>
        <v>124226</v>
      </c>
      <c r="GD30" s="609">
        <f t="shared" si="433"/>
        <v>274742</v>
      </c>
      <c r="GE30" s="584">
        <f t="shared" si="434"/>
        <v>96244</v>
      </c>
      <c r="GF30" s="584">
        <f t="shared" si="435"/>
        <v>3852</v>
      </c>
      <c r="GG30" s="584">
        <f t="shared" si="436"/>
        <v>9093</v>
      </c>
      <c r="GH30" s="584">
        <f t="shared" si="437"/>
        <v>174646</v>
      </c>
      <c r="GI30" s="14">
        <v>311603</v>
      </c>
      <c r="GJ30" s="7">
        <v>107624</v>
      </c>
      <c r="GK30" s="7">
        <v>4942</v>
      </c>
      <c r="GL30" s="7">
        <v>13994</v>
      </c>
      <c r="GM30" s="7">
        <v>199037</v>
      </c>
      <c r="GN30" s="605"/>
      <c r="GO30" s="9"/>
      <c r="GP30" s="9"/>
      <c r="GQ30" s="9"/>
      <c r="GR30" s="9"/>
      <c r="GS30" s="9">
        <v>370409</v>
      </c>
      <c r="GT30" s="9">
        <v>128761</v>
      </c>
      <c r="GU30" s="9">
        <v>6456</v>
      </c>
      <c r="GV30" s="9">
        <v>17975</v>
      </c>
      <c r="GW30" s="617">
        <v>235192</v>
      </c>
      <c r="GX30" s="9">
        <v>1107381</v>
      </c>
      <c r="GY30" s="9">
        <v>126324</v>
      </c>
      <c r="GZ30" s="9">
        <v>6902</v>
      </c>
      <c r="HA30" s="9">
        <v>19990</v>
      </c>
      <c r="HB30" s="9">
        <v>135827</v>
      </c>
      <c r="HC30" s="14">
        <v>111837</v>
      </c>
      <c r="HD30" s="7">
        <v>45632</v>
      </c>
      <c r="HE30" s="7">
        <v>1314</v>
      </c>
      <c r="HF30" s="7">
        <v>2968</v>
      </c>
      <c r="HG30" s="7">
        <v>64891</v>
      </c>
      <c r="HH30" s="14">
        <v>142493</v>
      </c>
      <c r="HI30" s="7">
        <v>46054</v>
      </c>
      <c r="HJ30" s="7">
        <v>1684</v>
      </c>
      <c r="HK30" s="7">
        <v>3757</v>
      </c>
      <c r="HL30" s="7">
        <v>94755</v>
      </c>
      <c r="HM30" s="14">
        <v>178875</v>
      </c>
      <c r="HN30" s="7">
        <v>61405</v>
      </c>
      <c r="HO30" s="7">
        <v>2410</v>
      </c>
      <c r="HP30" s="7">
        <v>7007</v>
      </c>
      <c r="HQ30" s="7">
        <v>115060</v>
      </c>
      <c r="HR30" s="14">
        <v>180974.04</v>
      </c>
      <c r="HS30" s="7">
        <v>59899.32</v>
      </c>
      <c r="HT30" s="7">
        <v>2370.31</v>
      </c>
      <c r="HU30" s="7">
        <v>7370.4</v>
      </c>
      <c r="HV30" s="7">
        <v>118704.41</v>
      </c>
      <c r="HW30" s="7">
        <v>188778</v>
      </c>
      <c r="HX30" s="7">
        <v>59894</v>
      </c>
      <c r="HY30" s="7">
        <v>2999</v>
      </c>
      <c r="HZ30" s="7">
        <v>9069</v>
      </c>
      <c r="IA30" s="7">
        <v>122732</v>
      </c>
      <c r="IB30" s="281" t="s">
        <v>186</v>
      </c>
      <c r="IC30" s="282" t="s">
        <v>186</v>
      </c>
      <c r="ID30" s="339">
        <v>27678</v>
      </c>
      <c r="IE30" s="355">
        <f t="shared" si="384"/>
        <v>16317</v>
      </c>
      <c r="IF30" s="355">
        <f t="shared" si="385"/>
        <v>11361</v>
      </c>
      <c r="IG30" s="355">
        <f t="shared" si="386"/>
        <v>15612</v>
      </c>
      <c r="IH30" s="341">
        <v>9460</v>
      </c>
      <c r="II30" s="341">
        <v>6152</v>
      </c>
      <c r="IJ30" s="355">
        <f t="shared" si="387"/>
        <v>12066</v>
      </c>
      <c r="IK30" s="341">
        <v>6857</v>
      </c>
      <c r="IL30" s="341">
        <v>5209</v>
      </c>
      <c r="IM30" s="339">
        <v>31162</v>
      </c>
      <c r="IN30" s="355">
        <f t="shared" si="388"/>
        <v>19031</v>
      </c>
      <c r="IO30" s="355">
        <f t="shared" si="389"/>
        <v>12131</v>
      </c>
      <c r="IP30" s="355">
        <f t="shared" si="390"/>
        <v>30025</v>
      </c>
      <c r="IQ30" s="341">
        <v>18342</v>
      </c>
      <c r="IR30" s="341">
        <v>11683</v>
      </c>
      <c r="IS30" s="355">
        <f t="shared" si="391"/>
        <v>295</v>
      </c>
      <c r="IT30" s="341">
        <v>153</v>
      </c>
      <c r="IU30" s="341">
        <v>142</v>
      </c>
      <c r="IV30" s="355">
        <f t="shared" si="392"/>
        <v>842</v>
      </c>
      <c r="IW30" s="341">
        <v>536</v>
      </c>
      <c r="IX30" s="341">
        <v>306</v>
      </c>
      <c r="IY30" s="339">
        <v>111415</v>
      </c>
      <c r="IZ30" s="355">
        <f t="shared" si="393"/>
        <v>63016</v>
      </c>
      <c r="JA30" s="355">
        <f t="shared" si="394"/>
        <v>48399</v>
      </c>
      <c r="JB30" s="365">
        <f t="shared" si="395"/>
        <v>52053</v>
      </c>
      <c r="JC30" s="341">
        <v>31750</v>
      </c>
      <c r="JD30" s="341">
        <v>20303</v>
      </c>
      <c r="JE30" s="341">
        <v>31266</v>
      </c>
      <c r="JF30" s="341">
        <v>28096</v>
      </c>
      <c r="JG30" s="365">
        <f t="shared" si="396"/>
        <v>866</v>
      </c>
      <c r="JH30" s="341">
        <v>552</v>
      </c>
      <c r="JI30" s="341">
        <v>314</v>
      </c>
      <c r="JJ30" s="365">
        <f t="shared" si="397"/>
        <v>2662</v>
      </c>
      <c r="JK30" s="341">
        <v>1347</v>
      </c>
      <c r="JL30" s="341">
        <v>1315</v>
      </c>
      <c r="JM30" s="356">
        <f t="shared" si="398"/>
        <v>55834</v>
      </c>
      <c r="JN30" s="356">
        <f t="shared" si="399"/>
        <v>29367</v>
      </c>
      <c r="JO30" s="356">
        <f t="shared" si="400"/>
        <v>26467</v>
      </c>
      <c r="JP30" s="357">
        <f t="shared" si="401"/>
        <v>385</v>
      </c>
      <c r="JQ30" s="357">
        <f t="shared" si="402"/>
        <v>220</v>
      </c>
      <c r="JR30" s="357">
        <f t="shared" si="403"/>
        <v>165</v>
      </c>
      <c r="JS30" s="341">
        <v>55449</v>
      </c>
      <c r="JT30" s="341">
        <v>29147</v>
      </c>
      <c r="JU30" s="341">
        <v>26302</v>
      </c>
      <c r="JV30" s="16">
        <f t="shared" si="404"/>
        <v>162424</v>
      </c>
      <c r="JW30" s="355">
        <f t="shared" si="405"/>
        <v>86582</v>
      </c>
      <c r="JX30" s="355">
        <f t="shared" si="406"/>
        <v>75842</v>
      </c>
      <c r="JY30" s="15">
        <f t="shared" si="407"/>
        <v>73282</v>
      </c>
      <c r="JZ30" s="151">
        <f t="shared" si="408"/>
        <v>71808</v>
      </c>
      <c r="KA30" s="341">
        <v>41575</v>
      </c>
      <c r="KB30" s="341">
        <v>30233</v>
      </c>
      <c r="KC30" s="341">
        <v>45007</v>
      </c>
      <c r="KD30" s="341">
        <v>45609</v>
      </c>
      <c r="KE30" s="15">
        <f t="shared" si="409"/>
        <v>1897</v>
      </c>
      <c r="KF30" s="151">
        <f t="shared" si="410"/>
        <v>1837</v>
      </c>
      <c r="KG30" s="341">
        <v>954</v>
      </c>
      <c r="KH30" s="341">
        <v>883</v>
      </c>
      <c r="KI30" s="15">
        <f t="shared" si="411"/>
        <v>3965</v>
      </c>
      <c r="KJ30" s="341">
        <v>2053</v>
      </c>
      <c r="KK30" s="341">
        <v>1912</v>
      </c>
      <c r="KL30" s="13">
        <f t="shared" si="412"/>
        <v>87245</v>
      </c>
      <c r="KM30" s="358">
        <f t="shared" si="413"/>
        <v>42000</v>
      </c>
      <c r="KN30" s="358">
        <f t="shared" si="414"/>
        <v>42814</v>
      </c>
      <c r="KO30" s="359">
        <f t="shared" si="415"/>
        <v>213</v>
      </c>
      <c r="KP30" s="359">
        <f t="shared" si="416"/>
        <v>119</v>
      </c>
      <c r="KQ30" s="359">
        <f t="shared" si="417"/>
        <v>94</v>
      </c>
      <c r="KR30" s="360">
        <f t="shared" si="418"/>
        <v>84601</v>
      </c>
      <c r="KS30" s="360">
        <f t="shared" si="419"/>
        <v>41881</v>
      </c>
      <c r="KT30" s="360">
        <f t="shared" si="420"/>
        <v>42720</v>
      </c>
      <c r="KU30" s="341">
        <v>296</v>
      </c>
      <c r="KV30" s="341">
        <v>218</v>
      </c>
      <c r="KW30" s="341">
        <v>41585</v>
      </c>
      <c r="KX30" s="341">
        <v>42502</v>
      </c>
      <c r="KY30" s="361">
        <v>210041</v>
      </c>
      <c r="KZ30" s="341">
        <v>106220</v>
      </c>
      <c r="LA30" s="341">
        <v>103821</v>
      </c>
      <c r="LB30" s="9">
        <f t="shared" si="421"/>
        <v>79040</v>
      </c>
      <c r="LC30" s="9">
        <v>43565</v>
      </c>
      <c r="LD30" s="9">
        <v>35475</v>
      </c>
      <c r="LE30" s="140">
        <f t="shared" si="422"/>
        <v>77212</v>
      </c>
      <c r="LF30" s="341">
        <v>42699</v>
      </c>
      <c r="LG30" s="341">
        <v>34513</v>
      </c>
      <c r="LH30" s="9">
        <f t="shared" si="423"/>
        <v>2545</v>
      </c>
      <c r="LI30" s="341">
        <v>1487</v>
      </c>
      <c r="LJ30" s="341">
        <v>1058</v>
      </c>
      <c r="LK30" s="9">
        <f t="shared" si="424"/>
        <v>5460</v>
      </c>
      <c r="LL30" s="341">
        <v>2462</v>
      </c>
      <c r="LM30" s="341">
        <v>2998</v>
      </c>
      <c r="LN30" s="140">
        <f t="shared" si="425"/>
        <v>128456</v>
      </c>
      <c r="LO30" s="140">
        <f t="shared" si="426"/>
        <v>61168</v>
      </c>
      <c r="LP30" s="140">
        <f t="shared" si="427"/>
        <v>67288</v>
      </c>
      <c r="LQ30" s="349">
        <v>248163</v>
      </c>
      <c r="LR30" s="341">
        <v>97927</v>
      </c>
      <c r="LS30" s="341">
        <v>4612</v>
      </c>
      <c r="LT30" s="341">
        <v>145624</v>
      </c>
      <c r="LU30" s="9">
        <v>7690</v>
      </c>
      <c r="LV30" s="14">
        <v>253752</v>
      </c>
      <c r="LW30" s="7">
        <v>101007</v>
      </c>
      <c r="LX30" s="7">
        <v>4641</v>
      </c>
      <c r="LY30" s="7">
        <v>148104</v>
      </c>
      <c r="LZ30" s="7">
        <v>8921</v>
      </c>
      <c r="MA30" s="14">
        <v>255486</v>
      </c>
      <c r="MB30" s="7">
        <v>102040</v>
      </c>
      <c r="MC30" s="7">
        <v>4596</v>
      </c>
      <c r="MD30" s="7">
        <v>148850</v>
      </c>
      <c r="ME30" s="7">
        <v>9745</v>
      </c>
      <c r="MF30" s="14">
        <v>268003</v>
      </c>
      <c r="MG30" s="7">
        <v>103006</v>
      </c>
      <c r="MH30" s="7">
        <v>3479</v>
      </c>
      <c r="MI30" s="7">
        <v>161518</v>
      </c>
      <c r="MJ30" s="7">
        <v>10468</v>
      </c>
      <c r="MK30" s="14">
        <v>272853.16800000001</v>
      </c>
      <c r="ML30" s="7">
        <v>102136.02</v>
      </c>
      <c r="MM30" s="7">
        <v>3513.6359999999995</v>
      </c>
      <c r="MN30" s="7">
        <v>11178.439999999999</v>
      </c>
      <c r="MO30" s="7">
        <v>167203.51199999999</v>
      </c>
      <c r="MP30" s="7">
        <v>278389</v>
      </c>
      <c r="MQ30" s="7">
        <v>103478</v>
      </c>
      <c r="MR30" s="7">
        <v>3973</v>
      </c>
      <c r="MS30" s="7">
        <v>11630</v>
      </c>
      <c r="MT30" s="2">
        <v>170938</v>
      </c>
      <c r="MU30" s="2">
        <v>287092</v>
      </c>
      <c r="MV30" s="2">
        <v>101866</v>
      </c>
      <c r="MW30" s="2">
        <v>4499</v>
      </c>
      <c r="MX30" s="2">
        <v>12944</v>
      </c>
      <c r="MY30" s="2">
        <v>95201</v>
      </c>
      <c r="MZ30" s="14">
        <v>50587</v>
      </c>
      <c r="NA30" s="7">
        <v>27650</v>
      </c>
      <c r="NB30" s="7">
        <v>583</v>
      </c>
      <c r="NC30" s="7">
        <v>997</v>
      </c>
      <c r="ND30" s="7">
        <v>22354</v>
      </c>
      <c r="NE30" s="14">
        <v>67548</v>
      </c>
      <c r="NF30" s="7">
        <v>32986</v>
      </c>
      <c r="NG30" s="7">
        <v>861</v>
      </c>
      <c r="NH30" s="7">
        <v>1703</v>
      </c>
      <c r="NI30" s="7">
        <v>33701</v>
      </c>
      <c r="NJ30" s="14">
        <v>89128</v>
      </c>
      <c r="NK30" s="7">
        <v>41601</v>
      </c>
      <c r="NL30" s="7">
        <v>1069</v>
      </c>
      <c r="NM30" s="7">
        <v>3461</v>
      </c>
      <c r="NN30" s="7">
        <v>46458</v>
      </c>
      <c r="NO30" s="14">
        <v>91879.128000000012</v>
      </c>
      <c r="NP30" s="7">
        <v>42236.700000000004</v>
      </c>
      <c r="NQ30" s="7">
        <v>1143.3259999999998</v>
      </c>
      <c r="NR30" s="7">
        <v>3808.04</v>
      </c>
      <c r="NS30" s="12">
        <v>48499.102000000006</v>
      </c>
      <c r="NT30" s="1">
        <v>94401</v>
      </c>
      <c r="NU30" s="2">
        <v>42152</v>
      </c>
      <c r="NV30" s="2">
        <v>1390</v>
      </c>
      <c r="NW30" s="2">
        <v>3764</v>
      </c>
      <c r="NX30" s="79">
        <v>50859</v>
      </c>
      <c r="NY30" s="2">
        <v>98314</v>
      </c>
      <c r="NZ30" s="2">
        <v>41972</v>
      </c>
      <c r="OA30" s="2">
        <v>1500</v>
      </c>
      <c r="OB30" s="2">
        <v>3875</v>
      </c>
      <c r="OC30" s="2">
        <v>53305</v>
      </c>
    </row>
    <row r="31" spans="1:393" ht="14.25" x14ac:dyDescent="0.2">
      <c r="A31" s="240" t="s">
        <v>23</v>
      </c>
      <c r="B31" s="281" t="s">
        <v>186</v>
      </c>
      <c r="C31" s="282" t="s">
        <v>186</v>
      </c>
      <c r="D31" s="282" t="s">
        <v>186</v>
      </c>
      <c r="E31" s="282" t="s">
        <v>186</v>
      </c>
      <c r="F31" s="283" t="s">
        <v>186</v>
      </c>
      <c r="G31" s="7">
        <v>44219</v>
      </c>
      <c r="H31" s="7">
        <v>36507</v>
      </c>
      <c r="I31" s="7">
        <v>102</v>
      </c>
      <c r="J31" s="7">
        <v>8847</v>
      </c>
      <c r="K31" s="12">
        <v>7610</v>
      </c>
      <c r="L31" s="7">
        <v>41039</v>
      </c>
      <c r="M31" s="7">
        <v>27509</v>
      </c>
      <c r="N31" s="7">
        <v>120</v>
      </c>
      <c r="O31" s="7">
        <v>16928</v>
      </c>
      <c r="P31" s="12">
        <v>13410</v>
      </c>
      <c r="Q31" s="9">
        <v>44280</v>
      </c>
      <c r="R31" s="9">
        <v>35398</v>
      </c>
      <c r="S31" s="9">
        <v>427</v>
      </c>
      <c r="T31" s="9">
        <v>24866</v>
      </c>
      <c r="U31" s="617">
        <v>8455</v>
      </c>
      <c r="V31" s="9">
        <v>43053</v>
      </c>
      <c r="W31" s="9">
        <v>33196</v>
      </c>
      <c r="X31" s="9">
        <v>255</v>
      </c>
      <c r="Y31" s="9">
        <v>24241</v>
      </c>
      <c r="Z31" s="9">
        <v>9522</v>
      </c>
      <c r="AA31" s="9">
        <v>43683</v>
      </c>
      <c r="AB31" s="9">
        <v>16191</v>
      </c>
      <c r="AC31" s="9">
        <v>172</v>
      </c>
      <c r="AD31" s="9">
        <v>24661</v>
      </c>
      <c r="AE31" s="726">
        <v>10507</v>
      </c>
      <c r="AF31" s="14">
        <v>77568</v>
      </c>
      <c r="AG31" s="7">
        <v>73065</v>
      </c>
      <c r="AH31" s="7">
        <v>195</v>
      </c>
      <c r="AI31" s="7">
        <v>3770</v>
      </c>
      <c r="AJ31" s="12">
        <v>4308</v>
      </c>
      <c r="AK31" s="7">
        <v>79322</v>
      </c>
      <c r="AL31" s="7">
        <v>70561</v>
      </c>
      <c r="AM31" s="7">
        <v>345</v>
      </c>
      <c r="AN31" s="7">
        <v>7800</v>
      </c>
      <c r="AO31" s="12">
        <v>8416</v>
      </c>
      <c r="AP31" s="7">
        <v>70118</v>
      </c>
      <c r="AQ31" s="7">
        <v>63856</v>
      </c>
      <c r="AR31" s="7">
        <v>420</v>
      </c>
      <c r="AS31" s="7">
        <v>12013</v>
      </c>
      <c r="AT31" s="12">
        <v>5842</v>
      </c>
      <c r="AU31" s="7">
        <v>67489</v>
      </c>
      <c r="AV31" s="7">
        <v>60896</v>
      </c>
      <c r="AW31" s="7">
        <v>480</v>
      </c>
      <c r="AX31" s="7">
        <v>11905</v>
      </c>
      <c r="AY31" s="7">
        <v>5972</v>
      </c>
      <c r="AZ31" s="7">
        <v>66817</v>
      </c>
      <c r="BA31" s="7">
        <v>50882</v>
      </c>
      <c r="BB31" s="7">
        <v>244</v>
      </c>
      <c r="BC31" s="7">
        <v>12261</v>
      </c>
      <c r="BD31" s="63">
        <v>6730</v>
      </c>
      <c r="BE31" s="14">
        <v>113392</v>
      </c>
      <c r="BF31" s="7">
        <v>97113</v>
      </c>
      <c r="BG31" s="7"/>
      <c r="BH31" s="7">
        <v>37212</v>
      </c>
      <c r="BI31" s="313">
        <f t="shared" si="372"/>
        <v>16279</v>
      </c>
      <c r="BJ31" s="281" t="s">
        <v>186</v>
      </c>
      <c r="BK31" s="282" t="s">
        <v>186</v>
      </c>
      <c r="BL31" s="282" t="s">
        <v>186</v>
      </c>
      <c r="BM31" s="282" t="s">
        <v>186</v>
      </c>
      <c r="BN31" s="281" t="s">
        <v>186</v>
      </c>
      <c r="BO31" s="282" t="s">
        <v>186</v>
      </c>
      <c r="BP31" s="282" t="s">
        <v>186</v>
      </c>
      <c r="BQ31" s="282" t="s">
        <v>186</v>
      </c>
      <c r="BR31" s="283" t="s">
        <v>186</v>
      </c>
      <c r="BS31" s="7">
        <v>479505</v>
      </c>
      <c r="BT31" s="7">
        <v>464861</v>
      </c>
      <c r="BU31" s="7">
        <v>1433</v>
      </c>
      <c r="BV31" s="7">
        <v>9678</v>
      </c>
      <c r="BW31" s="12">
        <v>13211</v>
      </c>
      <c r="BX31" s="7">
        <v>667144</v>
      </c>
      <c r="BY31" s="7">
        <v>632655</v>
      </c>
      <c r="BZ31" s="7">
        <v>2199</v>
      </c>
      <c r="CA31" s="7">
        <v>19768</v>
      </c>
      <c r="CB31" s="7">
        <v>32290</v>
      </c>
      <c r="CC31" s="214">
        <v>801939</v>
      </c>
      <c r="CD31" s="7">
        <v>759792</v>
      </c>
      <c r="CE31" s="7">
        <v>3382</v>
      </c>
      <c r="CF31" s="7">
        <v>38765</v>
      </c>
      <c r="CG31" s="7">
        <v>34175</v>
      </c>
      <c r="CH31" s="14">
        <v>826398</v>
      </c>
      <c r="CI31" s="7">
        <v>784484</v>
      </c>
      <c r="CJ31" s="7">
        <v>3623</v>
      </c>
      <c r="CK31" s="7">
        <v>38291</v>
      </c>
      <c r="CL31" s="7">
        <v>36198</v>
      </c>
      <c r="CM31" s="66">
        <v>836198</v>
      </c>
      <c r="CN31" s="64">
        <v>793166</v>
      </c>
      <c r="CO31" s="64">
        <v>3539</v>
      </c>
      <c r="CP31" s="64">
        <v>39493</v>
      </c>
      <c r="CQ31" s="64">
        <v>38377</v>
      </c>
      <c r="CR31" s="14">
        <v>857708</v>
      </c>
      <c r="CS31" s="7">
        <v>812762</v>
      </c>
      <c r="CT31" s="7">
        <v>3547</v>
      </c>
      <c r="CU31" s="7">
        <v>40246</v>
      </c>
      <c r="CV31" s="7">
        <v>27317</v>
      </c>
      <c r="CW31" s="14">
        <v>873611.06200000003</v>
      </c>
      <c r="CX31" s="7">
        <v>827776.54999999993</v>
      </c>
      <c r="CY31" s="7"/>
      <c r="CZ31" s="7">
        <v>43508.619000000006</v>
      </c>
      <c r="DA31" s="567">
        <f t="shared" si="373"/>
        <v>45834.512000000104</v>
      </c>
      <c r="DB31" s="7">
        <v>889006</v>
      </c>
      <c r="DC31" s="7">
        <v>841455</v>
      </c>
      <c r="DD31" s="7">
        <v>3721</v>
      </c>
      <c r="DE31" s="7">
        <v>47875</v>
      </c>
      <c r="DF31" s="7">
        <v>42904</v>
      </c>
      <c r="DG31" s="7">
        <v>903597</v>
      </c>
      <c r="DH31" s="7">
        <v>816928</v>
      </c>
      <c r="DI31" s="7">
        <v>4066</v>
      </c>
      <c r="DJ31" s="7">
        <v>50085</v>
      </c>
      <c r="DK31" s="7">
        <v>28383</v>
      </c>
      <c r="DL31" s="281" t="s">
        <v>186</v>
      </c>
      <c r="DM31" s="282" t="s">
        <v>186</v>
      </c>
      <c r="DN31" s="282" t="s">
        <v>186</v>
      </c>
      <c r="DO31" s="282" t="s">
        <v>186</v>
      </c>
      <c r="DP31" s="283" t="s">
        <v>186</v>
      </c>
      <c r="DQ31" s="7">
        <v>190478</v>
      </c>
      <c r="DR31" s="7">
        <v>184717</v>
      </c>
      <c r="DS31" s="7">
        <v>695</v>
      </c>
      <c r="DT31" s="7">
        <v>3950</v>
      </c>
      <c r="DU31" s="12">
        <v>5066</v>
      </c>
      <c r="DV31" s="7">
        <v>272207</v>
      </c>
      <c r="DW31" s="7">
        <v>257946</v>
      </c>
      <c r="DX31" s="7">
        <v>1181</v>
      </c>
      <c r="DY31" s="7">
        <v>7716</v>
      </c>
      <c r="DZ31" s="12">
        <v>13080</v>
      </c>
      <c r="EA31" s="7">
        <v>345661</v>
      </c>
      <c r="EB31" s="7">
        <v>327180</v>
      </c>
      <c r="EC31" s="7">
        <v>1485</v>
      </c>
      <c r="ED31" s="7">
        <v>16115</v>
      </c>
      <c r="EE31" s="12">
        <v>16996</v>
      </c>
      <c r="EF31" s="7">
        <v>351022.05200000003</v>
      </c>
      <c r="EG31" s="7">
        <v>332960.39999999997</v>
      </c>
      <c r="EH31" s="7"/>
      <c r="EI31" s="7">
        <v>17516.456999999999</v>
      </c>
      <c r="EJ31" s="12">
        <v>18061.65200000006</v>
      </c>
      <c r="EK31" s="7">
        <v>359405</v>
      </c>
      <c r="EL31" s="7">
        <v>339330</v>
      </c>
      <c r="EM31" s="7">
        <v>1497</v>
      </c>
      <c r="EN31" s="7">
        <v>19681</v>
      </c>
      <c r="EO31" s="661">
        <v>18023</v>
      </c>
      <c r="EP31" s="661">
        <v>365545</v>
      </c>
      <c r="EQ31" s="661">
        <v>330790</v>
      </c>
      <c r="ER31" s="661">
        <v>1571</v>
      </c>
      <c r="ES31" s="661">
        <v>20145</v>
      </c>
      <c r="ET31" s="661">
        <v>18006</v>
      </c>
      <c r="EU31" s="14">
        <v>45187</v>
      </c>
      <c r="EV31" s="7">
        <v>43921</v>
      </c>
      <c r="EW31" s="7">
        <v>148</v>
      </c>
      <c r="EX31" s="7">
        <v>772</v>
      </c>
      <c r="EY31" s="12">
        <v>1118</v>
      </c>
      <c r="EZ31" s="7">
        <v>57003</v>
      </c>
      <c r="FA31" s="7">
        <v>54075</v>
      </c>
      <c r="FB31" s="7">
        <v>296</v>
      </c>
      <c r="FC31" s="7">
        <v>1505</v>
      </c>
      <c r="FD31" s="12">
        <v>2632</v>
      </c>
      <c r="FE31" s="14">
        <v>81093</v>
      </c>
      <c r="FF31" s="7">
        <v>77194</v>
      </c>
      <c r="FG31" s="7">
        <v>184</v>
      </c>
      <c r="FH31" s="7">
        <v>3660</v>
      </c>
      <c r="FI31" s="7">
        <v>3715</v>
      </c>
      <c r="FJ31" s="14"/>
      <c r="FK31" s="7"/>
      <c r="FL31" s="7"/>
      <c r="FM31" s="7"/>
      <c r="FN31" s="12"/>
      <c r="FO31" s="7">
        <v>87854</v>
      </c>
      <c r="FP31" s="7">
        <v>83799</v>
      </c>
      <c r="FQ31" s="7">
        <v>346</v>
      </c>
      <c r="FR31" s="7">
        <v>3881</v>
      </c>
      <c r="FS31" s="7">
        <v>3697</v>
      </c>
      <c r="FT31" s="7">
        <v>91781</v>
      </c>
      <c r="FU31" s="7">
        <v>83650</v>
      </c>
      <c r="FV31" s="7">
        <v>620</v>
      </c>
      <c r="FW31" s="7">
        <v>4441</v>
      </c>
      <c r="FX31" s="7">
        <v>4163</v>
      </c>
      <c r="FY31" s="609">
        <f t="shared" si="428"/>
        <v>151322</v>
      </c>
      <c r="FZ31" s="584">
        <f t="shared" si="429"/>
        <v>147437</v>
      </c>
      <c r="GA31" s="584">
        <f t="shared" si="430"/>
        <v>422</v>
      </c>
      <c r="GB31" s="584">
        <f t="shared" si="431"/>
        <v>2235</v>
      </c>
      <c r="GC31" s="584">
        <f t="shared" si="432"/>
        <v>3463</v>
      </c>
      <c r="GD31" s="609">
        <f t="shared" si="433"/>
        <v>227618</v>
      </c>
      <c r="GE31" s="584">
        <f t="shared" si="434"/>
        <v>217108</v>
      </c>
      <c r="GF31" s="584">
        <f t="shared" si="435"/>
        <v>894</v>
      </c>
      <c r="GG31" s="584">
        <f t="shared" si="436"/>
        <v>4451</v>
      </c>
      <c r="GH31" s="584">
        <f t="shared" si="437"/>
        <v>9616</v>
      </c>
      <c r="GI31" s="14">
        <v>286193</v>
      </c>
      <c r="GJ31" s="7">
        <v>272605</v>
      </c>
      <c r="GK31" s="7">
        <v>866</v>
      </c>
      <c r="GL31" s="7">
        <v>8604</v>
      </c>
      <c r="GM31" s="7">
        <v>12722</v>
      </c>
      <c r="GN31" s="605"/>
      <c r="GO31" s="9"/>
      <c r="GP31" s="9"/>
      <c r="GQ31" s="9"/>
      <c r="GR31" s="9"/>
      <c r="GS31" s="9">
        <v>338983</v>
      </c>
      <c r="GT31" s="9">
        <v>323318</v>
      </c>
      <c r="GU31" s="9">
        <v>1432</v>
      </c>
      <c r="GV31" s="9">
        <v>10614</v>
      </c>
      <c r="GW31" s="617">
        <v>14090</v>
      </c>
      <c r="GX31" s="9">
        <v>1119715</v>
      </c>
      <c r="GY31" s="9">
        <v>324446</v>
      </c>
      <c r="GZ31" s="9">
        <v>1990</v>
      </c>
      <c r="HA31" s="9">
        <v>12311</v>
      </c>
      <c r="HB31" s="9">
        <v>9486</v>
      </c>
      <c r="HC31" s="14">
        <v>74443</v>
      </c>
      <c r="HD31" s="7">
        <v>72709</v>
      </c>
      <c r="HE31" s="7">
        <v>178</v>
      </c>
      <c r="HF31" s="7">
        <v>996</v>
      </c>
      <c r="HG31" s="7">
        <v>1556</v>
      </c>
      <c r="HH31" s="14">
        <v>116901</v>
      </c>
      <c r="HI31" s="7">
        <v>111798</v>
      </c>
      <c r="HJ31" s="7">
        <v>439</v>
      </c>
      <c r="HK31" s="7">
        <v>2025</v>
      </c>
      <c r="HL31" s="7">
        <v>4664</v>
      </c>
      <c r="HM31" s="14">
        <v>161999</v>
      </c>
      <c r="HN31" s="7">
        <v>154678</v>
      </c>
      <c r="HO31" s="7">
        <v>506</v>
      </c>
      <c r="HP31" s="7">
        <v>3997</v>
      </c>
      <c r="HQ31" s="7">
        <v>6815</v>
      </c>
      <c r="HR31" s="14">
        <v>166636.87299999999</v>
      </c>
      <c r="HS31" s="7">
        <v>159081.07999999999</v>
      </c>
      <c r="HT31" s="7"/>
      <c r="HU31" s="7">
        <v>4358.9340000000002</v>
      </c>
      <c r="HV31" s="7">
        <v>7555.7930000000051</v>
      </c>
      <c r="HW31" s="7">
        <v>178573</v>
      </c>
      <c r="HX31" s="7">
        <v>166225</v>
      </c>
      <c r="HY31" s="7">
        <v>945</v>
      </c>
      <c r="HZ31" s="7">
        <v>5478</v>
      </c>
      <c r="IA31" s="7">
        <v>7483</v>
      </c>
      <c r="IB31" s="281" t="s">
        <v>186</v>
      </c>
      <c r="IC31" s="282" t="s">
        <v>186</v>
      </c>
      <c r="ID31" s="339">
        <v>24483</v>
      </c>
      <c r="IE31" s="355">
        <f t="shared" si="384"/>
        <v>15291</v>
      </c>
      <c r="IF31" s="355">
        <f t="shared" si="385"/>
        <v>9192</v>
      </c>
      <c r="IG31" s="355">
        <f t="shared" si="386"/>
        <v>24278</v>
      </c>
      <c r="IH31" s="341">
        <v>15134</v>
      </c>
      <c r="II31" s="341">
        <v>9144</v>
      </c>
      <c r="IJ31" s="355">
        <f t="shared" si="387"/>
        <v>205</v>
      </c>
      <c r="IK31" s="341">
        <v>157</v>
      </c>
      <c r="IL31" s="341">
        <v>48</v>
      </c>
      <c r="IM31" s="339">
        <v>36744</v>
      </c>
      <c r="IN31" s="355">
        <f t="shared" si="388"/>
        <v>22639</v>
      </c>
      <c r="IO31" s="355">
        <f t="shared" si="389"/>
        <v>14105</v>
      </c>
      <c r="IP31" s="355">
        <f t="shared" si="390"/>
        <v>36434</v>
      </c>
      <c r="IQ31" s="341">
        <v>22396</v>
      </c>
      <c r="IR31" s="341">
        <v>14038</v>
      </c>
      <c r="IS31" s="355">
        <f t="shared" si="391"/>
        <v>28</v>
      </c>
      <c r="IT31" s="341">
        <v>21</v>
      </c>
      <c r="IU31" s="341">
        <v>7</v>
      </c>
      <c r="IV31" s="355">
        <f t="shared" si="392"/>
        <v>282</v>
      </c>
      <c r="IW31" s="341">
        <v>222</v>
      </c>
      <c r="IX31" s="341">
        <v>60</v>
      </c>
      <c r="IY31" s="339">
        <v>81413</v>
      </c>
      <c r="IZ31" s="355">
        <f t="shared" si="393"/>
        <v>49962</v>
      </c>
      <c r="JA31" s="355">
        <f t="shared" si="394"/>
        <v>31451</v>
      </c>
      <c r="JB31" s="365">
        <f t="shared" si="395"/>
        <v>79438</v>
      </c>
      <c r="JC31" s="341">
        <v>48642</v>
      </c>
      <c r="JD31" s="341">
        <v>30796</v>
      </c>
      <c r="JE31" s="341">
        <v>1320</v>
      </c>
      <c r="JF31" s="341">
        <v>655</v>
      </c>
      <c r="JG31" s="365">
        <f t="shared" si="396"/>
        <v>179</v>
      </c>
      <c r="JH31" s="341">
        <v>137</v>
      </c>
      <c r="JI31" s="341">
        <v>42</v>
      </c>
      <c r="JJ31" s="365">
        <f t="shared" si="397"/>
        <v>763</v>
      </c>
      <c r="JK31" s="341">
        <v>546</v>
      </c>
      <c r="JL31" s="341">
        <v>217</v>
      </c>
      <c r="JM31" s="356">
        <f t="shared" si="398"/>
        <v>1033</v>
      </c>
      <c r="JN31" s="356">
        <f t="shared" si="399"/>
        <v>637</v>
      </c>
      <c r="JO31" s="356">
        <f t="shared" si="400"/>
        <v>396</v>
      </c>
      <c r="JP31" s="357">
        <f t="shared" si="401"/>
        <v>35</v>
      </c>
      <c r="JQ31" s="357">
        <f t="shared" si="402"/>
        <v>24</v>
      </c>
      <c r="JR31" s="357">
        <f t="shared" si="403"/>
        <v>11</v>
      </c>
      <c r="JS31" s="341">
        <v>998</v>
      </c>
      <c r="JT31" s="341">
        <v>613</v>
      </c>
      <c r="JU31" s="341">
        <v>385</v>
      </c>
      <c r="JV31" s="16">
        <f t="shared" si="404"/>
        <v>106135</v>
      </c>
      <c r="JW31" s="355">
        <f t="shared" si="405"/>
        <v>61367</v>
      </c>
      <c r="JX31" s="355">
        <f t="shared" si="406"/>
        <v>44768</v>
      </c>
      <c r="JY31" s="15">
        <f t="shared" si="407"/>
        <v>103516</v>
      </c>
      <c r="JZ31" s="151">
        <f t="shared" si="408"/>
        <v>102508</v>
      </c>
      <c r="KA31" s="341">
        <v>59179</v>
      </c>
      <c r="KB31" s="341">
        <v>43329</v>
      </c>
      <c r="KC31" s="341">
        <v>2188</v>
      </c>
      <c r="KD31" s="341">
        <v>1439</v>
      </c>
      <c r="KE31" s="15">
        <f t="shared" si="409"/>
        <v>274</v>
      </c>
      <c r="KF31" s="151">
        <f t="shared" si="410"/>
        <v>263</v>
      </c>
      <c r="KG31" s="341">
        <v>184</v>
      </c>
      <c r="KH31" s="341">
        <v>79</v>
      </c>
      <c r="KI31" s="15">
        <f t="shared" si="411"/>
        <v>1463</v>
      </c>
      <c r="KJ31" s="341">
        <v>824</v>
      </c>
      <c r="KK31" s="341">
        <v>639</v>
      </c>
      <c r="KL31" s="13">
        <f t="shared" si="412"/>
        <v>2345</v>
      </c>
      <c r="KM31" s="358">
        <f t="shared" si="413"/>
        <v>1180</v>
      </c>
      <c r="KN31" s="358">
        <f t="shared" si="414"/>
        <v>721</v>
      </c>
      <c r="KO31" s="359">
        <f t="shared" si="415"/>
        <v>18</v>
      </c>
      <c r="KP31" s="359">
        <f t="shared" si="416"/>
        <v>12</v>
      </c>
      <c r="KQ31" s="359">
        <f t="shared" si="417"/>
        <v>6</v>
      </c>
      <c r="KR31" s="360">
        <f t="shared" si="418"/>
        <v>1883</v>
      </c>
      <c r="KS31" s="360">
        <f t="shared" si="419"/>
        <v>1168</v>
      </c>
      <c r="KT31" s="360">
        <f t="shared" si="420"/>
        <v>715</v>
      </c>
      <c r="KU31" s="341">
        <v>311</v>
      </c>
      <c r="KV31" s="341">
        <v>213</v>
      </c>
      <c r="KW31" s="341">
        <v>857</v>
      </c>
      <c r="KX31" s="341">
        <v>502</v>
      </c>
      <c r="KY31" s="361">
        <v>170615</v>
      </c>
      <c r="KZ31" s="341">
        <v>93229</v>
      </c>
      <c r="LA31" s="341">
        <v>77386</v>
      </c>
      <c r="LB31" s="9">
        <f t="shared" si="421"/>
        <v>163033</v>
      </c>
      <c r="LC31" s="9">
        <v>89232</v>
      </c>
      <c r="LD31" s="9">
        <v>73801</v>
      </c>
      <c r="LE31" s="140">
        <f t="shared" si="422"/>
        <v>161382</v>
      </c>
      <c r="LF31" s="341">
        <v>88492</v>
      </c>
      <c r="LG31" s="341">
        <v>72890</v>
      </c>
      <c r="LH31" s="9">
        <f t="shared" si="423"/>
        <v>598</v>
      </c>
      <c r="LI31" s="341">
        <v>410</v>
      </c>
      <c r="LJ31" s="341">
        <v>188</v>
      </c>
      <c r="LK31" s="9">
        <f t="shared" si="424"/>
        <v>2946</v>
      </c>
      <c r="LL31" s="341">
        <v>1465</v>
      </c>
      <c r="LM31" s="341">
        <v>1481</v>
      </c>
      <c r="LN31" s="140">
        <f t="shared" si="425"/>
        <v>6984</v>
      </c>
      <c r="LO31" s="140">
        <f t="shared" si="426"/>
        <v>3587</v>
      </c>
      <c r="LP31" s="140">
        <f t="shared" si="427"/>
        <v>3397</v>
      </c>
      <c r="LQ31" s="349">
        <v>216693</v>
      </c>
      <c r="LR31" s="341">
        <v>206487</v>
      </c>
      <c r="LS31" s="341">
        <v>1221</v>
      </c>
      <c r="LT31" s="341">
        <v>8985</v>
      </c>
      <c r="LU31" s="9">
        <v>6074</v>
      </c>
      <c r="LV31" s="14">
        <v>225223</v>
      </c>
      <c r="LW31" s="7">
        <v>214898</v>
      </c>
      <c r="LX31" s="7">
        <v>1027</v>
      </c>
      <c r="LY31" s="7">
        <v>9298</v>
      </c>
      <c r="LZ31" s="7">
        <v>5567</v>
      </c>
      <c r="MA31" s="14">
        <v>227334</v>
      </c>
      <c r="MB31" s="7">
        <v>217160</v>
      </c>
      <c r="MC31" s="7">
        <v>954</v>
      </c>
      <c r="MD31" s="7">
        <v>9220</v>
      </c>
      <c r="ME31" s="7">
        <v>5650</v>
      </c>
      <c r="MF31" s="14">
        <v>235308</v>
      </c>
      <c r="MG31" s="7">
        <v>224136</v>
      </c>
      <c r="MH31" s="7">
        <v>771</v>
      </c>
      <c r="MI31" s="7">
        <v>10401</v>
      </c>
      <c r="MJ31" s="7">
        <v>5467</v>
      </c>
      <c r="MK31" s="14">
        <v>242560.18199999997</v>
      </c>
      <c r="ML31" s="7">
        <v>230297.61</v>
      </c>
      <c r="MM31" s="7"/>
      <c r="MN31" s="7">
        <v>6134.7960000000003</v>
      </c>
      <c r="MO31" s="7">
        <v>12262.571999999986</v>
      </c>
      <c r="MP31" s="7">
        <v>251129</v>
      </c>
      <c r="MQ31" s="7">
        <v>239519</v>
      </c>
      <c r="MR31" s="7">
        <v>1086</v>
      </c>
      <c r="MS31" s="7">
        <v>6733</v>
      </c>
      <c r="MT31" s="2">
        <v>10393</v>
      </c>
      <c r="MU31" s="2">
        <v>259668</v>
      </c>
      <c r="MV31" s="2">
        <v>240796</v>
      </c>
      <c r="MW31" s="2">
        <v>1370</v>
      </c>
      <c r="MX31" s="2">
        <v>7870</v>
      </c>
      <c r="MY31" s="2">
        <v>6720</v>
      </c>
      <c r="MZ31" s="14">
        <v>31692</v>
      </c>
      <c r="NA31" s="7">
        <v>30807</v>
      </c>
      <c r="NB31" s="7">
        <v>96</v>
      </c>
      <c r="NC31" s="7">
        <v>467</v>
      </c>
      <c r="ND31" s="7">
        <v>789</v>
      </c>
      <c r="NE31" s="14">
        <v>53714</v>
      </c>
      <c r="NF31" s="7">
        <v>51235</v>
      </c>
      <c r="NG31" s="7">
        <v>159</v>
      </c>
      <c r="NH31" s="7">
        <v>921</v>
      </c>
      <c r="NI31" s="7">
        <v>2320</v>
      </c>
      <c r="NJ31" s="14">
        <v>73309</v>
      </c>
      <c r="NK31" s="7">
        <v>69458</v>
      </c>
      <c r="NL31" s="7">
        <v>265</v>
      </c>
      <c r="NM31" s="7">
        <v>1470</v>
      </c>
      <c r="NN31" s="7">
        <v>3586</v>
      </c>
      <c r="NO31" s="14">
        <v>75923.308999999994</v>
      </c>
      <c r="NP31" s="7">
        <v>71216.53</v>
      </c>
      <c r="NQ31" s="7"/>
      <c r="NR31" s="7">
        <v>1775.8620000000001</v>
      </c>
      <c r="NS31" s="12">
        <v>4706.778999999995</v>
      </c>
      <c r="NT31" s="1">
        <v>78868</v>
      </c>
      <c r="NU31" s="2">
        <v>74588</v>
      </c>
      <c r="NV31" s="2">
        <v>461</v>
      </c>
      <c r="NW31" s="2">
        <v>1995</v>
      </c>
      <c r="NX31" s="79">
        <v>3819</v>
      </c>
      <c r="NY31" s="2">
        <v>81095</v>
      </c>
      <c r="NZ31" s="2">
        <v>74571</v>
      </c>
      <c r="OA31" s="2">
        <v>425</v>
      </c>
      <c r="OB31" s="2">
        <v>2392</v>
      </c>
      <c r="OC31" s="2">
        <v>4133</v>
      </c>
    </row>
    <row r="32" spans="1:393" ht="14.25" x14ac:dyDescent="0.2">
      <c r="A32" s="240" t="s">
        <v>33</v>
      </c>
      <c r="B32" s="281" t="s">
        <v>186</v>
      </c>
      <c r="C32" s="282" t="s">
        <v>186</v>
      </c>
      <c r="D32" s="282" t="s">
        <v>186</v>
      </c>
      <c r="E32" s="282" t="s">
        <v>186</v>
      </c>
      <c r="F32" s="283" t="s">
        <v>186</v>
      </c>
      <c r="G32" s="7">
        <v>41144</v>
      </c>
      <c r="H32" s="7">
        <v>37902</v>
      </c>
      <c r="I32" s="7">
        <v>75</v>
      </c>
      <c r="J32" s="7">
        <v>844</v>
      </c>
      <c r="K32" s="12">
        <v>3167</v>
      </c>
      <c r="L32" s="7">
        <v>25200</v>
      </c>
      <c r="M32" s="7">
        <v>22275</v>
      </c>
      <c r="N32" s="7">
        <v>23</v>
      </c>
      <c r="O32" s="7">
        <v>820</v>
      </c>
      <c r="P32" s="12">
        <v>2902</v>
      </c>
      <c r="Q32" s="9">
        <v>17581</v>
      </c>
      <c r="R32" s="9">
        <v>14978</v>
      </c>
      <c r="S32" s="9">
        <v>0</v>
      </c>
      <c r="T32" s="9">
        <v>826</v>
      </c>
      <c r="U32" s="617">
        <v>2603</v>
      </c>
      <c r="V32" s="9">
        <v>15159</v>
      </c>
      <c r="W32" s="9">
        <v>12846</v>
      </c>
      <c r="X32" s="9">
        <v>41</v>
      </c>
      <c r="Y32" s="9">
        <v>1070</v>
      </c>
      <c r="Z32" s="9">
        <v>2248</v>
      </c>
      <c r="AA32" s="9">
        <v>14449</v>
      </c>
      <c r="AB32" s="9">
        <v>11654</v>
      </c>
      <c r="AC32" s="9">
        <v>96</v>
      </c>
      <c r="AD32" s="9">
        <v>993</v>
      </c>
      <c r="AE32" s="726">
        <v>2237</v>
      </c>
      <c r="AF32" s="14">
        <v>55325</v>
      </c>
      <c r="AG32" s="7">
        <v>49963</v>
      </c>
      <c r="AH32" s="7">
        <v>113</v>
      </c>
      <c r="AI32" s="7">
        <v>977</v>
      </c>
      <c r="AJ32" s="12">
        <v>5249</v>
      </c>
      <c r="AK32" s="7">
        <v>50158</v>
      </c>
      <c r="AL32" s="7">
        <v>43976</v>
      </c>
      <c r="AM32" s="7">
        <v>77</v>
      </c>
      <c r="AN32" s="7">
        <v>1072</v>
      </c>
      <c r="AO32" s="12">
        <v>6105</v>
      </c>
      <c r="AP32" s="7">
        <v>39841</v>
      </c>
      <c r="AQ32" s="7">
        <v>33542</v>
      </c>
      <c r="AR32" s="7">
        <v>0</v>
      </c>
      <c r="AS32" s="7">
        <v>1210</v>
      </c>
      <c r="AT32" s="12">
        <v>6299</v>
      </c>
      <c r="AU32" s="7">
        <v>37553</v>
      </c>
      <c r="AV32" s="7">
        <v>31700</v>
      </c>
      <c r="AW32" s="7">
        <v>208</v>
      </c>
      <c r="AX32" s="7">
        <v>1449</v>
      </c>
      <c r="AY32" s="7">
        <v>5645</v>
      </c>
      <c r="AZ32" s="7">
        <v>36750</v>
      </c>
      <c r="BA32" s="7">
        <v>30316</v>
      </c>
      <c r="BB32" s="7">
        <v>125</v>
      </c>
      <c r="BC32" s="7">
        <v>1427</v>
      </c>
      <c r="BD32" s="63">
        <v>5615</v>
      </c>
      <c r="BE32" s="14">
        <v>55786</v>
      </c>
      <c r="BF32" s="7">
        <v>47089</v>
      </c>
      <c r="BG32" s="7"/>
      <c r="BH32" s="7">
        <v>2272</v>
      </c>
      <c r="BI32" s="313">
        <f t="shared" si="372"/>
        <v>8697</v>
      </c>
      <c r="BJ32" s="281" t="s">
        <v>186</v>
      </c>
      <c r="BK32" s="282" t="s">
        <v>186</v>
      </c>
      <c r="BL32" s="282" t="s">
        <v>186</v>
      </c>
      <c r="BM32" s="282" t="s">
        <v>186</v>
      </c>
      <c r="BN32" s="281" t="s">
        <v>186</v>
      </c>
      <c r="BO32" s="282" t="s">
        <v>186</v>
      </c>
      <c r="BP32" s="282" t="s">
        <v>186</v>
      </c>
      <c r="BQ32" s="282" t="s">
        <v>186</v>
      </c>
      <c r="BR32" s="283" t="s">
        <v>186</v>
      </c>
      <c r="BS32" s="7">
        <v>411382</v>
      </c>
      <c r="BT32" s="7">
        <v>392261</v>
      </c>
      <c r="BU32" s="7">
        <v>798</v>
      </c>
      <c r="BV32" s="7">
        <v>3604</v>
      </c>
      <c r="BW32" s="12">
        <v>18323</v>
      </c>
      <c r="BX32" s="7">
        <v>511263</v>
      </c>
      <c r="BY32" s="7">
        <v>478948</v>
      </c>
      <c r="BZ32" s="7">
        <v>1030</v>
      </c>
      <c r="CA32" s="7">
        <v>6720</v>
      </c>
      <c r="CB32" s="7">
        <v>31285</v>
      </c>
      <c r="CC32" s="214">
        <v>569070</v>
      </c>
      <c r="CD32" s="7">
        <v>529121</v>
      </c>
      <c r="CE32" s="7">
        <v>1834</v>
      </c>
      <c r="CF32" s="7">
        <v>38115</v>
      </c>
      <c r="CG32" s="7">
        <v>9413</v>
      </c>
      <c r="CH32" s="14">
        <v>579340</v>
      </c>
      <c r="CI32" s="7">
        <v>539406</v>
      </c>
      <c r="CJ32" s="7">
        <v>1670</v>
      </c>
      <c r="CK32" s="7">
        <v>38264</v>
      </c>
      <c r="CL32" s="7">
        <v>10610</v>
      </c>
      <c r="CM32" s="66">
        <v>582774</v>
      </c>
      <c r="CN32" s="64">
        <v>542212</v>
      </c>
      <c r="CO32" s="64">
        <v>1919</v>
      </c>
      <c r="CP32" s="64">
        <v>38643</v>
      </c>
      <c r="CQ32" s="64">
        <v>11105</v>
      </c>
      <c r="CR32" s="14">
        <v>606776</v>
      </c>
      <c r="CS32" s="7">
        <v>565368</v>
      </c>
      <c r="CT32" s="7">
        <v>0</v>
      </c>
      <c r="CU32" s="7">
        <v>11153</v>
      </c>
      <c r="CV32" s="7">
        <v>31239</v>
      </c>
      <c r="CW32" s="14">
        <v>617011.66800000006</v>
      </c>
      <c r="CX32" s="7">
        <v>572504.85600000003</v>
      </c>
      <c r="CY32" s="7"/>
      <c r="CZ32" s="7">
        <v>11412.456</v>
      </c>
      <c r="DA32" s="567">
        <f t="shared" si="373"/>
        <v>44506.812000000034</v>
      </c>
      <c r="DB32" s="7">
        <v>625860</v>
      </c>
      <c r="DC32" s="7">
        <v>580545</v>
      </c>
      <c r="DD32" s="7">
        <v>2108</v>
      </c>
      <c r="DE32" s="7">
        <v>12114</v>
      </c>
      <c r="DF32" s="7">
        <v>42713</v>
      </c>
      <c r="DG32" s="7">
        <v>632739</v>
      </c>
      <c r="DH32" s="7">
        <v>576411</v>
      </c>
      <c r="DI32" s="7">
        <v>2392</v>
      </c>
      <c r="DJ32" s="7">
        <v>12682</v>
      </c>
      <c r="DK32" s="7">
        <v>26340</v>
      </c>
      <c r="DL32" s="281" t="s">
        <v>186</v>
      </c>
      <c r="DM32" s="282" t="s">
        <v>186</v>
      </c>
      <c r="DN32" s="282" t="s">
        <v>186</v>
      </c>
      <c r="DO32" s="282" t="s">
        <v>186</v>
      </c>
      <c r="DP32" s="283" t="s">
        <v>186</v>
      </c>
      <c r="DQ32" s="7">
        <v>140791</v>
      </c>
      <c r="DR32" s="7">
        <v>132402</v>
      </c>
      <c r="DS32" s="7">
        <v>396</v>
      </c>
      <c r="DT32" s="7">
        <v>1261</v>
      </c>
      <c r="DU32" s="12">
        <v>7993</v>
      </c>
      <c r="DV32" s="7">
        <v>184887</v>
      </c>
      <c r="DW32" s="7">
        <v>170622</v>
      </c>
      <c r="DX32" s="7">
        <v>474</v>
      </c>
      <c r="DY32" s="7">
        <v>2673</v>
      </c>
      <c r="DZ32" s="12">
        <v>13791</v>
      </c>
      <c r="EA32" s="7">
        <v>217395</v>
      </c>
      <c r="EB32" s="7">
        <v>198816</v>
      </c>
      <c r="EC32" s="7">
        <v>0</v>
      </c>
      <c r="ED32" s="7">
        <v>4465</v>
      </c>
      <c r="EE32" s="12">
        <v>18579</v>
      </c>
      <c r="EF32" s="7">
        <v>221129.45399999997</v>
      </c>
      <c r="EG32" s="7">
        <v>201987.644</v>
      </c>
      <c r="EH32" s="7"/>
      <c r="EI32" s="7">
        <v>4789.3999999999996</v>
      </c>
      <c r="EJ32" s="12">
        <v>19141.809999999969</v>
      </c>
      <c r="EK32" s="7">
        <v>226672</v>
      </c>
      <c r="EL32" s="7">
        <v>206249</v>
      </c>
      <c r="EM32" s="7">
        <v>916</v>
      </c>
      <c r="EN32" s="7">
        <v>5161</v>
      </c>
      <c r="EO32" s="661">
        <v>19252</v>
      </c>
      <c r="EP32" s="661">
        <v>232108</v>
      </c>
      <c r="EQ32" s="661">
        <v>207534</v>
      </c>
      <c r="ER32" s="661">
        <v>1002</v>
      </c>
      <c r="ES32" s="661">
        <v>5383</v>
      </c>
      <c r="ET32" s="661">
        <v>19805</v>
      </c>
      <c r="EU32" s="14">
        <v>28555</v>
      </c>
      <c r="EV32" s="7">
        <v>26698</v>
      </c>
      <c r="EW32" s="7">
        <v>77</v>
      </c>
      <c r="EX32" s="7">
        <v>291</v>
      </c>
      <c r="EY32" s="12">
        <v>1780</v>
      </c>
      <c r="EZ32" s="7">
        <v>34420</v>
      </c>
      <c r="FA32" s="7">
        <v>30998</v>
      </c>
      <c r="FB32" s="7">
        <v>113</v>
      </c>
      <c r="FC32" s="7">
        <v>541</v>
      </c>
      <c r="FD32" s="12">
        <v>3309</v>
      </c>
      <c r="FE32" s="14">
        <v>52709</v>
      </c>
      <c r="FF32" s="7">
        <v>47672</v>
      </c>
      <c r="FG32" s="7">
        <v>0</v>
      </c>
      <c r="FH32" s="7">
        <v>1031</v>
      </c>
      <c r="FI32" s="7">
        <v>5037</v>
      </c>
      <c r="FJ32" s="14"/>
      <c r="FK32" s="7"/>
      <c r="FL32" s="7"/>
      <c r="FM32" s="7"/>
      <c r="FN32" s="12"/>
      <c r="FO32" s="7">
        <v>55523</v>
      </c>
      <c r="FP32" s="7">
        <v>50195</v>
      </c>
      <c r="FQ32" s="7">
        <v>177</v>
      </c>
      <c r="FR32" s="7">
        <v>1115</v>
      </c>
      <c r="FS32" s="7">
        <v>5120</v>
      </c>
      <c r="FT32" s="7">
        <v>57289</v>
      </c>
      <c r="FU32" s="7">
        <v>50671</v>
      </c>
      <c r="FV32" s="7">
        <v>217</v>
      </c>
      <c r="FW32" s="7">
        <v>1264</v>
      </c>
      <c r="FX32" s="7">
        <v>5297</v>
      </c>
      <c r="FY32" s="609">
        <f t="shared" si="428"/>
        <v>129076</v>
      </c>
      <c r="FZ32" s="584">
        <f t="shared" si="429"/>
        <v>124395</v>
      </c>
      <c r="GA32" s="584">
        <f t="shared" si="430"/>
        <v>258</v>
      </c>
      <c r="GB32" s="584">
        <f t="shared" si="431"/>
        <v>881</v>
      </c>
      <c r="GC32" s="584">
        <f t="shared" si="432"/>
        <v>4423</v>
      </c>
      <c r="GD32" s="609">
        <f t="shared" si="433"/>
        <v>177381</v>
      </c>
      <c r="GE32" s="584">
        <f t="shared" si="434"/>
        <v>167856</v>
      </c>
      <c r="GF32" s="584">
        <f t="shared" si="435"/>
        <v>488</v>
      </c>
      <c r="GG32" s="584">
        <f t="shared" si="436"/>
        <v>1864</v>
      </c>
      <c r="GH32" s="584">
        <f t="shared" si="437"/>
        <v>9037</v>
      </c>
      <c r="GI32" s="14">
        <v>212835</v>
      </c>
      <c r="GJ32" s="7">
        <v>200310</v>
      </c>
      <c r="GK32" s="7">
        <v>0</v>
      </c>
      <c r="GL32" s="7">
        <v>3167</v>
      </c>
      <c r="GM32" s="7">
        <v>12525</v>
      </c>
      <c r="GN32" s="605"/>
      <c r="GO32" s="9"/>
      <c r="GP32" s="9"/>
      <c r="GQ32" s="9"/>
      <c r="GR32" s="9"/>
      <c r="GS32" s="9">
        <v>250764</v>
      </c>
      <c r="GT32" s="9">
        <v>236267</v>
      </c>
      <c r="GU32" s="9">
        <v>887</v>
      </c>
      <c r="GV32" s="9">
        <v>3577</v>
      </c>
      <c r="GW32" s="617">
        <v>13449</v>
      </c>
      <c r="GX32" s="9">
        <v>781692</v>
      </c>
      <c r="GY32" s="9">
        <v>236991</v>
      </c>
      <c r="GZ32" s="9">
        <v>1001</v>
      </c>
      <c r="HA32" s="9">
        <v>3880</v>
      </c>
      <c r="HB32" s="9">
        <v>7430</v>
      </c>
      <c r="HC32" s="14">
        <v>71610</v>
      </c>
      <c r="HD32" s="7">
        <v>69605</v>
      </c>
      <c r="HE32" s="7">
        <v>164</v>
      </c>
      <c r="HF32" s="7">
        <v>365</v>
      </c>
      <c r="HG32" s="7">
        <v>1841</v>
      </c>
      <c r="HH32" s="14">
        <v>100758</v>
      </c>
      <c r="HI32" s="7">
        <v>96627</v>
      </c>
      <c r="HJ32" s="7">
        <v>202</v>
      </c>
      <c r="HK32" s="7">
        <v>916</v>
      </c>
      <c r="HL32" s="7">
        <v>3929</v>
      </c>
      <c r="HM32" s="14">
        <v>129597</v>
      </c>
      <c r="HN32" s="7">
        <v>123298</v>
      </c>
      <c r="HO32" s="7">
        <v>0</v>
      </c>
      <c r="HP32" s="7">
        <v>1804</v>
      </c>
      <c r="HQ32" s="7">
        <v>6299</v>
      </c>
      <c r="HR32" s="14">
        <v>131736.696</v>
      </c>
      <c r="HS32" s="7">
        <v>125157.988</v>
      </c>
      <c r="HT32" s="7"/>
      <c r="HU32" s="7">
        <v>1943.1279999999999</v>
      </c>
      <c r="HV32" s="7">
        <v>6578.7079999999987</v>
      </c>
      <c r="HW32" s="7">
        <v>135593</v>
      </c>
      <c r="HX32" s="7">
        <v>127425</v>
      </c>
      <c r="HY32" s="7">
        <v>502</v>
      </c>
      <c r="HZ32" s="7">
        <v>2103</v>
      </c>
      <c r="IA32" s="7">
        <v>6127</v>
      </c>
      <c r="IB32" s="281" t="s">
        <v>186</v>
      </c>
      <c r="IC32" s="282" t="s">
        <v>186</v>
      </c>
      <c r="ID32" s="339">
        <v>26851</v>
      </c>
      <c r="IE32" s="355">
        <f t="shared" si="384"/>
        <v>16303</v>
      </c>
      <c r="IF32" s="355">
        <f t="shared" si="385"/>
        <v>10548</v>
      </c>
      <c r="IG32" s="355">
        <f t="shared" si="386"/>
        <v>26690</v>
      </c>
      <c r="IH32" s="341">
        <v>16190</v>
      </c>
      <c r="II32" s="341">
        <v>10500</v>
      </c>
      <c r="IJ32" s="355">
        <f t="shared" si="387"/>
        <v>161</v>
      </c>
      <c r="IK32" s="341">
        <v>113</v>
      </c>
      <c r="IL32" s="341">
        <v>48</v>
      </c>
      <c r="IM32" s="339">
        <v>40144</v>
      </c>
      <c r="IN32" s="355">
        <f t="shared" si="388"/>
        <v>22895</v>
      </c>
      <c r="IO32" s="355">
        <f t="shared" si="389"/>
        <v>17249</v>
      </c>
      <c r="IP32" s="355">
        <f t="shared" si="390"/>
        <v>39774</v>
      </c>
      <c r="IQ32" s="341">
        <v>22652</v>
      </c>
      <c r="IR32" s="341">
        <v>17122</v>
      </c>
      <c r="IS32" s="355">
        <f t="shared" si="391"/>
        <v>64</v>
      </c>
      <c r="IT32" s="341">
        <v>44</v>
      </c>
      <c r="IU32" s="341">
        <v>20</v>
      </c>
      <c r="IV32" s="355">
        <f t="shared" si="392"/>
        <v>306</v>
      </c>
      <c r="IW32" s="341">
        <v>199</v>
      </c>
      <c r="IX32" s="341">
        <v>107</v>
      </c>
      <c r="IY32" s="339">
        <v>78747</v>
      </c>
      <c r="IZ32" s="355">
        <f t="shared" si="393"/>
        <v>44392</v>
      </c>
      <c r="JA32" s="355">
        <f t="shared" si="394"/>
        <v>34355</v>
      </c>
      <c r="JB32" s="365">
        <f t="shared" si="395"/>
        <v>76982</v>
      </c>
      <c r="JC32" s="341">
        <v>43479</v>
      </c>
      <c r="JD32" s="341">
        <v>33503</v>
      </c>
      <c r="JE32" s="341">
        <v>913</v>
      </c>
      <c r="JF32" s="341">
        <v>852</v>
      </c>
      <c r="JG32" s="365">
        <f t="shared" si="396"/>
        <v>129</v>
      </c>
      <c r="JH32" s="341">
        <v>103</v>
      </c>
      <c r="JI32" s="341">
        <v>26</v>
      </c>
      <c r="JJ32" s="365">
        <f t="shared" si="397"/>
        <v>424</v>
      </c>
      <c r="JK32" s="341">
        <v>211</v>
      </c>
      <c r="JL32" s="341">
        <v>213</v>
      </c>
      <c r="JM32" s="356">
        <f t="shared" si="398"/>
        <v>1212</v>
      </c>
      <c r="JN32" s="356">
        <f t="shared" si="399"/>
        <v>599</v>
      </c>
      <c r="JO32" s="356">
        <f t="shared" si="400"/>
        <v>613</v>
      </c>
      <c r="JP32" s="357">
        <f t="shared" si="401"/>
        <v>37</v>
      </c>
      <c r="JQ32" s="357">
        <f t="shared" si="402"/>
        <v>27</v>
      </c>
      <c r="JR32" s="357">
        <f t="shared" si="403"/>
        <v>10</v>
      </c>
      <c r="JS32" s="341">
        <v>1175</v>
      </c>
      <c r="JT32" s="341">
        <v>572</v>
      </c>
      <c r="JU32" s="341">
        <v>603</v>
      </c>
      <c r="JV32" s="16">
        <f t="shared" si="404"/>
        <v>100521</v>
      </c>
      <c r="JW32" s="355">
        <f t="shared" si="405"/>
        <v>53980</v>
      </c>
      <c r="JX32" s="355">
        <f t="shared" si="406"/>
        <v>46541</v>
      </c>
      <c r="JY32" s="15">
        <f t="shared" si="407"/>
        <v>97697</v>
      </c>
      <c r="JZ32" s="151">
        <f t="shared" si="408"/>
        <v>97277</v>
      </c>
      <c r="KA32" s="341">
        <v>52488</v>
      </c>
      <c r="KB32" s="341">
        <v>44789</v>
      </c>
      <c r="KC32" s="341">
        <v>1492</v>
      </c>
      <c r="KD32" s="341">
        <v>1752</v>
      </c>
      <c r="KE32" s="15">
        <f t="shared" si="409"/>
        <v>181</v>
      </c>
      <c r="KF32" s="151">
        <f t="shared" si="410"/>
        <v>172</v>
      </c>
      <c r="KG32" s="341">
        <v>81</v>
      </c>
      <c r="KH32" s="341">
        <v>91</v>
      </c>
      <c r="KI32" s="15">
        <f t="shared" si="411"/>
        <v>590</v>
      </c>
      <c r="KJ32" s="341">
        <v>265</v>
      </c>
      <c r="KK32" s="341">
        <v>325</v>
      </c>
      <c r="KL32" s="13">
        <f t="shared" si="412"/>
        <v>2643</v>
      </c>
      <c r="KM32" s="358">
        <f t="shared" si="413"/>
        <v>1146</v>
      </c>
      <c r="KN32" s="358">
        <f t="shared" si="414"/>
        <v>1336</v>
      </c>
      <c r="KO32" s="359">
        <f t="shared" si="415"/>
        <v>13</v>
      </c>
      <c r="KP32" s="359">
        <f t="shared" si="416"/>
        <v>13</v>
      </c>
      <c r="KQ32" s="359">
        <f t="shared" si="417"/>
        <v>0</v>
      </c>
      <c r="KR32" s="360">
        <f t="shared" si="418"/>
        <v>2469</v>
      </c>
      <c r="KS32" s="360">
        <f t="shared" si="419"/>
        <v>1133</v>
      </c>
      <c r="KT32" s="360">
        <f t="shared" si="420"/>
        <v>1336</v>
      </c>
      <c r="KU32" s="341">
        <v>780</v>
      </c>
      <c r="KV32" s="341">
        <v>993</v>
      </c>
      <c r="KW32" s="341">
        <v>353</v>
      </c>
      <c r="KX32" s="341">
        <v>343</v>
      </c>
      <c r="KY32" s="361">
        <v>142961</v>
      </c>
      <c r="KZ32" s="341">
        <v>72736</v>
      </c>
      <c r="LA32" s="341">
        <v>70225</v>
      </c>
      <c r="LB32" s="9">
        <f t="shared" si="421"/>
        <v>136858</v>
      </c>
      <c r="LC32" s="9">
        <v>69915</v>
      </c>
      <c r="LD32" s="9">
        <v>66943</v>
      </c>
      <c r="LE32" s="140">
        <f t="shared" si="422"/>
        <v>136022</v>
      </c>
      <c r="LF32" s="341">
        <v>69508</v>
      </c>
      <c r="LG32" s="341">
        <v>66514</v>
      </c>
      <c r="LH32" s="9">
        <f t="shared" si="423"/>
        <v>375</v>
      </c>
      <c r="LI32" s="341">
        <v>239</v>
      </c>
      <c r="LJ32" s="341">
        <v>136</v>
      </c>
      <c r="LK32" s="9">
        <f t="shared" si="424"/>
        <v>1323</v>
      </c>
      <c r="LL32" s="341">
        <v>617</v>
      </c>
      <c r="LM32" s="341">
        <v>706</v>
      </c>
      <c r="LN32" s="140">
        <f t="shared" si="425"/>
        <v>5728</v>
      </c>
      <c r="LO32" s="140">
        <f t="shared" si="426"/>
        <v>2582</v>
      </c>
      <c r="LP32" s="140">
        <f t="shared" si="427"/>
        <v>3146</v>
      </c>
      <c r="LQ32" s="349">
        <v>168934</v>
      </c>
      <c r="LR32" s="341">
        <v>161889</v>
      </c>
      <c r="LS32" s="341">
        <v>161889</v>
      </c>
      <c r="LT32" s="341">
        <v>6709</v>
      </c>
      <c r="LU32" s="9">
        <v>1996</v>
      </c>
      <c r="LV32" s="14">
        <v>173862</v>
      </c>
      <c r="LW32" s="7">
        <v>166734</v>
      </c>
      <c r="LX32" s="7">
        <v>441</v>
      </c>
      <c r="LY32" s="7">
        <v>6687</v>
      </c>
      <c r="LZ32" s="7">
        <v>2141</v>
      </c>
      <c r="MA32" s="14">
        <v>173992</v>
      </c>
      <c r="MB32" s="7">
        <v>166293</v>
      </c>
      <c r="MC32" s="7">
        <v>560</v>
      </c>
      <c r="MD32" s="7">
        <v>7139</v>
      </c>
      <c r="ME32" s="7">
        <v>2117</v>
      </c>
      <c r="MF32" s="14">
        <v>187212</v>
      </c>
      <c r="MG32" s="7">
        <v>178292</v>
      </c>
      <c r="MH32" s="7">
        <v>0</v>
      </c>
      <c r="MI32" s="7">
        <v>8920</v>
      </c>
      <c r="MJ32" s="7">
        <v>2451</v>
      </c>
      <c r="MK32" s="14">
        <v>190211.658</v>
      </c>
      <c r="ML32" s="7">
        <v>180921.448</v>
      </c>
      <c r="MM32" s="7"/>
      <c r="MN32" s="7">
        <v>2463.12</v>
      </c>
      <c r="MO32" s="7">
        <v>9290.2099999999919</v>
      </c>
      <c r="MP32" s="7">
        <v>195241</v>
      </c>
      <c r="MQ32" s="7">
        <v>186072</v>
      </c>
      <c r="MR32" s="7">
        <v>710</v>
      </c>
      <c r="MS32" s="7">
        <v>2462</v>
      </c>
      <c r="MT32" s="2">
        <v>8329</v>
      </c>
      <c r="MU32" s="2">
        <v>197529</v>
      </c>
      <c r="MV32" s="2">
        <v>186320</v>
      </c>
      <c r="MW32" s="2">
        <v>784</v>
      </c>
      <c r="MX32" s="2">
        <v>2616</v>
      </c>
      <c r="MY32" s="2">
        <v>4683</v>
      </c>
      <c r="MZ32" s="14">
        <v>28911</v>
      </c>
      <c r="NA32" s="7">
        <v>28092</v>
      </c>
      <c r="NB32" s="7">
        <v>17</v>
      </c>
      <c r="NC32" s="7">
        <v>225</v>
      </c>
      <c r="ND32" s="7">
        <v>802</v>
      </c>
      <c r="NE32" s="14">
        <v>42203</v>
      </c>
      <c r="NF32" s="7">
        <v>40231</v>
      </c>
      <c r="NG32" s="7">
        <v>173</v>
      </c>
      <c r="NH32" s="7">
        <v>407</v>
      </c>
      <c r="NI32" s="7">
        <v>1799</v>
      </c>
      <c r="NJ32" s="14">
        <v>57615</v>
      </c>
      <c r="NK32" s="7">
        <v>54994</v>
      </c>
      <c r="NL32" s="7">
        <v>0</v>
      </c>
      <c r="NM32" s="7">
        <v>647</v>
      </c>
      <c r="NN32" s="7">
        <v>2621</v>
      </c>
      <c r="NO32" s="14">
        <v>58474.962</v>
      </c>
      <c r="NP32" s="7">
        <v>55763.46</v>
      </c>
      <c r="NQ32" s="7"/>
      <c r="NR32" s="7">
        <v>519.99199999999996</v>
      </c>
      <c r="NS32" s="12">
        <v>2711.5020000000004</v>
      </c>
      <c r="NT32" s="1">
        <v>60127</v>
      </c>
      <c r="NU32" s="2">
        <v>57644</v>
      </c>
      <c r="NV32" s="2">
        <v>165</v>
      </c>
      <c r="NW32" s="2">
        <v>448</v>
      </c>
      <c r="NX32" s="79">
        <v>2308</v>
      </c>
      <c r="NY32" s="2">
        <v>61936</v>
      </c>
      <c r="NZ32" s="2">
        <v>58895</v>
      </c>
      <c r="OA32" s="2">
        <v>282</v>
      </c>
      <c r="OB32" s="2">
        <v>513</v>
      </c>
      <c r="OC32" s="2">
        <v>2395</v>
      </c>
    </row>
    <row r="33" spans="1:393" ht="14.25" x14ac:dyDescent="0.2">
      <c r="A33" s="240" t="s">
        <v>35</v>
      </c>
      <c r="B33" s="281" t="s">
        <v>186</v>
      </c>
      <c r="C33" s="282" t="s">
        <v>186</v>
      </c>
      <c r="D33" s="282" t="s">
        <v>186</v>
      </c>
      <c r="E33" s="282" t="s">
        <v>186</v>
      </c>
      <c r="F33" s="283" t="s">
        <v>186</v>
      </c>
      <c r="G33" s="7">
        <v>47771</v>
      </c>
      <c r="H33" s="7">
        <v>31814</v>
      </c>
      <c r="I33" s="7">
        <v>3215</v>
      </c>
      <c r="J33" s="7">
        <v>15806</v>
      </c>
      <c r="K33" s="12">
        <v>12742</v>
      </c>
      <c r="L33" s="7">
        <v>84237</v>
      </c>
      <c r="M33" s="7">
        <v>46432</v>
      </c>
      <c r="N33" s="7">
        <v>3129</v>
      </c>
      <c r="O33" s="7"/>
      <c r="P33" s="12"/>
      <c r="Q33" s="9">
        <v>113022</v>
      </c>
      <c r="R33" s="9">
        <v>82251</v>
      </c>
      <c r="S33" s="9">
        <v>4446</v>
      </c>
      <c r="T33" s="9">
        <v>81689</v>
      </c>
      <c r="U33" s="617">
        <v>26325</v>
      </c>
      <c r="V33" s="9">
        <v>113005</v>
      </c>
      <c r="W33" s="9">
        <v>72628</v>
      </c>
      <c r="X33" s="9">
        <v>3488</v>
      </c>
      <c r="Y33" s="9">
        <v>82930</v>
      </c>
      <c r="Z33" s="9">
        <v>36889</v>
      </c>
      <c r="AA33" s="9">
        <v>113074</v>
      </c>
      <c r="AB33" s="9">
        <v>16522</v>
      </c>
      <c r="AC33" s="9">
        <v>3708</v>
      </c>
      <c r="AD33" s="9">
        <v>82217</v>
      </c>
      <c r="AE33" s="726">
        <v>42070</v>
      </c>
      <c r="AF33" s="14">
        <v>119857</v>
      </c>
      <c r="AG33" s="7">
        <v>99007</v>
      </c>
      <c r="AH33" s="7">
        <v>9284</v>
      </c>
      <c r="AI33" s="7">
        <v>13131</v>
      </c>
      <c r="AJ33" s="12">
        <v>11566</v>
      </c>
      <c r="AK33" s="7">
        <v>169137</v>
      </c>
      <c r="AL33" s="7">
        <v>120333</v>
      </c>
      <c r="AM33" s="7">
        <v>13497</v>
      </c>
      <c r="AN33" s="7"/>
      <c r="AO33" s="12"/>
      <c r="AP33" s="7">
        <v>166692</v>
      </c>
      <c r="AQ33" s="7">
        <v>126972</v>
      </c>
      <c r="AR33" s="7">
        <v>12526</v>
      </c>
      <c r="AS33" s="7">
        <v>71831</v>
      </c>
      <c r="AT33" s="12">
        <v>27194</v>
      </c>
      <c r="AU33" s="7">
        <v>167655</v>
      </c>
      <c r="AV33" s="7">
        <v>116635</v>
      </c>
      <c r="AW33" s="7">
        <v>13624</v>
      </c>
      <c r="AX33" s="7">
        <v>72693</v>
      </c>
      <c r="AY33" s="7">
        <v>37396</v>
      </c>
      <c r="AZ33" s="7">
        <v>169128</v>
      </c>
      <c r="BA33" s="7">
        <v>66551</v>
      </c>
      <c r="BB33" s="7">
        <v>15196</v>
      </c>
      <c r="BC33" s="7">
        <v>73530</v>
      </c>
      <c r="BD33" s="63">
        <v>43191</v>
      </c>
      <c r="BE33" s="14">
        <v>281123</v>
      </c>
      <c r="BF33" s="7">
        <v>199587</v>
      </c>
      <c r="BG33" s="7">
        <v>17005</v>
      </c>
      <c r="BH33" s="7">
        <v>157285</v>
      </c>
      <c r="BI33" s="313">
        <f t="shared" si="372"/>
        <v>64531</v>
      </c>
      <c r="BJ33" s="281" t="s">
        <v>186</v>
      </c>
      <c r="BK33" s="282" t="s">
        <v>186</v>
      </c>
      <c r="BL33" s="282" t="s">
        <v>186</v>
      </c>
      <c r="BM33" s="282" t="s">
        <v>186</v>
      </c>
      <c r="BN33" s="281" t="s">
        <v>186</v>
      </c>
      <c r="BO33" s="282" t="s">
        <v>186</v>
      </c>
      <c r="BP33" s="282" t="s">
        <v>186</v>
      </c>
      <c r="BQ33" s="282" t="s">
        <v>186</v>
      </c>
      <c r="BR33" s="283" t="s">
        <v>186</v>
      </c>
      <c r="BS33" s="7">
        <v>622010</v>
      </c>
      <c r="BT33" s="7">
        <v>553259</v>
      </c>
      <c r="BU33" s="7">
        <v>30318</v>
      </c>
      <c r="BV33" s="7">
        <v>33570</v>
      </c>
      <c r="BW33" s="12">
        <v>38433</v>
      </c>
      <c r="BX33" s="7">
        <v>1056802</v>
      </c>
      <c r="BY33" s="7">
        <v>867072</v>
      </c>
      <c r="BZ33" s="7">
        <v>62300</v>
      </c>
      <c r="CA33" s="7"/>
      <c r="CB33" s="7">
        <v>0</v>
      </c>
      <c r="CC33" s="214">
        <v>1368020</v>
      </c>
      <c r="CD33" s="7">
        <v>1081267</v>
      </c>
      <c r="CE33" s="7">
        <v>93581</v>
      </c>
      <c r="CF33" s="7">
        <v>193172</v>
      </c>
      <c r="CG33" s="7">
        <v>176461</v>
      </c>
      <c r="CH33" s="14">
        <v>1403282</v>
      </c>
      <c r="CI33" s="7">
        <v>1105755</v>
      </c>
      <c r="CJ33" s="7">
        <v>97454</v>
      </c>
      <c r="CK33" s="7">
        <v>200073</v>
      </c>
      <c r="CL33" s="7">
        <v>188105</v>
      </c>
      <c r="CM33" s="66">
        <v>1425076</v>
      </c>
      <c r="CN33" s="64">
        <v>1119949</v>
      </c>
      <c r="CO33" s="64">
        <v>100947</v>
      </c>
      <c r="CP33" s="64">
        <v>204180</v>
      </c>
      <c r="CQ33" s="64">
        <v>194987</v>
      </c>
      <c r="CR33" s="14">
        <v>1489012</v>
      </c>
      <c r="CS33" s="7">
        <v>1151601</v>
      </c>
      <c r="CT33" s="7">
        <v>113585</v>
      </c>
      <c r="CU33" s="7">
        <v>207348</v>
      </c>
      <c r="CV33" s="7">
        <v>189011</v>
      </c>
      <c r="CW33" s="14">
        <v>1509470.7419999999</v>
      </c>
      <c r="CX33" s="7">
        <v>1158149.6609999998</v>
      </c>
      <c r="CY33" s="7">
        <v>118087.375</v>
      </c>
      <c r="CZ33" s="7">
        <v>215055.40099999998</v>
      </c>
      <c r="DA33" s="567">
        <f t="shared" si="373"/>
        <v>233233.70600000001</v>
      </c>
      <c r="DB33" s="7">
        <v>1532417</v>
      </c>
      <c r="DC33" s="7">
        <v>1161113</v>
      </c>
      <c r="DD33" s="7">
        <v>120270</v>
      </c>
      <c r="DE33" s="7">
        <v>227984</v>
      </c>
      <c r="DF33" s="7">
        <v>251034</v>
      </c>
      <c r="DG33" s="7">
        <v>1558403</v>
      </c>
      <c r="DH33" s="7">
        <v>1010876</v>
      </c>
      <c r="DI33" s="7">
        <v>123829</v>
      </c>
      <c r="DJ33" s="7">
        <v>240079</v>
      </c>
      <c r="DK33" s="7">
        <v>143980</v>
      </c>
      <c r="DL33" s="281" t="s">
        <v>186</v>
      </c>
      <c r="DM33" s="282" t="s">
        <v>186</v>
      </c>
      <c r="DN33" s="282" t="s">
        <v>186</v>
      </c>
      <c r="DO33" s="282" t="s">
        <v>186</v>
      </c>
      <c r="DP33" s="283" t="s">
        <v>186</v>
      </c>
      <c r="DQ33" s="7">
        <v>252402</v>
      </c>
      <c r="DR33" s="7">
        <v>224324</v>
      </c>
      <c r="DS33" s="7">
        <v>13321</v>
      </c>
      <c r="DT33" s="7">
        <v>13715</v>
      </c>
      <c r="DU33" s="12">
        <v>14757</v>
      </c>
      <c r="DV33" s="7">
        <v>434657</v>
      </c>
      <c r="DW33" s="7">
        <v>358006</v>
      </c>
      <c r="DX33" s="7">
        <v>28110</v>
      </c>
      <c r="DY33" s="7"/>
      <c r="DZ33" s="12">
        <v>0</v>
      </c>
      <c r="EA33" s="7">
        <v>590300</v>
      </c>
      <c r="EB33" s="7">
        <v>455948</v>
      </c>
      <c r="EC33" s="7">
        <v>49844</v>
      </c>
      <c r="ED33" s="7">
        <v>75412</v>
      </c>
      <c r="EE33" s="12">
        <v>84508</v>
      </c>
      <c r="EF33" s="7">
        <v>590896.02</v>
      </c>
      <c r="EG33" s="7">
        <v>454841.89500000002</v>
      </c>
      <c r="EH33" s="7">
        <v>50338.961000000003</v>
      </c>
      <c r="EI33" s="7">
        <v>78642.443000000014</v>
      </c>
      <c r="EJ33" s="12">
        <v>85715.16399999999</v>
      </c>
      <c r="EK33" s="7">
        <v>600787</v>
      </c>
      <c r="EL33" s="7">
        <v>456026</v>
      </c>
      <c r="EM33" s="7">
        <v>50896</v>
      </c>
      <c r="EN33" s="7">
        <v>82473</v>
      </c>
      <c r="EO33" s="661">
        <v>93865</v>
      </c>
      <c r="EP33" s="661">
        <v>615663</v>
      </c>
      <c r="EQ33" s="661">
        <v>405501</v>
      </c>
      <c r="ER33" s="661">
        <v>53943</v>
      </c>
      <c r="ES33" s="661">
        <v>86527</v>
      </c>
      <c r="ET33" s="661">
        <v>99496</v>
      </c>
      <c r="EU33" s="14">
        <v>48803</v>
      </c>
      <c r="EV33" s="7">
        <v>43007</v>
      </c>
      <c r="EW33" s="7">
        <v>2480</v>
      </c>
      <c r="EX33" s="7">
        <v>2822</v>
      </c>
      <c r="EY33" s="12">
        <v>3316</v>
      </c>
      <c r="EZ33" s="7">
        <v>80860</v>
      </c>
      <c r="FA33" s="7">
        <v>66154</v>
      </c>
      <c r="FB33" s="7">
        <v>4793</v>
      </c>
      <c r="FC33" s="7"/>
      <c r="FD33" s="12"/>
      <c r="FE33" s="14">
        <v>128162</v>
      </c>
      <c r="FF33" s="7">
        <v>95791</v>
      </c>
      <c r="FG33" s="7">
        <v>10315</v>
      </c>
      <c r="FH33" s="7">
        <v>15375</v>
      </c>
      <c r="FI33" s="7">
        <v>22056</v>
      </c>
      <c r="FJ33" s="14"/>
      <c r="FK33" s="7"/>
      <c r="FL33" s="7"/>
      <c r="FM33" s="7"/>
      <c r="FN33" s="12"/>
      <c r="FO33" s="7">
        <v>131570</v>
      </c>
      <c r="FP33" s="7">
        <v>98165</v>
      </c>
      <c r="FQ33" s="7">
        <v>11375</v>
      </c>
      <c r="FR33" s="7">
        <v>16531</v>
      </c>
      <c r="FS33" s="7">
        <v>22030</v>
      </c>
      <c r="FT33" s="7">
        <v>140018</v>
      </c>
      <c r="FU33" s="7">
        <v>91768</v>
      </c>
      <c r="FV33" s="7">
        <v>12355</v>
      </c>
      <c r="FW33" s="7">
        <v>18043</v>
      </c>
      <c r="FX33" s="7">
        <v>24285</v>
      </c>
      <c r="FY33" s="609">
        <f t="shared" si="428"/>
        <v>169443</v>
      </c>
      <c r="FZ33" s="584">
        <f t="shared" si="429"/>
        <v>152044</v>
      </c>
      <c r="GA33" s="584">
        <f t="shared" si="430"/>
        <v>6321</v>
      </c>
      <c r="GB33" s="584">
        <f t="shared" si="431"/>
        <v>7221</v>
      </c>
      <c r="GC33" s="584">
        <f t="shared" si="432"/>
        <v>11078</v>
      </c>
      <c r="GD33" s="609">
        <f t="shared" si="433"/>
        <v>318735</v>
      </c>
      <c r="GE33" s="584">
        <f t="shared" si="434"/>
        <v>265982</v>
      </c>
      <c r="GF33" s="584">
        <f t="shared" si="435"/>
        <v>14279</v>
      </c>
      <c r="GG33" s="584">
        <f t="shared" si="436"/>
        <v>0</v>
      </c>
      <c r="GH33" s="584">
        <f t="shared" si="437"/>
        <v>0</v>
      </c>
      <c r="GI33" s="14">
        <v>454704</v>
      </c>
      <c r="GJ33" s="7">
        <v>344497</v>
      </c>
      <c r="GK33" s="7">
        <v>27521</v>
      </c>
      <c r="GL33" s="7">
        <v>41167</v>
      </c>
      <c r="GM33" s="7">
        <v>82686</v>
      </c>
      <c r="GN33" s="605"/>
      <c r="GO33" s="9"/>
      <c r="GP33" s="9"/>
      <c r="GQ33" s="9"/>
      <c r="GR33" s="9"/>
      <c r="GS33" s="9">
        <v>533999</v>
      </c>
      <c r="GT33" s="9">
        <v>406465</v>
      </c>
      <c r="GU33" s="9">
        <v>33699</v>
      </c>
      <c r="GV33" s="9">
        <v>48933</v>
      </c>
      <c r="GW33" s="617">
        <v>93835</v>
      </c>
      <c r="GX33" s="9">
        <v>1847261</v>
      </c>
      <c r="GY33" s="9">
        <v>383410</v>
      </c>
      <c r="GZ33" s="9">
        <v>36171</v>
      </c>
      <c r="HA33" s="9">
        <v>51894</v>
      </c>
      <c r="HB33" s="9">
        <v>50257</v>
      </c>
      <c r="HC33" s="14">
        <v>79693</v>
      </c>
      <c r="HD33" s="7">
        <v>71722</v>
      </c>
      <c r="HE33" s="7">
        <v>2417</v>
      </c>
      <c r="HF33" s="7">
        <v>3088</v>
      </c>
      <c r="HG33" s="7">
        <v>5554</v>
      </c>
      <c r="HH33" s="14">
        <v>158078</v>
      </c>
      <c r="HI33" s="7">
        <v>131490</v>
      </c>
      <c r="HJ33" s="7">
        <v>5958</v>
      </c>
      <c r="HK33" s="7"/>
      <c r="HL33" s="7"/>
      <c r="HM33" s="14">
        <v>257994</v>
      </c>
      <c r="HN33" s="7">
        <v>192670</v>
      </c>
      <c r="HO33" s="7">
        <v>13738</v>
      </c>
      <c r="HP33" s="7">
        <v>21712</v>
      </c>
      <c r="HQ33" s="7">
        <v>51586</v>
      </c>
      <c r="HR33" s="14">
        <v>261426.72399999999</v>
      </c>
      <c r="HS33" s="7">
        <v>195514.12800000003</v>
      </c>
      <c r="HT33" s="7">
        <v>14575.356000000002</v>
      </c>
      <c r="HU33" s="7">
        <v>21617.353999999999</v>
      </c>
      <c r="HV33" s="7">
        <v>51337.239999999962</v>
      </c>
      <c r="HW33" s="7">
        <v>275155</v>
      </c>
      <c r="HX33" s="7">
        <v>186911</v>
      </c>
      <c r="HY33" s="7">
        <v>16015</v>
      </c>
      <c r="HZ33" s="7">
        <v>24685</v>
      </c>
      <c r="IA33" s="7">
        <v>54068</v>
      </c>
      <c r="IB33" s="281" t="s">
        <v>186</v>
      </c>
      <c r="IC33" s="282" t="s">
        <v>186</v>
      </c>
      <c r="ID33" s="339">
        <v>13324</v>
      </c>
      <c r="IE33" s="355">
        <f t="shared" si="384"/>
        <v>8176</v>
      </c>
      <c r="IF33" s="355">
        <f t="shared" si="385"/>
        <v>5148</v>
      </c>
      <c r="IG33" s="355">
        <f t="shared" si="386"/>
        <v>13083</v>
      </c>
      <c r="IH33" s="341">
        <v>8036</v>
      </c>
      <c r="II33" s="341">
        <v>5047</v>
      </c>
      <c r="IJ33" s="355">
        <f t="shared" si="387"/>
        <v>241</v>
      </c>
      <c r="IK33" s="341">
        <v>140</v>
      </c>
      <c r="IL33" s="341">
        <v>101</v>
      </c>
      <c r="IM33" s="339">
        <v>29048</v>
      </c>
      <c r="IN33" s="355">
        <f t="shared" si="388"/>
        <v>17949</v>
      </c>
      <c r="IO33" s="355">
        <f t="shared" si="389"/>
        <v>11099</v>
      </c>
      <c r="IP33" s="355">
        <f t="shared" si="390"/>
        <v>27820</v>
      </c>
      <c r="IQ33" s="341">
        <v>17182</v>
      </c>
      <c r="IR33" s="341">
        <v>10638</v>
      </c>
      <c r="IS33" s="355">
        <f t="shared" si="391"/>
        <v>412</v>
      </c>
      <c r="IT33" s="341">
        <v>218</v>
      </c>
      <c r="IU33" s="341">
        <v>194</v>
      </c>
      <c r="IV33" s="355">
        <f t="shared" si="392"/>
        <v>816</v>
      </c>
      <c r="IW33" s="341">
        <v>549</v>
      </c>
      <c r="IX33" s="341">
        <v>267</v>
      </c>
      <c r="IY33" s="339">
        <v>69247</v>
      </c>
      <c r="IZ33" s="355">
        <f t="shared" si="393"/>
        <v>43439</v>
      </c>
      <c r="JA33" s="355">
        <f t="shared" si="394"/>
        <v>25808</v>
      </c>
      <c r="JB33" s="365">
        <f t="shared" si="395"/>
        <v>63059</v>
      </c>
      <c r="JC33" s="341">
        <v>39861</v>
      </c>
      <c r="JD33" s="341">
        <v>23198</v>
      </c>
      <c r="JE33" s="341">
        <v>3578</v>
      </c>
      <c r="JF33" s="341">
        <v>2610</v>
      </c>
      <c r="JG33" s="365">
        <f t="shared" si="396"/>
        <v>1827</v>
      </c>
      <c r="JH33" s="341">
        <v>1048</v>
      </c>
      <c r="JI33" s="341">
        <v>779</v>
      </c>
      <c r="JJ33" s="365">
        <f t="shared" si="397"/>
        <v>1889</v>
      </c>
      <c r="JK33" s="341">
        <v>1148</v>
      </c>
      <c r="JL33" s="341">
        <v>741</v>
      </c>
      <c r="JM33" s="356">
        <f t="shared" si="398"/>
        <v>2472</v>
      </c>
      <c r="JN33" s="356">
        <f t="shared" si="399"/>
        <v>1382</v>
      </c>
      <c r="JO33" s="356">
        <f t="shared" si="400"/>
        <v>1090</v>
      </c>
      <c r="JP33" s="357">
        <f t="shared" si="401"/>
        <v>55</v>
      </c>
      <c r="JQ33" s="357">
        <f t="shared" si="402"/>
        <v>48</v>
      </c>
      <c r="JR33" s="357">
        <f t="shared" si="403"/>
        <v>7</v>
      </c>
      <c r="JS33" s="341">
        <v>2417</v>
      </c>
      <c r="JT33" s="341">
        <v>1334</v>
      </c>
      <c r="JU33" s="341">
        <v>1083</v>
      </c>
      <c r="JV33" s="16">
        <f t="shared" si="404"/>
        <v>120640</v>
      </c>
      <c r="JW33" s="355">
        <f t="shared" si="405"/>
        <v>70938</v>
      </c>
      <c r="JX33" s="355">
        <f t="shared" si="406"/>
        <v>49702</v>
      </c>
      <c r="JY33" s="15">
        <f t="shared" si="407"/>
        <v>109037</v>
      </c>
      <c r="JZ33" s="151">
        <f t="shared" si="408"/>
        <v>106196</v>
      </c>
      <c r="KA33" s="341">
        <v>63464</v>
      </c>
      <c r="KB33" s="341">
        <v>42732</v>
      </c>
      <c r="KC33" s="341">
        <v>7474</v>
      </c>
      <c r="KD33" s="341">
        <v>6970</v>
      </c>
      <c r="KE33" s="15">
        <f t="shared" si="409"/>
        <v>3841</v>
      </c>
      <c r="KF33" s="151">
        <f t="shared" si="410"/>
        <v>3824</v>
      </c>
      <c r="KG33" s="341">
        <v>1819</v>
      </c>
      <c r="KH33" s="341">
        <v>2005</v>
      </c>
      <c r="KI33" s="15">
        <f t="shared" si="411"/>
        <v>4399</v>
      </c>
      <c r="KJ33" s="341">
        <v>2527</v>
      </c>
      <c r="KK33" s="341">
        <v>1872</v>
      </c>
      <c r="KL33" s="13">
        <f t="shared" si="412"/>
        <v>7762</v>
      </c>
      <c r="KM33" s="358">
        <f t="shared" si="413"/>
        <v>3128</v>
      </c>
      <c r="KN33" s="358">
        <f t="shared" si="414"/>
        <v>3093</v>
      </c>
      <c r="KO33" s="359">
        <f t="shared" si="415"/>
        <v>80</v>
      </c>
      <c r="KP33" s="359">
        <f t="shared" si="416"/>
        <v>56</v>
      </c>
      <c r="KQ33" s="359">
        <f t="shared" si="417"/>
        <v>24</v>
      </c>
      <c r="KR33" s="360">
        <f t="shared" si="418"/>
        <v>6141</v>
      </c>
      <c r="KS33" s="360">
        <f t="shared" si="419"/>
        <v>3072</v>
      </c>
      <c r="KT33" s="360">
        <f t="shared" si="420"/>
        <v>3069</v>
      </c>
      <c r="KU33" s="341">
        <v>471</v>
      </c>
      <c r="KV33" s="341">
        <v>418</v>
      </c>
      <c r="KW33" s="341">
        <v>2601</v>
      </c>
      <c r="KX33" s="341">
        <v>2651</v>
      </c>
      <c r="KY33" s="361">
        <v>237875</v>
      </c>
      <c r="KZ33" s="341">
        <v>129642</v>
      </c>
      <c r="LA33" s="341">
        <v>108233</v>
      </c>
      <c r="LB33" s="9">
        <f t="shared" si="421"/>
        <v>199828</v>
      </c>
      <c r="LC33" s="9">
        <v>111516</v>
      </c>
      <c r="LD33" s="9">
        <v>88312</v>
      </c>
      <c r="LE33" s="140">
        <f t="shared" si="422"/>
        <v>192165</v>
      </c>
      <c r="LF33" s="341">
        <v>107736</v>
      </c>
      <c r="LG33" s="341">
        <v>84429</v>
      </c>
      <c r="LH33" s="9">
        <f t="shared" si="423"/>
        <v>9486</v>
      </c>
      <c r="LI33" s="341">
        <v>4444</v>
      </c>
      <c r="LJ33" s="341">
        <v>5042</v>
      </c>
      <c r="LK33" s="9">
        <f t="shared" si="424"/>
        <v>12486</v>
      </c>
      <c r="LL33" s="341">
        <v>6123</v>
      </c>
      <c r="LM33" s="341">
        <v>6363</v>
      </c>
      <c r="LN33" s="140">
        <f t="shared" si="425"/>
        <v>28561</v>
      </c>
      <c r="LO33" s="140">
        <f t="shared" si="426"/>
        <v>13682</v>
      </c>
      <c r="LP33" s="140">
        <f t="shared" si="427"/>
        <v>14879</v>
      </c>
      <c r="LQ33" s="349">
        <v>343078</v>
      </c>
      <c r="LR33" s="341">
        <v>274257</v>
      </c>
      <c r="LS33" s="341">
        <v>274257</v>
      </c>
      <c r="LT33" s="341">
        <v>53030</v>
      </c>
      <c r="LU33" s="9">
        <v>24911</v>
      </c>
      <c r="LV33" s="14">
        <v>359059</v>
      </c>
      <c r="LW33" s="7">
        <v>284040</v>
      </c>
      <c r="LX33" s="7">
        <v>17196</v>
      </c>
      <c r="LY33" s="7">
        <v>57823</v>
      </c>
      <c r="LZ33" s="7">
        <v>27720</v>
      </c>
      <c r="MA33" s="14">
        <v>370276</v>
      </c>
      <c r="MB33" s="7">
        <v>289113</v>
      </c>
      <c r="MC33" s="7">
        <v>19005</v>
      </c>
      <c r="MD33" s="7">
        <v>62158</v>
      </c>
      <c r="ME33" s="7">
        <v>28803</v>
      </c>
      <c r="MF33" s="14">
        <v>386724</v>
      </c>
      <c r="MG33" s="7">
        <v>295958</v>
      </c>
      <c r="MH33" s="7">
        <v>21416</v>
      </c>
      <c r="MI33" s="7">
        <v>69350</v>
      </c>
      <c r="MJ33" s="7">
        <v>30017</v>
      </c>
      <c r="MK33" s="14">
        <v>395721.27399999998</v>
      </c>
      <c r="ML33" s="7">
        <v>304133.08800000005</v>
      </c>
      <c r="MM33" s="7">
        <v>22402.862000000001</v>
      </c>
      <c r="MN33" s="7">
        <v>30189.752999999997</v>
      </c>
      <c r="MO33" s="7">
        <v>69185.323999999935</v>
      </c>
      <c r="MP33" s="7">
        <v>402429</v>
      </c>
      <c r="MQ33" s="7">
        <v>308300</v>
      </c>
      <c r="MR33" s="7">
        <v>22324</v>
      </c>
      <c r="MS33" s="7">
        <v>32402</v>
      </c>
      <c r="MT33" s="2">
        <v>71805</v>
      </c>
      <c r="MU33" s="2">
        <v>413938</v>
      </c>
      <c r="MV33" s="2">
        <v>291642</v>
      </c>
      <c r="MW33" s="2">
        <v>23816</v>
      </c>
      <c r="MX33" s="2">
        <v>33851</v>
      </c>
      <c r="MY33" s="2">
        <v>37827</v>
      </c>
      <c r="MZ33" s="14">
        <v>40947</v>
      </c>
      <c r="NA33" s="7">
        <v>37315</v>
      </c>
      <c r="NB33" s="7">
        <v>1424</v>
      </c>
      <c r="NC33" s="7">
        <v>1311</v>
      </c>
      <c r="ND33" s="7">
        <v>2208</v>
      </c>
      <c r="NE33" s="14">
        <v>79797</v>
      </c>
      <c r="NF33" s="7">
        <v>68338</v>
      </c>
      <c r="NG33" s="7">
        <v>3528</v>
      </c>
      <c r="NH33" s="7"/>
      <c r="NI33" s="7"/>
      <c r="NJ33" s="14">
        <v>128730</v>
      </c>
      <c r="NK33" s="7">
        <v>103288</v>
      </c>
      <c r="NL33" s="7">
        <v>7678</v>
      </c>
      <c r="NM33" s="7">
        <v>8305</v>
      </c>
      <c r="NN33" s="7">
        <v>17764</v>
      </c>
      <c r="NO33" s="14">
        <v>134294.54999999999</v>
      </c>
      <c r="NP33" s="7">
        <v>108618.96</v>
      </c>
      <c r="NQ33" s="7">
        <v>7827.5059999999994</v>
      </c>
      <c r="NR33" s="7">
        <v>8572.3989999999994</v>
      </c>
      <c r="NS33" s="12">
        <v>17848.083999999981</v>
      </c>
      <c r="NT33" s="1">
        <v>135761</v>
      </c>
      <c r="NU33" s="2">
        <v>108556</v>
      </c>
      <c r="NV33" s="2">
        <v>7498</v>
      </c>
      <c r="NW33" s="2">
        <v>9162</v>
      </c>
      <c r="NX33" s="79">
        <v>19707</v>
      </c>
      <c r="NY33" s="2">
        <v>138783</v>
      </c>
      <c r="NZ33" s="2">
        <v>104731</v>
      </c>
      <c r="OA33" s="2">
        <v>7801</v>
      </c>
      <c r="OB33" s="2">
        <v>9166</v>
      </c>
      <c r="OC33" s="2">
        <v>19710</v>
      </c>
    </row>
    <row r="34" spans="1:393" ht="14.25" x14ac:dyDescent="0.2">
      <c r="A34" s="240" t="s">
        <v>38</v>
      </c>
      <c r="B34" s="281" t="s">
        <v>186</v>
      </c>
      <c r="C34" s="282" t="s">
        <v>186</v>
      </c>
      <c r="D34" s="282" t="s">
        <v>186</v>
      </c>
      <c r="E34" s="282" t="s">
        <v>186</v>
      </c>
      <c r="F34" s="283" t="s">
        <v>186</v>
      </c>
      <c r="G34" s="7">
        <v>105362</v>
      </c>
      <c r="H34" s="7">
        <v>69024</v>
      </c>
      <c r="I34" s="7">
        <v>1364</v>
      </c>
      <c r="J34" s="7">
        <v>67226</v>
      </c>
      <c r="K34" s="12">
        <v>34974</v>
      </c>
      <c r="L34" s="7">
        <v>104985</v>
      </c>
      <c r="M34" s="7">
        <v>55092</v>
      </c>
      <c r="N34" s="7">
        <v>1196</v>
      </c>
      <c r="O34" s="7">
        <v>76963</v>
      </c>
      <c r="P34" s="12">
        <v>48697</v>
      </c>
      <c r="Q34" s="9">
        <v>100278</v>
      </c>
      <c r="R34" s="9">
        <v>68978</v>
      </c>
      <c r="S34" s="9">
        <v>553</v>
      </c>
      <c r="T34" s="9">
        <v>79070</v>
      </c>
      <c r="U34" s="617">
        <v>30747</v>
      </c>
      <c r="V34" s="9">
        <v>97898</v>
      </c>
      <c r="W34" s="9">
        <v>64342</v>
      </c>
      <c r="X34" s="9">
        <v>942</v>
      </c>
      <c r="Y34" s="9">
        <v>78705</v>
      </c>
      <c r="Z34" s="9">
        <v>32586</v>
      </c>
      <c r="AA34" s="9">
        <v>98194</v>
      </c>
      <c r="AB34" s="9">
        <v>9772</v>
      </c>
      <c r="AC34" s="9">
        <v>831</v>
      </c>
      <c r="AD34" s="9">
        <v>77644</v>
      </c>
      <c r="AE34" s="726">
        <v>32120</v>
      </c>
      <c r="AF34" s="14">
        <v>124612</v>
      </c>
      <c r="AG34" s="7">
        <v>88247</v>
      </c>
      <c r="AH34" s="7">
        <v>2725</v>
      </c>
      <c r="AI34" s="7">
        <v>57957</v>
      </c>
      <c r="AJ34" s="12">
        <v>33640</v>
      </c>
      <c r="AK34" s="7">
        <v>134996</v>
      </c>
      <c r="AL34" s="7">
        <v>81637</v>
      </c>
      <c r="AM34" s="7">
        <v>2783</v>
      </c>
      <c r="AN34" s="7">
        <v>72986</v>
      </c>
      <c r="AO34" s="12">
        <v>50576</v>
      </c>
      <c r="AP34" s="7">
        <v>123127</v>
      </c>
      <c r="AQ34" s="7">
        <v>80225</v>
      </c>
      <c r="AR34" s="7">
        <v>2429</v>
      </c>
      <c r="AS34" s="7">
        <v>74941</v>
      </c>
      <c r="AT34" s="12">
        <v>40473</v>
      </c>
      <c r="AU34" s="7">
        <v>122810</v>
      </c>
      <c r="AV34" s="7">
        <v>78362</v>
      </c>
      <c r="AW34" s="7">
        <v>2135</v>
      </c>
      <c r="AX34" s="7">
        <v>76455</v>
      </c>
      <c r="AY34" s="7">
        <v>42262</v>
      </c>
      <c r="AZ34" s="7">
        <v>121258</v>
      </c>
      <c r="BA34" s="7">
        <v>27408</v>
      </c>
      <c r="BB34" s="7">
        <v>2006</v>
      </c>
      <c r="BC34" s="7">
        <v>76231</v>
      </c>
      <c r="BD34" s="63">
        <v>40341</v>
      </c>
      <c r="BE34" s="14">
        <v>224640</v>
      </c>
      <c r="BF34" s="7">
        <v>147195</v>
      </c>
      <c r="BG34" s="7">
        <v>3123</v>
      </c>
      <c r="BH34" s="7">
        <v>157814</v>
      </c>
      <c r="BI34" s="313">
        <f t="shared" si="372"/>
        <v>74322</v>
      </c>
      <c r="BJ34" s="281" t="s">
        <v>186</v>
      </c>
      <c r="BK34" s="282" t="s">
        <v>186</v>
      </c>
      <c r="BL34" s="282" t="s">
        <v>186</v>
      </c>
      <c r="BM34" s="282" t="s">
        <v>186</v>
      </c>
      <c r="BN34" s="281" t="s">
        <v>186</v>
      </c>
      <c r="BO34" s="282" t="s">
        <v>186</v>
      </c>
      <c r="BP34" s="282" t="s">
        <v>186</v>
      </c>
      <c r="BQ34" s="282" t="s">
        <v>186</v>
      </c>
      <c r="BR34" s="283" t="s">
        <v>186</v>
      </c>
      <c r="BS34" s="7">
        <v>692616</v>
      </c>
      <c r="BT34" s="7">
        <v>576753</v>
      </c>
      <c r="BU34" s="7">
        <v>12087</v>
      </c>
      <c r="BV34" s="7">
        <v>185041</v>
      </c>
      <c r="BW34" s="12">
        <v>103776</v>
      </c>
      <c r="BX34" s="7">
        <v>894820</v>
      </c>
      <c r="BY34" s="7">
        <v>682434</v>
      </c>
      <c r="BZ34" s="7">
        <v>15312</v>
      </c>
      <c r="CA34" s="7">
        <v>270914</v>
      </c>
      <c r="CB34" s="7">
        <v>197074</v>
      </c>
      <c r="CC34" s="214">
        <v>1012813</v>
      </c>
      <c r="CD34" s="7">
        <v>758358</v>
      </c>
      <c r="CE34" s="7">
        <v>20167</v>
      </c>
      <c r="CF34" s="7">
        <v>234288</v>
      </c>
      <c r="CG34" s="7">
        <v>340317</v>
      </c>
      <c r="CH34" s="14">
        <v>1031788</v>
      </c>
      <c r="CI34" s="7">
        <v>783775</v>
      </c>
      <c r="CJ34" s="7">
        <v>21078</v>
      </c>
      <c r="CK34" s="7">
        <v>226935</v>
      </c>
      <c r="CL34" s="7">
        <v>349166</v>
      </c>
      <c r="CM34" s="66">
        <v>1057419</v>
      </c>
      <c r="CN34" s="64">
        <v>811904</v>
      </c>
      <c r="CO34" s="64">
        <v>22644</v>
      </c>
      <c r="CP34" s="64">
        <v>222871</v>
      </c>
      <c r="CQ34" s="64">
        <v>362643</v>
      </c>
      <c r="CR34" s="14">
        <v>1092648</v>
      </c>
      <c r="CS34" s="7">
        <v>856052</v>
      </c>
      <c r="CT34" s="7">
        <v>21835</v>
      </c>
      <c r="CU34" s="7">
        <v>376884</v>
      </c>
      <c r="CV34" s="7">
        <v>191716</v>
      </c>
      <c r="CW34" s="14">
        <v>1112502.1439999999</v>
      </c>
      <c r="CX34" s="7">
        <v>868958.12800000003</v>
      </c>
      <c r="CY34" s="7">
        <v>22039.5</v>
      </c>
      <c r="CZ34" s="7">
        <v>387708.99000000005</v>
      </c>
      <c r="DA34" s="567">
        <f t="shared" si="373"/>
        <v>221504.51599999983</v>
      </c>
      <c r="DB34" s="7">
        <v>1132351</v>
      </c>
      <c r="DC34" s="7">
        <v>878744</v>
      </c>
      <c r="DD34" s="7">
        <v>21928</v>
      </c>
      <c r="DE34" s="7">
        <v>402671</v>
      </c>
      <c r="DF34" s="7">
        <v>230965</v>
      </c>
      <c r="DG34" s="7">
        <v>1139544</v>
      </c>
      <c r="DH34" s="7">
        <v>593266</v>
      </c>
      <c r="DI34" s="7">
        <v>22407</v>
      </c>
      <c r="DJ34" s="7">
        <v>410331</v>
      </c>
      <c r="DK34" s="7">
        <v>121944</v>
      </c>
      <c r="DL34" s="281" t="s">
        <v>186</v>
      </c>
      <c r="DM34" s="282" t="s">
        <v>186</v>
      </c>
      <c r="DN34" s="282" t="s">
        <v>186</v>
      </c>
      <c r="DO34" s="282" t="s">
        <v>186</v>
      </c>
      <c r="DP34" s="283" t="s">
        <v>186</v>
      </c>
      <c r="DQ34" s="7">
        <v>239337</v>
      </c>
      <c r="DR34" s="7">
        <v>199010</v>
      </c>
      <c r="DS34" s="7">
        <v>5692</v>
      </c>
      <c r="DT34" s="7">
        <v>59005</v>
      </c>
      <c r="DU34" s="12">
        <v>34635</v>
      </c>
      <c r="DV34" s="7">
        <v>326925</v>
      </c>
      <c r="DW34" s="7">
        <v>245179</v>
      </c>
      <c r="DX34" s="7">
        <v>7047</v>
      </c>
      <c r="DY34" s="7">
        <v>98602</v>
      </c>
      <c r="DZ34" s="12">
        <v>74699</v>
      </c>
      <c r="EA34" s="7">
        <v>413735</v>
      </c>
      <c r="EB34" s="7">
        <v>317741</v>
      </c>
      <c r="EC34" s="7">
        <v>9789</v>
      </c>
      <c r="ED34" s="7">
        <v>145164</v>
      </c>
      <c r="EE34" s="12">
        <v>86205</v>
      </c>
      <c r="EF34" s="7">
        <v>417188.304</v>
      </c>
      <c r="EG34" s="7">
        <v>318753.33199999999</v>
      </c>
      <c r="EH34" s="7">
        <v>10175.951999999999</v>
      </c>
      <c r="EI34" s="7">
        <v>147438.63</v>
      </c>
      <c r="EJ34" s="12">
        <v>88259.02</v>
      </c>
      <c r="EK34" s="7">
        <v>426099</v>
      </c>
      <c r="EL34" s="7">
        <v>323592</v>
      </c>
      <c r="EM34" s="7">
        <v>9944</v>
      </c>
      <c r="EN34" s="7">
        <v>154088</v>
      </c>
      <c r="EO34" s="661">
        <v>92161</v>
      </c>
      <c r="EP34" s="661">
        <v>427513</v>
      </c>
      <c r="EQ34" s="661">
        <v>215723</v>
      </c>
      <c r="ER34" s="661">
        <v>10466</v>
      </c>
      <c r="ES34" s="661">
        <v>154681</v>
      </c>
      <c r="ET34" s="661">
        <v>90753</v>
      </c>
      <c r="EU34" s="14">
        <v>46502</v>
      </c>
      <c r="EV34" s="7">
        <v>38021</v>
      </c>
      <c r="EW34" s="7">
        <v>964</v>
      </c>
      <c r="EX34" s="7">
        <v>10881</v>
      </c>
      <c r="EY34" s="12">
        <v>7517</v>
      </c>
      <c r="EZ34" s="7">
        <v>67001</v>
      </c>
      <c r="FA34" s="7">
        <v>49490</v>
      </c>
      <c r="FB34" s="7">
        <v>1411</v>
      </c>
      <c r="FC34" s="7">
        <v>19315</v>
      </c>
      <c r="FD34" s="12">
        <v>16100</v>
      </c>
      <c r="FE34" s="14">
        <v>95760</v>
      </c>
      <c r="FF34" s="7">
        <v>73113</v>
      </c>
      <c r="FG34" s="7">
        <v>2079</v>
      </c>
      <c r="FH34" s="7">
        <v>32812</v>
      </c>
      <c r="FI34" s="7">
        <v>20568</v>
      </c>
      <c r="FJ34" s="14"/>
      <c r="FK34" s="7"/>
      <c r="FL34" s="7"/>
      <c r="FM34" s="7"/>
      <c r="FN34" s="12"/>
      <c r="FO34" s="7">
        <v>102332</v>
      </c>
      <c r="FP34" s="7">
        <v>78909</v>
      </c>
      <c r="FQ34" s="7">
        <v>1953</v>
      </c>
      <c r="FR34" s="7">
        <v>35734</v>
      </c>
      <c r="FS34" s="7">
        <v>21344</v>
      </c>
      <c r="FT34" s="7">
        <v>106166</v>
      </c>
      <c r="FU34" s="7">
        <v>54320</v>
      </c>
      <c r="FV34" s="7">
        <v>1950</v>
      </c>
      <c r="FW34" s="7">
        <v>37991</v>
      </c>
      <c r="FX34" s="7">
        <v>21878</v>
      </c>
      <c r="FY34" s="609">
        <f t="shared" si="428"/>
        <v>234838</v>
      </c>
      <c r="FZ34" s="584">
        <f t="shared" si="429"/>
        <v>209484</v>
      </c>
      <c r="GA34" s="584">
        <f t="shared" si="430"/>
        <v>3263</v>
      </c>
      <c r="GB34" s="584">
        <f t="shared" si="431"/>
        <v>37890</v>
      </c>
      <c r="GC34" s="584">
        <f t="shared" si="432"/>
        <v>22091</v>
      </c>
      <c r="GD34" s="609">
        <f t="shared" si="433"/>
        <v>333150</v>
      </c>
      <c r="GE34" s="584">
        <f t="shared" si="434"/>
        <v>278864</v>
      </c>
      <c r="GF34" s="584">
        <f t="shared" si="435"/>
        <v>5037</v>
      </c>
      <c r="GG34" s="584">
        <f t="shared" si="436"/>
        <v>64641</v>
      </c>
      <c r="GH34" s="584">
        <f t="shared" si="437"/>
        <v>49249</v>
      </c>
      <c r="GI34" s="14">
        <v>356214</v>
      </c>
      <c r="GJ34" s="7">
        <v>296557</v>
      </c>
      <c r="GK34" s="7">
        <v>6771</v>
      </c>
      <c r="GL34" s="7">
        <v>87657</v>
      </c>
      <c r="GM34" s="7">
        <v>52886</v>
      </c>
      <c r="GN34" s="605"/>
      <c r="GO34" s="9"/>
      <c r="GP34" s="9"/>
      <c r="GQ34" s="9"/>
      <c r="GR34" s="9"/>
      <c r="GS34" s="9">
        <v>449566</v>
      </c>
      <c r="GT34" s="9">
        <v>377978</v>
      </c>
      <c r="GU34" s="9">
        <v>8627</v>
      </c>
      <c r="GV34" s="9">
        <v>109712</v>
      </c>
      <c r="GW34" s="617">
        <v>62726</v>
      </c>
      <c r="GX34" s="9">
        <v>1414866</v>
      </c>
      <c r="GY34" s="9">
        <v>297308</v>
      </c>
      <c r="GZ34" s="9">
        <v>8762</v>
      </c>
      <c r="HA34" s="9">
        <v>116311</v>
      </c>
      <c r="HB34" s="9">
        <v>31981</v>
      </c>
      <c r="HC34" s="14">
        <v>111957</v>
      </c>
      <c r="HD34" s="7">
        <v>101536</v>
      </c>
      <c r="HE34" s="7">
        <v>1372</v>
      </c>
      <c r="HF34" s="7">
        <v>16862</v>
      </c>
      <c r="HG34" s="7">
        <v>9049</v>
      </c>
      <c r="HH34" s="14">
        <v>154372</v>
      </c>
      <c r="HI34" s="7">
        <v>131501</v>
      </c>
      <c r="HJ34" s="7">
        <v>2364</v>
      </c>
      <c r="HK34" s="7">
        <v>28847</v>
      </c>
      <c r="HL34" s="7">
        <v>20507</v>
      </c>
      <c r="HM34" s="14">
        <v>189688</v>
      </c>
      <c r="HN34" s="7">
        <v>161840</v>
      </c>
      <c r="HO34" s="7">
        <v>3361</v>
      </c>
      <c r="HP34" s="7">
        <v>43401</v>
      </c>
      <c r="HQ34" s="7">
        <v>24487</v>
      </c>
      <c r="HR34" s="14">
        <v>195222.73199999999</v>
      </c>
      <c r="HS34" s="7">
        <v>166482.63199999998</v>
      </c>
      <c r="HT34" s="7">
        <v>3828.576</v>
      </c>
      <c r="HU34" s="7">
        <v>45323.726999999999</v>
      </c>
      <c r="HV34" s="7">
        <v>24911.524000000005</v>
      </c>
      <c r="HW34" s="7">
        <v>199989</v>
      </c>
      <c r="HX34" s="7">
        <v>130363</v>
      </c>
      <c r="HY34" s="7">
        <v>4106</v>
      </c>
      <c r="HZ34" s="7">
        <v>51533</v>
      </c>
      <c r="IA34" s="7">
        <v>25212</v>
      </c>
      <c r="IB34" s="281" t="s">
        <v>186</v>
      </c>
      <c r="IC34" s="282" t="s">
        <v>186</v>
      </c>
      <c r="ID34" s="339">
        <v>43476</v>
      </c>
      <c r="IE34" s="355">
        <f t="shared" si="384"/>
        <v>26062</v>
      </c>
      <c r="IF34" s="355">
        <f t="shared" si="385"/>
        <v>17414</v>
      </c>
      <c r="IG34" s="355">
        <f t="shared" si="386"/>
        <v>42821</v>
      </c>
      <c r="IH34" s="341">
        <v>25720</v>
      </c>
      <c r="II34" s="341">
        <v>17101</v>
      </c>
      <c r="IJ34" s="355">
        <f t="shared" si="387"/>
        <v>655</v>
      </c>
      <c r="IK34" s="341">
        <v>342</v>
      </c>
      <c r="IL34" s="341">
        <v>313</v>
      </c>
      <c r="IM34" s="339">
        <v>69703</v>
      </c>
      <c r="IN34" s="355">
        <f t="shared" si="388"/>
        <v>42044</v>
      </c>
      <c r="IO34" s="355">
        <f t="shared" si="389"/>
        <v>27659</v>
      </c>
      <c r="IP34" s="355">
        <f t="shared" si="390"/>
        <v>61079</v>
      </c>
      <c r="IQ34" s="341">
        <v>36427</v>
      </c>
      <c r="IR34" s="341">
        <v>24652</v>
      </c>
      <c r="IS34" s="355">
        <f t="shared" si="391"/>
        <v>546</v>
      </c>
      <c r="IT34" s="341">
        <v>305</v>
      </c>
      <c r="IU34" s="341">
        <v>241</v>
      </c>
      <c r="IV34" s="355">
        <f t="shared" si="392"/>
        <v>8078</v>
      </c>
      <c r="IW34" s="341">
        <v>5312</v>
      </c>
      <c r="IX34" s="341">
        <v>2766</v>
      </c>
      <c r="IY34" s="339">
        <v>124345</v>
      </c>
      <c r="IZ34" s="355">
        <f t="shared" si="393"/>
        <v>72925</v>
      </c>
      <c r="JA34" s="355">
        <f t="shared" si="394"/>
        <v>51420</v>
      </c>
      <c r="JB34" s="365">
        <f t="shared" si="395"/>
        <v>104228</v>
      </c>
      <c r="JC34" s="341">
        <v>60685</v>
      </c>
      <c r="JD34" s="341">
        <v>43543</v>
      </c>
      <c r="JE34" s="341">
        <v>12240</v>
      </c>
      <c r="JF34" s="341">
        <v>7877</v>
      </c>
      <c r="JG34" s="365">
        <f t="shared" si="396"/>
        <v>1096</v>
      </c>
      <c r="JH34" s="341">
        <v>604</v>
      </c>
      <c r="JI34" s="341">
        <v>492</v>
      </c>
      <c r="JJ34" s="365">
        <f t="shared" si="397"/>
        <v>15472</v>
      </c>
      <c r="JK34" s="341">
        <v>9807</v>
      </c>
      <c r="JL34" s="341">
        <v>5665</v>
      </c>
      <c r="JM34" s="356">
        <f t="shared" si="398"/>
        <v>3549</v>
      </c>
      <c r="JN34" s="356">
        <f t="shared" si="399"/>
        <v>1829</v>
      </c>
      <c r="JO34" s="356">
        <f t="shared" si="400"/>
        <v>1720</v>
      </c>
      <c r="JP34" s="357">
        <f t="shared" si="401"/>
        <v>248</v>
      </c>
      <c r="JQ34" s="357">
        <f t="shared" si="402"/>
        <v>152</v>
      </c>
      <c r="JR34" s="357">
        <f t="shared" si="403"/>
        <v>96</v>
      </c>
      <c r="JS34" s="341">
        <v>3301</v>
      </c>
      <c r="JT34" s="341">
        <v>1677</v>
      </c>
      <c r="JU34" s="341">
        <v>1624</v>
      </c>
      <c r="JV34" s="16">
        <f t="shared" si="404"/>
        <v>188336</v>
      </c>
      <c r="JW34" s="355">
        <f t="shared" si="405"/>
        <v>103296</v>
      </c>
      <c r="JX34" s="355">
        <f t="shared" si="406"/>
        <v>85040</v>
      </c>
      <c r="JY34" s="15">
        <f t="shared" si="407"/>
        <v>171463</v>
      </c>
      <c r="JZ34" s="151">
        <f t="shared" si="408"/>
        <v>152239</v>
      </c>
      <c r="KA34" s="341">
        <v>83306</v>
      </c>
      <c r="KB34" s="341">
        <v>68933</v>
      </c>
      <c r="KC34" s="341">
        <v>19990</v>
      </c>
      <c r="KD34" s="341">
        <v>16107</v>
      </c>
      <c r="KE34" s="15">
        <f t="shared" si="409"/>
        <v>2299</v>
      </c>
      <c r="KF34" s="151">
        <f t="shared" si="410"/>
        <v>1236</v>
      </c>
      <c r="KG34" s="341">
        <v>324</v>
      </c>
      <c r="KH34" s="341">
        <v>912</v>
      </c>
      <c r="KI34" s="15">
        <f t="shared" si="411"/>
        <v>28009</v>
      </c>
      <c r="KJ34" s="341">
        <v>16078</v>
      </c>
      <c r="KK34" s="341">
        <v>11931</v>
      </c>
      <c r="KL34" s="13">
        <f t="shared" si="412"/>
        <v>14574</v>
      </c>
      <c r="KM34" s="358">
        <f t="shared" si="413"/>
        <v>3588</v>
      </c>
      <c r="KN34" s="358">
        <f t="shared" si="414"/>
        <v>3264</v>
      </c>
      <c r="KO34" s="359">
        <f t="shared" si="415"/>
        <v>129</v>
      </c>
      <c r="KP34" s="359">
        <f t="shared" si="416"/>
        <v>104</v>
      </c>
      <c r="KQ34" s="359">
        <f t="shared" si="417"/>
        <v>25</v>
      </c>
      <c r="KR34" s="360">
        <f t="shared" si="418"/>
        <v>6723</v>
      </c>
      <c r="KS34" s="360">
        <f t="shared" si="419"/>
        <v>3484</v>
      </c>
      <c r="KT34" s="360">
        <f t="shared" si="420"/>
        <v>3239</v>
      </c>
      <c r="KU34" s="341">
        <v>1809</v>
      </c>
      <c r="KV34" s="341">
        <v>1748</v>
      </c>
      <c r="KW34" s="341">
        <v>1675</v>
      </c>
      <c r="KX34" s="341">
        <v>1491</v>
      </c>
      <c r="KY34" s="361">
        <v>266149</v>
      </c>
      <c r="KZ34" s="341">
        <v>134343</v>
      </c>
      <c r="LA34" s="341">
        <v>131806</v>
      </c>
      <c r="LB34" s="9">
        <f t="shared" si="421"/>
        <v>229374</v>
      </c>
      <c r="LC34" s="9">
        <v>116925</v>
      </c>
      <c r="LD34" s="9">
        <v>112449</v>
      </c>
      <c r="LE34" s="140">
        <f t="shared" si="422"/>
        <v>200816</v>
      </c>
      <c r="LF34" s="341">
        <v>102698</v>
      </c>
      <c r="LG34" s="341">
        <v>98118</v>
      </c>
      <c r="LH34" s="9">
        <f t="shared" si="423"/>
        <v>3626</v>
      </c>
      <c r="LI34" s="341">
        <v>1868</v>
      </c>
      <c r="LJ34" s="341">
        <v>1758</v>
      </c>
      <c r="LK34" s="9">
        <f t="shared" si="424"/>
        <v>45326</v>
      </c>
      <c r="LL34" s="341">
        <v>22348</v>
      </c>
      <c r="LM34" s="341">
        <v>22978</v>
      </c>
      <c r="LN34" s="140">
        <f t="shared" si="425"/>
        <v>33149</v>
      </c>
      <c r="LO34" s="140">
        <f t="shared" si="426"/>
        <v>15550</v>
      </c>
      <c r="LP34" s="140">
        <f t="shared" si="427"/>
        <v>17599</v>
      </c>
      <c r="LQ34" s="349">
        <v>309011</v>
      </c>
      <c r="LR34" s="341">
        <v>260726</v>
      </c>
      <c r="LS34" s="341">
        <v>5748</v>
      </c>
      <c r="LT34" s="341">
        <v>42537</v>
      </c>
      <c r="LU34" s="9">
        <v>59816</v>
      </c>
      <c r="LV34" s="14">
        <v>313926</v>
      </c>
      <c r="LW34" s="7">
        <v>266810</v>
      </c>
      <c r="LX34" s="7">
        <v>6305</v>
      </c>
      <c r="LY34" s="7">
        <v>40811</v>
      </c>
      <c r="LZ34" s="7">
        <v>62645</v>
      </c>
      <c r="MA34" s="14">
        <v>318844</v>
      </c>
      <c r="MB34" s="7">
        <v>273063</v>
      </c>
      <c r="MC34" s="7">
        <v>6175</v>
      </c>
      <c r="MD34" s="7">
        <v>39606</v>
      </c>
      <c r="ME34" s="7">
        <v>65292</v>
      </c>
      <c r="MF34" s="14">
        <v>331497</v>
      </c>
      <c r="MG34" s="7">
        <v>285409</v>
      </c>
      <c r="MH34" s="7">
        <v>6193</v>
      </c>
      <c r="MI34" s="7">
        <v>39895</v>
      </c>
      <c r="MJ34" s="7">
        <v>68497</v>
      </c>
      <c r="MK34" s="14">
        <v>339634.06799999997</v>
      </c>
      <c r="ML34" s="7">
        <v>293374.88199999998</v>
      </c>
      <c r="MM34" s="7">
        <v>6221.4359999999997</v>
      </c>
      <c r="MN34" s="7">
        <v>70988.97</v>
      </c>
      <c r="MO34" s="7">
        <v>40037.749999999985</v>
      </c>
      <c r="MP34" s="7">
        <v>347234</v>
      </c>
      <c r="MQ34" s="7">
        <v>299069</v>
      </c>
      <c r="MR34" s="7">
        <v>6674</v>
      </c>
      <c r="MS34" s="7">
        <v>73978</v>
      </c>
      <c r="MT34" s="2">
        <v>41382</v>
      </c>
      <c r="MU34" s="2">
        <v>352766</v>
      </c>
      <c r="MV34" s="2">
        <v>242988</v>
      </c>
      <c r="MW34" s="2">
        <v>6812</v>
      </c>
      <c r="MX34" s="2">
        <v>78320</v>
      </c>
      <c r="MY34" s="2">
        <v>21790</v>
      </c>
      <c r="MZ34" s="14">
        <v>76379</v>
      </c>
      <c r="NA34" s="7">
        <v>69927</v>
      </c>
      <c r="NB34" s="7">
        <v>927</v>
      </c>
      <c r="NC34" s="7">
        <v>10147</v>
      </c>
      <c r="ND34" s="7">
        <v>5525</v>
      </c>
      <c r="NE34" s="14">
        <v>111777</v>
      </c>
      <c r="NF34" s="7">
        <v>97873</v>
      </c>
      <c r="NG34" s="7">
        <v>1262</v>
      </c>
      <c r="NH34" s="7">
        <v>16479</v>
      </c>
      <c r="NI34" s="7">
        <v>12642</v>
      </c>
      <c r="NJ34" s="14">
        <v>141809</v>
      </c>
      <c r="NK34" s="7">
        <v>123569</v>
      </c>
      <c r="NL34" s="7">
        <v>2832</v>
      </c>
      <c r="NM34" s="7">
        <v>25096</v>
      </c>
      <c r="NN34" s="7">
        <v>15408</v>
      </c>
      <c r="NO34" s="14">
        <v>144411.33600000001</v>
      </c>
      <c r="NP34" s="7">
        <v>126892.25</v>
      </c>
      <c r="NQ34" s="7">
        <v>2392.86</v>
      </c>
      <c r="NR34" s="7">
        <v>25665.242999999999</v>
      </c>
      <c r="NS34" s="12">
        <v>15126.22600000001</v>
      </c>
      <c r="NT34" s="1">
        <v>150008</v>
      </c>
      <c r="NU34" s="2">
        <v>131748</v>
      </c>
      <c r="NV34" s="2">
        <v>2730</v>
      </c>
      <c r="NW34" s="2">
        <v>26622</v>
      </c>
      <c r="NX34" s="79">
        <v>15482</v>
      </c>
      <c r="NY34" s="2">
        <v>152777</v>
      </c>
      <c r="NZ34" s="2">
        <v>112625</v>
      </c>
      <c r="OA34" s="2">
        <v>2706</v>
      </c>
      <c r="OB34" s="2">
        <v>26787</v>
      </c>
      <c r="OC34" s="2">
        <v>15916</v>
      </c>
    </row>
    <row r="35" spans="1:393" ht="14.25" x14ac:dyDescent="0.2">
      <c r="A35" s="240" t="s">
        <v>42</v>
      </c>
      <c r="B35" s="281" t="s">
        <v>186</v>
      </c>
      <c r="C35" s="282" t="s">
        <v>186</v>
      </c>
      <c r="D35" s="282" t="s">
        <v>186</v>
      </c>
      <c r="E35" s="282" t="s">
        <v>186</v>
      </c>
      <c r="F35" s="283" t="s">
        <v>186</v>
      </c>
      <c r="G35" s="7">
        <v>114724</v>
      </c>
      <c r="H35" s="7">
        <v>97482</v>
      </c>
      <c r="I35" s="7">
        <v>1741</v>
      </c>
      <c r="J35" s="7">
        <v>15420</v>
      </c>
      <c r="K35" s="12">
        <v>15501</v>
      </c>
      <c r="L35" s="7">
        <v>111705</v>
      </c>
      <c r="M35" s="7">
        <v>69979</v>
      </c>
      <c r="N35" s="7">
        <v>1622</v>
      </c>
      <c r="O35" s="7">
        <v>42174</v>
      </c>
      <c r="P35" s="12">
        <v>40104</v>
      </c>
      <c r="Q35" s="9">
        <v>106453</v>
      </c>
      <c r="R35" s="9">
        <v>66207</v>
      </c>
      <c r="S35" s="9">
        <v>1297</v>
      </c>
      <c r="T35" s="9">
        <v>57258</v>
      </c>
      <c r="U35" s="617">
        <v>38949</v>
      </c>
      <c r="V35" s="9">
        <v>106595</v>
      </c>
      <c r="W35" s="9">
        <v>65020</v>
      </c>
      <c r="X35" s="9">
        <v>1713</v>
      </c>
      <c r="Y35" s="9">
        <v>58497</v>
      </c>
      <c r="Z35" s="9">
        <v>39862</v>
      </c>
      <c r="AA35" s="9">
        <v>108473</v>
      </c>
      <c r="AB35" s="9">
        <v>34594</v>
      </c>
      <c r="AC35" s="9">
        <v>1933</v>
      </c>
      <c r="AD35" s="9">
        <v>59739</v>
      </c>
      <c r="AE35" s="726">
        <v>36696</v>
      </c>
      <c r="AF35" s="14">
        <v>228885</v>
      </c>
      <c r="AG35" s="7">
        <v>212542</v>
      </c>
      <c r="AH35" s="7">
        <v>4295</v>
      </c>
      <c r="AI35" s="7">
        <v>8126</v>
      </c>
      <c r="AJ35" s="12">
        <v>12048</v>
      </c>
      <c r="AK35" s="7">
        <v>223106</v>
      </c>
      <c r="AL35" s="7">
        <v>189071</v>
      </c>
      <c r="AM35" s="7">
        <v>4548</v>
      </c>
      <c r="AN35" s="7">
        <v>21884</v>
      </c>
      <c r="AO35" s="12">
        <v>29487</v>
      </c>
      <c r="AP35" s="7">
        <v>180491</v>
      </c>
      <c r="AQ35" s="7">
        <v>146601</v>
      </c>
      <c r="AR35" s="7">
        <v>4657</v>
      </c>
      <c r="AS35" s="7">
        <v>33853</v>
      </c>
      <c r="AT35" s="12">
        <v>29233</v>
      </c>
      <c r="AU35" s="7">
        <v>178192</v>
      </c>
      <c r="AV35" s="7">
        <v>143777</v>
      </c>
      <c r="AW35" s="7">
        <v>4082</v>
      </c>
      <c r="AX35" s="7">
        <v>35507</v>
      </c>
      <c r="AY35" s="7">
        <v>30333</v>
      </c>
      <c r="AZ35" s="7">
        <v>170171</v>
      </c>
      <c r="BA35" s="7">
        <v>118921</v>
      </c>
      <c r="BB35" s="7">
        <v>3654</v>
      </c>
      <c r="BC35" s="7">
        <v>34311</v>
      </c>
      <c r="BD35" s="63">
        <v>27838</v>
      </c>
      <c r="BE35" s="14">
        <v>287495</v>
      </c>
      <c r="BF35" s="7">
        <v>209088</v>
      </c>
      <c r="BG35" s="7">
        <v>6340</v>
      </c>
      <c r="BH35" s="7">
        <v>93853</v>
      </c>
      <c r="BI35" s="313">
        <f t="shared" si="372"/>
        <v>72067</v>
      </c>
      <c r="BJ35" s="281" t="s">
        <v>186</v>
      </c>
      <c r="BK35" s="282" t="s">
        <v>186</v>
      </c>
      <c r="BL35" s="282" t="s">
        <v>186</v>
      </c>
      <c r="BM35" s="282" t="s">
        <v>186</v>
      </c>
      <c r="BN35" s="281" t="s">
        <v>186</v>
      </c>
      <c r="BO35" s="282" t="s">
        <v>186</v>
      </c>
      <c r="BP35" s="282" t="s">
        <v>186</v>
      </c>
      <c r="BQ35" s="282" t="s">
        <v>186</v>
      </c>
      <c r="BR35" s="283" t="s">
        <v>186</v>
      </c>
      <c r="BS35" s="7">
        <v>1511760</v>
      </c>
      <c r="BT35" s="7">
        <v>1438476</v>
      </c>
      <c r="BU35" s="7">
        <v>18087</v>
      </c>
      <c r="BV35" s="7">
        <v>26558</v>
      </c>
      <c r="BW35" s="12">
        <v>55197</v>
      </c>
      <c r="BX35" s="7">
        <v>1916187</v>
      </c>
      <c r="BY35" s="7">
        <v>1750346</v>
      </c>
      <c r="BZ35" s="7">
        <v>24332</v>
      </c>
      <c r="CA35" s="7">
        <v>61105</v>
      </c>
      <c r="CB35" s="7">
        <v>141509</v>
      </c>
      <c r="CC35" s="214">
        <v>2185793</v>
      </c>
      <c r="CD35" s="7">
        <v>1976825</v>
      </c>
      <c r="CE35" s="7">
        <v>30977</v>
      </c>
      <c r="CF35" s="7">
        <v>177991</v>
      </c>
      <c r="CG35" s="7">
        <v>100189</v>
      </c>
      <c r="CH35" s="14">
        <v>2235745</v>
      </c>
      <c r="CI35" s="7">
        <v>2024452</v>
      </c>
      <c r="CJ35" s="7">
        <v>31630</v>
      </c>
      <c r="CK35" s="7">
        <v>179663</v>
      </c>
      <c r="CL35" s="7">
        <v>106645</v>
      </c>
      <c r="CM35" s="66">
        <v>2264060</v>
      </c>
      <c r="CN35" s="64">
        <v>2047400</v>
      </c>
      <c r="CO35" s="64">
        <v>33228</v>
      </c>
      <c r="CP35" s="64">
        <v>183432</v>
      </c>
      <c r="CQ35" s="64">
        <v>109999</v>
      </c>
      <c r="CR35" s="14">
        <v>2293249</v>
      </c>
      <c r="CS35" s="7">
        <v>2067892</v>
      </c>
      <c r="CT35" s="7">
        <v>34098</v>
      </c>
      <c r="CU35" s="7">
        <v>117671</v>
      </c>
      <c r="CV35" s="7">
        <v>140203</v>
      </c>
      <c r="CW35" s="14">
        <v>2326092.4299999997</v>
      </c>
      <c r="CX35" s="7">
        <v>2088582.939</v>
      </c>
      <c r="CY35" s="7">
        <v>35411.79</v>
      </c>
      <c r="CZ35" s="7">
        <v>122897.25</v>
      </c>
      <c r="DA35" s="567">
        <f t="shared" si="373"/>
        <v>202097.70099999968</v>
      </c>
      <c r="DB35" s="7">
        <v>2359135</v>
      </c>
      <c r="DC35" s="7">
        <v>2113476</v>
      </c>
      <c r="DD35" s="7">
        <v>35953</v>
      </c>
      <c r="DE35" s="7">
        <v>128715</v>
      </c>
      <c r="DF35" s="7">
        <v>209706</v>
      </c>
      <c r="DG35" s="7">
        <v>2394755</v>
      </c>
      <c r="DH35" s="7">
        <v>2056528</v>
      </c>
      <c r="DI35" s="7">
        <v>37417</v>
      </c>
      <c r="DJ35" s="7">
        <v>135103</v>
      </c>
      <c r="DK35" s="7">
        <v>132684</v>
      </c>
      <c r="DL35" s="281" t="s">
        <v>186</v>
      </c>
      <c r="DM35" s="282" t="s">
        <v>186</v>
      </c>
      <c r="DN35" s="282" t="s">
        <v>186</v>
      </c>
      <c r="DO35" s="282" t="s">
        <v>186</v>
      </c>
      <c r="DP35" s="283" t="s">
        <v>186</v>
      </c>
      <c r="DQ35" s="7">
        <v>592902</v>
      </c>
      <c r="DR35" s="7">
        <v>562581</v>
      </c>
      <c r="DS35" s="7">
        <v>8326</v>
      </c>
      <c r="DT35" s="7">
        <v>11294</v>
      </c>
      <c r="DU35" s="12">
        <v>21995</v>
      </c>
      <c r="DV35" s="7">
        <v>760392</v>
      </c>
      <c r="DW35" s="7">
        <v>694912</v>
      </c>
      <c r="DX35" s="7">
        <v>10906</v>
      </c>
      <c r="DY35" s="7">
        <v>23437</v>
      </c>
      <c r="DZ35" s="12">
        <v>54574</v>
      </c>
      <c r="EA35" s="7">
        <v>909049</v>
      </c>
      <c r="EB35" s="7">
        <v>823136</v>
      </c>
      <c r="EC35" s="7">
        <v>15234</v>
      </c>
      <c r="ED35" s="7">
        <v>46567</v>
      </c>
      <c r="EE35" s="12">
        <v>70679</v>
      </c>
      <c r="EF35" s="7">
        <v>919982.62400000007</v>
      </c>
      <c r="EG35" s="7">
        <v>829459.23100000003</v>
      </c>
      <c r="EH35" s="7">
        <v>16058.35</v>
      </c>
      <c r="EI35" s="7">
        <v>48768.75</v>
      </c>
      <c r="EJ35" s="12">
        <v>74465.043000000034</v>
      </c>
      <c r="EK35" s="7">
        <v>924271</v>
      </c>
      <c r="EL35" s="7">
        <v>830190</v>
      </c>
      <c r="EM35" s="7">
        <v>16523</v>
      </c>
      <c r="EN35" s="7">
        <v>49926</v>
      </c>
      <c r="EO35" s="661">
        <v>77558</v>
      </c>
      <c r="EP35" s="661">
        <v>933263</v>
      </c>
      <c r="EQ35" s="661">
        <v>803474</v>
      </c>
      <c r="ER35" s="661">
        <v>16790</v>
      </c>
      <c r="ES35" s="661">
        <v>52031</v>
      </c>
      <c r="ET35" s="661">
        <v>78480</v>
      </c>
      <c r="EU35" s="14">
        <v>128482</v>
      </c>
      <c r="EV35" s="7">
        <v>121097</v>
      </c>
      <c r="EW35" s="7">
        <v>1452</v>
      </c>
      <c r="EX35" s="7">
        <v>2576</v>
      </c>
      <c r="EY35" s="12">
        <v>5933</v>
      </c>
      <c r="EZ35" s="7">
        <v>149639</v>
      </c>
      <c r="FA35" s="7">
        <v>134843</v>
      </c>
      <c r="FB35" s="7">
        <v>2006</v>
      </c>
      <c r="FC35" s="7">
        <v>4456</v>
      </c>
      <c r="FD35" s="12">
        <v>12790</v>
      </c>
      <c r="FE35" s="14">
        <v>209217</v>
      </c>
      <c r="FF35" s="7">
        <v>189006</v>
      </c>
      <c r="FG35" s="7">
        <v>2845</v>
      </c>
      <c r="FH35" s="7">
        <v>9263</v>
      </c>
      <c r="FI35" s="7">
        <v>17366</v>
      </c>
      <c r="FJ35" s="14"/>
      <c r="FK35" s="7"/>
      <c r="FL35" s="7"/>
      <c r="FM35" s="7"/>
      <c r="FN35" s="12"/>
      <c r="FO35" s="7">
        <v>212941</v>
      </c>
      <c r="FP35" s="7">
        <v>191079</v>
      </c>
      <c r="FQ35" s="7">
        <v>3341</v>
      </c>
      <c r="FR35" s="7">
        <v>10626</v>
      </c>
      <c r="FS35" s="7">
        <v>18521</v>
      </c>
      <c r="FT35" s="7">
        <v>221551</v>
      </c>
      <c r="FU35" s="7">
        <v>190489</v>
      </c>
      <c r="FV35" s="7">
        <v>3961</v>
      </c>
      <c r="FW35" s="7">
        <v>11461</v>
      </c>
      <c r="FX35" s="7">
        <v>19414</v>
      </c>
      <c r="FY35" s="609">
        <f t="shared" si="428"/>
        <v>510653</v>
      </c>
      <c r="FZ35" s="584">
        <f t="shared" si="429"/>
        <v>484228</v>
      </c>
      <c r="GA35" s="584">
        <f t="shared" si="430"/>
        <v>5109</v>
      </c>
      <c r="GB35" s="584">
        <f t="shared" si="431"/>
        <v>7641</v>
      </c>
      <c r="GC35" s="584">
        <f t="shared" si="432"/>
        <v>21316</v>
      </c>
      <c r="GD35" s="609">
        <f t="shared" si="433"/>
        <v>714205</v>
      </c>
      <c r="GE35" s="584">
        <f t="shared" si="434"/>
        <v>651422</v>
      </c>
      <c r="GF35" s="584">
        <f t="shared" si="435"/>
        <v>7435</v>
      </c>
      <c r="GG35" s="584">
        <f t="shared" si="436"/>
        <v>16506</v>
      </c>
      <c r="GH35" s="584">
        <f t="shared" si="437"/>
        <v>55348</v>
      </c>
      <c r="GI35" s="14">
        <v>820109</v>
      </c>
      <c r="GJ35" s="7">
        <v>737706</v>
      </c>
      <c r="GK35" s="7">
        <v>11027</v>
      </c>
      <c r="GL35" s="7">
        <v>28422</v>
      </c>
      <c r="GM35" s="7">
        <v>71376</v>
      </c>
      <c r="GN35" s="605"/>
      <c r="GO35" s="9"/>
      <c r="GP35" s="9"/>
      <c r="GQ35" s="9"/>
      <c r="GR35" s="9"/>
      <c r="GS35" s="9">
        <v>987923</v>
      </c>
      <c r="GT35" s="9">
        <v>885038</v>
      </c>
      <c r="GU35" s="9">
        <v>12993</v>
      </c>
      <c r="GV35" s="9">
        <v>36071</v>
      </c>
      <c r="GW35" s="617">
        <v>89892</v>
      </c>
      <c r="GX35" s="9">
        <v>3094389</v>
      </c>
      <c r="GY35" s="9">
        <v>889206</v>
      </c>
      <c r="GZ35" s="9">
        <v>13474</v>
      </c>
      <c r="HA35" s="9">
        <v>39716</v>
      </c>
      <c r="HB35" s="9">
        <v>56483</v>
      </c>
      <c r="HC35" s="14">
        <v>252626</v>
      </c>
      <c r="HD35" s="7">
        <v>240208</v>
      </c>
      <c r="HE35" s="7">
        <v>2436</v>
      </c>
      <c r="HF35" s="7">
        <v>3482</v>
      </c>
      <c r="HG35" s="7">
        <v>9982</v>
      </c>
      <c r="HH35" s="14">
        <v>369252</v>
      </c>
      <c r="HI35" s="7">
        <v>337979</v>
      </c>
      <c r="HJ35" s="7">
        <v>3640</v>
      </c>
      <c r="HK35" s="7">
        <v>7977</v>
      </c>
      <c r="HL35" s="7">
        <v>27633</v>
      </c>
      <c r="HM35" s="14">
        <v>474140</v>
      </c>
      <c r="HN35" s="7">
        <v>426563</v>
      </c>
      <c r="HO35" s="7">
        <v>6560</v>
      </c>
      <c r="HP35" s="7">
        <v>15502</v>
      </c>
      <c r="HQ35" s="7">
        <v>41017</v>
      </c>
      <c r="HR35" s="14">
        <v>483513.59499999997</v>
      </c>
      <c r="HS35" s="7">
        <v>434259.81899999996</v>
      </c>
      <c r="HT35" s="7">
        <v>6506.76</v>
      </c>
      <c r="HU35" s="7">
        <v>16039.500000000002</v>
      </c>
      <c r="HV35" s="7">
        <v>42747.016000000011</v>
      </c>
      <c r="HW35" s="7">
        <v>502238</v>
      </c>
      <c r="HX35" s="7">
        <v>439187</v>
      </c>
      <c r="HY35" s="7">
        <v>6184</v>
      </c>
      <c r="HZ35" s="7">
        <v>17844</v>
      </c>
      <c r="IA35" s="7">
        <v>44712</v>
      </c>
      <c r="IB35" s="281" t="s">
        <v>186</v>
      </c>
      <c r="IC35" s="282" t="s">
        <v>186</v>
      </c>
      <c r="ID35" s="339">
        <v>84415</v>
      </c>
      <c r="IE35" s="355">
        <f t="shared" si="384"/>
        <v>50061</v>
      </c>
      <c r="IF35" s="355">
        <f t="shared" si="385"/>
        <v>34354</v>
      </c>
      <c r="IG35" s="355">
        <f t="shared" si="386"/>
        <v>83240</v>
      </c>
      <c r="IH35" s="341">
        <v>49288</v>
      </c>
      <c r="II35" s="341">
        <v>33952</v>
      </c>
      <c r="IJ35" s="355">
        <f t="shared" si="387"/>
        <v>1175</v>
      </c>
      <c r="IK35" s="341">
        <v>773</v>
      </c>
      <c r="IL35" s="341">
        <v>402</v>
      </c>
      <c r="IM35" s="339">
        <v>135501</v>
      </c>
      <c r="IN35" s="355">
        <f t="shared" si="388"/>
        <v>80111</v>
      </c>
      <c r="IO35" s="355">
        <f t="shared" si="389"/>
        <v>55390</v>
      </c>
      <c r="IP35" s="355">
        <f t="shared" si="390"/>
        <v>133310</v>
      </c>
      <c r="IQ35" s="341">
        <v>78751</v>
      </c>
      <c r="IR35" s="341">
        <v>54559</v>
      </c>
      <c r="IS35" s="355">
        <f t="shared" si="391"/>
        <v>829</v>
      </c>
      <c r="IT35" s="341">
        <v>498</v>
      </c>
      <c r="IU35" s="341">
        <v>331</v>
      </c>
      <c r="IV35" s="355">
        <f t="shared" si="392"/>
        <v>1362</v>
      </c>
      <c r="IW35" s="341">
        <v>862</v>
      </c>
      <c r="IX35" s="341">
        <v>500</v>
      </c>
      <c r="IY35" s="339">
        <v>282036</v>
      </c>
      <c r="IZ35" s="355">
        <f t="shared" si="393"/>
        <v>164467</v>
      </c>
      <c r="JA35" s="355">
        <f t="shared" si="394"/>
        <v>117569</v>
      </c>
      <c r="JB35" s="365">
        <f t="shared" si="395"/>
        <v>269598</v>
      </c>
      <c r="JC35" s="341">
        <v>157078</v>
      </c>
      <c r="JD35" s="341">
        <v>112520</v>
      </c>
      <c r="JE35" s="341">
        <v>7389</v>
      </c>
      <c r="JF35" s="341">
        <v>5049</v>
      </c>
      <c r="JG35" s="365">
        <f t="shared" si="396"/>
        <v>2190</v>
      </c>
      <c r="JH35" s="341">
        <v>1388</v>
      </c>
      <c r="JI35" s="341">
        <v>802</v>
      </c>
      <c r="JJ35" s="365">
        <f t="shared" si="397"/>
        <v>3115</v>
      </c>
      <c r="JK35" s="341">
        <v>1923</v>
      </c>
      <c r="JL35" s="341">
        <v>1192</v>
      </c>
      <c r="JM35" s="356">
        <f t="shared" si="398"/>
        <v>7133</v>
      </c>
      <c r="JN35" s="356">
        <f t="shared" si="399"/>
        <v>4078</v>
      </c>
      <c r="JO35" s="356">
        <f t="shared" si="400"/>
        <v>3055</v>
      </c>
      <c r="JP35" s="357">
        <f t="shared" si="401"/>
        <v>198</v>
      </c>
      <c r="JQ35" s="357">
        <f t="shared" si="402"/>
        <v>145</v>
      </c>
      <c r="JR35" s="357">
        <f t="shared" si="403"/>
        <v>53</v>
      </c>
      <c r="JS35" s="341">
        <v>6935</v>
      </c>
      <c r="JT35" s="341">
        <v>3933</v>
      </c>
      <c r="JU35" s="341">
        <v>3002</v>
      </c>
      <c r="JV35" s="16">
        <f t="shared" si="404"/>
        <v>382171</v>
      </c>
      <c r="JW35" s="355">
        <f t="shared" si="405"/>
        <v>209235</v>
      </c>
      <c r="JX35" s="355">
        <f t="shared" si="406"/>
        <v>172936</v>
      </c>
      <c r="JY35" s="15">
        <f t="shared" si="407"/>
        <v>363131</v>
      </c>
      <c r="JZ35" s="151">
        <f t="shared" si="408"/>
        <v>359612</v>
      </c>
      <c r="KA35" s="341">
        <v>196555</v>
      </c>
      <c r="KB35" s="341">
        <v>163057</v>
      </c>
      <c r="KC35" s="341">
        <v>12680</v>
      </c>
      <c r="KD35" s="341">
        <v>9879</v>
      </c>
      <c r="KE35" s="15">
        <f t="shared" si="409"/>
        <v>3657</v>
      </c>
      <c r="KF35" s="151">
        <f t="shared" si="410"/>
        <v>3640</v>
      </c>
      <c r="KG35" s="341">
        <v>2108</v>
      </c>
      <c r="KH35" s="341">
        <v>1532</v>
      </c>
      <c r="KI35" s="15">
        <f t="shared" si="411"/>
        <v>5065</v>
      </c>
      <c r="KJ35" s="341">
        <v>2856</v>
      </c>
      <c r="KK35" s="341">
        <v>2209</v>
      </c>
      <c r="KL35" s="13">
        <f t="shared" si="412"/>
        <v>15383</v>
      </c>
      <c r="KM35" s="358">
        <f t="shared" si="413"/>
        <v>7716</v>
      </c>
      <c r="KN35" s="358">
        <f t="shared" si="414"/>
        <v>6138</v>
      </c>
      <c r="KO35" s="359">
        <f t="shared" si="415"/>
        <v>65</v>
      </c>
      <c r="KP35" s="359">
        <f t="shared" si="416"/>
        <v>36</v>
      </c>
      <c r="KQ35" s="359">
        <f t="shared" si="417"/>
        <v>29</v>
      </c>
      <c r="KR35" s="360">
        <f t="shared" si="418"/>
        <v>13789</v>
      </c>
      <c r="KS35" s="360">
        <f t="shared" si="419"/>
        <v>7680</v>
      </c>
      <c r="KT35" s="360">
        <f t="shared" si="420"/>
        <v>6109</v>
      </c>
      <c r="KU35" s="341">
        <v>907</v>
      </c>
      <c r="KV35" s="341">
        <v>942</v>
      </c>
      <c r="KW35" s="341">
        <v>6773</v>
      </c>
      <c r="KX35" s="341">
        <v>5167</v>
      </c>
      <c r="KY35" s="361">
        <v>564566</v>
      </c>
      <c r="KZ35" s="341">
        <v>293352</v>
      </c>
      <c r="LA35" s="341">
        <v>271214</v>
      </c>
      <c r="LB35" s="9">
        <f t="shared" si="421"/>
        <v>516579</v>
      </c>
      <c r="LC35" s="9">
        <v>268241</v>
      </c>
      <c r="LD35" s="9">
        <v>248338</v>
      </c>
      <c r="LE35" s="140">
        <f t="shared" si="422"/>
        <v>510197</v>
      </c>
      <c r="LF35" s="341">
        <v>265171</v>
      </c>
      <c r="LG35" s="341">
        <v>245026</v>
      </c>
      <c r="LH35" s="9">
        <f t="shared" si="423"/>
        <v>5429</v>
      </c>
      <c r="LI35" s="341">
        <v>3213</v>
      </c>
      <c r="LJ35" s="341">
        <v>2216</v>
      </c>
      <c r="LK35" s="9">
        <f t="shared" si="424"/>
        <v>12050</v>
      </c>
      <c r="LL35" s="341">
        <v>6131</v>
      </c>
      <c r="LM35" s="341">
        <v>5919</v>
      </c>
      <c r="LN35" s="140">
        <f t="shared" si="425"/>
        <v>42558</v>
      </c>
      <c r="LO35" s="140">
        <f t="shared" si="426"/>
        <v>21898</v>
      </c>
      <c r="LP35" s="140">
        <f t="shared" si="427"/>
        <v>20660</v>
      </c>
      <c r="LQ35" s="349">
        <v>690103</v>
      </c>
      <c r="LR35" s="341">
        <v>622041</v>
      </c>
      <c r="LS35" s="341">
        <v>6719</v>
      </c>
      <c r="LT35" s="341">
        <v>61343</v>
      </c>
      <c r="LU35" s="9">
        <v>18659</v>
      </c>
      <c r="LV35" s="14">
        <v>710463</v>
      </c>
      <c r="LW35" s="7">
        <v>640162</v>
      </c>
      <c r="LX35" s="7">
        <v>7233</v>
      </c>
      <c r="LY35" s="7">
        <v>63068</v>
      </c>
      <c r="LZ35" s="7">
        <v>20600</v>
      </c>
      <c r="MA35" s="14">
        <v>731580</v>
      </c>
      <c r="MB35" s="7">
        <v>658488</v>
      </c>
      <c r="MC35" s="7">
        <v>8560</v>
      </c>
      <c r="MD35" s="7">
        <v>64532</v>
      </c>
      <c r="ME35" s="7">
        <v>22008</v>
      </c>
      <c r="MF35" s="14">
        <v>742258</v>
      </c>
      <c r="MG35" s="7">
        <v>666126</v>
      </c>
      <c r="MH35" s="7">
        <v>9701</v>
      </c>
      <c r="MI35" s="7">
        <v>66431</v>
      </c>
      <c r="MJ35" s="7">
        <v>23259</v>
      </c>
      <c r="MK35" s="14">
        <v>760553.81700000004</v>
      </c>
      <c r="ML35" s="7">
        <v>682408.28700000001</v>
      </c>
      <c r="MM35" s="7">
        <v>9718.43</v>
      </c>
      <c r="MN35" s="7">
        <v>24492.75</v>
      </c>
      <c r="MO35" s="7">
        <v>68427.100000000035</v>
      </c>
      <c r="MP35" s="7">
        <v>774982</v>
      </c>
      <c r="MQ35" s="7">
        <v>693959</v>
      </c>
      <c r="MR35" s="7">
        <v>9652</v>
      </c>
      <c r="MS35" s="7">
        <v>25445</v>
      </c>
      <c r="MT35" s="2">
        <v>71371</v>
      </c>
      <c r="MU35" s="2">
        <v>802359</v>
      </c>
      <c r="MV35" s="2">
        <v>698717</v>
      </c>
      <c r="MW35" s="2">
        <v>9513</v>
      </c>
      <c r="MX35" s="2">
        <v>28255</v>
      </c>
      <c r="MY35" s="2">
        <v>44528</v>
      </c>
      <c r="MZ35" s="14">
        <v>129545</v>
      </c>
      <c r="NA35" s="7">
        <v>122923</v>
      </c>
      <c r="NB35" s="7">
        <v>1221</v>
      </c>
      <c r="NC35" s="7">
        <v>1583</v>
      </c>
      <c r="ND35" s="7">
        <v>5401</v>
      </c>
      <c r="NE35" s="14">
        <v>195314</v>
      </c>
      <c r="NF35" s="7">
        <v>178600</v>
      </c>
      <c r="NG35" s="7">
        <v>1789</v>
      </c>
      <c r="NH35" s="7">
        <v>4073</v>
      </c>
      <c r="NI35" s="7">
        <v>14925</v>
      </c>
      <c r="NJ35" s="14">
        <v>268118</v>
      </c>
      <c r="NK35" s="7">
        <v>239563</v>
      </c>
      <c r="NL35" s="7">
        <v>3141</v>
      </c>
      <c r="NM35" s="7">
        <v>7757</v>
      </c>
      <c r="NN35" s="7">
        <v>25414</v>
      </c>
      <c r="NO35" s="14">
        <v>277040.22200000001</v>
      </c>
      <c r="NP35" s="7">
        <v>248148.46800000002</v>
      </c>
      <c r="NQ35" s="7">
        <v>3211.67</v>
      </c>
      <c r="NR35" s="7">
        <v>8453.25</v>
      </c>
      <c r="NS35" s="12">
        <v>25680.083999999988</v>
      </c>
      <c r="NT35" s="1">
        <v>286783</v>
      </c>
      <c r="NU35" s="2">
        <v>254662</v>
      </c>
      <c r="NV35" s="2">
        <v>3494</v>
      </c>
      <c r="NW35" s="2">
        <v>8818</v>
      </c>
      <c r="NX35" s="79">
        <v>28627</v>
      </c>
      <c r="NY35" s="2">
        <v>300121</v>
      </c>
      <c r="NZ35" s="2">
        <v>259530</v>
      </c>
      <c r="OA35" s="2">
        <v>3329</v>
      </c>
      <c r="OB35" s="2">
        <v>10411</v>
      </c>
      <c r="OC35" s="2">
        <v>29367</v>
      </c>
    </row>
    <row r="36" spans="1:393" ht="14.25" x14ac:dyDescent="0.2">
      <c r="A36" s="240" t="s">
        <v>46</v>
      </c>
      <c r="B36" s="281" t="s">
        <v>186</v>
      </c>
      <c r="C36" s="282" t="s">
        <v>186</v>
      </c>
      <c r="D36" s="282" t="s">
        <v>186</v>
      </c>
      <c r="E36" s="282" t="s">
        <v>186</v>
      </c>
      <c r="F36" s="283" t="s">
        <v>186</v>
      </c>
      <c r="G36" s="7">
        <v>30379</v>
      </c>
      <c r="H36" s="7">
        <v>22568</v>
      </c>
      <c r="I36" s="7">
        <v>368</v>
      </c>
      <c r="J36" s="7">
        <v>6544</v>
      </c>
      <c r="K36" s="12">
        <v>7443</v>
      </c>
      <c r="L36" s="7">
        <v>38426</v>
      </c>
      <c r="M36" s="7">
        <v>20405</v>
      </c>
      <c r="N36" s="7">
        <v>450</v>
      </c>
      <c r="O36" s="7">
        <v>20588</v>
      </c>
      <c r="P36" s="12">
        <v>17571</v>
      </c>
      <c r="Q36" s="9">
        <v>49102</v>
      </c>
      <c r="R36" s="9">
        <v>34057</v>
      </c>
      <c r="S36" s="9">
        <v>890</v>
      </c>
      <c r="T36" s="9">
        <v>32279</v>
      </c>
      <c r="U36" s="617">
        <v>14155</v>
      </c>
      <c r="V36" s="9">
        <v>49455</v>
      </c>
      <c r="W36" s="9">
        <v>29439</v>
      </c>
      <c r="X36" s="9">
        <v>1132</v>
      </c>
      <c r="Y36" s="9">
        <v>32793</v>
      </c>
      <c r="Z36" s="9">
        <v>18884</v>
      </c>
      <c r="AA36" s="9">
        <v>50522</v>
      </c>
      <c r="AB36" s="9">
        <v>10959</v>
      </c>
      <c r="AC36" s="9">
        <v>991</v>
      </c>
      <c r="AD36" s="9">
        <v>33369</v>
      </c>
      <c r="AE36" s="726">
        <v>20682</v>
      </c>
      <c r="AF36" s="14">
        <v>102936</v>
      </c>
      <c r="AG36" s="7">
        <v>94304</v>
      </c>
      <c r="AH36" s="7">
        <v>902</v>
      </c>
      <c r="AI36" s="7">
        <v>7918</v>
      </c>
      <c r="AJ36" s="12">
        <v>7730</v>
      </c>
      <c r="AK36" s="7">
        <v>108585</v>
      </c>
      <c r="AL36" s="7">
        <v>89602</v>
      </c>
      <c r="AM36" s="7">
        <v>895</v>
      </c>
      <c r="AN36" s="7">
        <v>19294</v>
      </c>
      <c r="AO36" s="12">
        <v>18088</v>
      </c>
      <c r="AP36" s="7">
        <v>96666</v>
      </c>
      <c r="AQ36" s="7">
        <v>80899</v>
      </c>
      <c r="AR36" s="7">
        <v>1358</v>
      </c>
      <c r="AS36" s="7">
        <v>26915</v>
      </c>
      <c r="AT36" s="12">
        <v>14409</v>
      </c>
      <c r="AU36" s="7">
        <v>100807</v>
      </c>
      <c r="AV36" s="7">
        <v>81230</v>
      </c>
      <c r="AW36" s="7">
        <v>926</v>
      </c>
      <c r="AX36" s="7">
        <v>30753</v>
      </c>
      <c r="AY36" s="7">
        <v>18651</v>
      </c>
      <c r="AZ36" s="7">
        <v>97606</v>
      </c>
      <c r="BA36" s="7">
        <v>59456</v>
      </c>
      <c r="BB36" s="7">
        <v>1276</v>
      </c>
      <c r="BC36" s="7">
        <v>30771</v>
      </c>
      <c r="BD36" s="63">
        <v>19653</v>
      </c>
      <c r="BE36" s="14">
        <v>150036</v>
      </c>
      <c r="BF36" s="7">
        <v>112959</v>
      </c>
      <c r="BG36" s="7">
        <v>2337</v>
      </c>
      <c r="BH36" s="7">
        <v>62209</v>
      </c>
      <c r="BI36" s="313">
        <f t="shared" si="372"/>
        <v>34740</v>
      </c>
      <c r="BJ36" s="281" t="s">
        <v>186</v>
      </c>
      <c r="BK36" s="282" t="s">
        <v>186</v>
      </c>
      <c r="BL36" s="282" t="s">
        <v>186</v>
      </c>
      <c r="BM36" s="282" t="s">
        <v>186</v>
      </c>
      <c r="BN36" s="281" t="s">
        <v>186</v>
      </c>
      <c r="BO36" s="282" t="s">
        <v>186</v>
      </c>
      <c r="BP36" s="282" t="s">
        <v>186</v>
      </c>
      <c r="BQ36" s="282" t="s">
        <v>186</v>
      </c>
      <c r="BR36" s="283" t="s">
        <v>186</v>
      </c>
      <c r="BS36" s="7">
        <v>764006</v>
      </c>
      <c r="BT36" s="7">
        <v>730612</v>
      </c>
      <c r="BU36" s="7">
        <v>4256</v>
      </c>
      <c r="BV36" s="7">
        <v>22620</v>
      </c>
      <c r="BW36" s="12">
        <v>29138</v>
      </c>
      <c r="BX36" s="7">
        <v>1050881</v>
      </c>
      <c r="BY36" s="7">
        <v>975302</v>
      </c>
      <c r="BZ36" s="7">
        <v>6651</v>
      </c>
      <c r="CA36" s="7">
        <v>51790</v>
      </c>
      <c r="CB36" s="7">
        <v>68928</v>
      </c>
      <c r="CC36" s="214">
        <v>1305002</v>
      </c>
      <c r="CD36" s="7">
        <v>1205239</v>
      </c>
      <c r="CE36" s="7">
        <v>9519</v>
      </c>
      <c r="CF36" s="7">
        <v>90244</v>
      </c>
      <c r="CG36" s="7">
        <v>89524</v>
      </c>
      <c r="CH36" s="14">
        <v>1362276</v>
      </c>
      <c r="CI36" s="7">
        <v>1261808</v>
      </c>
      <c r="CJ36" s="7">
        <v>10192</v>
      </c>
      <c r="CK36" s="7">
        <v>90276</v>
      </c>
      <c r="CL36" s="7">
        <v>93289</v>
      </c>
      <c r="CM36" s="66">
        <v>1388562</v>
      </c>
      <c r="CN36" s="64">
        <v>1288286</v>
      </c>
      <c r="CO36" s="64">
        <v>10734</v>
      </c>
      <c r="CP36" s="64">
        <v>89542</v>
      </c>
      <c r="CQ36" s="64">
        <v>96535</v>
      </c>
      <c r="CR36" s="14">
        <v>1400767</v>
      </c>
      <c r="CS36" s="7">
        <v>1293880</v>
      </c>
      <c r="CT36" s="7">
        <v>11017</v>
      </c>
      <c r="CU36" s="7">
        <v>104224</v>
      </c>
      <c r="CV36" s="7">
        <v>80002</v>
      </c>
      <c r="CW36" s="14">
        <v>1427711.608</v>
      </c>
      <c r="CX36" s="7">
        <v>1315470.2799999998</v>
      </c>
      <c r="CY36" s="7">
        <v>11477.239999999998</v>
      </c>
      <c r="CZ36" s="7">
        <v>108055.79000000001</v>
      </c>
      <c r="DA36" s="567">
        <f t="shared" si="373"/>
        <v>100764.08800000022</v>
      </c>
      <c r="DB36" s="7">
        <v>1462148</v>
      </c>
      <c r="DC36" s="7">
        <v>1343777</v>
      </c>
      <c r="DD36" s="7">
        <v>12608</v>
      </c>
      <c r="DE36" s="7">
        <v>112929</v>
      </c>
      <c r="DF36" s="7">
        <v>105763</v>
      </c>
      <c r="DG36" s="7">
        <v>1493622</v>
      </c>
      <c r="DH36" s="7">
        <v>1292546</v>
      </c>
      <c r="DI36" s="7">
        <v>13329</v>
      </c>
      <c r="DJ36" s="7">
        <v>116471</v>
      </c>
      <c r="DK36" s="7">
        <v>64426</v>
      </c>
      <c r="DL36" s="281" t="s">
        <v>186</v>
      </c>
      <c r="DM36" s="282" t="s">
        <v>186</v>
      </c>
      <c r="DN36" s="282" t="s">
        <v>186</v>
      </c>
      <c r="DO36" s="282" t="s">
        <v>186</v>
      </c>
      <c r="DP36" s="283" t="s">
        <v>186</v>
      </c>
      <c r="DQ36" s="7">
        <v>320121</v>
      </c>
      <c r="DR36" s="7">
        <v>306612</v>
      </c>
      <c r="DS36" s="7">
        <v>2202</v>
      </c>
      <c r="DT36" s="7">
        <v>9802</v>
      </c>
      <c r="DU36" s="12">
        <v>11307</v>
      </c>
      <c r="DV36" s="7">
        <v>443492</v>
      </c>
      <c r="DW36" s="7">
        <v>413450</v>
      </c>
      <c r="DX36" s="7">
        <v>3213</v>
      </c>
      <c r="DY36" s="7">
        <v>20101</v>
      </c>
      <c r="DZ36" s="12">
        <v>26829</v>
      </c>
      <c r="EA36" s="7">
        <v>571281</v>
      </c>
      <c r="EB36" s="7">
        <v>531960</v>
      </c>
      <c r="EC36" s="7">
        <v>4251</v>
      </c>
      <c r="ED36" s="7">
        <v>38739</v>
      </c>
      <c r="EE36" s="12">
        <v>35070</v>
      </c>
      <c r="EF36" s="7">
        <v>582771.66299999994</v>
      </c>
      <c r="EG36" s="7">
        <v>540486.70199999993</v>
      </c>
      <c r="EH36" s="7">
        <v>5185.5</v>
      </c>
      <c r="EI36" s="7">
        <v>39881.79</v>
      </c>
      <c r="EJ36" s="12">
        <v>37099.46100000001</v>
      </c>
      <c r="EK36" s="7">
        <v>595467</v>
      </c>
      <c r="EL36" s="7">
        <v>550630</v>
      </c>
      <c r="EM36" s="7">
        <v>5610</v>
      </c>
      <c r="EN36" s="7">
        <v>42644</v>
      </c>
      <c r="EO36" s="661">
        <v>39227</v>
      </c>
      <c r="EP36" s="661">
        <v>608968</v>
      </c>
      <c r="EQ36" s="661">
        <v>533584</v>
      </c>
      <c r="ER36" s="661">
        <v>5990</v>
      </c>
      <c r="ES36" s="661">
        <v>45204</v>
      </c>
      <c r="ET36" s="661">
        <v>40217</v>
      </c>
      <c r="EU36" s="14">
        <v>69715</v>
      </c>
      <c r="EV36" s="7">
        <v>66655</v>
      </c>
      <c r="EW36" s="7">
        <v>465</v>
      </c>
      <c r="EX36" s="7">
        <v>2172</v>
      </c>
      <c r="EY36" s="12">
        <v>2595</v>
      </c>
      <c r="EZ36" s="7">
        <v>94812</v>
      </c>
      <c r="FA36" s="7">
        <v>87886</v>
      </c>
      <c r="FB36" s="7">
        <v>576</v>
      </c>
      <c r="FC36" s="7">
        <v>4206</v>
      </c>
      <c r="FD36" s="12">
        <v>6350</v>
      </c>
      <c r="FE36" s="14">
        <v>143060</v>
      </c>
      <c r="FF36" s="7">
        <v>134013</v>
      </c>
      <c r="FG36" s="7">
        <v>1140</v>
      </c>
      <c r="FH36" s="7">
        <v>8291</v>
      </c>
      <c r="FI36" s="7">
        <v>7907</v>
      </c>
      <c r="FJ36" s="14"/>
      <c r="FK36" s="7"/>
      <c r="FL36" s="7"/>
      <c r="FM36" s="7"/>
      <c r="FN36" s="12"/>
      <c r="FO36" s="7">
        <v>150219</v>
      </c>
      <c r="FP36" s="7">
        <v>139885</v>
      </c>
      <c r="FQ36" s="7">
        <v>1234</v>
      </c>
      <c r="FR36" s="7">
        <v>8786</v>
      </c>
      <c r="FS36" s="7">
        <v>9100</v>
      </c>
      <c r="FT36" s="7">
        <v>156278</v>
      </c>
      <c r="FU36" s="7">
        <v>138793</v>
      </c>
      <c r="FV36" s="7">
        <v>1441</v>
      </c>
      <c r="FW36" s="7">
        <v>9756</v>
      </c>
      <c r="FX36" s="7">
        <v>9970</v>
      </c>
      <c r="FY36" s="609">
        <f t="shared" si="428"/>
        <v>269468</v>
      </c>
      <c r="FZ36" s="584">
        <f t="shared" si="429"/>
        <v>258687</v>
      </c>
      <c r="GA36" s="584">
        <f t="shared" si="430"/>
        <v>1344</v>
      </c>
      <c r="GB36" s="584">
        <f t="shared" si="431"/>
        <v>5554</v>
      </c>
      <c r="GC36" s="584">
        <f t="shared" si="432"/>
        <v>9437</v>
      </c>
      <c r="GD36" s="609">
        <f t="shared" si="433"/>
        <v>407775</v>
      </c>
      <c r="GE36" s="584">
        <f t="shared" si="434"/>
        <v>382015</v>
      </c>
      <c r="GF36" s="584">
        <f t="shared" si="435"/>
        <v>2157</v>
      </c>
      <c r="GG36" s="584">
        <f t="shared" si="436"/>
        <v>13152</v>
      </c>
      <c r="GH36" s="584">
        <f t="shared" si="437"/>
        <v>23603</v>
      </c>
      <c r="GI36" s="14">
        <v>541958</v>
      </c>
      <c r="GJ36" s="7">
        <v>507273</v>
      </c>
      <c r="GK36" s="7">
        <v>3893</v>
      </c>
      <c r="GL36" s="7">
        <v>23954</v>
      </c>
      <c r="GM36" s="7">
        <v>30792</v>
      </c>
      <c r="GN36" s="605"/>
      <c r="GO36" s="9"/>
      <c r="GP36" s="9"/>
      <c r="GQ36" s="9"/>
      <c r="GR36" s="9"/>
      <c r="GS36" s="9">
        <v>634980</v>
      </c>
      <c r="GT36" s="9">
        <v>590562</v>
      </c>
      <c r="GU36" s="9">
        <v>4525</v>
      </c>
      <c r="GV36" s="9">
        <v>30621</v>
      </c>
      <c r="GW36" s="617">
        <v>39893</v>
      </c>
      <c r="GX36" s="9">
        <v>1972617</v>
      </c>
      <c r="GY36" s="9">
        <v>590026</v>
      </c>
      <c r="GZ36" s="9">
        <v>4946</v>
      </c>
      <c r="HA36" s="9">
        <v>32799</v>
      </c>
      <c r="HB36" s="9">
        <v>25504</v>
      </c>
      <c r="HC36" s="14">
        <v>138534</v>
      </c>
      <c r="HD36" s="7">
        <v>133665</v>
      </c>
      <c r="HE36" s="7">
        <v>585</v>
      </c>
      <c r="HF36" s="7">
        <v>2361</v>
      </c>
      <c r="HG36" s="7">
        <v>4284</v>
      </c>
      <c r="HH36" s="14">
        <v>213959</v>
      </c>
      <c r="HI36" s="7">
        <v>201514</v>
      </c>
      <c r="HJ36" s="7">
        <v>1194</v>
      </c>
      <c r="HK36" s="7">
        <v>6107</v>
      </c>
      <c r="HL36" s="7">
        <v>11251</v>
      </c>
      <c r="HM36" s="14">
        <v>306538</v>
      </c>
      <c r="HN36" s="7">
        <v>286965</v>
      </c>
      <c r="HO36" s="7">
        <v>2187</v>
      </c>
      <c r="HP36" s="7">
        <v>13166</v>
      </c>
      <c r="HQ36" s="7">
        <v>17386</v>
      </c>
      <c r="HR36" s="14">
        <v>314286.07299999997</v>
      </c>
      <c r="HS36" s="7">
        <v>293121.09499999997</v>
      </c>
      <c r="HT36" s="7">
        <v>2018.8879999999999</v>
      </c>
      <c r="HU36" s="7">
        <v>14657.409999999998</v>
      </c>
      <c r="HV36" s="7">
        <v>19146.090000000004</v>
      </c>
      <c r="HW36" s="7">
        <v>336832</v>
      </c>
      <c r="HX36" s="7">
        <v>301311</v>
      </c>
      <c r="HY36" s="7">
        <v>2521</v>
      </c>
      <c r="HZ36" s="7">
        <v>16997</v>
      </c>
      <c r="IA36" s="7">
        <v>21487</v>
      </c>
      <c r="IB36" s="281" t="s">
        <v>186</v>
      </c>
      <c r="IC36" s="282" t="s">
        <v>186</v>
      </c>
      <c r="ID36" s="339">
        <v>42738</v>
      </c>
      <c r="IE36" s="355">
        <f t="shared" si="384"/>
        <v>27816</v>
      </c>
      <c r="IF36" s="355">
        <f t="shared" si="385"/>
        <v>14922</v>
      </c>
      <c r="IG36" s="355">
        <f t="shared" si="386"/>
        <v>42202</v>
      </c>
      <c r="IH36" s="341">
        <v>27469</v>
      </c>
      <c r="II36" s="341">
        <v>14733</v>
      </c>
      <c r="IJ36" s="355">
        <f t="shared" si="387"/>
        <v>536</v>
      </c>
      <c r="IK36" s="341">
        <v>347</v>
      </c>
      <c r="IL36" s="341">
        <v>189</v>
      </c>
      <c r="IM36" s="339">
        <v>68836</v>
      </c>
      <c r="IN36" s="355">
        <f t="shared" si="388"/>
        <v>44498</v>
      </c>
      <c r="IO36" s="355">
        <f t="shared" si="389"/>
        <v>24338</v>
      </c>
      <c r="IP36" s="355">
        <f t="shared" si="390"/>
        <v>67723</v>
      </c>
      <c r="IQ36" s="341">
        <v>43769</v>
      </c>
      <c r="IR36" s="341">
        <v>23954</v>
      </c>
      <c r="IS36" s="355">
        <f t="shared" si="391"/>
        <v>196</v>
      </c>
      <c r="IT36" s="341">
        <v>110</v>
      </c>
      <c r="IU36" s="341">
        <v>86</v>
      </c>
      <c r="IV36" s="355">
        <f t="shared" si="392"/>
        <v>917</v>
      </c>
      <c r="IW36" s="341">
        <v>619</v>
      </c>
      <c r="IX36" s="341">
        <v>298</v>
      </c>
      <c r="IY36" s="339">
        <v>140102</v>
      </c>
      <c r="IZ36" s="355">
        <f t="shared" si="393"/>
        <v>87735</v>
      </c>
      <c r="JA36" s="355">
        <f t="shared" si="394"/>
        <v>52367</v>
      </c>
      <c r="JB36" s="365">
        <f t="shared" si="395"/>
        <v>134664</v>
      </c>
      <c r="JC36" s="341">
        <v>84312</v>
      </c>
      <c r="JD36" s="341">
        <v>50352</v>
      </c>
      <c r="JE36" s="341">
        <v>3423</v>
      </c>
      <c r="JF36" s="341">
        <v>2015</v>
      </c>
      <c r="JG36" s="365">
        <f t="shared" si="396"/>
        <v>567</v>
      </c>
      <c r="JH36" s="341">
        <v>363</v>
      </c>
      <c r="JI36" s="341">
        <v>204</v>
      </c>
      <c r="JJ36" s="365">
        <f t="shared" si="397"/>
        <v>1855</v>
      </c>
      <c r="JK36" s="341">
        <v>1192</v>
      </c>
      <c r="JL36" s="341">
        <v>663</v>
      </c>
      <c r="JM36" s="356">
        <f t="shared" si="398"/>
        <v>3016</v>
      </c>
      <c r="JN36" s="356">
        <f t="shared" si="399"/>
        <v>1868</v>
      </c>
      <c r="JO36" s="356">
        <f t="shared" si="400"/>
        <v>1148</v>
      </c>
      <c r="JP36" s="357">
        <f t="shared" si="401"/>
        <v>70</v>
      </c>
      <c r="JQ36" s="357">
        <f t="shared" si="402"/>
        <v>44</v>
      </c>
      <c r="JR36" s="357">
        <f t="shared" si="403"/>
        <v>26</v>
      </c>
      <c r="JS36" s="341">
        <v>2946</v>
      </c>
      <c r="JT36" s="341">
        <v>1824</v>
      </c>
      <c r="JU36" s="341">
        <v>1122</v>
      </c>
      <c r="JV36" s="16">
        <f t="shared" si="404"/>
        <v>199753</v>
      </c>
      <c r="JW36" s="355">
        <f t="shared" si="405"/>
        <v>119563</v>
      </c>
      <c r="JX36" s="355">
        <f t="shared" si="406"/>
        <v>80190</v>
      </c>
      <c r="JY36" s="15">
        <f t="shared" si="407"/>
        <v>192032</v>
      </c>
      <c r="JZ36" s="151">
        <f t="shared" si="408"/>
        <v>189898</v>
      </c>
      <c r="KA36" s="341">
        <v>113836</v>
      </c>
      <c r="KB36" s="341">
        <v>76062</v>
      </c>
      <c r="KC36" s="341">
        <v>5727</v>
      </c>
      <c r="KD36" s="341">
        <v>4128</v>
      </c>
      <c r="KE36" s="15">
        <f t="shared" si="409"/>
        <v>879</v>
      </c>
      <c r="KF36" s="151">
        <f t="shared" si="410"/>
        <v>840</v>
      </c>
      <c r="KG36" s="341">
        <v>546</v>
      </c>
      <c r="KH36" s="341">
        <v>294</v>
      </c>
      <c r="KI36" s="15">
        <f t="shared" si="411"/>
        <v>3382</v>
      </c>
      <c r="KJ36" s="341">
        <v>2061</v>
      </c>
      <c r="KK36" s="341">
        <v>1321</v>
      </c>
      <c r="KL36" s="13">
        <f t="shared" si="412"/>
        <v>6842</v>
      </c>
      <c r="KM36" s="358">
        <f t="shared" si="413"/>
        <v>3120</v>
      </c>
      <c r="KN36" s="358">
        <f t="shared" si="414"/>
        <v>2513</v>
      </c>
      <c r="KO36" s="359">
        <f t="shared" si="415"/>
        <v>38</v>
      </c>
      <c r="KP36" s="359">
        <f t="shared" si="416"/>
        <v>25</v>
      </c>
      <c r="KQ36" s="359">
        <f t="shared" si="417"/>
        <v>13</v>
      </c>
      <c r="KR36" s="360">
        <f t="shared" si="418"/>
        <v>5595</v>
      </c>
      <c r="KS36" s="360">
        <f t="shared" si="419"/>
        <v>3095</v>
      </c>
      <c r="KT36" s="360">
        <f t="shared" si="420"/>
        <v>2500</v>
      </c>
      <c r="KU36" s="341">
        <v>314</v>
      </c>
      <c r="KV36" s="341">
        <v>316</v>
      </c>
      <c r="KW36" s="341">
        <v>2781</v>
      </c>
      <c r="KX36" s="341">
        <v>2184</v>
      </c>
      <c r="KY36" s="361">
        <v>312963</v>
      </c>
      <c r="KZ36" s="341">
        <v>177724</v>
      </c>
      <c r="LA36" s="341">
        <v>135239</v>
      </c>
      <c r="LB36" s="9">
        <f t="shared" si="421"/>
        <v>294129</v>
      </c>
      <c r="LC36" s="9">
        <v>167616</v>
      </c>
      <c r="LD36" s="9">
        <v>126513</v>
      </c>
      <c r="LE36" s="140">
        <f t="shared" si="422"/>
        <v>289266</v>
      </c>
      <c r="LF36" s="341">
        <v>165109</v>
      </c>
      <c r="LG36" s="341">
        <v>124157</v>
      </c>
      <c r="LH36" s="9">
        <f t="shared" si="423"/>
        <v>1581</v>
      </c>
      <c r="LI36" s="341">
        <v>965</v>
      </c>
      <c r="LJ36" s="341">
        <v>616</v>
      </c>
      <c r="LK36" s="9">
        <f t="shared" si="424"/>
        <v>8946</v>
      </c>
      <c r="LL36" s="341">
        <v>4706</v>
      </c>
      <c r="LM36" s="341">
        <v>4240</v>
      </c>
      <c r="LN36" s="140">
        <f t="shared" si="425"/>
        <v>17253</v>
      </c>
      <c r="LO36" s="140">
        <f t="shared" si="426"/>
        <v>9143</v>
      </c>
      <c r="LP36" s="140">
        <f t="shared" si="427"/>
        <v>8110</v>
      </c>
      <c r="LQ36" s="349">
        <v>409232</v>
      </c>
      <c r="LR36" s="341">
        <v>384142</v>
      </c>
      <c r="LS36" s="341">
        <v>2359</v>
      </c>
      <c r="LT36" s="341">
        <v>22731</v>
      </c>
      <c r="LU36" s="9">
        <v>15425</v>
      </c>
      <c r="LV36" s="14">
        <v>434984</v>
      </c>
      <c r="LW36" s="7">
        <v>406961</v>
      </c>
      <c r="LX36" s="7">
        <v>2949</v>
      </c>
      <c r="LY36" s="7">
        <v>25074</v>
      </c>
      <c r="LZ36" s="7">
        <v>16745</v>
      </c>
      <c r="MA36" s="14">
        <v>442561</v>
      </c>
      <c r="MB36" s="7">
        <v>414750</v>
      </c>
      <c r="MC36" s="7">
        <v>3062</v>
      </c>
      <c r="MD36" s="7">
        <v>24749</v>
      </c>
      <c r="ME36" s="7">
        <v>16912</v>
      </c>
      <c r="MF36" s="14">
        <v>452016</v>
      </c>
      <c r="MG36" s="7">
        <v>421825</v>
      </c>
      <c r="MH36" s="7">
        <v>3214</v>
      </c>
      <c r="MI36" s="7">
        <v>26977</v>
      </c>
      <c r="MJ36" s="7">
        <v>18113</v>
      </c>
      <c r="MK36" s="14">
        <v>464322.13799999998</v>
      </c>
      <c r="ML36" s="7">
        <v>433247.277</v>
      </c>
      <c r="MM36" s="7">
        <v>2613.4919999999997</v>
      </c>
      <c r="MN36" s="7">
        <v>19600.024999999998</v>
      </c>
      <c r="MO36" s="7">
        <v>28461.368999999977</v>
      </c>
      <c r="MP36" s="7">
        <v>484761</v>
      </c>
      <c r="MQ36" s="7">
        <v>450677</v>
      </c>
      <c r="MR36" s="7">
        <v>3291</v>
      </c>
      <c r="MS36" s="7">
        <v>21835</v>
      </c>
      <c r="MT36" s="2">
        <v>30793</v>
      </c>
      <c r="MU36" s="2">
        <v>504859</v>
      </c>
      <c r="MV36" s="2">
        <v>451233</v>
      </c>
      <c r="MW36" s="2">
        <v>3505</v>
      </c>
      <c r="MX36" s="2">
        <v>23043</v>
      </c>
      <c r="MY36" s="2">
        <v>19528</v>
      </c>
      <c r="MZ36" s="14">
        <v>61219</v>
      </c>
      <c r="NA36" s="7">
        <v>58367</v>
      </c>
      <c r="NB36" s="7">
        <v>294</v>
      </c>
      <c r="NC36" s="7">
        <v>1021</v>
      </c>
      <c r="ND36" s="7">
        <v>2558</v>
      </c>
      <c r="NE36" s="14">
        <v>99004</v>
      </c>
      <c r="NF36" s="7">
        <v>92615</v>
      </c>
      <c r="NG36" s="7">
        <v>387</v>
      </c>
      <c r="NH36" s="7">
        <v>2839</v>
      </c>
      <c r="NI36" s="7">
        <v>6002</v>
      </c>
      <c r="NJ36" s="14">
        <v>145478</v>
      </c>
      <c r="NK36" s="7">
        <v>134860</v>
      </c>
      <c r="NL36" s="7">
        <v>1027</v>
      </c>
      <c r="NM36" s="7">
        <v>4947</v>
      </c>
      <c r="NN36" s="7">
        <v>9591</v>
      </c>
      <c r="NO36" s="14">
        <v>150036.065</v>
      </c>
      <c r="NP36" s="7">
        <v>140126.182</v>
      </c>
      <c r="NQ36" s="7">
        <v>594.60399999999993</v>
      </c>
      <c r="NR36" s="7">
        <v>4942.6149999999998</v>
      </c>
      <c r="NS36" s="12">
        <v>9315.2790000000023</v>
      </c>
      <c r="NT36" s="1">
        <v>159577</v>
      </c>
      <c r="NU36" s="2">
        <v>147757</v>
      </c>
      <c r="NV36" s="2">
        <v>908</v>
      </c>
      <c r="NW36" s="2">
        <v>5592</v>
      </c>
      <c r="NX36" s="79">
        <v>10912</v>
      </c>
      <c r="NY36" s="2">
        <v>168027</v>
      </c>
      <c r="NZ36" s="2">
        <v>149922</v>
      </c>
      <c r="OA36" s="2">
        <v>984</v>
      </c>
      <c r="OB36" s="2">
        <v>6046</v>
      </c>
      <c r="OC36" s="2">
        <v>12605</v>
      </c>
    </row>
    <row r="37" spans="1:393" ht="14.25" x14ac:dyDescent="0.2">
      <c r="A37" s="240" t="s">
        <v>48</v>
      </c>
      <c r="B37" s="281" t="s">
        <v>186</v>
      </c>
      <c r="C37" s="282" t="s">
        <v>186</v>
      </c>
      <c r="D37" s="282" t="s">
        <v>186</v>
      </c>
      <c r="E37" s="282" t="s">
        <v>186</v>
      </c>
      <c r="F37" s="283" t="s">
        <v>186</v>
      </c>
      <c r="G37" s="7">
        <v>171311</v>
      </c>
      <c r="H37" s="7">
        <v>127886</v>
      </c>
      <c r="I37" s="7">
        <v>4446</v>
      </c>
      <c r="J37" s="7">
        <v>27002</v>
      </c>
      <c r="K37" s="12">
        <v>38979</v>
      </c>
      <c r="L37" s="7">
        <v>165205</v>
      </c>
      <c r="M37" s="7">
        <v>89311</v>
      </c>
      <c r="N37" s="7">
        <v>4559</v>
      </c>
      <c r="O37" s="7">
        <v>60802</v>
      </c>
      <c r="P37" s="12">
        <v>71335</v>
      </c>
      <c r="Q37" s="9">
        <v>181423</v>
      </c>
      <c r="R37" s="9">
        <v>97548</v>
      </c>
      <c r="S37" s="9">
        <v>6255</v>
      </c>
      <c r="T37" s="9">
        <v>91762</v>
      </c>
      <c r="U37" s="617">
        <v>77620</v>
      </c>
      <c r="V37" s="9">
        <v>189474</v>
      </c>
      <c r="W37" s="9">
        <v>99655</v>
      </c>
      <c r="X37" s="9">
        <v>7059</v>
      </c>
      <c r="Y37" s="9">
        <v>96543</v>
      </c>
      <c r="Z37" s="9">
        <v>82760</v>
      </c>
      <c r="AA37" s="9">
        <v>188876</v>
      </c>
      <c r="AB37" s="9">
        <v>50390</v>
      </c>
      <c r="AC37" s="9">
        <v>6842</v>
      </c>
      <c r="AD37" s="9">
        <v>96188</v>
      </c>
      <c r="AE37" s="726">
        <v>80774</v>
      </c>
      <c r="AF37" s="14">
        <v>334472</v>
      </c>
      <c r="AG37" s="7">
        <v>296444</v>
      </c>
      <c r="AH37" s="7">
        <v>10317</v>
      </c>
      <c r="AI37" s="7">
        <v>13217</v>
      </c>
      <c r="AJ37" s="12">
        <v>27711</v>
      </c>
      <c r="AK37" s="7">
        <v>329131</v>
      </c>
      <c r="AL37" s="7">
        <v>259623</v>
      </c>
      <c r="AM37" s="7">
        <v>12711</v>
      </c>
      <c r="AN37" s="7">
        <v>33501</v>
      </c>
      <c r="AO37" s="12">
        <v>56797</v>
      </c>
      <c r="AP37" s="7">
        <v>275615</v>
      </c>
      <c r="AQ37" s="7">
        <v>205176</v>
      </c>
      <c r="AR37" s="7">
        <v>11090</v>
      </c>
      <c r="AS37" s="7">
        <v>51181</v>
      </c>
      <c r="AT37" s="12">
        <v>59349</v>
      </c>
      <c r="AU37" s="7">
        <v>264907</v>
      </c>
      <c r="AV37" s="7">
        <v>194582</v>
      </c>
      <c r="AW37" s="7">
        <v>10679</v>
      </c>
      <c r="AX37" s="7">
        <v>51432</v>
      </c>
      <c r="AY37" s="7">
        <v>59646</v>
      </c>
      <c r="AZ37" s="7">
        <v>264465</v>
      </c>
      <c r="BA37" s="7">
        <v>164455</v>
      </c>
      <c r="BB37" s="7">
        <v>12368</v>
      </c>
      <c r="BC37" s="7">
        <v>52714</v>
      </c>
      <c r="BD37" s="63">
        <v>59873</v>
      </c>
      <c r="BE37" s="14">
        <v>460215</v>
      </c>
      <c r="BF37" s="7">
        <v>299863</v>
      </c>
      <c r="BG37" s="7">
        <v>18142</v>
      </c>
      <c r="BH37" s="7">
        <v>148865</v>
      </c>
      <c r="BI37" s="313">
        <f t="shared" si="372"/>
        <v>142210</v>
      </c>
      <c r="BJ37" s="281" t="s">
        <v>186</v>
      </c>
      <c r="BK37" s="282" t="s">
        <v>186</v>
      </c>
      <c r="BL37" s="282" t="s">
        <v>186</v>
      </c>
      <c r="BM37" s="282" t="s">
        <v>186</v>
      </c>
      <c r="BN37" s="281" t="s">
        <v>186</v>
      </c>
      <c r="BO37" s="282" t="s">
        <v>186</v>
      </c>
      <c r="BP37" s="282" t="s">
        <v>186</v>
      </c>
      <c r="BQ37" s="282" t="s">
        <v>186</v>
      </c>
      <c r="BR37" s="283" t="s">
        <v>186</v>
      </c>
      <c r="BS37" s="7">
        <v>2620607</v>
      </c>
      <c r="BT37" s="7">
        <v>2409323</v>
      </c>
      <c r="BU37" s="7">
        <v>63835</v>
      </c>
      <c r="BV37" s="7">
        <v>52718</v>
      </c>
      <c r="BW37" s="12">
        <v>147449</v>
      </c>
      <c r="BX37" s="7">
        <v>3333171</v>
      </c>
      <c r="BY37" s="7">
        <v>2899559</v>
      </c>
      <c r="BZ37" s="7">
        <v>90342</v>
      </c>
      <c r="CA37" s="7">
        <v>106397</v>
      </c>
      <c r="CB37" s="7">
        <v>343270</v>
      </c>
      <c r="CC37" s="214">
        <v>3773176</v>
      </c>
      <c r="CD37" s="7">
        <v>3222021</v>
      </c>
      <c r="CE37" s="7">
        <v>109719</v>
      </c>
      <c r="CF37" s="7">
        <v>441436</v>
      </c>
      <c r="CG37" s="7">
        <v>164749</v>
      </c>
      <c r="CH37" s="14">
        <v>3853679</v>
      </c>
      <c r="CI37" s="7">
        <v>3284547</v>
      </c>
      <c r="CJ37" s="7">
        <v>112390</v>
      </c>
      <c r="CK37" s="7">
        <v>456742</v>
      </c>
      <c r="CL37" s="7">
        <v>173642</v>
      </c>
      <c r="CM37" s="66">
        <v>3916215</v>
      </c>
      <c r="CN37" s="64">
        <v>3328013</v>
      </c>
      <c r="CO37" s="64">
        <v>115812</v>
      </c>
      <c r="CP37" s="64">
        <v>472390</v>
      </c>
      <c r="CQ37" s="64">
        <v>180377</v>
      </c>
      <c r="CR37" s="14">
        <v>3979945</v>
      </c>
      <c r="CS37" s="7">
        <v>3350182</v>
      </c>
      <c r="CT37" s="7">
        <v>125182</v>
      </c>
      <c r="CU37" s="7">
        <v>203484</v>
      </c>
      <c r="CV37" s="7">
        <v>404324</v>
      </c>
      <c r="CW37" s="14">
        <v>4051693.3840000001</v>
      </c>
      <c r="CX37" s="7">
        <v>3405846.44</v>
      </c>
      <c r="CY37" s="7">
        <v>128167.56</v>
      </c>
      <c r="CZ37" s="7">
        <v>214583.23499999999</v>
      </c>
      <c r="DA37" s="567">
        <f t="shared" si="373"/>
        <v>517679.38400000014</v>
      </c>
      <c r="DB37" s="7">
        <v>4122790</v>
      </c>
      <c r="DC37" s="7">
        <v>3446325</v>
      </c>
      <c r="DD37" s="7">
        <v>132481</v>
      </c>
      <c r="DE37" s="7">
        <v>228122</v>
      </c>
      <c r="DF37" s="7">
        <v>543984</v>
      </c>
      <c r="DG37" s="7">
        <v>4186862</v>
      </c>
      <c r="DH37" s="7">
        <v>3338713</v>
      </c>
      <c r="DI37" s="7">
        <v>136194</v>
      </c>
      <c r="DJ37" s="7">
        <v>240501</v>
      </c>
      <c r="DK37" s="7">
        <v>329393</v>
      </c>
      <c r="DL37" s="281" t="s">
        <v>186</v>
      </c>
      <c r="DM37" s="282" t="s">
        <v>186</v>
      </c>
      <c r="DN37" s="282" t="s">
        <v>186</v>
      </c>
      <c r="DO37" s="282" t="s">
        <v>186</v>
      </c>
      <c r="DP37" s="283" t="s">
        <v>186</v>
      </c>
      <c r="DQ37" s="7">
        <v>1030488</v>
      </c>
      <c r="DR37" s="7">
        <v>942785</v>
      </c>
      <c r="DS37" s="7">
        <v>30712</v>
      </c>
      <c r="DT37" s="7">
        <v>23607</v>
      </c>
      <c r="DU37" s="12">
        <v>56991</v>
      </c>
      <c r="DV37" s="7">
        <v>1318202</v>
      </c>
      <c r="DW37" s="7">
        <v>1145625</v>
      </c>
      <c r="DX37" s="7">
        <v>43348</v>
      </c>
      <c r="DY37" s="7">
        <v>43470</v>
      </c>
      <c r="DZ37" s="12">
        <v>129229</v>
      </c>
      <c r="EA37" s="7">
        <v>1549631</v>
      </c>
      <c r="EB37" s="7">
        <v>1315137</v>
      </c>
      <c r="EC37" s="7">
        <v>61152</v>
      </c>
      <c r="ED37" s="7">
        <v>81891</v>
      </c>
      <c r="EE37" s="12">
        <v>173342</v>
      </c>
      <c r="EF37" s="7">
        <v>1565632.0760000001</v>
      </c>
      <c r="EG37" s="7">
        <v>1325318.5060000001</v>
      </c>
      <c r="EH37" s="7">
        <v>60572.34</v>
      </c>
      <c r="EI37" s="7">
        <v>86777.315000000002</v>
      </c>
      <c r="EJ37" s="12">
        <v>179741.23000000007</v>
      </c>
      <c r="EK37" s="7">
        <v>1591450</v>
      </c>
      <c r="EL37" s="7">
        <v>1342724</v>
      </c>
      <c r="EM37" s="7">
        <v>62597</v>
      </c>
      <c r="EN37" s="7">
        <v>90730</v>
      </c>
      <c r="EO37" s="661">
        <v>186129</v>
      </c>
      <c r="EP37" s="661">
        <v>1602494</v>
      </c>
      <c r="EQ37" s="661">
        <v>1289696</v>
      </c>
      <c r="ER37" s="661">
        <v>64709</v>
      </c>
      <c r="ES37" s="661">
        <v>92739</v>
      </c>
      <c r="ET37" s="661">
        <v>191595</v>
      </c>
      <c r="EU37" s="14">
        <v>248478</v>
      </c>
      <c r="EV37" s="7">
        <v>225237</v>
      </c>
      <c r="EW37" s="7">
        <v>7086</v>
      </c>
      <c r="EX37" s="7">
        <v>6085</v>
      </c>
      <c r="EY37" s="12">
        <v>16155</v>
      </c>
      <c r="EZ37" s="7">
        <v>307401</v>
      </c>
      <c r="FA37" s="7">
        <v>263329</v>
      </c>
      <c r="FB37" s="7">
        <v>9731</v>
      </c>
      <c r="FC37" s="7">
        <v>9901</v>
      </c>
      <c r="FD37" s="12">
        <v>34341</v>
      </c>
      <c r="FE37" s="14">
        <v>414327</v>
      </c>
      <c r="FF37" s="7">
        <v>351365</v>
      </c>
      <c r="FG37" s="7">
        <v>15388</v>
      </c>
      <c r="FH37" s="7">
        <v>20520</v>
      </c>
      <c r="FI37" s="7">
        <v>47574</v>
      </c>
      <c r="FJ37" s="14"/>
      <c r="FK37" s="7"/>
      <c r="FL37" s="7"/>
      <c r="FM37" s="7"/>
      <c r="FN37" s="12"/>
      <c r="FO37" s="7">
        <v>438650</v>
      </c>
      <c r="FP37" s="7">
        <v>368809</v>
      </c>
      <c r="FQ37" s="7">
        <v>15934</v>
      </c>
      <c r="FR37" s="7">
        <v>23739</v>
      </c>
      <c r="FS37" s="7">
        <v>53907</v>
      </c>
      <c r="FT37" s="7">
        <v>446574</v>
      </c>
      <c r="FU37" s="7">
        <v>357582</v>
      </c>
      <c r="FV37" s="7">
        <v>16543</v>
      </c>
      <c r="FW37" s="7">
        <v>23648</v>
      </c>
      <c r="FX37" s="7">
        <v>57106</v>
      </c>
      <c r="FY37" s="609">
        <f t="shared" si="428"/>
        <v>965447</v>
      </c>
      <c r="FZ37" s="584">
        <f t="shared" si="429"/>
        <v>886422</v>
      </c>
      <c r="GA37" s="584">
        <f t="shared" si="430"/>
        <v>19195</v>
      </c>
      <c r="GB37" s="584">
        <f t="shared" si="431"/>
        <v>16333</v>
      </c>
      <c r="GC37" s="584">
        <f t="shared" si="432"/>
        <v>59830</v>
      </c>
      <c r="GD37" s="609">
        <f t="shared" si="433"/>
        <v>1368826</v>
      </c>
      <c r="GE37" s="584">
        <f t="shared" si="434"/>
        <v>1190713</v>
      </c>
      <c r="GF37" s="584">
        <f t="shared" si="435"/>
        <v>30579</v>
      </c>
      <c r="GG37" s="584">
        <f t="shared" si="436"/>
        <v>32236</v>
      </c>
      <c r="GH37" s="584">
        <f t="shared" si="437"/>
        <v>147534</v>
      </c>
      <c r="GI37" s="14">
        <v>1554874</v>
      </c>
      <c r="GJ37" s="7">
        <v>1303580</v>
      </c>
      <c r="GK37" s="7">
        <v>39901</v>
      </c>
      <c r="GL37" s="7">
        <v>55622</v>
      </c>
      <c r="GM37" s="7">
        <v>211393</v>
      </c>
      <c r="GN37" s="605"/>
      <c r="GO37" s="9"/>
      <c r="GP37" s="9"/>
      <c r="GQ37" s="9"/>
      <c r="GR37" s="9"/>
      <c r="GS37" s="9">
        <v>1880342</v>
      </c>
      <c r="GT37" s="9">
        <v>1570020</v>
      </c>
      <c r="GU37" s="9">
        <v>46228</v>
      </c>
      <c r="GV37" s="9">
        <v>69876</v>
      </c>
      <c r="GW37" s="617">
        <v>264094</v>
      </c>
      <c r="GX37" s="9">
        <v>5576244</v>
      </c>
      <c r="GY37" s="9">
        <v>1556112</v>
      </c>
      <c r="GZ37" s="9">
        <v>48183</v>
      </c>
      <c r="HA37" s="9">
        <v>74945</v>
      </c>
      <c r="HB37" s="9">
        <v>158282</v>
      </c>
      <c r="HC37" s="14">
        <v>496866</v>
      </c>
      <c r="HD37" s="7">
        <v>457663</v>
      </c>
      <c r="HE37" s="7">
        <v>8733</v>
      </c>
      <c r="HF37" s="7">
        <v>7075</v>
      </c>
      <c r="HG37" s="7">
        <v>30470</v>
      </c>
      <c r="HH37" s="14">
        <v>704826</v>
      </c>
      <c r="HI37" s="7">
        <v>613805</v>
      </c>
      <c r="HJ37" s="7">
        <v>14220</v>
      </c>
      <c r="HK37" s="7">
        <v>14687</v>
      </c>
      <c r="HL37" s="7">
        <v>76801</v>
      </c>
      <c r="HM37" s="14">
        <v>884596</v>
      </c>
      <c r="HN37" s="7">
        <v>738044</v>
      </c>
      <c r="HO37" s="7">
        <v>18889</v>
      </c>
      <c r="HP37" s="7">
        <v>28843</v>
      </c>
      <c r="HQ37" s="7">
        <v>127663</v>
      </c>
      <c r="HR37" s="14">
        <v>902381.60000000009</v>
      </c>
      <c r="HS37" s="7">
        <v>755209.42799999996</v>
      </c>
      <c r="HT37" s="7">
        <v>19751.850000000002</v>
      </c>
      <c r="HU37" s="7">
        <v>29772.969999999998</v>
      </c>
      <c r="HV37" s="7">
        <v>127420.32200000013</v>
      </c>
      <c r="HW37" s="7">
        <v>949110</v>
      </c>
      <c r="HX37" s="7">
        <v>768673</v>
      </c>
      <c r="HY37" s="7">
        <v>20983</v>
      </c>
      <c r="HZ37" s="7">
        <v>33873</v>
      </c>
      <c r="IA37" s="7">
        <v>136247</v>
      </c>
      <c r="IB37" s="281" t="s">
        <v>186</v>
      </c>
      <c r="IC37" s="282" t="s">
        <v>186</v>
      </c>
      <c r="ID37" s="339">
        <v>146852</v>
      </c>
      <c r="IE37" s="355">
        <f t="shared" si="384"/>
        <v>89209</v>
      </c>
      <c r="IF37" s="355">
        <f t="shared" si="385"/>
        <v>57643</v>
      </c>
      <c r="IG37" s="355">
        <f t="shared" si="386"/>
        <v>143493</v>
      </c>
      <c r="IH37" s="341">
        <v>86982</v>
      </c>
      <c r="II37" s="341">
        <v>56511</v>
      </c>
      <c r="IJ37" s="355">
        <f t="shared" si="387"/>
        <v>3359</v>
      </c>
      <c r="IK37" s="341">
        <v>2227</v>
      </c>
      <c r="IL37" s="341">
        <v>1132</v>
      </c>
      <c r="IM37" s="339">
        <v>229638</v>
      </c>
      <c r="IN37" s="355">
        <f t="shared" si="388"/>
        <v>138185</v>
      </c>
      <c r="IO37" s="355">
        <f t="shared" si="389"/>
        <v>91453</v>
      </c>
      <c r="IP37" s="355">
        <f t="shared" si="390"/>
        <v>225346</v>
      </c>
      <c r="IQ37" s="341">
        <v>135543</v>
      </c>
      <c r="IR37" s="341">
        <v>89803</v>
      </c>
      <c r="IS37" s="355">
        <f t="shared" si="391"/>
        <v>1770</v>
      </c>
      <c r="IT37" s="341">
        <v>900</v>
      </c>
      <c r="IU37" s="341">
        <v>870</v>
      </c>
      <c r="IV37" s="355">
        <f t="shared" si="392"/>
        <v>2522</v>
      </c>
      <c r="IW37" s="341">
        <v>1742</v>
      </c>
      <c r="IX37" s="341">
        <v>780</v>
      </c>
      <c r="IY37" s="339">
        <v>462318</v>
      </c>
      <c r="IZ37" s="355">
        <f t="shared" si="393"/>
        <v>274704</v>
      </c>
      <c r="JA37" s="355">
        <f t="shared" si="394"/>
        <v>187614</v>
      </c>
      <c r="JB37" s="365">
        <f t="shared" si="395"/>
        <v>432085</v>
      </c>
      <c r="JC37" s="341">
        <v>257366</v>
      </c>
      <c r="JD37" s="341">
        <v>174719</v>
      </c>
      <c r="JE37" s="341">
        <v>17338</v>
      </c>
      <c r="JF37" s="341">
        <v>12895</v>
      </c>
      <c r="JG37" s="365">
        <f t="shared" si="396"/>
        <v>6204</v>
      </c>
      <c r="JH37" s="341">
        <v>3493</v>
      </c>
      <c r="JI37" s="341">
        <v>2711</v>
      </c>
      <c r="JJ37" s="365">
        <f t="shared" si="397"/>
        <v>5213</v>
      </c>
      <c r="JK37" s="341">
        <v>3079</v>
      </c>
      <c r="JL37" s="341">
        <v>2134</v>
      </c>
      <c r="JM37" s="356">
        <f t="shared" si="398"/>
        <v>18816</v>
      </c>
      <c r="JN37" s="356">
        <f t="shared" si="399"/>
        <v>10766</v>
      </c>
      <c r="JO37" s="356">
        <f t="shared" si="400"/>
        <v>8050</v>
      </c>
      <c r="JP37" s="357">
        <f t="shared" si="401"/>
        <v>512</v>
      </c>
      <c r="JQ37" s="357">
        <f t="shared" si="402"/>
        <v>377</v>
      </c>
      <c r="JR37" s="357">
        <f t="shared" si="403"/>
        <v>135</v>
      </c>
      <c r="JS37" s="341">
        <v>18304</v>
      </c>
      <c r="JT37" s="341">
        <v>10389</v>
      </c>
      <c r="JU37" s="341">
        <v>7915</v>
      </c>
      <c r="JV37" s="16">
        <f t="shared" si="404"/>
        <v>716969</v>
      </c>
      <c r="JW37" s="355">
        <f t="shared" si="405"/>
        <v>400544</v>
      </c>
      <c r="JX37" s="355">
        <f t="shared" si="406"/>
        <v>316425</v>
      </c>
      <c r="JY37" s="15">
        <f t="shared" si="407"/>
        <v>661185</v>
      </c>
      <c r="JZ37" s="151">
        <f t="shared" si="408"/>
        <v>654838</v>
      </c>
      <c r="KA37" s="341">
        <v>366920</v>
      </c>
      <c r="KB37" s="341">
        <v>287918</v>
      </c>
      <c r="KC37" s="341">
        <v>33624</v>
      </c>
      <c r="KD37" s="341">
        <v>28507</v>
      </c>
      <c r="KE37" s="15">
        <f t="shared" si="409"/>
        <v>12109</v>
      </c>
      <c r="KF37" s="151">
        <f t="shared" si="410"/>
        <v>11953</v>
      </c>
      <c r="KG37" s="341">
        <v>6786</v>
      </c>
      <c r="KH37" s="341">
        <v>5167</v>
      </c>
      <c r="KI37" s="15">
        <f t="shared" si="411"/>
        <v>10248</v>
      </c>
      <c r="KJ37" s="341">
        <v>5753</v>
      </c>
      <c r="KK37" s="341">
        <v>4495</v>
      </c>
      <c r="KL37" s="13">
        <f t="shared" si="412"/>
        <v>43675</v>
      </c>
      <c r="KM37" s="358">
        <f t="shared" si="413"/>
        <v>21085</v>
      </c>
      <c r="KN37" s="358">
        <f t="shared" si="414"/>
        <v>18845</v>
      </c>
      <c r="KO37" s="359">
        <f t="shared" si="415"/>
        <v>321</v>
      </c>
      <c r="KP37" s="359">
        <f t="shared" si="416"/>
        <v>185</v>
      </c>
      <c r="KQ37" s="359">
        <f t="shared" si="417"/>
        <v>136</v>
      </c>
      <c r="KR37" s="360">
        <f t="shared" si="418"/>
        <v>39609</v>
      </c>
      <c r="KS37" s="360">
        <f t="shared" si="419"/>
        <v>20900</v>
      </c>
      <c r="KT37" s="360">
        <f t="shared" si="420"/>
        <v>18709</v>
      </c>
      <c r="KU37" s="341">
        <v>2097</v>
      </c>
      <c r="KV37" s="341">
        <v>1766</v>
      </c>
      <c r="KW37" s="341">
        <v>18803</v>
      </c>
      <c r="KX37" s="341">
        <v>16943</v>
      </c>
      <c r="KY37" s="361">
        <v>1061425</v>
      </c>
      <c r="KZ37" s="341">
        <v>555712</v>
      </c>
      <c r="LA37" s="341">
        <v>505713</v>
      </c>
      <c r="LB37" s="9">
        <f t="shared" si="421"/>
        <v>927384</v>
      </c>
      <c r="LC37" s="9">
        <v>487922</v>
      </c>
      <c r="LD37" s="9">
        <v>439462</v>
      </c>
      <c r="LE37" s="140">
        <f t="shared" si="422"/>
        <v>914522</v>
      </c>
      <c r="LF37" s="341">
        <v>481427</v>
      </c>
      <c r="LG37" s="341">
        <v>433095</v>
      </c>
      <c r="LH37" s="9">
        <f t="shared" si="423"/>
        <v>20848</v>
      </c>
      <c r="LI37" s="341">
        <v>11361</v>
      </c>
      <c r="LJ37" s="341">
        <v>9487</v>
      </c>
      <c r="LK37" s="9">
        <f t="shared" si="424"/>
        <v>22335</v>
      </c>
      <c r="LL37" s="341">
        <v>11460</v>
      </c>
      <c r="LM37" s="341">
        <v>10875</v>
      </c>
      <c r="LN37" s="140">
        <f t="shared" si="425"/>
        <v>113193</v>
      </c>
      <c r="LO37" s="140">
        <f t="shared" si="426"/>
        <v>56429</v>
      </c>
      <c r="LP37" s="140">
        <f t="shared" si="427"/>
        <v>56764</v>
      </c>
      <c r="LQ37" s="349">
        <v>1274296</v>
      </c>
      <c r="LR37" s="341">
        <v>1088523</v>
      </c>
      <c r="LS37" s="341">
        <v>24869</v>
      </c>
      <c r="LT37" s="341">
        <v>160904</v>
      </c>
      <c r="LU37" s="9">
        <v>33578</v>
      </c>
      <c r="LV37" s="14">
        <v>1315791</v>
      </c>
      <c r="LW37" s="7">
        <v>1119171</v>
      </c>
      <c r="LX37" s="7">
        <v>25852</v>
      </c>
      <c r="LY37" s="7">
        <v>170768</v>
      </c>
      <c r="LZ37" s="7">
        <v>35977</v>
      </c>
      <c r="MA37" s="14">
        <v>1349362</v>
      </c>
      <c r="MB37" s="7">
        <v>1137442</v>
      </c>
      <c r="MC37" s="7">
        <v>26504</v>
      </c>
      <c r="MD37" s="7">
        <v>185416</v>
      </c>
      <c r="ME37" s="7">
        <v>38420</v>
      </c>
      <c r="MF37" s="14">
        <v>1376488</v>
      </c>
      <c r="MG37" s="7">
        <v>1148688</v>
      </c>
      <c r="MH37" s="7">
        <v>28947</v>
      </c>
      <c r="MI37" s="7">
        <v>198853</v>
      </c>
      <c r="MJ37" s="7">
        <v>41991</v>
      </c>
      <c r="MK37" s="14">
        <v>1412227.2040000001</v>
      </c>
      <c r="ML37" s="7">
        <v>1180940.233</v>
      </c>
      <c r="MM37" s="7">
        <v>30432.480000000003</v>
      </c>
      <c r="MN37" s="7">
        <v>44659.454999999994</v>
      </c>
      <c r="MO37" s="7">
        <v>200854.49100000013</v>
      </c>
      <c r="MP37" s="7">
        <v>1441692</v>
      </c>
      <c r="MQ37" s="7">
        <v>1201211</v>
      </c>
      <c r="MR37" s="7">
        <v>30294</v>
      </c>
      <c r="MS37" s="7">
        <v>46137</v>
      </c>
      <c r="MT37" s="2">
        <v>210187</v>
      </c>
      <c r="MU37" s="2">
        <v>1488005</v>
      </c>
      <c r="MV37" s="2">
        <v>1198530</v>
      </c>
      <c r="MW37" s="2">
        <v>31640</v>
      </c>
      <c r="MX37" s="2">
        <v>51297</v>
      </c>
      <c r="MY37" s="2">
        <v>125543</v>
      </c>
      <c r="MZ37" s="14">
        <v>220103</v>
      </c>
      <c r="NA37" s="7">
        <v>203522</v>
      </c>
      <c r="NB37" s="7">
        <v>3376</v>
      </c>
      <c r="NC37" s="7">
        <v>3173</v>
      </c>
      <c r="ND37" s="7">
        <v>13205</v>
      </c>
      <c r="NE37" s="14">
        <v>356599</v>
      </c>
      <c r="NF37" s="7">
        <v>313579</v>
      </c>
      <c r="NG37" s="7">
        <v>6628</v>
      </c>
      <c r="NH37" s="7">
        <v>7648</v>
      </c>
      <c r="NI37" s="7">
        <v>36392</v>
      </c>
      <c r="NJ37" s="14">
        <v>491892</v>
      </c>
      <c r="NK37" s="7">
        <v>410644</v>
      </c>
      <c r="NL37" s="7">
        <v>10058</v>
      </c>
      <c r="NM37" s="7">
        <v>13148</v>
      </c>
      <c r="NN37" s="7">
        <v>71190</v>
      </c>
      <c r="NO37" s="14">
        <v>509845.60399999999</v>
      </c>
      <c r="NP37" s="7">
        <v>425730.80499999999</v>
      </c>
      <c r="NQ37" s="7">
        <v>10680.63</v>
      </c>
      <c r="NR37" s="7">
        <v>14886.484999999999</v>
      </c>
      <c r="NS37" s="12">
        <v>73434.168999999994</v>
      </c>
      <c r="NT37" s="1">
        <v>521602</v>
      </c>
      <c r="NU37" s="2">
        <v>432053</v>
      </c>
      <c r="NV37" s="2">
        <v>10405</v>
      </c>
      <c r="NW37" s="2">
        <v>15860</v>
      </c>
      <c r="NX37" s="79">
        <v>79144</v>
      </c>
      <c r="NY37" s="2">
        <v>538895</v>
      </c>
      <c r="NZ37" s="2">
        <v>429857</v>
      </c>
      <c r="OA37" s="2">
        <v>10657</v>
      </c>
      <c r="OB37" s="2">
        <v>17424</v>
      </c>
      <c r="OC37" s="2">
        <v>86019</v>
      </c>
    </row>
    <row r="38" spans="1:393" ht="14.25" x14ac:dyDescent="0.2">
      <c r="A38" s="242" t="s">
        <v>50</v>
      </c>
      <c r="B38" s="284" t="s">
        <v>186</v>
      </c>
      <c r="C38" s="285" t="s">
        <v>186</v>
      </c>
      <c r="D38" s="285" t="s">
        <v>186</v>
      </c>
      <c r="E38" s="285" t="s">
        <v>186</v>
      </c>
      <c r="F38" s="286" t="s">
        <v>186</v>
      </c>
      <c r="G38" s="265">
        <v>15919</v>
      </c>
      <c r="H38" s="265">
        <v>13963</v>
      </c>
      <c r="I38" s="265">
        <v>98</v>
      </c>
      <c r="J38" s="265">
        <v>2571</v>
      </c>
      <c r="K38" s="266">
        <v>1858</v>
      </c>
      <c r="L38" s="265">
        <v>10614</v>
      </c>
      <c r="M38" s="265">
        <v>8579</v>
      </c>
      <c r="N38" s="265">
        <v>82</v>
      </c>
      <c r="O38" s="265">
        <v>2485</v>
      </c>
      <c r="P38" s="266">
        <v>1953</v>
      </c>
      <c r="Q38" s="274">
        <v>9415</v>
      </c>
      <c r="R38" s="274">
        <v>7411</v>
      </c>
      <c r="S38" s="274">
        <v>115</v>
      </c>
      <c r="T38" s="274">
        <v>3174</v>
      </c>
      <c r="U38" s="618">
        <v>1889</v>
      </c>
      <c r="V38" s="274">
        <v>8796</v>
      </c>
      <c r="W38" s="274">
        <v>6806</v>
      </c>
      <c r="X38" s="274">
        <v>121</v>
      </c>
      <c r="Y38" s="274">
        <v>3281</v>
      </c>
      <c r="Z38" s="274">
        <v>1867</v>
      </c>
      <c r="AA38" s="274">
        <v>7519</v>
      </c>
      <c r="AB38" s="274">
        <v>3686</v>
      </c>
      <c r="AC38" s="274">
        <v>59</v>
      </c>
      <c r="AD38" s="274">
        <v>3379</v>
      </c>
      <c r="AE38" s="483">
        <v>1909</v>
      </c>
      <c r="AF38" s="264">
        <v>31194</v>
      </c>
      <c r="AG38" s="265">
        <v>28570</v>
      </c>
      <c r="AH38" s="265">
        <v>216</v>
      </c>
      <c r="AI38" s="265">
        <v>2452</v>
      </c>
      <c r="AJ38" s="266">
        <v>2408</v>
      </c>
      <c r="AK38" s="265">
        <v>27703</v>
      </c>
      <c r="AL38" s="265">
        <v>24568</v>
      </c>
      <c r="AM38" s="265">
        <v>155</v>
      </c>
      <c r="AN38" s="265">
        <v>2887</v>
      </c>
      <c r="AO38" s="266">
        <v>2980</v>
      </c>
      <c r="AP38" s="265">
        <v>19819</v>
      </c>
      <c r="AQ38" s="265">
        <v>17639</v>
      </c>
      <c r="AR38" s="265">
        <v>144</v>
      </c>
      <c r="AS38" s="265">
        <v>2593</v>
      </c>
      <c r="AT38" s="266">
        <v>2036</v>
      </c>
      <c r="AU38" s="265">
        <v>21457</v>
      </c>
      <c r="AV38" s="265">
        <v>18694</v>
      </c>
      <c r="AW38" s="265">
        <v>287</v>
      </c>
      <c r="AX38" s="265">
        <v>3236</v>
      </c>
      <c r="AY38" s="265">
        <v>2476</v>
      </c>
      <c r="AZ38" s="265">
        <v>21750</v>
      </c>
      <c r="BA38" s="265">
        <v>16477</v>
      </c>
      <c r="BB38" s="265">
        <v>249</v>
      </c>
      <c r="BC38" s="265">
        <v>3690</v>
      </c>
      <c r="BD38" s="63">
        <v>2516</v>
      </c>
      <c r="BE38" s="264">
        <v>28930</v>
      </c>
      <c r="BF38" s="265">
        <v>24474</v>
      </c>
      <c r="BG38" s="265"/>
      <c r="BH38" s="265">
        <v>5930</v>
      </c>
      <c r="BI38" s="482">
        <f t="shared" si="372"/>
        <v>4456</v>
      </c>
      <c r="BJ38" s="284" t="s">
        <v>186</v>
      </c>
      <c r="BK38" s="285" t="s">
        <v>186</v>
      </c>
      <c r="BL38" s="285" t="s">
        <v>186</v>
      </c>
      <c r="BM38" s="285" t="s">
        <v>186</v>
      </c>
      <c r="BN38" s="284" t="s">
        <v>186</v>
      </c>
      <c r="BO38" s="285" t="s">
        <v>186</v>
      </c>
      <c r="BP38" s="285" t="s">
        <v>186</v>
      </c>
      <c r="BQ38" s="285" t="s">
        <v>186</v>
      </c>
      <c r="BR38" s="286" t="s">
        <v>186</v>
      </c>
      <c r="BS38" s="265">
        <v>230656</v>
      </c>
      <c r="BT38" s="265">
        <v>222033</v>
      </c>
      <c r="BU38" s="265">
        <v>1358</v>
      </c>
      <c r="BV38" s="265">
        <v>7317</v>
      </c>
      <c r="BW38" s="266">
        <v>7265</v>
      </c>
      <c r="BX38" s="265">
        <v>277346</v>
      </c>
      <c r="BY38" s="265">
        <v>261889</v>
      </c>
      <c r="BZ38" s="265">
        <v>1539</v>
      </c>
      <c r="CA38" s="265">
        <v>10566</v>
      </c>
      <c r="CB38" s="265">
        <v>13918</v>
      </c>
      <c r="CC38" s="267">
        <v>304553</v>
      </c>
      <c r="CD38" s="265">
        <v>287319</v>
      </c>
      <c r="CE38" s="265">
        <v>1514</v>
      </c>
      <c r="CF38" s="265">
        <v>15720</v>
      </c>
      <c r="CG38" s="265">
        <v>14296</v>
      </c>
      <c r="CH38" s="264">
        <v>311935</v>
      </c>
      <c r="CI38" s="265">
        <v>293430</v>
      </c>
      <c r="CJ38" s="265">
        <v>2221</v>
      </c>
      <c r="CK38" s="265">
        <v>16284</v>
      </c>
      <c r="CL38" s="265">
        <v>15406</v>
      </c>
      <c r="CM38" s="268">
        <v>316816</v>
      </c>
      <c r="CN38" s="269">
        <v>297922</v>
      </c>
      <c r="CO38" s="269">
        <v>2641</v>
      </c>
      <c r="CP38" s="269">
        <v>16253</v>
      </c>
      <c r="CQ38" s="269">
        <v>15992</v>
      </c>
      <c r="CR38" s="264">
        <v>334646</v>
      </c>
      <c r="CS38" s="265">
        <v>314342</v>
      </c>
      <c r="CT38" s="265">
        <v>2046</v>
      </c>
      <c r="CU38" s="265">
        <v>18371</v>
      </c>
      <c r="CV38" s="265">
        <v>13136</v>
      </c>
      <c r="CW38" s="264">
        <v>341967.03399999999</v>
      </c>
      <c r="CX38" s="265">
        <v>319882.52799999999</v>
      </c>
      <c r="CY38" s="265"/>
      <c r="CZ38" s="265">
        <v>18855.599999999999</v>
      </c>
      <c r="DA38" s="623">
        <f t="shared" si="373"/>
        <v>22084.505999999994</v>
      </c>
      <c r="DB38" s="265">
        <v>346621</v>
      </c>
      <c r="DC38" s="265">
        <v>324386</v>
      </c>
      <c r="DD38" s="265">
        <v>2491</v>
      </c>
      <c r="DE38" s="265">
        <v>21258</v>
      </c>
      <c r="DF38" s="265">
        <v>19624</v>
      </c>
      <c r="DG38" s="265">
        <v>351698</v>
      </c>
      <c r="DH38" s="265">
        <v>314164</v>
      </c>
      <c r="DI38" s="265">
        <v>2767</v>
      </c>
      <c r="DJ38" s="265">
        <v>21693</v>
      </c>
      <c r="DK38" s="265">
        <v>12703</v>
      </c>
      <c r="DL38" s="284" t="s">
        <v>186</v>
      </c>
      <c r="DM38" s="285" t="s">
        <v>186</v>
      </c>
      <c r="DN38" s="285" t="s">
        <v>186</v>
      </c>
      <c r="DO38" s="285" t="s">
        <v>186</v>
      </c>
      <c r="DP38" s="286" t="s">
        <v>186</v>
      </c>
      <c r="DQ38" s="265">
        <v>86380</v>
      </c>
      <c r="DR38" s="265">
        <v>82731</v>
      </c>
      <c r="DS38" s="265">
        <v>708</v>
      </c>
      <c r="DT38" s="265">
        <v>2769</v>
      </c>
      <c r="DU38" s="266">
        <v>2941</v>
      </c>
      <c r="DV38" s="265">
        <v>110405</v>
      </c>
      <c r="DW38" s="265">
        <v>103499</v>
      </c>
      <c r="DX38" s="265">
        <v>839</v>
      </c>
      <c r="DY38" s="265">
        <v>4198</v>
      </c>
      <c r="DZ38" s="266">
        <v>6067</v>
      </c>
      <c r="EA38" s="265">
        <v>137473</v>
      </c>
      <c r="EB38" s="265">
        <v>128628</v>
      </c>
      <c r="EC38" s="265">
        <v>757</v>
      </c>
      <c r="ED38" s="265">
        <v>7190</v>
      </c>
      <c r="EE38" s="266">
        <v>8088</v>
      </c>
      <c r="EF38" s="265">
        <v>139828.16899999999</v>
      </c>
      <c r="EG38" s="265">
        <v>130641.679</v>
      </c>
      <c r="EH38" s="265"/>
      <c r="EI38" s="265">
        <v>7517.4299999999994</v>
      </c>
      <c r="EJ38" s="266">
        <v>9186.4899999999907</v>
      </c>
      <c r="EK38" s="265">
        <v>140147</v>
      </c>
      <c r="EL38" s="265">
        <v>130775</v>
      </c>
      <c r="EM38" s="265">
        <v>850</v>
      </c>
      <c r="EN38" s="265">
        <v>8270</v>
      </c>
      <c r="EO38" s="662">
        <v>8500</v>
      </c>
      <c r="EP38" s="718">
        <v>140748</v>
      </c>
      <c r="EQ38" s="718">
        <v>125771</v>
      </c>
      <c r="ER38" s="718">
        <v>1130</v>
      </c>
      <c r="ES38" s="718">
        <v>8288</v>
      </c>
      <c r="ET38" s="718">
        <v>8795</v>
      </c>
      <c r="EU38" s="264">
        <v>19149</v>
      </c>
      <c r="EV38" s="265">
        <v>18280</v>
      </c>
      <c r="EW38" s="265">
        <v>176</v>
      </c>
      <c r="EX38" s="265">
        <v>605</v>
      </c>
      <c r="EY38" s="266">
        <v>693</v>
      </c>
      <c r="EZ38" s="265">
        <v>25221</v>
      </c>
      <c r="FA38" s="265">
        <v>23729</v>
      </c>
      <c r="FB38" s="265">
        <v>162</v>
      </c>
      <c r="FC38" s="265">
        <v>851</v>
      </c>
      <c r="FD38" s="266">
        <v>1330</v>
      </c>
      <c r="FE38" s="264">
        <v>36824</v>
      </c>
      <c r="FF38" s="265">
        <v>34650</v>
      </c>
      <c r="FG38" s="265">
        <v>113</v>
      </c>
      <c r="FH38" s="265">
        <v>1534</v>
      </c>
      <c r="FI38" s="265">
        <v>2061</v>
      </c>
      <c r="FJ38" s="264"/>
      <c r="FK38" s="265"/>
      <c r="FL38" s="265"/>
      <c r="FM38" s="265"/>
      <c r="FN38" s="266"/>
      <c r="FO38" s="264">
        <v>38476</v>
      </c>
      <c r="FP38" s="265">
        <v>36031</v>
      </c>
      <c r="FQ38" s="265">
        <v>197</v>
      </c>
      <c r="FR38" s="265">
        <v>2021</v>
      </c>
      <c r="FS38" s="266">
        <v>2248</v>
      </c>
      <c r="FT38" s="7">
        <v>38294</v>
      </c>
      <c r="FU38" s="7">
        <v>34680</v>
      </c>
      <c r="FV38" s="7">
        <v>248</v>
      </c>
      <c r="FW38" s="7">
        <v>2146</v>
      </c>
      <c r="FX38" s="7">
        <v>2123</v>
      </c>
      <c r="FY38" s="609">
        <f t="shared" si="428"/>
        <v>71344</v>
      </c>
      <c r="FZ38" s="584">
        <f t="shared" si="429"/>
        <v>69385</v>
      </c>
      <c r="GA38" s="584">
        <f t="shared" si="430"/>
        <v>335</v>
      </c>
      <c r="GB38" s="584">
        <f t="shared" si="431"/>
        <v>1196</v>
      </c>
      <c r="GC38" s="584">
        <f t="shared" si="432"/>
        <v>1624</v>
      </c>
      <c r="GD38" s="609">
        <f t="shared" si="433"/>
        <v>94383</v>
      </c>
      <c r="GE38" s="584">
        <f t="shared" si="434"/>
        <v>90371</v>
      </c>
      <c r="GF38" s="584">
        <f t="shared" si="435"/>
        <v>493</v>
      </c>
      <c r="GG38" s="584">
        <f t="shared" si="436"/>
        <v>2087</v>
      </c>
      <c r="GH38" s="584">
        <f t="shared" si="437"/>
        <v>3519</v>
      </c>
      <c r="GI38" s="264">
        <v>109591</v>
      </c>
      <c r="GJ38" s="265">
        <v>104668</v>
      </c>
      <c r="GK38" s="265">
        <v>438</v>
      </c>
      <c r="GL38" s="265">
        <v>3324</v>
      </c>
      <c r="GM38" s="265">
        <v>4485</v>
      </c>
      <c r="GN38" s="606"/>
      <c r="GO38" s="274"/>
      <c r="GP38" s="274"/>
      <c r="GQ38" s="274"/>
      <c r="GR38" s="274"/>
      <c r="GS38" s="274">
        <v>130932</v>
      </c>
      <c r="GT38" s="274">
        <v>124268</v>
      </c>
      <c r="GU38" s="274">
        <v>548</v>
      </c>
      <c r="GV38" s="274">
        <v>5503</v>
      </c>
      <c r="GW38" s="618">
        <v>6113</v>
      </c>
      <c r="GX38" s="274">
        <v>422707</v>
      </c>
      <c r="GY38" s="274">
        <v>123797</v>
      </c>
      <c r="GZ38" s="274">
        <v>715</v>
      </c>
      <c r="HA38" s="274">
        <v>5437</v>
      </c>
      <c r="HB38" s="274">
        <v>3746</v>
      </c>
      <c r="HC38" s="264">
        <v>36354</v>
      </c>
      <c r="HD38" s="265">
        <v>35645</v>
      </c>
      <c r="HE38" s="265">
        <v>99</v>
      </c>
      <c r="HF38" s="265">
        <v>367</v>
      </c>
      <c r="HG38" s="265">
        <v>610</v>
      </c>
      <c r="HH38" s="264">
        <v>47066</v>
      </c>
      <c r="HI38" s="265">
        <v>45464</v>
      </c>
      <c r="HJ38" s="265">
        <v>193</v>
      </c>
      <c r="HK38" s="265">
        <v>822</v>
      </c>
      <c r="HL38" s="265">
        <v>1409</v>
      </c>
      <c r="HM38" s="264">
        <v>56840</v>
      </c>
      <c r="HN38" s="265">
        <v>54784</v>
      </c>
      <c r="HO38" s="265">
        <v>213</v>
      </c>
      <c r="HP38" s="265">
        <v>1299</v>
      </c>
      <c r="HQ38" s="265">
        <v>1843</v>
      </c>
      <c r="HR38" s="264">
        <v>59714.417000000001</v>
      </c>
      <c r="HS38" s="265">
        <v>57220.366000000002</v>
      </c>
      <c r="HT38" s="265"/>
      <c r="HU38" s="265">
        <v>1786.3200000000002</v>
      </c>
      <c r="HV38" s="265">
        <v>2494.0509999999995</v>
      </c>
      <c r="HW38" s="265">
        <v>64705</v>
      </c>
      <c r="HX38" s="265">
        <v>59593</v>
      </c>
      <c r="HY38" s="265">
        <v>365</v>
      </c>
      <c r="HZ38" s="265">
        <v>2514</v>
      </c>
      <c r="IA38" s="265">
        <v>2839</v>
      </c>
      <c r="IB38" s="284" t="s">
        <v>186</v>
      </c>
      <c r="IC38" s="285" t="s">
        <v>186</v>
      </c>
      <c r="ID38" s="372">
        <v>15084</v>
      </c>
      <c r="IE38" s="373">
        <f t="shared" si="384"/>
        <v>9157</v>
      </c>
      <c r="IF38" s="373">
        <f t="shared" si="385"/>
        <v>5927</v>
      </c>
      <c r="IG38" s="373">
        <f t="shared" si="386"/>
        <v>15037</v>
      </c>
      <c r="IH38" s="374">
        <v>9127</v>
      </c>
      <c r="II38" s="374">
        <v>5910</v>
      </c>
      <c r="IJ38" s="373">
        <f t="shared" si="387"/>
        <v>47</v>
      </c>
      <c r="IK38" s="374">
        <v>30</v>
      </c>
      <c r="IL38" s="374">
        <v>17</v>
      </c>
      <c r="IM38" s="372">
        <v>20776</v>
      </c>
      <c r="IN38" s="373">
        <f t="shared" si="388"/>
        <v>12037</v>
      </c>
      <c r="IO38" s="373">
        <f t="shared" si="389"/>
        <v>8739</v>
      </c>
      <c r="IP38" s="373">
        <f t="shared" si="390"/>
        <v>20525</v>
      </c>
      <c r="IQ38" s="374">
        <v>11893</v>
      </c>
      <c r="IR38" s="374">
        <v>8632</v>
      </c>
      <c r="IS38" s="373">
        <f t="shared" si="391"/>
        <v>43</v>
      </c>
      <c r="IT38" s="374">
        <v>23</v>
      </c>
      <c r="IU38" s="374">
        <v>20</v>
      </c>
      <c r="IV38" s="373">
        <f t="shared" si="392"/>
        <v>208</v>
      </c>
      <c r="IW38" s="374">
        <v>121</v>
      </c>
      <c r="IX38" s="374">
        <v>87</v>
      </c>
      <c r="IY38" s="372">
        <v>43767</v>
      </c>
      <c r="IZ38" s="373">
        <f t="shared" si="393"/>
        <v>26280</v>
      </c>
      <c r="JA38" s="373">
        <f t="shared" si="394"/>
        <v>17487</v>
      </c>
      <c r="JB38" s="388">
        <f t="shared" si="395"/>
        <v>42720</v>
      </c>
      <c r="JC38" s="374">
        <v>25644</v>
      </c>
      <c r="JD38" s="374">
        <v>17076</v>
      </c>
      <c r="JE38" s="374">
        <v>636</v>
      </c>
      <c r="JF38" s="374">
        <v>411</v>
      </c>
      <c r="JG38" s="388">
        <f t="shared" si="396"/>
        <v>133</v>
      </c>
      <c r="JH38" s="374">
        <v>98</v>
      </c>
      <c r="JI38" s="374">
        <v>35</v>
      </c>
      <c r="JJ38" s="388">
        <f t="shared" si="397"/>
        <v>404</v>
      </c>
      <c r="JK38" s="374">
        <v>282</v>
      </c>
      <c r="JL38" s="374">
        <v>122</v>
      </c>
      <c r="JM38" s="375">
        <f t="shared" si="398"/>
        <v>510</v>
      </c>
      <c r="JN38" s="375">
        <f t="shared" si="399"/>
        <v>256</v>
      </c>
      <c r="JO38" s="375">
        <f t="shared" si="400"/>
        <v>254</v>
      </c>
      <c r="JP38" s="376">
        <f t="shared" si="401"/>
        <v>55</v>
      </c>
      <c r="JQ38" s="376">
        <f t="shared" si="402"/>
        <v>22</v>
      </c>
      <c r="JR38" s="376">
        <f t="shared" si="403"/>
        <v>33</v>
      </c>
      <c r="JS38" s="374">
        <v>455</v>
      </c>
      <c r="JT38" s="374">
        <v>234</v>
      </c>
      <c r="JU38" s="374">
        <v>221</v>
      </c>
      <c r="JV38" s="270">
        <f t="shared" si="404"/>
        <v>52195</v>
      </c>
      <c r="JW38" s="373">
        <f t="shared" si="405"/>
        <v>28963</v>
      </c>
      <c r="JX38" s="373">
        <f t="shared" si="406"/>
        <v>23232</v>
      </c>
      <c r="JY38" s="271">
        <f t="shared" si="407"/>
        <v>51105</v>
      </c>
      <c r="JZ38" s="272">
        <f t="shared" si="408"/>
        <v>50710</v>
      </c>
      <c r="KA38" s="374">
        <v>28089</v>
      </c>
      <c r="KB38" s="374">
        <v>22621</v>
      </c>
      <c r="KC38" s="374">
        <v>874</v>
      </c>
      <c r="KD38" s="374">
        <v>611</v>
      </c>
      <c r="KE38" s="271">
        <f t="shared" si="409"/>
        <v>159</v>
      </c>
      <c r="KF38" s="272">
        <f t="shared" si="410"/>
        <v>147</v>
      </c>
      <c r="KG38" s="374">
        <v>90</v>
      </c>
      <c r="KH38" s="374">
        <v>57</v>
      </c>
      <c r="KI38" s="271">
        <f t="shared" si="411"/>
        <v>591</v>
      </c>
      <c r="KJ38" s="374">
        <v>371</v>
      </c>
      <c r="KK38" s="374">
        <v>220</v>
      </c>
      <c r="KL38" s="273">
        <f t="shared" si="412"/>
        <v>931</v>
      </c>
      <c r="KM38" s="377">
        <f t="shared" si="413"/>
        <v>413</v>
      </c>
      <c r="KN38" s="377">
        <f t="shared" si="414"/>
        <v>334</v>
      </c>
      <c r="KO38" s="378">
        <f t="shared" si="415"/>
        <v>27</v>
      </c>
      <c r="KP38" s="378">
        <f t="shared" si="416"/>
        <v>2</v>
      </c>
      <c r="KQ38" s="378">
        <f t="shared" si="417"/>
        <v>25</v>
      </c>
      <c r="KR38" s="379">
        <f t="shared" si="418"/>
        <v>720</v>
      </c>
      <c r="KS38" s="379">
        <f t="shared" si="419"/>
        <v>411</v>
      </c>
      <c r="KT38" s="379">
        <f t="shared" si="420"/>
        <v>309</v>
      </c>
      <c r="KU38" s="374">
        <v>150</v>
      </c>
      <c r="KV38" s="374">
        <v>134</v>
      </c>
      <c r="KW38" s="374">
        <v>261</v>
      </c>
      <c r="KX38" s="374">
        <v>175</v>
      </c>
      <c r="KY38" s="380">
        <v>69162</v>
      </c>
      <c r="KZ38" s="374">
        <v>35983</v>
      </c>
      <c r="LA38" s="374">
        <v>33179</v>
      </c>
      <c r="LB38" s="274">
        <f t="shared" si="421"/>
        <v>66642</v>
      </c>
      <c r="LC38" s="274">
        <v>34795</v>
      </c>
      <c r="LD38" s="274">
        <v>31847</v>
      </c>
      <c r="LE38" s="275">
        <f t="shared" si="422"/>
        <v>65839</v>
      </c>
      <c r="LF38" s="374">
        <v>34342</v>
      </c>
      <c r="LG38" s="374">
        <v>31497</v>
      </c>
      <c r="LH38" s="274">
        <f t="shared" si="423"/>
        <v>331</v>
      </c>
      <c r="LI38" s="374">
        <v>222</v>
      </c>
      <c r="LJ38" s="374">
        <v>109</v>
      </c>
      <c r="LK38" s="274">
        <f t="shared" si="424"/>
        <v>1236</v>
      </c>
      <c r="LL38" s="374">
        <v>628</v>
      </c>
      <c r="LM38" s="374">
        <v>608</v>
      </c>
      <c r="LN38" s="275">
        <f t="shared" si="425"/>
        <v>2189</v>
      </c>
      <c r="LO38" s="275">
        <f t="shared" si="426"/>
        <v>966</v>
      </c>
      <c r="LP38" s="275">
        <f t="shared" si="427"/>
        <v>1223</v>
      </c>
      <c r="LQ38" s="381">
        <v>77839</v>
      </c>
      <c r="LR38" s="374">
        <v>75021</v>
      </c>
      <c r="LS38" s="374">
        <v>336</v>
      </c>
      <c r="LT38" s="374">
        <v>2482</v>
      </c>
      <c r="LU38" s="274">
        <v>1728</v>
      </c>
      <c r="LV38" s="264">
        <v>79817</v>
      </c>
      <c r="LW38" s="265">
        <v>76773</v>
      </c>
      <c r="LX38" s="265">
        <v>207</v>
      </c>
      <c r="LY38" s="265">
        <v>2837</v>
      </c>
      <c r="LZ38" s="265">
        <v>1870</v>
      </c>
      <c r="MA38" s="264">
        <v>81632</v>
      </c>
      <c r="MB38" s="265">
        <v>78494</v>
      </c>
      <c r="MC38" s="265">
        <v>457</v>
      </c>
      <c r="MD38" s="265">
        <v>2681</v>
      </c>
      <c r="ME38" s="265">
        <v>2266</v>
      </c>
      <c r="MF38" s="264">
        <v>86060</v>
      </c>
      <c r="MG38" s="265">
        <v>82524</v>
      </c>
      <c r="MH38" s="265">
        <v>405</v>
      </c>
      <c r="MI38" s="265">
        <v>3131</v>
      </c>
      <c r="MJ38" s="265">
        <v>2296</v>
      </c>
      <c r="MK38" s="264">
        <v>90127.97099999999</v>
      </c>
      <c r="ML38" s="265">
        <v>85830.548999999999</v>
      </c>
      <c r="MM38" s="265"/>
      <c r="MN38" s="265">
        <v>2828.34</v>
      </c>
      <c r="MO38" s="265">
        <v>4297.4219999999914</v>
      </c>
      <c r="MP38" s="265">
        <v>92456</v>
      </c>
      <c r="MQ38" s="265">
        <v>88237</v>
      </c>
      <c r="MR38" s="265">
        <v>351</v>
      </c>
      <c r="MS38" s="265">
        <v>3482</v>
      </c>
      <c r="MT38" s="2">
        <v>3865</v>
      </c>
      <c r="MU38" s="2">
        <v>96307</v>
      </c>
      <c r="MV38" s="2">
        <v>89117</v>
      </c>
      <c r="MW38" s="2">
        <v>467</v>
      </c>
      <c r="MX38" s="2">
        <v>3291</v>
      </c>
      <c r="MY38" s="2">
        <v>2505</v>
      </c>
      <c r="MZ38" s="264">
        <v>15841</v>
      </c>
      <c r="NA38" s="265">
        <v>15460</v>
      </c>
      <c r="NB38" s="265">
        <v>60</v>
      </c>
      <c r="NC38" s="265">
        <v>224</v>
      </c>
      <c r="ND38" s="265">
        <v>321</v>
      </c>
      <c r="NE38" s="264">
        <v>22096</v>
      </c>
      <c r="NF38" s="265">
        <v>21178</v>
      </c>
      <c r="NG38" s="265">
        <v>138</v>
      </c>
      <c r="NH38" s="265">
        <v>414</v>
      </c>
      <c r="NI38" s="265">
        <v>780</v>
      </c>
      <c r="NJ38" s="264">
        <v>29220</v>
      </c>
      <c r="NK38" s="265">
        <v>27740</v>
      </c>
      <c r="NL38" s="265">
        <v>192</v>
      </c>
      <c r="NM38" s="265">
        <v>997</v>
      </c>
      <c r="NN38" s="265">
        <v>1288</v>
      </c>
      <c r="NO38" s="264">
        <v>30413.553999999996</v>
      </c>
      <c r="NP38" s="265">
        <v>28610.183000000001</v>
      </c>
      <c r="NQ38" s="265"/>
      <c r="NR38" s="265">
        <v>1042.02</v>
      </c>
      <c r="NS38" s="266">
        <v>1803.3709999999955</v>
      </c>
      <c r="NT38" s="4">
        <v>31009</v>
      </c>
      <c r="NU38" s="4">
        <v>29240</v>
      </c>
      <c r="NV38" s="4">
        <v>169</v>
      </c>
      <c r="NW38" s="4">
        <v>932</v>
      </c>
      <c r="NX38" s="233">
        <v>1600</v>
      </c>
      <c r="NY38" s="2">
        <v>31602</v>
      </c>
      <c r="NZ38" s="2">
        <v>29524</v>
      </c>
      <c r="OA38" s="2">
        <v>102</v>
      </c>
      <c r="OB38" s="2">
        <v>777</v>
      </c>
      <c r="OC38" s="2">
        <v>1432</v>
      </c>
    </row>
    <row r="39" spans="1:393" x14ac:dyDescent="0.2">
      <c r="A39" s="247" t="s">
        <v>184</v>
      </c>
      <c r="B39" s="281" t="s">
        <v>186</v>
      </c>
      <c r="C39" s="282" t="s">
        <v>186</v>
      </c>
      <c r="D39" s="282" t="s">
        <v>186</v>
      </c>
      <c r="E39" s="282" t="s">
        <v>186</v>
      </c>
      <c r="F39" s="283" t="s">
        <v>186</v>
      </c>
      <c r="G39" s="288">
        <f>SUM(G41:G52)</f>
        <v>3444271</v>
      </c>
      <c r="H39" s="288">
        <f t="shared" ref="H39:AT39" si="438">SUM(H41:H52)</f>
        <v>2915659</v>
      </c>
      <c r="I39" s="288">
        <f t="shared" si="438"/>
        <v>331537</v>
      </c>
      <c r="J39" s="288">
        <f t="shared" si="438"/>
        <v>225404</v>
      </c>
      <c r="K39" s="289">
        <f t="shared" si="438"/>
        <v>197075</v>
      </c>
      <c r="L39" s="288">
        <f>SUM(L41:L52)</f>
        <v>2340643</v>
      </c>
      <c r="M39" s="288">
        <f t="shared" si="438"/>
        <v>1775927</v>
      </c>
      <c r="N39" s="288">
        <f t="shared" si="438"/>
        <v>213373</v>
      </c>
      <c r="O39" s="288">
        <f t="shared" si="438"/>
        <v>389575</v>
      </c>
      <c r="P39" s="289">
        <f t="shared" si="438"/>
        <v>327727</v>
      </c>
      <c r="Q39" s="385">
        <f>SUM(Q41:Q52)</f>
        <v>1858873</v>
      </c>
      <c r="R39" s="385">
        <f t="shared" ref="R39:W39" si="439">SUM(R41:R52)</f>
        <v>1343525</v>
      </c>
      <c r="S39" s="385">
        <f t="shared" si="439"/>
        <v>176604</v>
      </c>
      <c r="T39" s="385">
        <f t="shared" si="439"/>
        <v>525308</v>
      </c>
      <c r="U39" s="603">
        <f t="shared" si="439"/>
        <v>338744</v>
      </c>
      <c r="V39" s="385">
        <f>SUM(V41:V52)</f>
        <v>1771314</v>
      </c>
      <c r="W39" s="385">
        <f t="shared" si="439"/>
        <v>1263873</v>
      </c>
      <c r="X39" s="385">
        <f t="shared" ref="X39" si="440">SUM(X41:X52)</f>
        <v>165541</v>
      </c>
      <c r="Y39" s="385">
        <f t="shared" ref="Y39" si="441">SUM(Y41:Y52)</f>
        <v>529842</v>
      </c>
      <c r="Z39" s="603">
        <f t="shared" ref="Z39:AE39" si="442">SUM(Z41:Z52)</f>
        <v>341686</v>
      </c>
      <c r="AA39" s="603">
        <f t="shared" si="442"/>
        <v>1750012</v>
      </c>
      <c r="AB39" s="603">
        <f t="shared" si="442"/>
        <v>925479</v>
      </c>
      <c r="AC39" s="603">
        <f t="shared" si="442"/>
        <v>162261</v>
      </c>
      <c r="AD39" s="603">
        <f t="shared" si="442"/>
        <v>541648</v>
      </c>
      <c r="AE39" s="603">
        <f t="shared" si="442"/>
        <v>350764</v>
      </c>
      <c r="AF39" s="288">
        <f>SUM(AF41:AF52)</f>
        <v>5211675</v>
      </c>
      <c r="AG39" s="288">
        <f t="shared" si="438"/>
        <v>4304556</v>
      </c>
      <c r="AH39" s="288">
        <f t="shared" si="438"/>
        <v>760854</v>
      </c>
      <c r="AI39" s="288">
        <f t="shared" si="438"/>
        <v>145935</v>
      </c>
      <c r="AJ39" s="289">
        <f t="shared" si="438"/>
        <v>146265</v>
      </c>
      <c r="AK39" s="288">
        <f>SUM(AK41:AK52)</f>
        <v>4526647</v>
      </c>
      <c r="AL39" s="288">
        <f t="shared" si="438"/>
        <v>3494876</v>
      </c>
      <c r="AM39" s="288">
        <f t="shared" si="438"/>
        <v>722698</v>
      </c>
      <c r="AN39" s="288">
        <f t="shared" si="438"/>
        <v>265201</v>
      </c>
      <c r="AO39" s="289">
        <f t="shared" si="438"/>
        <v>278166</v>
      </c>
      <c r="AP39" s="288">
        <f>SUM(AP41:AP52)</f>
        <v>3339080</v>
      </c>
      <c r="AQ39" s="288">
        <f t="shared" si="438"/>
        <v>2512740</v>
      </c>
      <c r="AR39" s="288">
        <f t="shared" si="438"/>
        <v>558424</v>
      </c>
      <c r="AS39" s="288">
        <f t="shared" si="438"/>
        <v>351861</v>
      </c>
      <c r="AT39" s="289">
        <f t="shared" si="438"/>
        <v>267916</v>
      </c>
      <c r="AU39" s="289">
        <f t="shared" ref="AU39:BD39" si="443">SUM(AU41:AU52)</f>
        <v>3204925</v>
      </c>
      <c r="AV39" s="289">
        <f t="shared" si="443"/>
        <v>2388933</v>
      </c>
      <c r="AW39" s="289">
        <f t="shared" si="443"/>
        <v>545139</v>
      </c>
      <c r="AX39" s="289">
        <f t="shared" si="443"/>
        <v>364255</v>
      </c>
      <c r="AY39" s="289">
        <f t="shared" si="443"/>
        <v>270133</v>
      </c>
      <c r="AZ39" s="289">
        <f t="shared" si="443"/>
        <v>3128539</v>
      </c>
      <c r="BA39" s="289">
        <f t="shared" si="443"/>
        <v>2115030</v>
      </c>
      <c r="BB39" s="289">
        <f t="shared" si="443"/>
        <v>528958</v>
      </c>
      <c r="BC39" s="289">
        <f t="shared" si="443"/>
        <v>362530</v>
      </c>
      <c r="BD39" s="289">
        <f t="shared" si="443"/>
        <v>268398</v>
      </c>
      <c r="BE39" s="579">
        <f t="shared" ref="BE39:BI39" si="444">SUM(BE41:BE52)</f>
        <v>5099626</v>
      </c>
      <c r="BF39" s="288">
        <f t="shared" si="444"/>
        <v>3756367</v>
      </c>
      <c r="BG39" s="288">
        <f t="shared" si="444"/>
        <v>724134</v>
      </c>
      <c r="BH39" s="288">
        <f t="shared" si="444"/>
        <v>888134</v>
      </c>
      <c r="BI39" s="288">
        <f t="shared" si="444"/>
        <v>619125</v>
      </c>
      <c r="BJ39" s="281" t="s">
        <v>186</v>
      </c>
      <c r="BK39" s="282" t="s">
        <v>186</v>
      </c>
      <c r="BL39" s="282" t="s">
        <v>186</v>
      </c>
      <c r="BM39" s="282" t="s">
        <v>186</v>
      </c>
      <c r="BN39" s="281" t="s">
        <v>186</v>
      </c>
      <c r="BO39" s="282" t="s">
        <v>186</v>
      </c>
      <c r="BP39" s="282" t="s">
        <v>186</v>
      </c>
      <c r="BQ39" s="282" t="s">
        <v>186</v>
      </c>
      <c r="BR39" s="283" t="s">
        <v>186</v>
      </c>
      <c r="BS39" s="288">
        <f>SUM(BS41:BS52)</f>
        <v>29217060</v>
      </c>
      <c r="BT39" s="288">
        <f t="shared" ref="BT39:BW39" si="445">SUM(BT41:BT52)</f>
        <v>26531485</v>
      </c>
      <c r="BU39" s="288">
        <f t="shared" si="445"/>
        <v>2055289</v>
      </c>
      <c r="BV39" s="288">
        <f t="shared" si="445"/>
        <v>417900</v>
      </c>
      <c r="BW39" s="289">
        <f t="shared" si="445"/>
        <v>630286</v>
      </c>
      <c r="BX39" s="288">
        <f>SUM(BX41:BX52)</f>
        <v>34669717</v>
      </c>
      <c r="BY39" s="288">
        <f t="shared" ref="BY39:CQ39" si="446">SUM(BY41:BY52)</f>
        <v>30518701</v>
      </c>
      <c r="BZ39" s="288">
        <f t="shared" si="446"/>
        <v>2629733</v>
      </c>
      <c r="CA39" s="288">
        <f t="shared" si="446"/>
        <v>760434</v>
      </c>
      <c r="CB39" s="288">
        <f t="shared" si="446"/>
        <v>1382507</v>
      </c>
      <c r="CC39" s="288">
        <f>SUM(CC41:CC52)</f>
        <v>37635918</v>
      </c>
      <c r="CD39" s="288">
        <f t="shared" si="446"/>
        <v>32537608</v>
      </c>
      <c r="CE39" s="288">
        <f t="shared" si="446"/>
        <v>3129694</v>
      </c>
      <c r="CF39" s="288">
        <f t="shared" si="446"/>
        <v>1968616</v>
      </c>
      <c r="CG39" s="289">
        <f t="shared" si="446"/>
        <v>1238631</v>
      </c>
      <c r="CH39" s="288">
        <f>SUM(CH41:CH52)</f>
        <v>38114025</v>
      </c>
      <c r="CI39" s="288">
        <f t="shared" si="446"/>
        <v>32956290</v>
      </c>
      <c r="CJ39" s="288">
        <f t="shared" si="446"/>
        <v>3177469</v>
      </c>
      <c r="CK39" s="288">
        <f t="shared" si="446"/>
        <v>1980266</v>
      </c>
      <c r="CL39" s="289">
        <f t="shared" si="446"/>
        <v>1289202</v>
      </c>
      <c r="CM39" s="288">
        <f>SUM(CM41:CM52)</f>
        <v>38433854</v>
      </c>
      <c r="CN39" s="288">
        <f t="shared" si="446"/>
        <v>33271372</v>
      </c>
      <c r="CO39" s="288">
        <f t="shared" si="446"/>
        <v>3213683</v>
      </c>
      <c r="CP39" s="288">
        <f t="shared" si="446"/>
        <v>1948799</v>
      </c>
      <c r="CQ39" s="288">
        <f t="shared" si="446"/>
        <v>1299955</v>
      </c>
      <c r="CR39" s="288">
        <f t="shared" ref="CR39:DK39" si="447">SUM(CR41:CR52)</f>
        <v>38828865</v>
      </c>
      <c r="CS39" s="288">
        <f t="shared" si="447"/>
        <v>33526244</v>
      </c>
      <c r="CT39" s="288">
        <f t="shared" si="447"/>
        <v>3313942</v>
      </c>
      <c r="CU39" s="288">
        <f t="shared" si="447"/>
        <v>1388337</v>
      </c>
      <c r="CV39" s="288">
        <f t="shared" si="447"/>
        <v>1582544</v>
      </c>
      <c r="CW39" s="288">
        <f t="shared" si="447"/>
        <v>39222225.849000014</v>
      </c>
      <c r="CX39" s="288">
        <f t="shared" si="447"/>
        <v>33799445.516999997</v>
      </c>
      <c r="CY39" s="288">
        <f t="shared" si="447"/>
        <v>3362475.1729999995</v>
      </c>
      <c r="CZ39" s="288">
        <f t="shared" si="447"/>
        <v>1445444.8739999998</v>
      </c>
      <c r="DA39" s="289">
        <f t="shared" si="447"/>
        <v>2060305.1589999991</v>
      </c>
      <c r="DB39" s="289">
        <f t="shared" si="447"/>
        <v>39597575</v>
      </c>
      <c r="DC39" s="288">
        <f t="shared" si="447"/>
        <v>34091272</v>
      </c>
      <c r="DD39" s="288">
        <f t="shared" si="447"/>
        <v>3420636</v>
      </c>
      <c r="DE39" s="288">
        <f t="shared" si="447"/>
        <v>1508055</v>
      </c>
      <c r="DF39" s="288">
        <f t="shared" si="447"/>
        <v>2079511</v>
      </c>
      <c r="DG39" s="288">
        <f t="shared" si="447"/>
        <v>39944318</v>
      </c>
      <c r="DH39" s="288">
        <f t="shared" si="447"/>
        <v>33307019</v>
      </c>
      <c r="DI39" s="288">
        <f t="shared" si="447"/>
        <v>3460389</v>
      </c>
      <c r="DJ39" s="288">
        <f t="shared" si="447"/>
        <v>1563079</v>
      </c>
      <c r="DK39" s="288">
        <f t="shared" si="447"/>
        <v>1299880</v>
      </c>
      <c r="DL39" s="281" t="s">
        <v>186</v>
      </c>
      <c r="DM39" s="282" t="s">
        <v>186</v>
      </c>
      <c r="DN39" s="282" t="s">
        <v>186</v>
      </c>
      <c r="DO39" s="282" t="s">
        <v>186</v>
      </c>
      <c r="DP39" s="283" t="s">
        <v>186</v>
      </c>
      <c r="DQ39" s="288">
        <f>SUM(DQ41:DQ52)</f>
        <v>9370163</v>
      </c>
      <c r="DR39" s="288">
        <f t="shared" ref="DR39:DU39" si="448">SUM(DR41:DR52)</f>
        <v>8331046</v>
      </c>
      <c r="DS39" s="288">
        <f t="shared" si="448"/>
        <v>849498</v>
      </c>
      <c r="DT39" s="288">
        <f t="shared" si="448"/>
        <v>151968</v>
      </c>
      <c r="DU39" s="289">
        <f t="shared" si="448"/>
        <v>189619</v>
      </c>
      <c r="DV39" s="288">
        <f>SUM(DV41:DV52)</f>
        <v>11702335</v>
      </c>
      <c r="DW39" s="288">
        <f t="shared" ref="DW39:IA39" si="449">SUM(DW41:DW52)</f>
        <v>10121535</v>
      </c>
      <c r="DX39" s="288">
        <f t="shared" si="449"/>
        <v>1104960</v>
      </c>
      <c r="DY39" s="288">
        <f t="shared" si="449"/>
        <v>268853</v>
      </c>
      <c r="DZ39" s="289">
        <f t="shared" si="449"/>
        <v>422811</v>
      </c>
      <c r="EA39" s="288">
        <f t="shared" si="449"/>
        <v>13267333</v>
      </c>
      <c r="EB39" s="288">
        <f t="shared" si="449"/>
        <v>11276426</v>
      </c>
      <c r="EC39" s="288">
        <f t="shared" si="449"/>
        <v>1409840</v>
      </c>
      <c r="ED39" s="288">
        <f t="shared" si="449"/>
        <v>470267</v>
      </c>
      <c r="EE39" s="289">
        <f t="shared" si="449"/>
        <v>581067</v>
      </c>
      <c r="EF39" s="288">
        <f t="shared" si="449"/>
        <v>13419633.461000001</v>
      </c>
      <c r="EG39" s="288">
        <f t="shared" si="449"/>
        <v>11384398.817000002</v>
      </c>
      <c r="EH39" s="288">
        <f t="shared" si="449"/>
        <v>1435375.1670000001</v>
      </c>
      <c r="EI39" s="288">
        <f t="shared" si="449"/>
        <v>492608.99799999991</v>
      </c>
      <c r="EJ39" s="289">
        <f t="shared" si="449"/>
        <v>599859.47700000019</v>
      </c>
      <c r="EK39" s="289">
        <f t="shared" si="449"/>
        <v>13571490</v>
      </c>
      <c r="EL39" s="289">
        <f t="shared" si="449"/>
        <v>11495189</v>
      </c>
      <c r="EM39" s="289">
        <f t="shared" si="449"/>
        <v>1465968</v>
      </c>
      <c r="EN39" s="289">
        <f t="shared" si="449"/>
        <v>517566</v>
      </c>
      <c r="EO39" s="289">
        <f t="shared" si="449"/>
        <v>608023</v>
      </c>
      <c r="EP39" s="289">
        <f t="shared" si="449"/>
        <v>13705205</v>
      </c>
      <c r="EQ39" s="289">
        <f t="shared" si="449"/>
        <v>11231214</v>
      </c>
      <c r="ER39" s="289">
        <f t="shared" si="449"/>
        <v>1489521</v>
      </c>
      <c r="ES39" s="289">
        <f t="shared" si="449"/>
        <v>540259</v>
      </c>
      <c r="ET39" s="289">
        <f t="shared" si="449"/>
        <v>628784</v>
      </c>
      <c r="EU39" s="383">
        <f>SUM(EU41:EU52)</f>
        <v>2338864</v>
      </c>
      <c r="EV39" s="288">
        <f t="shared" si="449"/>
        <v>2110422</v>
      </c>
      <c r="EW39" s="288">
        <f t="shared" si="449"/>
        <v>174450</v>
      </c>
      <c r="EX39" s="288">
        <f t="shared" si="449"/>
        <v>37464</v>
      </c>
      <c r="EY39" s="289">
        <f t="shared" si="449"/>
        <v>53992</v>
      </c>
      <c r="EZ39" s="288">
        <f>SUM(EZ41:EZ52)</f>
        <v>2675987</v>
      </c>
      <c r="FA39" s="288">
        <f t="shared" si="449"/>
        <v>2351187</v>
      </c>
      <c r="FB39" s="288">
        <f t="shared" si="449"/>
        <v>210586</v>
      </c>
      <c r="FC39" s="288">
        <f t="shared" si="449"/>
        <v>57623</v>
      </c>
      <c r="FD39" s="289">
        <f t="shared" si="449"/>
        <v>103754</v>
      </c>
      <c r="FE39" s="288">
        <f>SUM(FE41:FE52)</f>
        <v>3530258</v>
      </c>
      <c r="FF39" s="288">
        <f t="shared" si="449"/>
        <v>3078765</v>
      </c>
      <c r="FG39" s="288">
        <f t="shared" si="449"/>
        <v>297716</v>
      </c>
      <c r="FH39" s="288">
        <f t="shared" si="449"/>
        <v>113114</v>
      </c>
      <c r="FI39" s="288">
        <f t="shared" si="449"/>
        <v>153777</v>
      </c>
      <c r="FJ39" s="288">
        <f>SUM(FJ41:FJ52)</f>
        <v>0</v>
      </c>
      <c r="FK39" s="288">
        <f t="shared" si="449"/>
        <v>0</v>
      </c>
      <c r="FL39" s="288">
        <f t="shared" si="449"/>
        <v>0</v>
      </c>
      <c r="FM39" s="288">
        <f t="shared" si="449"/>
        <v>0</v>
      </c>
      <c r="FN39" s="289">
        <f t="shared" si="449"/>
        <v>0</v>
      </c>
      <c r="FO39" s="289">
        <f t="shared" si="449"/>
        <v>3728650</v>
      </c>
      <c r="FP39" s="289">
        <f t="shared" si="449"/>
        <v>3249727</v>
      </c>
      <c r="FQ39" s="289">
        <f t="shared" si="449"/>
        <v>312639</v>
      </c>
      <c r="FR39" s="289">
        <f t="shared" si="449"/>
        <v>124629</v>
      </c>
      <c r="FS39" s="289">
        <f t="shared" si="449"/>
        <v>165615</v>
      </c>
      <c r="FT39" s="289">
        <f t="shared" si="449"/>
        <v>3837505</v>
      </c>
      <c r="FU39" s="289">
        <f t="shared" si="449"/>
        <v>3252255</v>
      </c>
      <c r="FV39" s="289">
        <f t="shared" si="449"/>
        <v>322743</v>
      </c>
      <c r="FW39" s="289">
        <f t="shared" si="449"/>
        <v>131911</v>
      </c>
      <c r="FX39" s="289">
        <f t="shared" si="449"/>
        <v>175763</v>
      </c>
      <c r="FY39" s="579">
        <f t="shared" si="449"/>
        <v>9309460</v>
      </c>
      <c r="FZ39" s="555">
        <f t="shared" si="449"/>
        <v>8512869</v>
      </c>
      <c r="GA39" s="555">
        <f t="shared" si="449"/>
        <v>503166</v>
      </c>
      <c r="GB39" s="555">
        <f t="shared" si="449"/>
        <v>116888</v>
      </c>
      <c r="GC39" s="555">
        <f t="shared" si="449"/>
        <v>293425</v>
      </c>
      <c r="GD39" s="579">
        <f t="shared" si="449"/>
        <v>12192334</v>
      </c>
      <c r="GE39" s="555">
        <f t="shared" si="449"/>
        <v>10828408</v>
      </c>
      <c r="GF39" s="555">
        <f t="shared" si="449"/>
        <v>682370</v>
      </c>
      <c r="GG39" s="555">
        <f t="shared" si="449"/>
        <v>210579</v>
      </c>
      <c r="GH39" s="555">
        <f t="shared" si="449"/>
        <v>637632</v>
      </c>
      <c r="GI39" s="288">
        <f>SUM(GI41:GI52)</f>
        <v>13173966</v>
      </c>
      <c r="GJ39" s="288">
        <f t="shared" si="449"/>
        <v>11541500</v>
      </c>
      <c r="GK39" s="288">
        <f t="shared" si="449"/>
        <v>806753</v>
      </c>
      <c r="GL39" s="288">
        <f t="shared" si="449"/>
        <v>355033</v>
      </c>
      <c r="GM39" s="289">
        <f t="shared" si="449"/>
        <v>825713</v>
      </c>
      <c r="GN39" s="385">
        <f>SUM(GN41:GN52)</f>
        <v>0</v>
      </c>
      <c r="GO39" s="385">
        <f t="shared" si="449"/>
        <v>0</v>
      </c>
      <c r="GP39" s="385">
        <f t="shared" si="449"/>
        <v>0</v>
      </c>
      <c r="GQ39" s="385">
        <f t="shared" si="449"/>
        <v>0</v>
      </c>
      <c r="GR39" s="603">
        <f t="shared" si="449"/>
        <v>0</v>
      </c>
      <c r="GS39" s="603">
        <f t="shared" si="449"/>
        <v>15903489</v>
      </c>
      <c r="GT39" s="603">
        <f t="shared" si="449"/>
        <v>13857011</v>
      </c>
      <c r="GU39" s="603">
        <f t="shared" si="449"/>
        <v>994064</v>
      </c>
      <c r="GV39" s="603">
        <f t="shared" si="449"/>
        <v>442541</v>
      </c>
      <c r="GW39" s="603">
        <f t="shared" si="449"/>
        <v>1050421</v>
      </c>
      <c r="GX39" s="603">
        <f t="shared" si="449"/>
        <v>49384866</v>
      </c>
      <c r="GY39" s="603">
        <f t="shared" si="449"/>
        <v>13837058</v>
      </c>
      <c r="GZ39" s="603">
        <f t="shared" si="449"/>
        <v>1022591</v>
      </c>
      <c r="HA39" s="603">
        <f t="shared" si="449"/>
        <v>458746</v>
      </c>
      <c r="HB39" s="603">
        <f t="shared" si="449"/>
        <v>625870</v>
      </c>
      <c r="HC39" s="288">
        <f>SUM(HC41:HC52)</f>
        <v>4572727</v>
      </c>
      <c r="HD39" s="288">
        <f t="shared" si="449"/>
        <v>4228274</v>
      </c>
      <c r="HE39" s="288">
        <f t="shared" si="449"/>
        <v>213581</v>
      </c>
      <c r="HF39" s="288">
        <f t="shared" si="449"/>
        <v>48600</v>
      </c>
      <c r="HG39" s="289">
        <f t="shared" si="449"/>
        <v>130872</v>
      </c>
      <c r="HH39" s="288">
        <f>SUM(HH41:HH52)</f>
        <v>6219651</v>
      </c>
      <c r="HI39" s="288">
        <f t="shared" si="449"/>
        <v>5591979</v>
      </c>
      <c r="HJ39" s="288">
        <f t="shared" si="449"/>
        <v>309118</v>
      </c>
      <c r="HK39" s="288">
        <f t="shared" si="449"/>
        <v>96321</v>
      </c>
      <c r="HL39" s="288">
        <f t="shared" si="449"/>
        <v>298489</v>
      </c>
      <c r="HM39" s="288">
        <f>SUM(HM41:HM52)</f>
        <v>7539944</v>
      </c>
      <c r="HN39" s="288">
        <f t="shared" si="449"/>
        <v>6650878</v>
      </c>
      <c r="HO39" s="288">
        <f t="shared" si="449"/>
        <v>419813</v>
      </c>
      <c r="HP39" s="288">
        <f t="shared" si="449"/>
        <v>194453</v>
      </c>
      <c r="HQ39" s="288">
        <f t="shared" si="449"/>
        <v>469253</v>
      </c>
      <c r="HR39" s="288">
        <f>SUM(HR41:HR52)</f>
        <v>7647443.5760000004</v>
      </c>
      <c r="HS39" s="288">
        <f t="shared" si="449"/>
        <v>6741098.199000001</v>
      </c>
      <c r="HT39" s="288">
        <f t="shared" si="449"/>
        <v>416744.28200000001</v>
      </c>
      <c r="HU39" s="288">
        <f t="shared" si="449"/>
        <v>200074.359</v>
      </c>
      <c r="HV39" s="288">
        <f t="shared" si="449"/>
        <v>489601.0949999998</v>
      </c>
      <c r="HW39" s="288">
        <f t="shared" si="449"/>
        <v>7943311</v>
      </c>
      <c r="HX39" s="288">
        <f t="shared" si="449"/>
        <v>6845354</v>
      </c>
      <c r="HY39" s="288">
        <f t="shared" si="449"/>
        <v>438336</v>
      </c>
      <c r="HZ39" s="288">
        <f t="shared" si="449"/>
        <v>218458</v>
      </c>
      <c r="IA39" s="288">
        <f t="shared" si="449"/>
        <v>502690</v>
      </c>
      <c r="IB39" s="281" t="s">
        <v>186</v>
      </c>
      <c r="IC39" s="282" t="s">
        <v>186</v>
      </c>
      <c r="ID39" s="307">
        <f t="shared" ref="ID39:KO39" si="450">SUM(ID41:ID52)</f>
        <v>1974548</v>
      </c>
      <c r="IE39" s="280">
        <f t="shared" si="450"/>
        <v>1212766</v>
      </c>
      <c r="IF39" s="280">
        <f t="shared" si="450"/>
        <v>761782</v>
      </c>
      <c r="IG39" s="280">
        <f t="shared" si="450"/>
        <v>1913397</v>
      </c>
      <c r="IH39" s="280">
        <f t="shared" si="450"/>
        <v>1180978</v>
      </c>
      <c r="II39" s="280">
        <f t="shared" si="450"/>
        <v>732419</v>
      </c>
      <c r="IJ39" s="280">
        <f t="shared" si="450"/>
        <v>61151</v>
      </c>
      <c r="IK39" s="280">
        <f t="shared" si="450"/>
        <v>31788</v>
      </c>
      <c r="IL39" s="280">
        <f t="shared" si="450"/>
        <v>29363</v>
      </c>
      <c r="IM39" s="307">
        <f t="shared" si="450"/>
        <v>2722443</v>
      </c>
      <c r="IN39" s="280">
        <f t="shared" si="450"/>
        <v>1629488</v>
      </c>
      <c r="IO39" s="280">
        <f t="shared" si="450"/>
        <v>1092955</v>
      </c>
      <c r="IP39" s="280">
        <f t="shared" si="450"/>
        <v>2612258</v>
      </c>
      <c r="IQ39" s="280">
        <f t="shared" si="450"/>
        <v>1573662</v>
      </c>
      <c r="IR39" s="280">
        <f t="shared" si="450"/>
        <v>1038596</v>
      </c>
      <c r="IS39" s="280">
        <f t="shared" si="450"/>
        <v>82879</v>
      </c>
      <c r="IT39" s="280">
        <f t="shared" si="450"/>
        <v>38353</v>
      </c>
      <c r="IU39" s="280">
        <f t="shared" si="450"/>
        <v>44526</v>
      </c>
      <c r="IV39" s="280">
        <f t="shared" si="450"/>
        <v>27306</v>
      </c>
      <c r="IW39" s="280">
        <f t="shared" si="450"/>
        <v>17473</v>
      </c>
      <c r="IX39" s="280">
        <f t="shared" si="450"/>
        <v>9833</v>
      </c>
      <c r="IY39" s="307">
        <f t="shared" si="450"/>
        <v>5020587</v>
      </c>
      <c r="IZ39" s="280">
        <f t="shared" si="450"/>
        <v>2909158</v>
      </c>
      <c r="JA39" s="280">
        <f t="shared" si="450"/>
        <v>2111429</v>
      </c>
      <c r="JB39" s="288">
        <f t="shared" si="450"/>
        <v>4650609</v>
      </c>
      <c r="JC39" s="280">
        <f t="shared" si="450"/>
        <v>2717742</v>
      </c>
      <c r="JD39" s="280">
        <f t="shared" si="450"/>
        <v>1932867</v>
      </c>
      <c r="JE39" s="280">
        <f t="shared" si="450"/>
        <v>191416</v>
      </c>
      <c r="JF39" s="280">
        <f t="shared" si="450"/>
        <v>178562</v>
      </c>
      <c r="JG39" s="288">
        <f t="shared" si="450"/>
        <v>205422</v>
      </c>
      <c r="JH39" s="280">
        <f t="shared" si="450"/>
        <v>95921</v>
      </c>
      <c r="JI39" s="280">
        <f t="shared" si="450"/>
        <v>109501</v>
      </c>
      <c r="JJ39" s="288">
        <f t="shared" si="450"/>
        <v>44580</v>
      </c>
      <c r="JK39" s="280">
        <f t="shared" si="450"/>
        <v>26360</v>
      </c>
      <c r="JL39" s="280">
        <f t="shared" si="450"/>
        <v>18220</v>
      </c>
      <c r="JM39" s="280">
        <f t="shared" si="450"/>
        <v>119976</v>
      </c>
      <c r="JN39" s="280">
        <f t="shared" si="450"/>
        <v>69135</v>
      </c>
      <c r="JO39" s="280">
        <f t="shared" si="450"/>
        <v>50841</v>
      </c>
      <c r="JP39" s="280">
        <f t="shared" si="450"/>
        <v>3777</v>
      </c>
      <c r="JQ39" s="280">
        <f t="shared" si="450"/>
        <v>2427</v>
      </c>
      <c r="JR39" s="280">
        <f t="shared" si="450"/>
        <v>1350</v>
      </c>
      <c r="JS39" s="280">
        <f t="shared" si="450"/>
        <v>116199</v>
      </c>
      <c r="JT39" s="280">
        <f t="shared" si="450"/>
        <v>66708</v>
      </c>
      <c r="JU39" s="280">
        <f t="shared" si="450"/>
        <v>49491</v>
      </c>
      <c r="JV39" s="383">
        <f t="shared" si="450"/>
        <v>6970596</v>
      </c>
      <c r="JW39" s="280">
        <f t="shared" si="450"/>
        <v>3766435</v>
      </c>
      <c r="JX39" s="280">
        <f t="shared" si="450"/>
        <v>3204161</v>
      </c>
      <c r="JY39" s="288">
        <f t="shared" si="450"/>
        <v>6402447</v>
      </c>
      <c r="JZ39" s="288">
        <f t="shared" si="450"/>
        <v>6351440</v>
      </c>
      <c r="KA39" s="280">
        <f t="shared" si="450"/>
        <v>3462583</v>
      </c>
      <c r="KB39" s="280">
        <f t="shared" si="450"/>
        <v>2888857</v>
      </c>
      <c r="KC39" s="280">
        <f t="shared" si="450"/>
        <v>303852</v>
      </c>
      <c r="KD39" s="280">
        <f t="shared" si="450"/>
        <v>315304</v>
      </c>
      <c r="KE39" s="288">
        <f t="shared" si="450"/>
        <v>328716</v>
      </c>
      <c r="KF39" s="288">
        <f t="shared" si="450"/>
        <v>326703</v>
      </c>
      <c r="KG39" s="280">
        <f t="shared" si="450"/>
        <v>142445</v>
      </c>
      <c r="KH39" s="280">
        <f t="shared" si="450"/>
        <v>184258</v>
      </c>
      <c r="KI39" s="288">
        <f t="shared" si="450"/>
        <v>79424</v>
      </c>
      <c r="KJ39" s="280">
        <f t="shared" si="450"/>
        <v>43023</v>
      </c>
      <c r="KK39" s="280">
        <f t="shared" si="450"/>
        <v>36401</v>
      </c>
      <c r="KL39" s="289">
        <f t="shared" si="450"/>
        <v>239433</v>
      </c>
      <c r="KM39" s="384">
        <f t="shared" si="450"/>
        <v>118384</v>
      </c>
      <c r="KN39" s="384">
        <f t="shared" si="450"/>
        <v>94645</v>
      </c>
      <c r="KO39" s="384">
        <f t="shared" si="450"/>
        <v>1507</v>
      </c>
      <c r="KP39" s="384">
        <f t="shared" ref="KP39:MJ39" si="451">SUM(KP41:KP52)</f>
        <v>845</v>
      </c>
      <c r="KQ39" s="384">
        <f t="shared" si="451"/>
        <v>662</v>
      </c>
      <c r="KR39" s="384">
        <f t="shared" si="451"/>
        <v>211522</v>
      </c>
      <c r="KS39" s="384">
        <f t="shared" si="451"/>
        <v>117539</v>
      </c>
      <c r="KT39" s="384">
        <f t="shared" si="451"/>
        <v>93983</v>
      </c>
      <c r="KU39" s="280">
        <f t="shared" si="451"/>
        <v>7348</v>
      </c>
      <c r="KV39" s="280">
        <f t="shared" si="451"/>
        <v>7538</v>
      </c>
      <c r="KW39" s="280">
        <f t="shared" si="451"/>
        <v>110191</v>
      </c>
      <c r="KX39" s="280">
        <f t="shared" si="451"/>
        <v>86445</v>
      </c>
      <c r="KY39" s="332">
        <f t="shared" si="451"/>
        <v>9516347</v>
      </c>
      <c r="KZ39" s="280">
        <f t="shared" si="451"/>
        <v>4843037</v>
      </c>
      <c r="LA39" s="280">
        <f t="shared" si="451"/>
        <v>4673310</v>
      </c>
      <c r="LB39" s="385">
        <f t="shared" si="451"/>
        <v>8477221</v>
      </c>
      <c r="LC39" s="385">
        <f t="shared" si="451"/>
        <v>4350037</v>
      </c>
      <c r="LD39" s="385">
        <f t="shared" si="451"/>
        <v>4127184</v>
      </c>
      <c r="LE39" s="385">
        <f t="shared" si="451"/>
        <v>8378937</v>
      </c>
      <c r="LF39" s="280">
        <f t="shared" si="451"/>
        <v>4299845</v>
      </c>
      <c r="LG39" s="280">
        <f t="shared" si="451"/>
        <v>4079092</v>
      </c>
      <c r="LH39" s="385">
        <f t="shared" si="451"/>
        <v>484189</v>
      </c>
      <c r="LI39" s="280">
        <f t="shared" si="451"/>
        <v>202974</v>
      </c>
      <c r="LJ39" s="280">
        <f t="shared" si="451"/>
        <v>281215</v>
      </c>
      <c r="LK39" s="385">
        <f t="shared" si="451"/>
        <v>161313</v>
      </c>
      <c r="LL39" s="280">
        <f t="shared" si="451"/>
        <v>80854</v>
      </c>
      <c r="LM39" s="280">
        <f t="shared" si="451"/>
        <v>80459</v>
      </c>
      <c r="LN39" s="385">
        <f t="shared" si="451"/>
        <v>554937</v>
      </c>
      <c r="LO39" s="280">
        <f t="shared" si="451"/>
        <v>290026</v>
      </c>
      <c r="LP39" s="280">
        <f t="shared" si="451"/>
        <v>264911</v>
      </c>
      <c r="LQ39" s="333">
        <f t="shared" si="451"/>
        <v>11085281</v>
      </c>
      <c r="LR39" s="280">
        <f t="shared" si="451"/>
        <v>9710908</v>
      </c>
      <c r="LS39" s="280">
        <f t="shared" si="451"/>
        <v>1648366</v>
      </c>
      <c r="LT39" s="280">
        <f t="shared" si="451"/>
        <v>772354</v>
      </c>
      <c r="LU39" s="385">
        <f t="shared" si="451"/>
        <v>246803</v>
      </c>
      <c r="LV39" s="383">
        <f t="shared" si="451"/>
        <v>11345945</v>
      </c>
      <c r="LW39" s="288">
        <f t="shared" si="451"/>
        <v>9934526</v>
      </c>
      <c r="LX39" s="288">
        <f t="shared" si="451"/>
        <v>620493</v>
      </c>
      <c r="LY39" s="288">
        <f t="shared" si="451"/>
        <v>790926</v>
      </c>
      <c r="LZ39" s="288">
        <f t="shared" si="451"/>
        <v>261546</v>
      </c>
      <c r="MA39" s="383">
        <f t="shared" si="451"/>
        <v>11514761</v>
      </c>
      <c r="MB39" s="288">
        <f t="shared" si="451"/>
        <v>10100339</v>
      </c>
      <c r="MC39" s="288">
        <f t="shared" si="451"/>
        <v>626095</v>
      </c>
      <c r="MD39" s="288">
        <f t="shared" si="451"/>
        <v>788327</v>
      </c>
      <c r="ME39" s="288">
        <f t="shared" si="451"/>
        <v>264201</v>
      </c>
      <c r="MF39" s="383">
        <f t="shared" si="451"/>
        <v>11731716</v>
      </c>
      <c r="MG39" s="288">
        <f t="shared" si="451"/>
        <v>10236189</v>
      </c>
      <c r="MH39" s="288">
        <f t="shared" si="451"/>
        <v>656970</v>
      </c>
      <c r="MI39" s="288">
        <f>SUM(MI41:MI52)</f>
        <v>838557</v>
      </c>
      <c r="MJ39" s="288">
        <f t="shared" si="451"/>
        <v>291519</v>
      </c>
      <c r="MK39" s="288">
        <f>SUM(MK41:MK52)</f>
        <v>11935110.729999999</v>
      </c>
      <c r="ML39" s="288">
        <f>SUM(ML41:ML52)</f>
        <v>10393355.336999999</v>
      </c>
      <c r="MM39" s="288">
        <f>SUM(MM41:MM52)</f>
        <v>661650.13300000003</v>
      </c>
      <c r="MN39" s="288">
        <f>SUM(MN41:MN52)</f>
        <v>299417.15300000005</v>
      </c>
      <c r="MO39" s="288">
        <f>SUM(MO41:MO52)</f>
        <v>880105.25999999978</v>
      </c>
      <c r="MP39" s="288">
        <f t="shared" ref="MP39:MY39" si="452">SUM(MP41:MP52)</f>
        <v>12174839</v>
      </c>
      <c r="MQ39" s="288">
        <f t="shared" si="452"/>
        <v>10607284</v>
      </c>
      <c r="MR39" s="288">
        <f t="shared" si="452"/>
        <v>681425</v>
      </c>
      <c r="MS39" s="288">
        <f t="shared" si="452"/>
        <v>317912</v>
      </c>
      <c r="MT39" s="288">
        <f t="shared" si="452"/>
        <v>884806</v>
      </c>
      <c r="MU39" s="288">
        <f t="shared" si="452"/>
        <v>12440189</v>
      </c>
      <c r="MV39" s="288">
        <f t="shared" si="452"/>
        <v>10584803</v>
      </c>
      <c r="MW39" s="288">
        <f t="shared" si="452"/>
        <v>699848</v>
      </c>
      <c r="MX39" s="288">
        <f t="shared" si="452"/>
        <v>326835</v>
      </c>
      <c r="MY39" s="288">
        <f t="shared" si="452"/>
        <v>522820</v>
      </c>
      <c r="MZ39" s="383">
        <f t="shared" ref="MZ39:OC39" si="453">SUM(MZ41:MZ52)</f>
        <v>2397869</v>
      </c>
      <c r="NA39" s="288">
        <f t="shared" si="453"/>
        <v>2174173</v>
      </c>
      <c r="NB39" s="288">
        <f t="shared" si="453"/>
        <v>115135</v>
      </c>
      <c r="NC39" s="288">
        <f t="shared" si="453"/>
        <v>30824</v>
      </c>
      <c r="ND39" s="289">
        <f t="shared" si="453"/>
        <v>108561</v>
      </c>
      <c r="NE39" s="288">
        <f t="shared" si="453"/>
        <v>3296696</v>
      </c>
      <c r="NF39" s="288">
        <f t="shared" si="453"/>
        <v>2885242</v>
      </c>
      <c r="NG39" s="288">
        <f t="shared" si="453"/>
        <v>162666</v>
      </c>
      <c r="NH39" s="288">
        <f t="shared" si="453"/>
        <v>56635</v>
      </c>
      <c r="NI39" s="288">
        <f t="shared" si="453"/>
        <v>235389</v>
      </c>
      <c r="NJ39" s="383">
        <f t="shared" si="453"/>
        <v>4191772</v>
      </c>
      <c r="NK39" s="288">
        <f t="shared" si="453"/>
        <v>3585311</v>
      </c>
      <c r="NL39" s="288">
        <f t="shared" si="453"/>
        <v>237157</v>
      </c>
      <c r="NM39" s="288">
        <f t="shared" si="453"/>
        <v>97066</v>
      </c>
      <c r="NN39" s="288">
        <f t="shared" si="453"/>
        <v>369304</v>
      </c>
      <c r="NO39" s="383">
        <f t="shared" si="453"/>
        <v>4287667.1539999992</v>
      </c>
      <c r="NP39" s="288">
        <f t="shared" si="453"/>
        <v>3652257.1379999993</v>
      </c>
      <c r="NQ39" s="288">
        <f t="shared" si="453"/>
        <v>244905.85100000002</v>
      </c>
      <c r="NR39" s="288">
        <f t="shared" si="453"/>
        <v>99342.793999999994</v>
      </c>
      <c r="NS39" s="289">
        <f t="shared" si="453"/>
        <v>390504.16499999992</v>
      </c>
      <c r="NT39" s="288">
        <f t="shared" si="453"/>
        <v>4378505</v>
      </c>
      <c r="NU39" s="288">
        <f t="shared" si="453"/>
        <v>3728618</v>
      </c>
      <c r="NV39" s="288">
        <f t="shared" si="453"/>
        <v>252292</v>
      </c>
      <c r="NW39" s="288">
        <f t="shared" si="453"/>
        <v>105768</v>
      </c>
      <c r="NX39" s="554">
        <f t="shared" si="453"/>
        <v>397133</v>
      </c>
      <c r="NY39" s="554">
        <f t="shared" si="453"/>
        <v>4496878</v>
      </c>
      <c r="NZ39" s="554">
        <f t="shared" si="453"/>
        <v>3739449</v>
      </c>
      <c r="OA39" s="554">
        <f t="shared" si="453"/>
        <v>261512</v>
      </c>
      <c r="OB39" s="554">
        <f t="shared" si="453"/>
        <v>108377</v>
      </c>
      <c r="OC39" s="554">
        <f t="shared" si="453"/>
        <v>414081</v>
      </c>
    </row>
    <row r="40" spans="1:393" ht="15" x14ac:dyDescent="0.2">
      <c r="A40" s="247" t="s">
        <v>182</v>
      </c>
      <c r="B40" s="281" t="s">
        <v>186</v>
      </c>
      <c r="C40" s="282" t="s">
        <v>186</v>
      </c>
      <c r="D40" s="282" t="s">
        <v>186</v>
      </c>
      <c r="E40" s="282" t="s">
        <v>186</v>
      </c>
      <c r="F40" s="283" t="s">
        <v>186</v>
      </c>
      <c r="G40" s="251"/>
      <c r="H40" s="251"/>
      <c r="I40" s="251"/>
      <c r="J40" s="251"/>
      <c r="K40" s="335"/>
      <c r="L40" s="251"/>
      <c r="M40" s="251"/>
      <c r="N40" s="251"/>
      <c r="O40" s="251"/>
      <c r="P40" s="335"/>
      <c r="Q40" s="348"/>
      <c r="R40" s="348"/>
      <c r="S40" s="348"/>
      <c r="T40" s="348"/>
      <c r="U40" s="614"/>
      <c r="V40" s="348"/>
      <c r="W40" s="348"/>
      <c r="X40" s="348"/>
      <c r="Y40" s="348"/>
      <c r="Z40" s="348"/>
      <c r="AA40" s="348">
        <v>0</v>
      </c>
      <c r="AB40" s="348">
        <v>0</v>
      </c>
      <c r="AC40" s="348"/>
      <c r="AD40" s="348"/>
      <c r="AE40" s="600">
        <v>0</v>
      </c>
      <c r="AF40" s="249"/>
      <c r="AG40" s="251"/>
      <c r="AH40" s="251"/>
      <c r="AI40" s="251"/>
      <c r="AJ40" s="335"/>
      <c r="AK40" s="251"/>
      <c r="AL40" s="251"/>
      <c r="AM40" s="251"/>
      <c r="AN40" s="251"/>
      <c r="AO40" s="335"/>
      <c r="AP40" s="251"/>
      <c r="AQ40" s="251"/>
      <c r="AR40" s="251"/>
      <c r="AS40" s="251"/>
      <c r="AT40" s="335"/>
      <c r="AU40" s="251"/>
      <c r="AV40" s="251"/>
      <c r="AW40" s="251"/>
      <c r="AX40" s="251"/>
      <c r="AY40" s="251"/>
      <c r="AZ40" s="251">
        <v>0</v>
      </c>
      <c r="BA40" s="251">
        <v>0</v>
      </c>
      <c r="BB40" s="251"/>
      <c r="BC40" s="251"/>
      <c r="BD40" s="251">
        <v>0</v>
      </c>
      <c r="BE40" s="249"/>
      <c r="BF40" s="251"/>
      <c r="BG40" s="251"/>
      <c r="BH40" s="251"/>
      <c r="BI40" s="288"/>
      <c r="BJ40" s="281" t="s">
        <v>186</v>
      </c>
      <c r="BK40" s="282" t="s">
        <v>186</v>
      </c>
      <c r="BL40" s="282" t="s">
        <v>186</v>
      </c>
      <c r="BM40" s="282" t="s">
        <v>186</v>
      </c>
      <c r="BN40" s="281" t="s">
        <v>186</v>
      </c>
      <c r="BO40" s="282" t="s">
        <v>186</v>
      </c>
      <c r="BP40" s="282" t="s">
        <v>186</v>
      </c>
      <c r="BQ40" s="282" t="s">
        <v>186</v>
      </c>
      <c r="BR40" s="283" t="s">
        <v>186</v>
      </c>
      <c r="BS40" s="251"/>
      <c r="BT40" s="251"/>
      <c r="BU40" s="251"/>
      <c r="BV40" s="251"/>
      <c r="BW40" s="335"/>
      <c r="BX40" s="251"/>
      <c r="BY40" s="251"/>
      <c r="BZ40" s="251"/>
      <c r="CA40" s="251"/>
      <c r="CB40" s="251"/>
      <c r="CC40" s="336"/>
      <c r="CD40" s="251"/>
      <c r="CE40" s="251"/>
      <c r="CF40" s="251"/>
      <c r="CG40" s="251"/>
      <c r="CH40" s="249"/>
      <c r="CI40" s="251"/>
      <c r="CJ40" s="251"/>
      <c r="CK40" s="251"/>
      <c r="CL40" s="251"/>
      <c r="CM40" s="249"/>
      <c r="CN40" s="251"/>
      <c r="CO40" s="251"/>
      <c r="CP40" s="251"/>
      <c r="CQ40" s="251"/>
      <c r="CR40" s="249"/>
      <c r="CS40" s="251"/>
      <c r="CT40" s="251"/>
      <c r="CU40" s="251"/>
      <c r="CV40" s="251"/>
      <c r="CW40" s="249"/>
      <c r="CX40" s="251"/>
      <c r="CY40" s="251"/>
      <c r="CZ40" s="251"/>
      <c r="DA40" s="289"/>
      <c r="DB40" s="251"/>
      <c r="DC40" s="251"/>
      <c r="DD40" s="251"/>
      <c r="DE40" s="251"/>
      <c r="DF40" s="288"/>
      <c r="DG40" s="288">
        <v>0</v>
      </c>
      <c r="DH40" s="288">
        <v>0</v>
      </c>
      <c r="DI40" s="288"/>
      <c r="DJ40" s="288"/>
      <c r="DK40" s="288">
        <v>0</v>
      </c>
      <c r="DL40" s="281" t="s">
        <v>186</v>
      </c>
      <c r="DM40" s="282" t="s">
        <v>186</v>
      </c>
      <c r="DN40" s="282" t="s">
        <v>186</v>
      </c>
      <c r="DO40" s="282" t="s">
        <v>186</v>
      </c>
      <c r="DP40" s="283" t="s">
        <v>186</v>
      </c>
      <c r="DQ40" s="251"/>
      <c r="DR40" s="251"/>
      <c r="DS40" s="251"/>
      <c r="DT40" s="251"/>
      <c r="DU40" s="335"/>
      <c r="DV40" s="251"/>
      <c r="DW40" s="251"/>
      <c r="DX40" s="251"/>
      <c r="DY40" s="251"/>
      <c r="DZ40" s="335"/>
      <c r="EA40" s="251"/>
      <c r="EB40" s="251"/>
      <c r="EC40" s="251"/>
      <c r="ED40" s="251"/>
      <c r="EE40" s="335"/>
      <c r="EF40" s="251"/>
      <c r="EG40" s="251"/>
      <c r="EH40" s="251"/>
      <c r="EI40" s="251"/>
      <c r="EJ40" s="335"/>
      <c r="EK40" s="251"/>
      <c r="EL40" s="251"/>
      <c r="EM40" s="251"/>
      <c r="EN40" s="251"/>
      <c r="EO40" s="661"/>
      <c r="EP40" s="661">
        <v>0</v>
      </c>
      <c r="EQ40" s="661"/>
      <c r="ER40" s="661"/>
      <c r="ES40" s="661"/>
      <c r="ET40" s="661">
        <v>0</v>
      </c>
      <c r="EU40" s="249"/>
      <c r="EV40" s="251"/>
      <c r="EW40" s="251"/>
      <c r="EX40" s="251"/>
      <c r="EY40" s="335"/>
      <c r="EZ40" s="251"/>
      <c r="FA40" s="251"/>
      <c r="FB40" s="251"/>
      <c r="FC40" s="251"/>
      <c r="FD40" s="335"/>
      <c r="FE40" s="249"/>
      <c r="FF40" s="251"/>
      <c r="FG40" s="251"/>
      <c r="FH40" s="251"/>
      <c r="FI40" s="251"/>
      <c r="FJ40" s="249"/>
      <c r="FK40" s="251"/>
      <c r="FL40" s="251"/>
      <c r="FM40" s="251"/>
      <c r="FN40" s="335"/>
      <c r="FO40" s="251"/>
      <c r="FP40" s="251"/>
      <c r="FQ40" s="251"/>
      <c r="FR40" s="251"/>
      <c r="FS40" s="251"/>
      <c r="FT40" s="251"/>
      <c r="FU40" s="251">
        <v>0</v>
      </c>
      <c r="FV40" s="251"/>
      <c r="FW40" s="251"/>
      <c r="FX40" s="251">
        <v>0</v>
      </c>
      <c r="FY40" s="383"/>
      <c r="FZ40" s="288"/>
      <c r="GA40" s="288"/>
      <c r="GB40" s="288"/>
      <c r="GC40" s="288"/>
      <c r="GD40" s="383"/>
      <c r="GE40" s="288"/>
      <c r="GF40" s="288"/>
      <c r="GG40" s="288"/>
      <c r="GH40" s="288"/>
      <c r="GI40" s="249"/>
      <c r="GJ40" s="251"/>
      <c r="GK40" s="251"/>
      <c r="GL40" s="251"/>
      <c r="GM40" s="251"/>
      <c r="GN40" s="604"/>
      <c r="GO40" s="348"/>
      <c r="GP40" s="348"/>
      <c r="GQ40" s="348"/>
      <c r="GR40" s="348"/>
      <c r="GS40" s="348"/>
      <c r="GT40" s="348"/>
      <c r="GU40" s="348"/>
      <c r="GV40" s="348"/>
      <c r="GW40" s="614"/>
      <c r="GX40" s="348"/>
      <c r="GY40" s="348">
        <v>0</v>
      </c>
      <c r="GZ40" s="348"/>
      <c r="HA40" s="348"/>
      <c r="HB40" s="348">
        <v>0</v>
      </c>
      <c r="HC40" s="249"/>
      <c r="HD40" s="251"/>
      <c r="HE40" s="251"/>
      <c r="HF40" s="251"/>
      <c r="HG40" s="251"/>
      <c r="HH40" s="249"/>
      <c r="HI40" s="251"/>
      <c r="HJ40" s="251"/>
      <c r="HK40" s="251"/>
      <c r="HL40" s="251"/>
      <c r="HM40" s="249"/>
      <c r="HN40" s="251"/>
      <c r="HO40" s="251"/>
      <c r="HP40" s="251"/>
      <c r="HQ40" s="251"/>
      <c r="HR40" s="249"/>
      <c r="HS40" s="251"/>
      <c r="HT40" s="251"/>
      <c r="HU40" s="251"/>
      <c r="HV40" s="251"/>
      <c r="HW40" s="251"/>
      <c r="HX40" s="251">
        <v>0</v>
      </c>
      <c r="HY40" s="251"/>
      <c r="HZ40" s="251"/>
      <c r="IA40" s="251">
        <v>0</v>
      </c>
      <c r="IB40" s="281" t="s">
        <v>186</v>
      </c>
      <c r="IC40" s="282" t="s">
        <v>186</v>
      </c>
      <c r="ID40" s="339"/>
      <c r="IE40" s="341"/>
      <c r="IF40" s="341"/>
      <c r="IG40" s="341"/>
      <c r="IH40" s="341"/>
      <c r="II40" s="341"/>
      <c r="IJ40" s="341"/>
      <c r="IK40" s="341"/>
      <c r="IL40" s="341"/>
      <c r="IM40" s="339"/>
      <c r="IN40" s="341"/>
      <c r="IO40" s="341"/>
      <c r="IP40" s="341"/>
      <c r="IQ40" s="341"/>
      <c r="IR40" s="341"/>
      <c r="IS40" s="341"/>
      <c r="IT40" s="341"/>
      <c r="IU40" s="341"/>
      <c r="IV40" s="341"/>
      <c r="IW40" s="341"/>
      <c r="IX40" s="341"/>
      <c r="IY40" s="339"/>
      <c r="IZ40" s="341"/>
      <c r="JA40" s="341"/>
      <c r="JB40" s="251"/>
      <c r="JC40" s="341"/>
      <c r="JD40" s="341"/>
      <c r="JE40" s="341"/>
      <c r="JF40" s="341"/>
      <c r="JG40" s="251"/>
      <c r="JH40" s="341"/>
      <c r="JI40" s="341"/>
      <c r="JJ40" s="251"/>
      <c r="JK40" s="341"/>
      <c r="JL40" s="341"/>
      <c r="JM40" s="341"/>
      <c r="JN40" s="341"/>
      <c r="JO40" s="341"/>
      <c r="JP40" s="357"/>
      <c r="JQ40" s="357"/>
      <c r="JR40" s="357"/>
      <c r="JS40" s="341"/>
      <c r="JT40" s="341"/>
      <c r="JU40" s="341"/>
      <c r="JV40" s="249"/>
      <c r="JW40" s="341"/>
      <c r="JX40" s="341"/>
      <c r="JY40" s="251"/>
      <c r="JZ40" s="251"/>
      <c r="KA40" s="341"/>
      <c r="KB40" s="341"/>
      <c r="KC40" s="341"/>
      <c r="KD40" s="341"/>
      <c r="KE40" s="251"/>
      <c r="KF40" s="251"/>
      <c r="KG40" s="341"/>
      <c r="KH40" s="341"/>
      <c r="KI40" s="251"/>
      <c r="KJ40" s="341"/>
      <c r="KK40" s="341"/>
      <c r="KL40" s="335"/>
      <c r="KM40" s="386"/>
      <c r="KN40" s="386"/>
      <c r="KO40" s="359"/>
      <c r="KP40" s="359"/>
      <c r="KQ40" s="359"/>
      <c r="KR40" s="386"/>
      <c r="KS40" s="386"/>
      <c r="KT40" s="386"/>
      <c r="KU40" s="341"/>
      <c r="KV40" s="341"/>
      <c r="KW40" s="341"/>
      <c r="KX40" s="341"/>
      <c r="KY40" s="361"/>
      <c r="KZ40" s="341"/>
      <c r="LA40" s="341"/>
      <c r="LB40" s="348"/>
      <c r="LC40" s="348"/>
      <c r="LD40" s="348"/>
      <c r="LE40" s="387"/>
      <c r="LF40" s="341"/>
      <c r="LG40" s="341"/>
      <c r="LH40" s="348"/>
      <c r="LI40" s="341"/>
      <c r="LJ40" s="341"/>
      <c r="LK40" s="348"/>
      <c r="LL40" s="341"/>
      <c r="LM40" s="341"/>
      <c r="LN40" s="348"/>
      <c r="LO40" s="64"/>
      <c r="LP40" s="64"/>
      <c r="LQ40" s="349"/>
      <c r="LR40" s="341"/>
      <c r="LS40" s="341"/>
      <c r="LT40" s="341"/>
      <c r="LU40" s="348"/>
      <c r="LV40" s="249"/>
      <c r="LW40" s="251"/>
      <c r="LX40" s="251"/>
      <c r="LY40" s="251"/>
      <c r="LZ40" s="251"/>
      <c r="MA40" s="249"/>
      <c r="MB40" s="251"/>
      <c r="MC40" s="251"/>
      <c r="MD40" s="251"/>
      <c r="ME40" s="251"/>
      <c r="MF40" s="249"/>
      <c r="MG40" s="251"/>
      <c r="MH40" s="251"/>
      <c r="MI40" s="251"/>
      <c r="MJ40" s="251"/>
      <c r="MK40" s="249"/>
      <c r="ML40" s="251"/>
      <c r="MM40" s="251"/>
      <c r="MN40" s="251"/>
      <c r="MO40" s="251"/>
      <c r="MP40" s="251"/>
      <c r="MQ40" s="251"/>
      <c r="MR40" s="251"/>
      <c r="MS40" s="251"/>
      <c r="MT40" s="2"/>
      <c r="MU40" s="2">
        <v>0</v>
      </c>
      <c r="MV40" s="2">
        <v>0</v>
      </c>
      <c r="MW40" s="2"/>
      <c r="MX40" s="2"/>
      <c r="MY40" s="2">
        <v>0</v>
      </c>
      <c r="MZ40" s="249"/>
      <c r="NA40" s="251"/>
      <c r="NB40" s="251"/>
      <c r="NC40" s="251"/>
      <c r="ND40" s="251"/>
      <c r="NE40" s="249"/>
      <c r="NF40" s="251"/>
      <c r="NG40" s="251"/>
      <c r="NH40" s="251"/>
      <c r="NI40" s="251"/>
      <c r="NJ40" s="249"/>
      <c r="NK40" s="251"/>
      <c r="NL40" s="251"/>
      <c r="NM40" s="251"/>
      <c r="NN40" s="251"/>
      <c r="NO40" s="249"/>
      <c r="NP40" s="251"/>
      <c r="NQ40" s="251"/>
      <c r="NR40" s="251"/>
      <c r="NS40" s="335"/>
      <c r="NT40" s="569"/>
      <c r="NX40" s="79"/>
      <c r="NZ40" s="2">
        <v>0</v>
      </c>
      <c r="OC40" s="2">
        <v>0</v>
      </c>
    </row>
    <row r="41" spans="1:393" ht="12.75" customHeight="1" x14ac:dyDescent="0.2">
      <c r="A41" s="240" t="s">
        <v>24</v>
      </c>
      <c r="B41" s="281" t="s">
        <v>186</v>
      </c>
      <c r="C41" s="282" t="s">
        <v>186</v>
      </c>
      <c r="D41" s="282" t="s">
        <v>186</v>
      </c>
      <c r="E41" s="282" t="s">
        <v>186</v>
      </c>
      <c r="F41" s="283" t="s">
        <v>186</v>
      </c>
      <c r="G41" s="7">
        <v>750932</v>
      </c>
      <c r="H41" s="7">
        <v>539206</v>
      </c>
      <c r="I41" s="7">
        <v>103669</v>
      </c>
      <c r="J41" s="7">
        <v>152491</v>
      </c>
      <c r="K41" s="12">
        <v>108057</v>
      </c>
      <c r="L41" s="7">
        <v>597684</v>
      </c>
      <c r="M41" s="7">
        <v>364573</v>
      </c>
      <c r="N41" s="7">
        <v>68666</v>
      </c>
      <c r="O41" s="7">
        <v>246009</v>
      </c>
      <c r="P41" s="12">
        <v>164445</v>
      </c>
      <c r="Q41" s="9">
        <v>499820</v>
      </c>
      <c r="R41" s="9">
        <v>292349</v>
      </c>
      <c r="S41" s="9">
        <v>52074</v>
      </c>
      <c r="T41" s="9">
        <v>265638</v>
      </c>
      <c r="U41" s="617">
        <v>155397</v>
      </c>
      <c r="V41" s="9">
        <v>477011</v>
      </c>
      <c r="W41" s="9">
        <v>280979</v>
      </c>
      <c r="X41" s="9">
        <v>46868</v>
      </c>
      <c r="Y41" s="9">
        <v>265592</v>
      </c>
      <c r="Z41" s="9">
        <v>149164</v>
      </c>
      <c r="AA41" s="9">
        <v>478438</v>
      </c>
      <c r="AB41" s="9">
        <v>135012</v>
      </c>
      <c r="AC41" s="9">
        <v>43898</v>
      </c>
      <c r="AD41" s="9">
        <v>272386</v>
      </c>
      <c r="AE41" s="726">
        <v>151920</v>
      </c>
      <c r="AF41" s="14">
        <v>984857</v>
      </c>
      <c r="AG41" s="7">
        <v>702792</v>
      </c>
      <c r="AH41" s="7">
        <v>223285</v>
      </c>
      <c r="AI41" s="7">
        <v>80735</v>
      </c>
      <c r="AJ41" s="12">
        <v>58780</v>
      </c>
      <c r="AK41" s="7">
        <v>882759</v>
      </c>
      <c r="AL41" s="7">
        <v>559297</v>
      </c>
      <c r="AM41" s="7">
        <v>218567</v>
      </c>
      <c r="AN41" s="7">
        <v>142841</v>
      </c>
      <c r="AO41" s="12">
        <v>104895</v>
      </c>
      <c r="AP41" s="7">
        <v>633143</v>
      </c>
      <c r="AQ41" s="7">
        <v>389124</v>
      </c>
      <c r="AR41" s="7">
        <v>148099</v>
      </c>
      <c r="AS41" s="7">
        <v>154364</v>
      </c>
      <c r="AT41" s="12">
        <v>95920</v>
      </c>
      <c r="AU41" s="7">
        <v>608597</v>
      </c>
      <c r="AV41" s="7">
        <v>370506</v>
      </c>
      <c r="AW41" s="7">
        <v>144374</v>
      </c>
      <c r="AX41" s="7">
        <v>158644</v>
      </c>
      <c r="AY41" s="7">
        <v>93717</v>
      </c>
      <c r="AZ41" s="7">
        <v>586595</v>
      </c>
      <c r="BA41" s="7">
        <v>271680</v>
      </c>
      <c r="BB41" s="7">
        <v>137112</v>
      </c>
      <c r="BC41" s="7">
        <v>156009</v>
      </c>
      <c r="BD41" s="63">
        <v>91175</v>
      </c>
      <c r="BE41" s="14">
        <v>1109013</v>
      </c>
      <c r="BF41" s="7">
        <v>665401</v>
      </c>
      <c r="BG41" s="7">
        <v>194800</v>
      </c>
      <c r="BH41" s="7">
        <v>420877</v>
      </c>
      <c r="BI41" s="313">
        <f t="shared" ref="BI41:BI52" si="454">BE41-BF41-BG41</f>
        <v>248812</v>
      </c>
      <c r="BJ41" s="281" t="s">
        <v>186</v>
      </c>
      <c r="BK41" s="282" t="s">
        <v>186</v>
      </c>
      <c r="BL41" s="282" t="s">
        <v>186</v>
      </c>
      <c r="BM41" s="282" t="s">
        <v>186</v>
      </c>
      <c r="BN41" s="281" t="s">
        <v>186</v>
      </c>
      <c r="BO41" s="282" t="s">
        <v>186</v>
      </c>
      <c r="BP41" s="282" t="s">
        <v>186</v>
      </c>
      <c r="BQ41" s="282" t="s">
        <v>186</v>
      </c>
      <c r="BR41" s="283" t="s">
        <v>186</v>
      </c>
      <c r="BS41" s="7">
        <v>5558141</v>
      </c>
      <c r="BT41" s="7">
        <v>4707893</v>
      </c>
      <c r="BU41" s="7">
        <v>611424</v>
      </c>
      <c r="BV41" s="7">
        <v>190594</v>
      </c>
      <c r="BW41" s="12">
        <v>238824</v>
      </c>
      <c r="BX41" s="7">
        <v>6493228</v>
      </c>
      <c r="BY41" s="7">
        <v>5220174</v>
      </c>
      <c r="BZ41" s="7">
        <v>777283</v>
      </c>
      <c r="CA41" s="7">
        <v>365798</v>
      </c>
      <c r="CB41" s="7">
        <v>495771</v>
      </c>
      <c r="CC41" s="214">
        <v>7066217</v>
      </c>
      <c r="CD41" s="7">
        <v>5463151</v>
      </c>
      <c r="CE41" s="7">
        <v>885850</v>
      </c>
      <c r="CF41" s="7">
        <v>717216</v>
      </c>
      <c r="CG41" s="7">
        <v>576921</v>
      </c>
      <c r="CH41" s="14">
        <v>7133717</v>
      </c>
      <c r="CI41" s="7">
        <v>5522069</v>
      </c>
      <c r="CJ41" s="7">
        <v>898135</v>
      </c>
      <c r="CK41" s="7">
        <v>713513</v>
      </c>
      <c r="CL41" s="7">
        <v>597653</v>
      </c>
      <c r="CM41" s="66">
        <v>7207343</v>
      </c>
      <c r="CN41" s="64">
        <v>5610421</v>
      </c>
      <c r="CO41" s="64">
        <v>912763</v>
      </c>
      <c r="CP41" s="64">
        <v>684159</v>
      </c>
      <c r="CQ41" s="64">
        <v>593871</v>
      </c>
      <c r="CR41" s="14">
        <v>7274223</v>
      </c>
      <c r="CS41" s="7">
        <v>5673645</v>
      </c>
      <c r="CT41" s="7">
        <v>917125</v>
      </c>
      <c r="CU41" s="7">
        <v>621803</v>
      </c>
      <c r="CV41" s="7">
        <v>615040</v>
      </c>
      <c r="CW41" s="14">
        <v>7356736.75</v>
      </c>
      <c r="CX41" s="7">
        <v>5739084.9360000007</v>
      </c>
      <c r="CY41" s="7">
        <v>930086.7379999999</v>
      </c>
      <c r="CZ41" s="7">
        <v>651127.26399999997</v>
      </c>
      <c r="DA41" s="567">
        <f t="shared" ref="DA41:DA52" si="455">CW41-CX41-CY41</f>
        <v>687565.07599999942</v>
      </c>
      <c r="DB41" s="7">
        <v>7429553</v>
      </c>
      <c r="DC41" s="7">
        <v>5786962</v>
      </c>
      <c r="DD41" s="7">
        <v>943091</v>
      </c>
      <c r="DE41" s="7">
        <v>670638</v>
      </c>
      <c r="DF41" s="7">
        <v>699500</v>
      </c>
      <c r="DG41" s="7">
        <v>7491755</v>
      </c>
      <c r="DH41" s="7">
        <v>5385240</v>
      </c>
      <c r="DI41" s="7">
        <v>954121</v>
      </c>
      <c r="DJ41" s="7">
        <v>689327</v>
      </c>
      <c r="DK41" s="7">
        <v>397084</v>
      </c>
      <c r="DL41" s="281" t="s">
        <v>186</v>
      </c>
      <c r="DM41" s="282" t="s">
        <v>186</v>
      </c>
      <c r="DN41" s="282" t="s">
        <v>186</v>
      </c>
      <c r="DO41" s="282" t="s">
        <v>186</v>
      </c>
      <c r="DP41" s="283" t="s">
        <v>186</v>
      </c>
      <c r="DQ41" s="7">
        <v>1835803</v>
      </c>
      <c r="DR41" s="7">
        <v>1502548</v>
      </c>
      <c r="DS41" s="7">
        <v>262635</v>
      </c>
      <c r="DT41" s="7">
        <v>69968</v>
      </c>
      <c r="DU41" s="12">
        <v>70620</v>
      </c>
      <c r="DV41" s="7">
        <v>2202888</v>
      </c>
      <c r="DW41" s="7">
        <v>1719292</v>
      </c>
      <c r="DX41" s="7">
        <v>343052</v>
      </c>
      <c r="DY41" s="7">
        <v>128919</v>
      </c>
      <c r="DZ41" s="12">
        <v>140544</v>
      </c>
      <c r="EA41" s="7">
        <v>2406161</v>
      </c>
      <c r="EB41" s="7">
        <v>1830272</v>
      </c>
      <c r="EC41" s="7">
        <v>398817</v>
      </c>
      <c r="ED41" s="7">
        <v>203180</v>
      </c>
      <c r="EE41" s="12">
        <v>177072</v>
      </c>
      <c r="EF41" s="7">
        <v>2421204.5000000005</v>
      </c>
      <c r="EG41" s="7">
        <v>1842649.3440000003</v>
      </c>
      <c r="EH41" s="7">
        <v>404238.66699999996</v>
      </c>
      <c r="EI41" s="7">
        <v>212044.734</v>
      </c>
      <c r="EJ41" s="12">
        <v>174316.48900000023</v>
      </c>
      <c r="EK41" s="7">
        <v>2445190</v>
      </c>
      <c r="EL41" s="7">
        <v>1862701</v>
      </c>
      <c r="EM41" s="7">
        <v>404943</v>
      </c>
      <c r="EN41" s="7">
        <v>221800</v>
      </c>
      <c r="EO41" s="661">
        <v>177546</v>
      </c>
      <c r="EP41" s="661">
        <v>2458427</v>
      </c>
      <c r="EQ41" s="661">
        <v>1726776</v>
      </c>
      <c r="ER41" s="661">
        <v>403498</v>
      </c>
      <c r="ES41" s="661">
        <v>229571</v>
      </c>
      <c r="ET41" s="661">
        <v>180140</v>
      </c>
      <c r="EU41" s="14">
        <v>421248</v>
      </c>
      <c r="EV41" s="7">
        <v>346104</v>
      </c>
      <c r="EW41" s="7">
        <v>53929</v>
      </c>
      <c r="EX41" s="7">
        <v>17312</v>
      </c>
      <c r="EY41" s="12">
        <v>21215</v>
      </c>
      <c r="EZ41" s="7">
        <v>482502</v>
      </c>
      <c r="FA41" s="7">
        <v>380880</v>
      </c>
      <c r="FB41" s="7">
        <v>64934</v>
      </c>
      <c r="FC41" s="7">
        <v>28486</v>
      </c>
      <c r="FD41" s="12">
        <v>36688</v>
      </c>
      <c r="FE41" s="14">
        <v>611882</v>
      </c>
      <c r="FF41" s="7">
        <v>478258</v>
      </c>
      <c r="FG41" s="7">
        <v>81957</v>
      </c>
      <c r="FH41" s="7">
        <v>50786</v>
      </c>
      <c r="FI41" s="7">
        <v>51667</v>
      </c>
      <c r="FJ41" s="14"/>
      <c r="FK41" s="7"/>
      <c r="FL41" s="7"/>
      <c r="FM41" s="7"/>
      <c r="FN41" s="12"/>
      <c r="FO41" s="7">
        <v>627680</v>
      </c>
      <c r="FP41" s="7">
        <v>494331</v>
      </c>
      <c r="FQ41" s="7">
        <v>82489</v>
      </c>
      <c r="FR41" s="7">
        <v>54601</v>
      </c>
      <c r="FS41" s="7">
        <v>50860</v>
      </c>
      <c r="FT41" s="7">
        <v>641045</v>
      </c>
      <c r="FU41" s="7">
        <v>465940</v>
      </c>
      <c r="FV41" s="7">
        <v>85909</v>
      </c>
      <c r="FW41" s="7">
        <v>56979</v>
      </c>
      <c r="FX41" s="7">
        <v>52292</v>
      </c>
      <c r="FY41" s="609">
        <f t="shared" ref="FY41" si="456">EU41+HC41+MZ41</f>
        <v>1956244</v>
      </c>
      <c r="FZ41" s="584">
        <f t="shared" ref="FZ41" si="457">EV41+HD41+NA41</f>
        <v>1676377</v>
      </c>
      <c r="GA41" s="584">
        <f t="shared" ref="GA41" si="458">EW41+HE41+NB41</f>
        <v>160510</v>
      </c>
      <c r="GB41" s="584">
        <f t="shared" ref="GB41" si="459">EX41+HF41+NC41</f>
        <v>51022</v>
      </c>
      <c r="GC41" s="584">
        <f t="shared" ref="GC41" si="460">EY41+HG41+ND41</f>
        <v>119357</v>
      </c>
      <c r="GD41" s="609">
        <f t="shared" ref="GD41" si="461">EZ41+HH41+NE41</f>
        <v>2560551</v>
      </c>
      <c r="GE41" s="584">
        <f t="shared" ref="GE41" si="462">FA41+HI41+NF41</f>
        <v>2090313</v>
      </c>
      <c r="GF41" s="584">
        <f t="shared" ref="GF41" si="463">FB41+HJ41+NG41</f>
        <v>221262</v>
      </c>
      <c r="GG41" s="584">
        <f t="shared" ref="GG41" si="464">FC41+HK41+NH41</f>
        <v>96793</v>
      </c>
      <c r="GH41" s="584">
        <f t="shared" ref="GH41" si="465">FD41+HL41+NI41</f>
        <v>248976</v>
      </c>
      <c r="GI41" s="14">
        <v>2695373</v>
      </c>
      <c r="GJ41" s="7">
        <v>2141846</v>
      </c>
      <c r="GK41" s="7">
        <v>242298</v>
      </c>
      <c r="GL41" s="7">
        <v>156548</v>
      </c>
      <c r="GM41" s="7">
        <v>311229</v>
      </c>
      <c r="GN41" s="605"/>
      <c r="GO41" s="9"/>
      <c r="GP41" s="9"/>
      <c r="GQ41" s="9"/>
      <c r="GR41" s="9"/>
      <c r="GS41" s="9">
        <v>3283807</v>
      </c>
      <c r="GT41" s="9">
        <v>2608529</v>
      </c>
      <c r="GU41" s="9">
        <v>294777</v>
      </c>
      <c r="GV41" s="9">
        <v>190055</v>
      </c>
      <c r="GW41" s="617">
        <v>380501</v>
      </c>
      <c r="GX41" s="9">
        <v>9704915</v>
      </c>
      <c r="GY41" s="9">
        <v>2518253</v>
      </c>
      <c r="GZ41" s="9">
        <v>304287</v>
      </c>
      <c r="HA41" s="9">
        <v>196394</v>
      </c>
      <c r="HB41" s="9">
        <v>208236</v>
      </c>
      <c r="HC41" s="14">
        <v>989808</v>
      </c>
      <c r="HD41" s="7">
        <v>858913</v>
      </c>
      <c r="HE41" s="7">
        <v>70016</v>
      </c>
      <c r="HF41" s="7">
        <v>21338</v>
      </c>
      <c r="HG41" s="7">
        <v>60879</v>
      </c>
      <c r="HH41" s="14">
        <v>1317182</v>
      </c>
      <c r="HI41" s="7">
        <v>1086485</v>
      </c>
      <c r="HJ41" s="7">
        <v>102489</v>
      </c>
      <c r="HK41" s="7">
        <v>43974</v>
      </c>
      <c r="HL41" s="7">
        <v>128208</v>
      </c>
      <c r="HM41" s="14">
        <v>1600229</v>
      </c>
      <c r="HN41" s="7">
        <v>1273990</v>
      </c>
      <c r="HO41" s="7">
        <v>132493</v>
      </c>
      <c r="HP41" s="7">
        <v>87751</v>
      </c>
      <c r="HQ41" s="7">
        <v>193746</v>
      </c>
      <c r="HR41" s="14">
        <v>1625424</v>
      </c>
      <c r="HS41" s="7">
        <v>1298811.8640000001</v>
      </c>
      <c r="HT41" s="7">
        <v>129491.49500000001</v>
      </c>
      <c r="HU41" s="7">
        <v>89958.372000000003</v>
      </c>
      <c r="HV41" s="7">
        <v>197120.64099999995</v>
      </c>
      <c r="HW41" s="7">
        <v>1678096</v>
      </c>
      <c r="HX41" s="7">
        <v>1273389</v>
      </c>
      <c r="HY41" s="7">
        <v>135413</v>
      </c>
      <c r="HZ41" s="7">
        <v>96257</v>
      </c>
      <c r="IA41" s="7">
        <v>202270</v>
      </c>
      <c r="IB41" s="281" t="s">
        <v>186</v>
      </c>
      <c r="IC41" s="282" t="s">
        <v>186</v>
      </c>
      <c r="ID41" s="339">
        <v>424562</v>
      </c>
      <c r="IE41" s="355">
        <f t="shared" ref="IE41:IE52" si="466">+IH41+IK41</f>
        <v>265368</v>
      </c>
      <c r="IF41" s="355">
        <f t="shared" ref="IF41:IF52" si="467">+II41+IL41</f>
        <v>159194</v>
      </c>
      <c r="IG41" s="355">
        <f t="shared" ref="IG41:IG52" si="468">+IH41+II41</f>
        <v>405412</v>
      </c>
      <c r="IH41" s="341">
        <v>255296</v>
      </c>
      <c r="II41" s="341">
        <v>150116</v>
      </c>
      <c r="IJ41" s="355">
        <f t="shared" ref="IJ41:IJ52" si="469">+IK41+IL41</f>
        <v>19150</v>
      </c>
      <c r="IK41" s="341">
        <v>10072</v>
      </c>
      <c r="IL41" s="341">
        <v>9078</v>
      </c>
      <c r="IM41" s="339">
        <v>625155</v>
      </c>
      <c r="IN41" s="355">
        <f t="shared" ref="IN41:IN52" si="470">+IQ41+IT41+IW41</f>
        <v>381580</v>
      </c>
      <c r="IO41" s="355">
        <f t="shared" ref="IO41:IO52" si="471">+IR41+IU41+IX41</f>
        <v>243575</v>
      </c>
      <c r="IP41" s="355">
        <f t="shared" ref="IP41:IP52" si="472">+IQ41+IR41</f>
        <v>589408</v>
      </c>
      <c r="IQ41" s="341">
        <v>363207</v>
      </c>
      <c r="IR41" s="341">
        <v>226201</v>
      </c>
      <c r="IS41" s="355">
        <f t="shared" ref="IS41:IS52" si="473">+IT41+IU41</f>
        <v>26512</v>
      </c>
      <c r="IT41" s="341">
        <v>12573</v>
      </c>
      <c r="IU41" s="341">
        <v>13939</v>
      </c>
      <c r="IV41" s="355">
        <f t="shared" ref="IV41:IV52" si="474">+IW41+IX41</f>
        <v>9235</v>
      </c>
      <c r="IW41" s="341">
        <v>5800</v>
      </c>
      <c r="IX41" s="341">
        <v>3435</v>
      </c>
      <c r="IY41" s="339">
        <v>1082285</v>
      </c>
      <c r="IZ41" s="355">
        <f t="shared" ref="IZ41:IZ52" si="475">+JC41+JH41+JK41+JN41</f>
        <v>628768</v>
      </c>
      <c r="JA41" s="355">
        <f t="shared" ref="JA41:JA52" si="476">+JD41+JI41+JL41+JO41</f>
        <v>453517</v>
      </c>
      <c r="JB41" s="365">
        <f t="shared" ref="JB41:JB52" si="477">+JC41+JD41</f>
        <v>945698</v>
      </c>
      <c r="JC41" s="341">
        <v>560108</v>
      </c>
      <c r="JD41" s="341">
        <v>385590</v>
      </c>
      <c r="JE41" s="341">
        <v>68660</v>
      </c>
      <c r="JF41" s="341">
        <v>67927</v>
      </c>
      <c r="JG41" s="365">
        <f t="shared" ref="JG41:JG52" si="478">+JH41+JI41</f>
        <v>66991</v>
      </c>
      <c r="JH41" s="341">
        <v>29582</v>
      </c>
      <c r="JI41" s="341">
        <v>37409</v>
      </c>
      <c r="JJ41" s="365">
        <f t="shared" ref="JJ41:JJ52" si="479">+JK41+JL41</f>
        <v>17711</v>
      </c>
      <c r="JK41" s="341">
        <v>10304</v>
      </c>
      <c r="JL41" s="341">
        <v>7407</v>
      </c>
      <c r="JM41" s="356">
        <f t="shared" ref="JM41:JM52" si="480">+JN41+JO41</f>
        <v>51885</v>
      </c>
      <c r="JN41" s="356">
        <f t="shared" ref="JN41:JN52" si="481">+JQ41+JT41</f>
        <v>28774</v>
      </c>
      <c r="JO41" s="356">
        <f t="shared" ref="JO41:JO52" si="482">+JR41+JU41</f>
        <v>23111</v>
      </c>
      <c r="JP41" s="357">
        <f t="shared" ref="JP41:JP52" si="483">+JQ41+JR41</f>
        <v>1160</v>
      </c>
      <c r="JQ41" s="357">
        <f t="shared" ref="JQ41:JQ52" si="484">+JE41-JH41-JK41-JT41</f>
        <v>678</v>
      </c>
      <c r="JR41" s="357">
        <f t="shared" ref="JR41:JR52" si="485">+JF41-JI41-JL41-JU41</f>
        <v>482</v>
      </c>
      <c r="JS41" s="341">
        <v>50725</v>
      </c>
      <c r="JT41" s="341">
        <v>28096</v>
      </c>
      <c r="JU41" s="341">
        <v>22629</v>
      </c>
      <c r="JV41" s="16">
        <f t="shared" ref="JV41:JV52" si="486">+HC41+MZ41</f>
        <v>1534996</v>
      </c>
      <c r="JW41" s="355">
        <f t="shared" ref="JW41:JW52" si="487">+KA41+KG41+KJ41+KM41</f>
        <v>826520</v>
      </c>
      <c r="JX41" s="355">
        <f t="shared" ref="JX41:JX52" si="488">+KB41+KH41+KK41+KN41</f>
        <v>708476</v>
      </c>
      <c r="JY41" s="15">
        <f t="shared" ref="JY41:JY52" si="489">+HD41+NA41</f>
        <v>1330273</v>
      </c>
      <c r="JZ41" s="151">
        <f t="shared" ref="JZ41:JZ52" si="490">+KA41+KB41</f>
        <v>1309749</v>
      </c>
      <c r="KA41" s="341">
        <v>718491</v>
      </c>
      <c r="KB41" s="341">
        <v>591258</v>
      </c>
      <c r="KC41" s="341">
        <v>108029</v>
      </c>
      <c r="KD41" s="341">
        <v>117218</v>
      </c>
      <c r="KE41" s="15">
        <f t="shared" ref="KE41:KE52" si="491">+HE41+NB41</f>
        <v>106581</v>
      </c>
      <c r="KF41" s="151">
        <f t="shared" ref="KF41:KF52" si="492">+KG41+KH41</f>
        <v>105791</v>
      </c>
      <c r="KG41" s="341">
        <v>43836</v>
      </c>
      <c r="KH41" s="341">
        <v>61955</v>
      </c>
      <c r="KI41" s="15">
        <f t="shared" ref="KI41:KI52" si="493">+KJ41+KK41</f>
        <v>33710</v>
      </c>
      <c r="KJ41" s="341">
        <v>17611</v>
      </c>
      <c r="KK41" s="341">
        <v>16099</v>
      </c>
      <c r="KL41" s="13">
        <f t="shared" ref="KL41:KL52" si="494">+HG41+ND41</f>
        <v>98142</v>
      </c>
      <c r="KM41" s="358">
        <f t="shared" ref="KM41:KM52" si="495">+KP41+KS41</f>
        <v>46582</v>
      </c>
      <c r="KN41" s="358">
        <f t="shared" ref="KN41:KN52" si="496">+KQ41+KT41</f>
        <v>39164</v>
      </c>
      <c r="KO41" s="359">
        <f t="shared" ref="KO41:KO52" si="497">+KP41+KQ41</f>
        <v>478</v>
      </c>
      <c r="KP41" s="359">
        <f t="shared" ref="KP41:KP52" si="498">+KC41-KG41-KJ41-KS41</f>
        <v>261</v>
      </c>
      <c r="KQ41" s="359">
        <f t="shared" ref="KQ41:KQ52" si="499">+KD41-KH41-KK41-KT41</f>
        <v>217</v>
      </c>
      <c r="KR41" s="360">
        <f t="shared" ref="KR41:KR52" si="500">+KS41+KT41</f>
        <v>85268</v>
      </c>
      <c r="KS41" s="360">
        <f t="shared" ref="KS41:KS52" si="501">+KU41+KW41</f>
        <v>46321</v>
      </c>
      <c r="KT41" s="360">
        <f t="shared" ref="KT41:KT52" si="502">+KV41+KX41</f>
        <v>38947</v>
      </c>
      <c r="KU41" s="341">
        <v>977</v>
      </c>
      <c r="KV41" s="341">
        <v>866</v>
      </c>
      <c r="KW41" s="341">
        <v>45344</v>
      </c>
      <c r="KX41" s="341">
        <v>38081</v>
      </c>
      <c r="KY41" s="361">
        <v>2078049</v>
      </c>
      <c r="KZ41" s="341">
        <v>1054577</v>
      </c>
      <c r="LA41" s="341">
        <v>1023472</v>
      </c>
      <c r="LB41" s="9">
        <f t="shared" ref="LB41:LB52" si="503">+HI41+NF41</f>
        <v>1709433</v>
      </c>
      <c r="LC41" s="9">
        <v>883770</v>
      </c>
      <c r="LD41" s="9">
        <v>825663</v>
      </c>
      <c r="LE41" s="140">
        <f t="shared" ref="LE41:LE52" si="504">+LF41+LG41</f>
        <v>1669279</v>
      </c>
      <c r="LF41" s="341">
        <v>863292</v>
      </c>
      <c r="LG41" s="341">
        <v>805987</v>
      </c>
      <c r="LH41" s="9">
        <f t="shared" ref="LH41:LH52" si="505">+LI41+LJ41</f>
        <v>156328</v>
      </c>
      <c r="LI41" s="341">
        <v>62626</v>
      </c>
      <c r="LJ41" s="341">
        <v>93702</v>
      </c>
      <c r="LK41" s="9">
        <f t="shared" ref="LK41:LK52" si="506">+LL41+LM41</f>
        <v>68307</v>
      </c>
      <c r="LL41" s="341">
        <v>33806</v>
      </c>
      <c r="LM41" s="341">
        <v>34501</v>
      </c>
      <c r="LN41" s="140">
        <f t="shared" ref="LN41:LN52" si="507">+KY41-LB41-LH41</f>
        <v>212288</v>
      </c>
      <c r="LO41" s="140">
        <f t="shared" ref="LO41:LO52" si="508">+KZ41-LC41-LI41</f>
        <v>108181</v>
      </c>
      <c r="LP41" s="140">
        <f t="shared" ref="LP41:LP52" si="509">+LA41-LD41-LJ41</f>
        <v>104107</v>
      </c>
      <c r="LQ41" s="349">
        <v>2407235</v>
      </c>
      <c r="LR41" s="341">
        <v>1921125</v>
      </c>
      <c r="LS41" s="341">
        <v>195366</v>
      </c>
      <c r="LT41" s="341">
        <v>290744</v>
      </c>
      <c r="LU41" s="9">
        <v>107267</v>
      </c>
      <c r="LV41" s="14">
        <v>2461724</v>
      </c>
      <c r="LW41" s="7">
        <v>1959614</v>
      </c>
      <c r="LX41" s="7">
        <v>203821</v>
      </c>
      <c r="LY41" s="7">
        <v>298289</v>
      </c>
      <c r="LZ41" s="7">
        <v>113567</v>
      </c>
      <c r="MA41" s="14">
        <v>2530044</v>
      </c>
      <c r="MB41" s="7">
        <v>2026667</v>
      </c>
      <c r="MC41" s="7">
        <v>206809</v>
      </c>
      <c r="MD41" s="7">
        <v>296568</v>
      </c>
      <c r="ME41" s="7">
        <v>116786</v>
      </c>
      <c r="MF41" s="14">
        <v>2571670</v>
      </c>
      <c r="MG41" s="7">
        <v>2045120</v>
      </c>
      <c r="MH41" s="7">
        <v>209940</v>
      </c>
      <c r="MI41" s="7">
        <v>316610</v>
      </c>
      <c r="MJ41" s="7">
        <v>127183</v>
      </c>
      <c r="MK41" s="14">
        <v>2615916.75</v>
      </c>
      <c r="ML41" s="7">
        <v>2085776.6880000001</v>
      </c>
      <c r="MM41" s="7">
        <v>208312.40500000003</v>
      </c>
      <c r="MN41" s="7">
        <v>131724.75900000002</v>
      </c>
      <c r="MO41" s="7">
        <v>321827.65699999989</v>
      </c>
      <c r="MP41" s="7">
        <v>2656127</v>
      </c>
      <c r="MQ41" s="7">
        <v>2114198</v>
      </c>
      <c r="MR41" s="7">
        <v>212288</v>
      </c>
      <c r="MS41" s="7">
        <v>135454</v>
      </c>
      <c r="MT41" s="2">
        <v>329641</v>
      </c>
      <c r="MU41" s="2">
        <v>2708945</v>
      </c>
      <c r="MV41" s="2">
        <v>2052313</v>
      </c>
      <c r="MW41" s="2">
        <v>218378</v>
      </c>
      <c r="MX41" s="2">
        <v>139415</v>
      </c>
      <c r="MY41" s="2">
        <v>181098</v>
      </c>
      <c r="MZ41" s="14">
        <v>545188</v>
      </c>
      <c r="NA41" s="7">
        <v>471360</v>
      </c>
      <c r="NB41" s="7">
        <v>36565</v>
      </c>
      <c r="NC41" s="7">
        <v>12372</v>
      </c>
      <c r="ND41" s="7">
        <v>37263</v>
      </c>
      <c r="NE41" s="14">
        <v>760867</v>
      </c>
      <c r="NF41" s="7">
        <v>622948</v>
      </c>
      <c r="NG41" s="7">
        <v>53839</v>
      </c>
      <c r="NH41" s="7">
        <v>24333</v>
      </c>
      <c r="NI41" s="7">
        <v>84080</v>
      </c>
      <c r="NJ41" s="14">
        <v>971441</v>
      </c>
      <c r="NK41" s="7">
        <v>771130</v>
      </c>
      <c r="NL41" s="7">
        <v>77447</v>
      </c>
      <c r="NM41" s="7">
        <v>39432</v>
      </c>
      <c r="NN41" s="7">
        <v>122864</v>
      </c>
      <c r="NO41" s="14">
        <v>990492.74999999988</v>
      </c>
      <c r="NP41" s="7">
        <v>786964.82400000002</v>
      </c>
      <c r="NQ41" s="7">
        <v>78820.91</v>
      </c>
      <c r="NR41" s="7">
        <v>41766.387000000002</v>
      </c>
      <c r="NS41" s="12">
        <v>124707.01599999986</v>
      </c>
      <c r="NT41" s="1">
        <v>1001136</v>
      </c>
      <c r="NU41" s="2">
        <v>792991</v>
      </c>
      <c r="NV41" s="2">
        <v>78757</v>
      </c>
      <c r="NW41" s="2">
        <v>41610</v>
      </c>
      <c r="NX41" s="79">
        <v>129388</v>
      </c>
      <c r="NY41" s="2">
        <v>1030849</v>
      </c>
      <c r="NZ41" s="2">
        <v>778924</v>
      </c>
      <c r="OA41" s="2">
        <v>82965</v>
      </c>
      <c r="OB41" s="2">
        <v>43158</v>
      </c>
      <c r="OC41" s="2">
        <v>137567</v>
      </c>
    </row>
    <row r="42" spans="1:393" ht="14.25" x14ac:dyDescent="0.2">
      <c r="A42" s="240" t="s">
        <v>25</v>
      </c>
      <c r="B42" s="281" t="s">
        <v>186</v>
      </c>
      <c r="C42" s="282" t="s">
        <v>186</v>
      </c>
      <c r="D42" s="282" t="s">
        <v>186</v>
      </c>
      <c r="E42" s="282" t="s">
        <v>186</v>
      </c>
      <c r="F42" s="283" t="s">
        <v>186</v>
      </c>
      <c r="G42" s="7">
        <v>297423</v>
      </c>
      <c r="H42" s="7">
        <v>265490</v>
      </c>
      <c r="I42" s="7">
        <v>24730</v>
      </c>
      <c r="J42" s="7">
        <v>9315</v>
      </c>
      <c r="K42" s="12">
        <v>7203</v>
      </c>
      <c r="L42" s="7">
        <v>206540</v>
      </c>
      <c r="M42" s="7">
        <v>170986</v>
      </c>
      <c r="N42" s="7">
        <v>16536</v>
      </c>
      <c r="O42" s="7">
        <v>23589</v>
      </c>
      <c r="P42" s="12">
        <v>19018</v>
      </c>
      <c r="Q42" s="9">
        <v>180571</v>
      </c>
      <c r="R42" s="9">
        <v>143378</v>
      </c>
      <c r="S42" s="9">
        <v>12941</v>
      </c>
      <c r="T42" s="9">
        <v>39708</v>
      </c>
      <c r="U42" s="617">
        <v>24252</v>
      </c>
      <c r="V42" s="9">
        <v>174429</v>
      </c>
      <c r="W42" s="9">
        <v>134103</v>
      </c>
      <c r="X42" s="9">
        <v>11718</v>
      </c>
      <c r="Y42" s="9">
        <v>42918</v>
      </c>
      <c r="Z42" s="9">
        <v>28524</v>
      </c>
      <c r="AA42" s="9">
        <v>175348</v>
      </c>
      <c r="AB42" s="9">
        <v>113399</v>
      </c>
      <c r="AC42" s="9">
        <v>11095</v>
      </c>
      <c r="AD42" s="9">
        <v>43921</v>
      </c>
      <c r="AE42" s="726">
        <v>29435</v>
      </c>
      <c r="AF42" s="14">
        <v>552591</v>
      </c>
      <c r="AG42" s="7">
        <v>487581</v>
      </c>
      <c r="AH42" s="7">
        <v>57794</v>
      </c>
      <c r="AI42" s="7">
        <v>8055</v>
      </c>
      <c r="AJ42" s="12">
        <v>7216</v>
      </c>
      <c r="AK42" s="7">
        <v>489000</v>
      </c>
      <c r="AL42" s="7">
        <v>414615</v>
      </c>
      <c r="AM42" s="7">
        <v>55164</v>
      </c>
      <c r="AN42" s="7">
        <v>19015</v>
      </c>
      <c r="AO42" s="12">
        <v>19221</v>
      </c>
      <c r="AP42" s="7">
        <v>380749</v>
      </c>
      <c r="AQ42" s="7">
        <v>314356</v>
      </c>
      <c r="AR42" s="7">
        <v>44098</v>
      </c>
      <c r="AS42" s="7">
        <v>31000</v>
      </c>
      <c r="AT42" s="12">
        <v>22295</v>
      </c>
      <c r="AU42" s="7">
        <v>366014</v>
      </c>
      <c r="AV42" s="7">
        <v>301080</v>
      </c>
      <c r="AW42" s="7">
        <v>43981</v>
      </c>
      <c r="AX42" s="7">
        <v>31209</v>
      </c>
      <c r="AY42" s="7">
        <v>20860</v>
      </c>
      <c r="AZ42" s="7">
        <v>361740</v>
      </c>
      <c r="BA42" s="7">
        <v>280263</v>
      </c>
      <c r="BB42" s="7">
        <v>42796</v>
      </c>
      <c r="BC42" s="7">
        <v>30536</v>
      </c>
      <c r="BD42" s="63">
        <v>22428</v>
      </c>
      <c r="BE42" s="14">
        <v>549810</v>
      </c>
      <c r="BF42" s="7">
        <v>443623</v>
      </c>
      <c r="BG42" s="7">
        <v>56507</v>
      </c>
      <c r="BH42" s="7">
        <v>73397</v>
      </c>
      <c r="BI42" s="313">
        <f t="shared" si="454"/>
        <v>49680</v>
      </c>
      <c r="BJ42" s="281" t="s">
        <v>186</v>
      </c>
      <c r="BK42" s="282" t="s">
        <v>186</v>
      </c>
      <c r="BL42" s="282" t="s">
        <v>186</v>
      </c>
      <c r="BM42" s="282" t="s">
        <v>186</v>
      </c>
      <c r="BN42" s="281" t="s">
        <v>186</v>
      </c>
      <c r="BO42" s="282" t="s">
        <v>186</v>
      </c>
      <c r="BP42" s="282" t="s">
        <v>186</v>
      </c>
      <c r="BQ42" s="282" t="s">
        <v>186</v>
      </c>
      <c r="BR42" s="283" t="s">
        <v>186</v>
      </c>
      <c r="BS42" s="7">
        <v>2639456</v>
      </c>
      <c r="BT42" s="7">
        <v>2449249</v>
      </c>
      <c r="BU42" s="7">
        <v>155763</v>
      </c>
      <c r="BV42" s="7">
        <v>29033</v>
      </c>
      <c r="BW42" s="12">
        <v>34444</v>
      </c>
      <c r="BX42" s="7">
        <v>3197738</v>
      </c>
      <c r="BY42" s="7">
        <v>2893300</v>
      </c>
      <c r="BZ42" s="7">
        <v>214394</v>
      </c>
      <c r="CA42" s="7">
        <v>58657</v>
      </c>
      <c r="CB42" s="7">
        <v>90044</v>
      </c>
      <c r="CC42" s="214">
        <v>3500473</v>
      </c>
      <c r="CD42" s="7">
        <v>3114446</v>
      </c>
      <c r="CE42" s="7">
        <v>257069</v>
      </c>
      <c r="CF42" s="7">
        <v>128958</v>
      </c>
      <c r="CG42" s="7">
        <v>92140</v>
      </c>
      <c r="CH42" s="14">
        <v>3554779</v>
      </c>
      <c r="CI42" s="7">
        <v>3161278</v>
      </c>
      <c r="CJ42" s="7">
        <v>263049</v>
      </c>
      <c r="CK42" s="7">
        <v>130452</v>
      </c>
      <c r="CL42" s="7">
        <v>96026</v>
      </c>
      <c r="CM42" s="66">
        <v>3579477</v>
      </c>
      <c r="CN42" s="64">
        <v>3177281</v>
      </c>
      <c r="CO42" s="64">
        <v>268417</v>
      </c>
      <c r="CP42" s="64">
        <v>133779</v>
      </c>
      <c r="CQ42" s="64">
        <v>101776</v>
      </c>
      <c r="CR42" s="14">
        <v>3639111</v>
      </c>
      <c r="CS42" s="7">
        <v>3219699</v>
      </c>
      <c r="CT42" s="7">
        <v>281058</v>
      </c>
      <c r="CU42" s="7">
        <v>112614</v>
      </c>
      <c r="CV42" s="7">
        <v>101511</v>
      </c>
      <c r="CW42" s="14">
        <v>3679496.2200000007</v>
      </c>
      <c r="CX42" s="7">
        <v>3249538.1820000005</v>
      </c>
      <c r="CY42" s="7">
        <v>285958.27500000002</v>
      </c>
      <c r="CZ42" s="7">
        <v>115770.204</v>
      </c>
      <c r="DA42" s="567">
        <f t="shared" si="455"/>
        <v>143999.76300000015</v>
      </c>
      <c r="DB42" s="7">
        <v>3715899</v>
      </c>
      <c r="DC42" s="7">
        <v>3279742</v>
      </c>
      <c r="DD42" s="7">
        <v>290174</v>
      </c>
      <c r="DE42" s="7">
        <v>121017</v>
      </c>
      <c r="DF42" s="7">
        <v>145361</v>
      </c>
      <c r="DG42" s="7">
        <v>3750083</v>
      </c>
      <c r="DH42" s="7">
        <v>3224242</v>
      </c>
      <c r="DI42" s="7">
        <v>297606</v>
      </c>
      <c r="DJ42" s="7">
        <v>126821</v>
      </c>
      <c r="DK42" s="7">
        <v>96636</v>
      </c>
      <c r="DL42" s="281" t="s">
        <v>186</v>
      </c>
      <c r="DM42" s="282" t="s">
        <v>186</v>
      </c>
      <c r="DN42" s="282" t="s">
        <v>186</v>
      </c>
      <c r="DO42" s="282" t="s">
        <v>186</v>
      </c>
      <c r="DP42" s="283" t="s">
        <v>186</v>
      </c>
      <c r="DQ42" s="7">
        <v>763422</v>
      </c>
      <c r="DR42" s="7">
        <v>695298</v>
      </c>
      <c r="DS42" s="7">
        <v>59119</v>
      </c>
      <c r="DT42" s="7">
        <v>9819</v>
      </c>
      <c r="DU42" s="12">
        <v>9005</v>
      </c>
      <c r="DV42" s="7">
        <v>994391</v>
      </c>
      <c r="DW42" s="7">
        <v>882193</v>
      </c>
      <c r="DX42" s="7">
        <v>85078</v>
      </c>
      <c r="DY42" s="7">
        <v>19182</v>
      </c>
      <c r="DZ42" s="12">
        <v>27120</v>
      </c>
      <c r="EA42" s="7">
        <v>1191030</v>
      </c>
      <c r="EB42" s="7">
        <v>1036420</v>
      </c>
      <c r="EC42" s="7">
        <v>115256</v>
      </c>
      <c r="ED42" s="7">
        <v>36661</v>
      </c>
      <c r="EE42" s="12">
        <v>39354</v>
      </c>
      <c r="EF42" s="7">
        <v>1209581.5160000001</v>
      </c>
      <c r="EG42" s="7">
        <v>1049907.672</v>
      </c>
      <c r="EH42" s="7">
        <v>119862.74999999999</v>
      </c>
      <c r="EI42" s="7">
        <v>36698.397999999994</v>
      </c>
      <c r="EJ42" s="12">
        <v>39811.094000000056</v>
      </c>
      <c r="EK42" s="7">
        <v>1222194</v>
      </c>
      <c r="EL42" s="7">
        <v>1061244</v>
      </c>
      <c r="EM42" s="7">
        <v>119683</v>
      </c>
      <c r="EN42" s="7">
        <v>38627</v>
      </c>
      <c r="EO42" s="661">
        <v>40987</v>
      </c>
      <c r="EP42" s="661">
        <v>1242493</v>
      </c>
      <c r="EQ42" s="661">
        <v>1048923</v>
      </c>
      <c r="ER42" s="661">
        <v>125740</v>
      </c>
      <c r="ES42" s="661">
        <v>40632</v>
      </c>
      <c r="ET42" s="661">
        <v>44222</v>
      </c>
      <c r="EU42" s="14">
        <v>184717</v>
      </c>
      <c r="EV42" s="7">
        <v>170127</v>
      </c>
      <c r="EW42" s="7">
        <v>12019</v>
      </c>
      <c r="EX42" s="7">
        <v>2260</v>
      </c>
      <c r="EY42" s="12">
        <v>2571</v>
      </c>
      <c r="EZ42" s="7">
        <v>225535</v>
      </c>
      <c r="FA42" s="7">
        <v>203358</v>
      </c>
      <c r="FB42" s="7">
        <v>15884</v>
      </c>
      <c r="FC42" s="7">
        <v>3830</v>
      </c>
      <c r="FD42" s="12">
        <v>6293</v>
      </c>
      <c r="FE42" s="14">
        <v>313558</v>
      </c>
      <c r="FF42" s="7">
        <v>277851</v>
      </c>
      <c r="FG42" s="7">
        <v>25990</v>
      </c>
      <c r="FH42" s="7">
        <v>9779</v>
      </c>
      <c r="FI42" s="7">
        <v>9717</v>
      </c>
      <c r="FJ42" s="14"/>
      <c r="FK42" s="7"/>
      <c r="FL42" s="7"/>
      <c r="FM42" s="7"/>
      <c r="FN42" s="12"/>
      <c r="FO42" s="7">
        <v>334180</v>
      </c>
      <c r="FP42" s="7">
        <v>296533</v>
      </c>
      <c r="FQ42" s="7">
        <v>27047</v>
      </c>
      <c r="FR42" s="7">
        <v>9593</v>
      </c>
      <c r="FS42" s="7">
        <v>10563</v>
      </c>
      <c r="FT42" s="7">
        <v>345182</v>
      </c>
      <c r="FU42" s="7">
        <v>299300</v>
      </c>
      <c r="FV42" s="7">
        <v>28409</v>
      </c>
      <c r="FW42" s="7">
        <v>9834</v>
      </c>
      <c r="FX42" s="7">
        <v>11765</v>
      </c>
      <c r="FY42" s="609">
        <f t="shared" ref="FY42:FY52" si="510">EU42+HC42+MZ42</f>
        <v>727658</v>
      </c>
      <c r="FZ42" s="584">
        <f t="shared" ref="FZ42:FZ52" si="511">EV42+HD42+NA42</f>
        <v>677549</v>
      </c>
      <c r="GA42" s="584">
        <f t="shared" ref="GA42:GA52" si="512">EW42+HE42+NB42</f>
        <v>34222</v>
      </c>
      <c r="GB42" s="584">
        <f t="shared" ref="GB42:GB52" si="513">EX42+HF42+NC42</f>
        <v>7292</v>
      </c>
      <c r="GC42" s="584">
        <f t="shared" ref="GC42:GC52" si="514">EY42+HG42+ND42</f>
        <v>15887</v>
      </c>
      <c r="GD42" s="609">
        <f t="shared" ref="GD42:GD52" si="515">EZ42+HH42+NE42</f>
        <v>981148</v>
      </c>
      <c r="GE42" s="584">
        <f t="shared" ref="GE42:GE52" si="516">FA42+HI42+NF42</f>
        <v>892541</v>
      </c>
      <c r="GF42" s="584">
        <f t="shared" ref="GF42:GF52" si="517">FB42+HJ42+NG42</f>
        <v>50470</v>
      </c>
      <c r="GG42" s="584">
        <f t="shared" ref="GG42:GG52" si="518">FC42+HK42+NH42</f>
        <v>15228</v>
      </c>
      <c r="GH42" s="584">
        <f t="shared" ref="GH42:GH52" si="519">FD42+HL42+NI42</f>
        <v>38137</v>
      </c>
      <c r="GI42" s="14">
        <v>1094854</v>
      </c>
      <c r="GJ42" s="7">
        <v>977767</v>
      </c>
      <c r="GK42" s="7">
        <v>66083</v>
      </c>
      <c r="GL42" s="7">
        <v>27725</v>
      </c>
      <c r="GM42" s="7">
        <v>51004</v>
      </c>
      <c r="GN42" s="605"/>
      <c r="GO42" s="9"/>
      <c r="GP42" s="9"/>
      <c r="GQ42" s="9"/>
      <c r="GR42" s="9"/>
      <c r="GS42" s="9">
        <v>1317183</v>
      </c>
      <c r="GT42" s="9">
        <v>1170593</v>
      </c>
      <c r="GU42" s="9">
        <v>79665</v>
      </c>
      <c r="GV42" s="9">
        <v>34262</v>
      </c>
      <c r="GW42" s="617">
        <v>66791</v>
      </c>
      <c r="GX42" s="9">
        <v>4363722</v>
      </c>
      <c r="GY42" s="9">
        <v>1175591</v>
      </c>
      <c r="GZ42" s="9">
        <v>83744</v>
      </c>
      <c r="HA42" s="9">
        <v>34155</v>
      </c>
      <c r="HB42" s="9">
        <v>42096</v>
      </c>
      <c r="HC42" s="14">
        <v>321278</v>
      </c>
      <c r="HD42" s="7">
        <v>301685</v>
      </c>
      <c r="HE42" s="7">
        <v>13525</v>
      </c>
      <c r="HF42" s="7">
        <v>3021</v>
      </c>
      <c r="HG42" s="7">
        <v>6068</v>
      </c>
      <c r="HH42" s="14">
        <v>475247</v>
      </c>
      <c r="HI42" s="7">
        <v>435202</v>
      </c>
      <c r="HJ42" s="7">
        <v>23137</v>
      </c>
      <c r="HK42" s="7">
        <v>7146</v>
      </c>
      <c r="HL42" s="7">
        <v>16908</v>
      </c>
      <c r="HM42" s="14">
        <v>612297</v>
      </c>
      <c r="HN42" s="7">
        <v>550122</v>
      </c>
      <c r="HO42" s="7">
        <v>34321</v>
      </c>
      <c r="HP42" s="7">
        <v>14243</v>
      </c>
      <c r="HQ42" s="7">
        <v>27854</v>
      </c>
      <c r="HR42" s="14">
        <v>617478.67599999998</v>
      </c>
      <c r="HS42" s="7">
        <v>554528.69999999995</v>
      </c>
      <c r="HT42" s="7">
        <v>33219.104999999996</v>
      </c>
      <c r="HU42" s="7">
        <v>15511.693999999998</v>
      </c>
      <c r="HV42" s="7">
        <v>29730.871000000028</v>
      </c>
      <c r="HW42" s="7">
        <v>643815</v>
      </c>
      <c r="HX42" s="7">
        <v>565780</v>
      </c>
      <c r="HY42" s="7">
        <v>36220</v>
      </c>
      <c r="HZ42" s="7">
        <v>16711</v>
      </c>
      <c r="IA42" s="7">
        <v>30288</v>
      </c>
      <c r="IB42" s="281" t="s">
        <v>186</v>
      </c>
      <c r="IC42" s="282" t="s">
        <v>186</v>
      </c>
      <c r="ID42" s="339">
        <v>159850</v>
      </c>
      <c r="IE42" s="355">
        <f t="shared" si="466"/>
        <v>97823</v>
      </c>
      <c r="IF42" s="355">
        <f t="shared" si="467"/>
        <v>62027</v>
      </c>
      <c r="IG42" s="355">
        <f t="shared" si="468"/>
        <v>155656</v>
      </c>
      <c r="IH42" s="341">
        <v>95715</v>
      </c>
      <c r="II42" s="341">
        <v>59941</v>
      </c>
      <c r="IJ42" s="355">
        <f t="shared" si="469"/>
        <v>4194</v>
      </c>
      <c r="IK42" s="341">
        <v>2108</v>
      </c>
      <c r="IL42" s="341">
        <v>2086</v>
      </c>
      <c r="IM42" s="339">
        <v>229388</v>
      </c>
      <c r="IN42" s="355">
        <f t="shared" si="470"/>
        <v>137021</v>
      </c>
      <c r="IO42" s="355">
        <f t="shared" si="471"/>
        <v>92367</v>
      </c>
      <c r="IP42" s="355">
        <f t="shared" si="472"/>
        <v>220724</v>
      </c>
      <c r="IQ42" s="341">
        <v>132752</v>
      </c>
      <c r="IR42" s="341">
        <v>87972</v>
      </c>
      <c r="IS42" s="355">
        <f t="shared" si="473"/>
        <v>6306</v>
      </c>
      <c r="IT42" s="341">
        <v>2732</v>
      </c>
      <c r="IU42" s="341">
        <v>3574</v>
      </c>
      <c r="IV42" s="355">
        <f t="shared" si="474"/>
        <v>2358</v>
      </c>
      <c r="IW42" s="341">
        <v>1537</v>
      </c>
      <c r="IX42" s="341">
        <v>821</v>
      </c>
      <c r="IY42" s="339">
        <v>392590</v>
      </c>
      <c r="IZ42" s="355">
        <f t="shared" si="475"/>
        <v>227260</v>
      </c>
      <c r="JA42" s="355">
        <f t="shared" si="476"/>
        <v>165330</v>
      </c>
      <c r="JB42" s="365">
        <f t="shared" si="477"/>
        <v>369242</v>
      </c>
      <c r="JC42" s="341">
        <v>215540</v>
      </c>
      <c r="JD42" s="341">
        <v>153702</v>
      </c>
      <c r="JE42" s="341">
        <v>11720</v>
      </c>
      <c r="JF42" s="341">
        <v>11628</v>
      </c>
      <c r="JG42" s="365">
        <f t="shared" si="478"/>
        <v>14074</v>
      </c>
      <c r="JH42" s="341">
        <v>6396</v>
      </c>
      <c r="JI42" s="341">
        <v>7678</v>
      </c>
      <c r="JJ42" s="365">
        <f t="shared" si="479"/>
        <v>2935</v>
      </c>
      <c r="JK42" s="341">
        <v>1631</v>
      </c>
      <c r="JL42" s="341">
        <v>1304</v>
      </c>
      <c r="JM42" s="356">
        <f t="shared" si="480"/>
        <v>6339</v>
      </c>
      <c r="JN42" s="356">
        <f t="shared" si="481"/>
        <v>3693</v>
      </c>
      <c r="JO42" s="356">
        <f t="shared" si="482"/>
        <v>2646</v>
      </c>
      <c r="JP42" s="357">
        <f t="shared" si="483"/>
        <v>203</v>
      </c>
      <c r="JQ42" s="357">
        <f t="shared" si="484"/>
        <v>128</v>
      </c>
      <c r="JR42" s="357">
        <f t="shared" si="485"/>
        <v>75</v>
      </c>
      <c r="JS42" s="341">
        <v>6136</v>
      </c>
      <c r="JT42" s="341">
        <v>3565</v>
      </c>
      <c r="JU42" s="341">
        <v>2571</v>
      </c>
      <c r="JV42" s="16">
        <f t="shared" si="486"/>
        <v>542941</v>
      </c>
      <c r="JW42" s="355">
        <f t="shared" si="487"/>
        <v>297039</v>
      </c>
      <c r="JX42" s="355">
        <f t="shared" si="488"/>
        <v>245902</v>
      </c>
      <c r="JY42" s="15">
        <f t="shared" si="489"/>
        <v>507422</v>
      </c>
      <c r="JZ42" s="151">
        <f t="shared" si="490"/>
        <v>503928</v>
      </c>
      <c r="KA42" s="341">
        <v>277782</v>
      </c>
      <c r="KB42" s="341">
        <v>226146</v>
      </c>
      <c r="KC42" s="341">
        <v>19257</v>
      </c>
      <c r="KD42" s="341">
        <v>19756</v>
      </c>
      <c r="KE42" s="15">
        <f t="shared" si="491"/>
        <v>22203</v>
      </c>
      <c r="KF42" s="151">
        <f t="shared" si="492"/>
        <v>22144</v>
      </c>
      <c r="KG42" s="341">
        <v>9664</v>
      </c>
      <c r="KH42" s="341">
        <v>12480</v>
      </c>
      <c r="KI42" s="15">
        <f t="shared" si="493"/>
        <v>5032</v>
      </c>
      <c r="KJ42" s="341">
        <v>2865</v>
      </c>
      <c r="KK42" s="341">
        <v>2167</v>
      </c>
      <c r="KL42" s="13">
        <f t="shared" si="494"/>
        <v>13316</v>
      </c>
      <c r="KM42" s="358">
        <f t="shared" si="495"/>
        <v>6728</v>
      </c>
      <c r="KN42" s="358">
        <f t="shared" si="496"/>
        <v>5109</v>
      </c>
      <c r="KO42" s="359">
        <f t="shared" si="497"/>
        <v>119</v>
      </c>
      <c r="KP42" s="359">
        <f t="shared" si="498"/>
        <v>80</v>
      </c>
      <c r="KQ42" s="359">
        <f t="shared" si="499"/>
        <v>39</v>
      </c>
      <c r="KR42" s="360">
        <f t="shared" si="500"/>
        <v>11718</v>
      </c>
      <c r="KS42" s="360">
        <f t="shared" si="501"/>
        <v>6648</v>
      </c>
      <c r="KT42" s="360">
        <f t="shared" si="502"/>
        <v>5070</v>
      </c>
      <c r="KU42" s="341">
        <v>360</v>
      </c>
      <c r="KV42" s="341">
        <v>342</v>
      </c>
      <c r="KW42" s="341">
        <v>6288</v>
      </c>
      <c r="KX42" s="341">
        <v>4728</v>
      </c>
      <c r="KY42" s="361">
        <v>755613</v>
      </c>
      <c r="KZ42" s="341">
        <v>388215</v>
      </c>
      <c r="LA42" s="341">
        <v>367398</v>
      </c>
      <c r="LB42" s="9">
        <f t="shared" si="503"/>
        <v>689183</v>
      </c>
      <c r="LC42" s="9">
        <v>355976</v>
      </c>
      <c r="LD42" s="9">
        <v>333207</v>
      </c>
      <c r="LE42" s="140">
        <f t="shared" si="504"/>
        <v>682256</v>
      </c>
      <c r="LF42" s="341">
        <v>352470</v>
      </c>
      <c r="LG42" s="341">
        <v>329786</v>
      </c>
      <c r="LH42" s="9">
        <f t="shared" si="505"/>
        <v>34586</v>
      </c>
      <c r="LI42" s="341">
        <v>15261</v>
      </c>
      <c r="LJ42" s="341">
        <v>19325</v>
      </c>
      <c r="LK42" s="9">
        <f t="shared" si="506"/>
        <v>11398</v>
      </c>
      <c r="LL42" s="341">
        <v>5730</v>
      </c>
      <c r="LM42" s="341">
        <v>5668</v>
      </c>
      <c r="LN42" s="140">
        <f t="shared" si="507"/>
        <v>31844</v>
      </c>
      <c r="LO42" s="140">
        <f t="shared" si="508"/>
        <v>16978</v>
      </c>
      <c r="LP42" s="140">
        <f t="shared" si="509"/>
        <v>14866</v>
      </c>
      <c r="LQ42" s="349">
        <v>888572</v>
      </c>
      <c r="LR42" s="341">
        <v>796240</v>
      </c>
      <c r="LS42" s="341">
        <v>44949</v>
      </c>
      <c r="LT42" s="341">
        <v>47383</v>
      </c>
      <c r="LU42" s="9">
        <v>17945</v>
      </c>
      <c r="LV42" s="14">
        <v>924303</v>
      </c>
      <c r="LW42" s="7">
        <v>827233</v>
      </c>
      <c r="LX42" s="7">
        <v>47972</v>
      </c>
      <c r="LY42" s="7">
        <v>49098</v>
      </c>
      <c r="LZ42" s="7">
        <v>18276</v>
      </c>
      <c r="MA42" s="14">
        <v>929917</v>
      </c>
      <c r="MB42" s="7">
        <v>835083</v>
      </c>
      <c r="MC42" s="7">
        <v>47927</v>
      </c>
      <c r="MD42" s="7">
        <v>46907</v>
      </c>
      <c r="ME42" s="7">
        <v>19021</v>
      </c>
      <c r="MF42" s="14">
        <v>953574</v>
      </c>
      <c r="MG42" s="7">
        <v>851892</v>
      </c>
      <c r="MH42" s="7">
        <v>50038</v>
      </c>
      <c r="MI42" s="7">
        <v>51644</v>
      </c>
      <c r="MJ42" s="7">
        <v>21302</v>
      </c>
      <c r="MK42" s="14">
        <v>964281.76799999992</v>
      </c>
      <c r="ML42" s="7">
        <v>857671.05599999987</v>
      </c>
      <c r="MM42" s="7">
        <v>48972.494999999995</v>
      </c>
      <c r="MN42" s="7">
        <v>22700.039999999997</v>
      </c>
      <c r="MO42" s="7">
        <v>57638.217000000062</v>
      </c>
      <c r="MP42" s="7">
        <v>983003</v>
      </c>
      <c r="MQ42" s="7">
        <v>874060</v>
      </c>
      <c r="MR42" s="7">
        <v>52618</v>
      </c>
      <c r="MS42" s="7">
        <v>24669</v>
      </c>
      <c r="MT42" s="2">
        <v>56228</v>
      </c>
      <c r="MU42" s="2">
        <v>1006279</v>
      </c>
      <c r="MV42" s="2">
        <v>876291</v>
      </c>
      <c r="MW42" s="2">
        <v>55335</v>
      </c>
      <c r="MX42" s="2">
        <v>24321</v>
      </c>
      <c r="MY42" s="2">
        <v>34725</v>
      </c>
      <c r="MZ42" s="14">
        <v>221663</v>
      </c>
      <c r="NA42" s="7">
        <v>205737</v>
      </c>
      <c r="NB42" s="7">
        <v>8678</v>
      </c>
      <c r="NC42" s="7">
        <v>2011</v>
      </c>
      <c r="ND42" s="7">
        <v>7248</v>
      </c>
      <c r="NE42" s="14">
        <v>280366</v>
      </c>
      <c r="NF42" s="7">
        <v>253981</v>
      </c>
      <c r="NG42" s="7">
        <v>11449</v>
      </c>
      <c r="NH42" s="7">
        <v>4252</v>
      </c>
      <c r="NI42" s="7">
        <v>14936</v>
      </c>
      <c r="NJ42" s="14">
        <v>341277</v>
      </c>
      <c r="NK42" s="7">
        <v>301770</v>
      </c>
      <c r="NL42" s="7">
        <v>15717</v>
      </c>
      <c r="NM42" s="7">
        <v>7059</v>
      </c>
      <c r="NN42" s="7">
        <v>23790</v>
      </c>
      <c r="NO42" s="14">
        <v>346803.09199999995</v>
      </c>
      <c r="NP42" s="7">
        <v>303142.35599999997</v>
      </c>
      <c r="NQ42" s="7">
        <v>15753.39</v>
      </c>
      <c r="NR42" s="7">
        <v>7188.3459999999995</v>
      </c>
      <c r="NS42" s="12">
        <v>27907.345999999976</v>
      </c>
      <c r="NT42" s="1">
        <v>353264</v>
      </c>
      <c r="NU42" s="2">
        <v>308324</v>
      </c>
      <c r="NV42" s="2">
        <v>18251</v>
      </c>
      <c r="NW42" s="2">
        <v>7916</v>
      </c>
      <c r="NX42" s="79">
        <v>26634</v>
      </c>
      <c r="NY42" s="2">
        <v>362464</v>
      </c>
      <c r="NZ42" s="2">
        <v>310511</v>
      </c>
      <c r="OA42" s="2">
        <v>19115</v>
      </c>
      <c r="OB42" s="2">
        <v>7610</v>
      </c>
      <c r="OC42" s="2">
        <v>27386</v>
      </c>
    </row>
    <row r="43" spans="1:393" ht="14.25" x14ac:dyDescent="0.2">
      <c r="A43" s="240" t="s">
        <v>26</v>
      </c>
      <c r="B43" s="281" t="s">
        <v>186</v>
      </c>
      <c r="C43" s="282" t="s">
        <v>186</v>
      </c>
      <c r="D43" s="282" t="s">
        <v>186</v>
      </c>
      <c r="E43" s="282" t="s">
        <v>186</v>
      </c>
      <c r="F43" s="283" t="s">
        <v>186</v>
      </c>
      <c r="G43" s="7">
        <v>163335</v>
      </c>
      <c r="H43" s="7">
        <v>157596</v>
      </c>
      <c r="I43" s="7">
        <v>2276</v>
      </c>
      <c r="J43" s="7">
        <v>2513</v>
      </c>
      <c r="K43" s="12">
        <v>3463</v>
      </c>
      <c r="L43" s="7">
        <v>105424</v>
      </c>
      <c r="M43" s="7">
        <v>92569</v>
      </c>
      <c r="N43" s="7">
        <v>2024</v>
      </c>
      <c r="O43" s="7">
        <v>10983</v>
      </c>
      <c r="P43" s="12">
        <v>10831</v>
      </c>
      <c r="Q43" s="9">
        <v>77567</v>
      </c>
      <c r="R43" s="9">
        <v>63081</v>
      </c>
      <c r="S43" s="9">
        <v>2337</v>
      </c>
      <c r="T43" s="9">
        <v>17830</v>
      </c>
      <c r="U43" s="617">
        <v>12149</v>
      </c>
      <c r="V43" s="9">
        <v>73747</v>
      </c>
      <c r="W43" s="9">
        <v>58151</v>
      </c>
      <c r="X43" s="9">
        <v>2283</v>
      </c>
      <c r="Y43" s="9">
        <v>20708</v>
      </c>
      <c r="Z43" s="9">
        <v>13259</v>
      </c>
      <c r="AA43" s="9">
        <v>69737</v>
      </c>
      <c r="AB43" s="9">
        <v>42882</v>
      </c>
      <c r="AC43" s="9">
        <v>2433</v>
      </c>
      <c r="AD43" s="9">
        <v>19977</v>
      </c>
      <c r="AE43" s="726">
        <v>11874</v>
      </c>
      <c r="AF43" s="14">
        <v>190465</v>
      </c>
      <c r="AG43" s="7">
        <v>183122</v>
      </c>
      <c r="AH43" s="7">
        <v>4690</v>
      </c>
      <c r="AI43" s="7">
        <v>2259</v>
      </c>
      <c r="AJ43" s="12">
        <v>2653</v>
      </c>
      <c r="AK43" s="7">
        <v>158012</v>
      </c>
      <c r="AL43" s="7">
        <v>144851</v>
      </c>
      <c r="AM43" s="7">
        <v>5030</v>
      </c>
      <c r="AN43" s="7">
        <v>6800</v>
      </c>
      <c r="AO43" s="12">
        <v>8131</v>
      </c>
      <c r="AP43" s="7">
        <v>115125</v>
      </c>
      <c r="AQ43" s="7">
        <v>99932</v>
      </c>
      <c r="AR43" s="7">
        <v>5887</v>
      </c>
      <c r="AS43" s="7">
        <v>10764</v>
      </c>
      <c r="AT43" s="12">
        <v>9306</v>
      </c>
      <c r="AU43" s="7">
        <v>109737</v>
      </c>
      <c r="AV43" s="7">
        <v>95100</v>
      </c>
      <c r="AW43" s="7">
        <v>5794</v>
      </c>
      <c r="AX43" s="7">
        <v>11102</v>
      </c>
      <c r="AY43" s="7">
        <v>8817</v>
      </c>
      <c r="AZ43" s="7">
        <v>109584</v>
      </c>
      <c r="BA43" s="7">
        <v>87721</v>
      </c>
      <c r="BB43" s="7">
        <v>5854</v>
      </c>
      <c r="BC43" s="7">
        <v>12354</v>
      </c>
      <c r="BD43" s="63">
        <v>8434</v>
      </c>
      <c r="BE43" s="14">
        <v>189304</v>
      </c>
      <c r="BF43" s="7">
        <v>158757</v>
      </c>
      <c r="BG43" s="7">
        <v>8114</v>
      </c>
      <c r="BH43" s="7">
        <v>30332</v>
      </c>
      <c r="BI43" s="313">
        <f t="shared" si="454"/>
        <v>22433</v>
      </c>
      <c r="BJ43" s="281" t="s">
        <v>186</v>
      </c>
      <c r="BK43" s="282" t="s">
        <v>186</v>
      </c>
      <c r="BL43" s="282" t="s">
        <v>186</v>
      </c>
      <c r="BM43" s="282" t="s">
        <v>186</v>
      </c>
      <c r="BN43" s="281" t="s">
        <v>186</v>
      </c>
      <c r="BO43" s="282" t="s">
        <v>186</v>
      </c>
      <c r="BP43" s="282" t="s">
        <v>186</v>
      </c>
      <c r="BQ43" s="282" t="s">
        <v>186</v>
      </c>
      <c r="BR43" s="283" t="s">
        <v>186</v>
      </c>
      <c r="BS43" s="7">
        <v>1422998</v>
      </c>
      <c r="BT43" s="7">
        <v>1392034</v>
      </c>
      <c r="BU43" s="7">
        <v>16334</v>
      </c>
      <c r="BV43" s="7">
        <v>8563</v>
      </c>
      <c r="BW43" s="12">
        <v>14630</v>
      </c>
      <c r="BX43" s="7">
        <v>1632420</v>
      </c>
      <c r="BY43" s="7">
        <v>1572873</v>
      </c>
      <c r="BZ43" s="7">
        <v>23969</v>
      </c>
      <c r="CA43" s="7">
        <v>19501</v>
      </c>
      <c r="CB43" s="7">
        <v>35578</v>
      </c>
      <c r="CC43" s="214">
        <v>1740807</v>
      </c>
      <c r="CD43" s="7">
        <v>1661339</v>
      </c>
      <c r="CE43" s="7">
        <v>29716</v>
      </c>
      <c r="CF43" s="7">
        <v>49752</v>
      </c>
      <c r="CG43" s="7">
        <v>29646</v>
      </c>
      <c r="CH43" s="14">
        <v>1761844</v>
      </c>
      <c r="CI43" s="7">
        <v>1680510</v>
      </c>
      <c r="CJ43" s="7">
        <v>29832</v>
      </c>
      <c r="CK43" s="7">
        <v>51502</v>
      </c>
      <c r="CL43" s="7">
        <v>31731</v>
      </c>
      <c r="CM43" s="66">
        <v>1771625</v>
      </c>
      <c r="CN43" s="64">
        <v>1688401</v>
      </c>
      <c r="CO43" s="64">
        <v>31164</v>
      </c>
      <c r="CP43" s="64">
        <v>52060</v>
      </c>
      <c r="CQ43" s="64">
        <v>34203</v>
      </c>
      <c r="CR43" s="14">
        <v>1808000</v>
      </c>
      <c r="CS43" s="7">
        <v>1718595</v>
      </c>
      <c r="CT43" s="7">
        <v>35296</v>
      </c>
      <c r="CU43" s="7">
        <v>36433</v>
      </c>
      <c r="CV43" s="7">
        <v>38851</v>
      </c>
      <c r="CW43" s="14">
        <v>1824572.5619999999</v>
      </c>
      <c r="CX43" s="7">
        <v>1731203.36</v>
      </c>
      <c r="CY43" s="7">
        <v>37471.692000000003</v>
      </c>
      <c r="CZ43" s="7">
        <v>37154.699999999997</v>
      </c>
      <c r="DA43" s="567">
        <f t="shared" si="455"/>
        <v>55897.509999999813</v>
      </c>
      <c r="DB43" s="7">
        <v>1844278</v>
      </c>
      <c r="DC43" s="7">
        <v>1748133</v>
      </c>
      <c r="DD43" s="7">
        <v>38721</v>
      </c>
      <c r="DE43" s="7">
        <v>38704</v>
      </c>
      <c r="DF43" s="7">
        <v>56626</v>
      </c>
      <c r="DG43" s="7">
        <v>1859050</v>
      </c>
      <c r="DH43" s="7">
        <v>1729595</v>
      </c>
      <c r="DI43" s="7">
        <v>40263</v>
      </c>
      <c r="DJ43" s="7">
        <v>41429</v>
      </c>
      <c r="DK43" s="7">
        <v>36956</v>
      </c>
      <c r="DL43" s="281" t="s">
        <v>186</v>
      </c>
      <c r="DM43" s="282" t="s">
        <v>186</v>
      </c>
      <c r="DN43" s="282" t="s">
        <v>186</v>
      </c>
      <c r="DO43" s="282" t="s">
        <v>186</v>
      </c>
      <c r="DP43" s="283" t="s">
        <v>186</v>
      </c>
      <c r="DQ43" s="7">
        <v>439238</v>
      </c>
      <c r="DR43" s="7">
        <v>429188</v>
      </c>
      <c r="DS43" s="7">
        <v>6182</v>
      </c>
      <c r="DT43" s="7">
        <v>2951</v>
      </c>
      <c r="DU43" s="12">
        <v>3868</v>
      </c>
      <c r="DV43" s="7">
        <v>546388</v>
      </c>
      <c r="DW43" s="7">
        <v>525754</v>
      </c>
      <c r="DX43" s="7">
        <v>9660</v>
      </c>
      <c r="DY43" s="7">
        <v>6658</v>
      </c>
      <c r="DZ43" s="12">
        <v>10974</v>
      </c>
      <c r="EA43" s="7">
        <v>640921</v>
      </c>
      <c r="EB43" s="7">
        <v>607912</v>
      </c>
      <c r="EC43" s="7">
        <v>15851</v>
      </c>
      <c r="ED43" s="7">
        <v>12709</v>
      </c>
      <c r="EE43" s="12">
        <v>17158</v>
      </c>
      <c r="EF43" s="7">
        <v>644440.64</v>
      </c>
      <c r="EG43" s="7">
        <v>610457.07999999996</v>
      </c>
      <c r="EH43" s="7">
        <v>16730.062000000002</v>
      </c>
      <c r="EI43" s="7">
        <v>13308.137999999999</v>
      </c>
      <c r="EJ43" s="12">
        <v>17253.498000000054</v>
      </c>
      <c r="EK43" s="7">
        <v>653140</v>
      </c>
      <c r="EL43" s="7">
        <v>619969</v>
      </c>
      <c r="EM43" s="7">
        <v>16736</v>
      </c>
      <c r="EN43" s="7">
        <v>13969</v>
      </c>
      <c r="EO43" s="661">
        <v>16274</v>
      </c>
      <c r="EP43" s="661">
        <v>661299</v>
      </c>
      <c r="EQ43" s="661">
        <v>615231</v>
      </c>
      <c r="ER43" s="661">
        <v>17607</v>
      </c>
      <c r="ES43" s="661">
        <v>14619</v>
      </c>
      <c r="ET43" s="661">
        <v>18052</v>
      </c>
      <c r="EU43" s="14">
        <v>136638</v>
      </c>
      <c r="EV43" s="7">
        <v>134223</v>
      </c>
      <c r="EW43" s="7">
        <v>1382</v>
      </c>
      <c r="EX43" s="7">
        <v>905</v>
      </c>
      <c r="EY43" s="12">
        <v>1033</v>
      </c>
      <c r="EZ43" s="7">
        <v>140640</v>
      </c>
      <c r="FA43" s="7">
        <v>136163</v>
      </c>
      <c r="FB43" s="7">
        <v>1797</v>
      </c>
      <c r="FC43" s="7">
        <v>1443</v>
      </c>
      <c r="FD43" s="12">
        <v>2680</v>
      </c>
      <c r="FE43" s="14">
        <v>198740</v>
      </c>
      <c r="FF43" s="7">
        <v>191308</v>
      </c>
      <c r="FG43" s="7">
        <v>3385</v>
      </c>
      <c r="FH43" s="7">
        <v>3111</v>
      </c>
      <c r="FI43" s="7">
        <v>4047</v>
      </c>
      <c r="FJ43" s="14"/>
      <c r="FK43" s="7"/>
      <c r="FL43" s="7"/>
      <c r="FM43" s="7"/>
      <c r="FN43" s="12"/>
      <c r="FO43" s="7">
        <v>214003</v>
      </c>
      <c r="FP43" s="7">
        <v>205216</v>
      </c>
      <c r="FQ43" s="7">
        <v>4241</v>
      </c>
      <c r="FR43" s="7">
        <v>3861</v>
      </c>
      <c r="FS43" s="7">
        <v>4502</v>
      </c>
      <c r="FT43" s="7">
        <v>222140</v>
      </c>
      <c r="FU43" s="7">
        <v>209397</v>
      </c>
      <c r="FV43" s="7">
        <v>4697</v>
      </c>
      <c r="FW43" s="7">
        <v>3911</v>
      </c>
      <c r="FX43" s="7">
        <v>5018</v>
      </c>
      <c r="FY43" s="609">
        <f t="shared" si="510"/>
        <v>436030</v>
      </c>
      <c r="FZ43" s="584">
        <f t="shared" si="511"/>
        <v>424309</v>
      </c>
      <c r="GA43" s="584">
        <f t="shared" si="512"/>
        <v>4355</v>
      </c>
      <c r="GB43" s="584">
        <f t="shared" si="513"/>
        <v>2733</v>
      </c>
      <c r="GC43" s="584">
        <f t="shared" si="514"/>
        <v>7366</v>
      </c>
      <c r="GD43" s="609">
        <f t="shared" si="515"/>
        <v>542730</v>
      </c>
      <c r="GE43" s="584">
        <f t="shared" si="516"/>
        <v>521106</v>
      </c>
      <c r="GF43" s="584">
        <f t="shared" si="517"/>
        <v>6356</v>
      </c>
      <c r="GG43" s="584">
        <f t="shared" si="518"/>
        <v>5535</v>
      </c>
      <c r="GH43" s="584">
        <f t="shared" si="519"/>
        <v>15268</v>
      </c>
      <c r="GI43" s="14">
        <v>621130</v>
      </c>
      <c r="GJ43" s="7">
        <v>591555</v>
      </c>
      <c r="GK43" s="7">
        <v>9591</v>
      </c>
      <c r="GL43" s="7">
        <v>9061</v>
      </c>
      <c r="GM43" s="7">
        <v>19984</v>
      </c>
      <c r="GN43" s="605"/>
      <c r="GO43" s="9"/>
      <c r="GP43" s="9"/>
      <c r="GQ43" s="9"/>
      <c r="GR43" s="9"/>
      <c r="GS43" s="9">
        <v>736257</v>
      </c>
      <c r="GT43" s="9">
        <v>697691</v>
      </c>
      <c r="GU43" s="9">
        <v>12764</v>
      </c>
      <c r="GV43" s="9">
        <v>11239</v>
      </c>
      <c r="GW43" s="617">
        <v>25596</v>
      </c>
      <c r="GX43" s="9">
        <v>2273820</v>
      </c>
      <c r="GY43" s="9">
        <v>703815</v>
      </c>
      <c r="GZ43" s="9">
        <v>12897</v>
      </c>
      <c r="HA43" s="9">
        <v>12193</v>
      </c>
      <c r="HB43" s="9">
        <v>16135</v>
      </c>
      <c r="HC43" s="14">
        <v>207269</v>
      </c>
      <c r="HD43" s="7">
        <v>202561</v>
      </c>
      <c r="HE43" s="7">
        <v>1941</v>
      </c>
      <c r="HF43" s="7">
        <v>991</v>
      </c>
      <c r="HG43" s="7">
        <v>2767</v>
      </c>
      <c r="HH43" s="14">
        <v>278350</v>
      </c>
      <c r="HI43" s="7">
        <v>269072</v>
      </c>
      <c r="HJ43" s="7">
        <v>2989</v>
      </c>
      <c r="HK43" s="7">
        <v>2565</v>
      </c>
      <c r="HL43" s="7">
        <v>6289</v>
      </c>
      <c r="HM43" s="14">
        <v>344306</v>
      </c>
      <c r="HN43" s="7">
        <v>328990</v>
      </c>
      <c r="HO43" s="7">
        <v>4871</v>
      </c>
      <c r="HP43" s="7">
        <v>4504</v>
      </c>
      <c r="HQ43" s="7">
        <v>10445</v>
      </c>
      <c r="HR43" s="14">
        <v>352428.47499999998</v>
      </c>
      <c r="HS43" s="7">
        <v>336412.88000000006</v>
      </c>
      <c r="HT43" s="7">
        <v>5105.6319999999996</v>
      </c>
      <c r="HU43" s="7">
        <v>4661.2260000000006</v>
      </c>
      <c r="HV43" s="7">
        <v>10909.962999999914</v>
      </c>
      <c r="HW43" s="7">
        <v>365280</v>
      </c>
      <c r="HX43" s="7">
        <v>344587</v>
      </c>
      <c r="HY43" s="7">
        <v>5046</v>
      </c>
      <c r="HZ43" s="7">
        <v>5527</v>
      </c>
      <c r="IA43" s="7">
        <v>11066</v>
      </c>
      <c r="IB43" s="281" t="s">
        <v>186</v>
      </c>
      <c r="IC43" s="282" t="s">
        <v>186</v>
      </c>
      <c r="ID43" s="339">
        <v>98550</v>
      </c>
      <c r="IE43" s="355">
        <f t="shared" si="466"/>
        <v>58941</v>
      </c>
      <c r="IF43" s="355">
        <f t="shared" si="467"/>
        <v>39609</v>
      </c>
      <c r="IG43" s="355">
        <f t="shared" si="468"/>
        <v>97759</v>
      </c>
      <c r="IH43" s="341">
        <v>58472</v>
      </c>
      <c r="II43" s="341">
        <v>39287</v>
      </c>
      <c r="IJ43" s="355">
        <f t="shared" si="469"/>
        <v>791</v>
      </c>
      <c r="IK43" s="341">
        <v>469</v>
      </c>
      <c r="IL43" s="341">
        <v>322</v>
      </c>
      <c r="IM43" s="339">
        <v>139996</v>
      </c>
      <c r="IN43" s="355">
        <f t="shared" si="470"/>
        <v>79338</v>
      </c>
      <c r="IO43" s="355">
        <f t="shared" si="471"/>
        <v>60658</v>
      </c>
      <c r="IP43" s="355">
        <f t="shared" si="472"/>
        <v>138514</v>
      </c>
      <c r="IQ43" s="341">
        <v>78404</v>
      </c>
      <c r="IR43" s="341">
        <v>60110</v>
      </c>
      <c r="IS43" s="355">
        <f t="shared" si="473"/>
        <v>608</v>
      </c>
      <c r="IT43" s="341">
        <v>351</v>
      </c>
      <c r="IU43" s="341">
        <v>257</v>
      </c>
      <c r="IV43" s="355">
        <f t="shared" si="474"/>
        <v>874</v>
      </c>
      <c r="IW43" s="341">
        <v>583</v>
      </c>
      <c r="IX43" s="341">
        <v>291</v>
      </c>
      <c r="IY43" s="339">
        <v>237055</v>
      </c>
      <c r="IZ43" s="355">
        <f t="shared" si="475"/>
        <v>134641</v>
      </c>
      <c r="JA43" s="355">
        <f t="shared" si="476"/>
        <v>102414</v>
      </c>
      <c r="JB43" s="365">
        <f t="shared" si="477"/>
        <v>230807</v>
      </c>
      <c r="JC43" s="341">
        <v>130821</v>
      </c>
      <c r="JD43" s="341">
        <v>99986</v>
      </c>
      <c r="JE43" s="341">
        <v>3820</v>
      </c>
      <c r="JF43" s="341">
        <v>2428</v>
      </c>
      <c r="JG43" s="365">
        <f t="shared" si="478"/>
        <v>2268</v>
      </c>
      <c r="JH43" s="341">
        <v>1345</v>
      </c>
      <c r="JI43" s="341">
        <v>923</v>
      </c>
      <c r="JJ43" s="365">
        <f t="shared" si="479"/>
        <v>1197</v>
      </c>
      <c r="JK43" s="341">
        <v>702</v>
      </c>
      <c r="JL43" s="341">
        <v>495</v>
      </c>
      <c r="JM43" s="356">
        <f t="shared" si="480"/>
        <v>2783</v>
      </c>
      <c r="JN43" s="356">
        <f t="shared" si="481"/>
        <v>1773</v>
      </c>
      <c r="JO43" s="356">
        <f t="shared" si="482"/>
        <v>1010</v>
      </c>
      <c r="JP43" s="357">
        <f t="shared" si="483"/>
        <v>158</v>
      </c>
      <c r="JQ43" s="357">
        <f t="shared" si="484"/>
        <v>119</v>
      </c>
      <c r="JR43" s="357">
        <f t="shared" si="485"/>
        <v>39</v>
      </c>
      <c r="JS43" s="341">
        <v>2625</v>
      </c>
      <c r="JT43" s="341">
        <v>1654</v>
      </c>
      <c r="JU43" s="341">
        <v>971</v>
      </c>
      <c r="JV43" s="16">
        <f t="shared" si="486"/>
        <v>299392</v>
      </c>
      <c r="JW43" s="355">
        <f t="shared" si="487"/>
        <v>159200</v>
      </c>
      <c r="JX43" s="355">
        <f t="shared" si="488"/>
        <v>140192</v>
      </c>
      <c r="JY43" s="15">
        <f t="shared" si="489"/>
        <v>290086</v>
      </c>
      <c r="JZ43" s="151">
        <f t="shared" si="490"/>
        <v>288894</v>
      </c>
      <c r="KA43" s="341">
        <v>153289</v>
      </c>
      <c r="KB43" s="341">
        <v>135605</v>
      </c>
      <c r="KC43" s="341">
        <v>5911</v>
      </c>
      <c r="KD43" s="341">
        <v>4587</v>
      </c>
      <c r="KE43" s="15">
        <f t="shared" si="491"/>
        <v>2973</v>
      </c>
      <c r="KF43" s="151">
        <f t="shared" si="492"/>
        <v>2949</v>
      </c>
      <c r="KG43" s="341">
        <v>1661</v>
      </c>
      <c r="KH43" s="341">
        <v>1288</v>
      </c>
      <c r="KI43" s="15">
        <f t="shared" si="493"/>
        <v>1828</v>
      </c>
      <c r="KJ43" s="341">
        <v>986</v>
      </c>
      <c r="KK43" s="341">
        <v>842</v>
      </c>
      <c r="KL43" s="13">
        <f t="shared" si="494"/>
        <v>6333</v>
      </c>
      <c r="KM43" s="358">
        <f t="shared" si="495"/>
        <v>3264</v>
      </c>
      <c r="KN43" s="358">
        <f t="shared" si="496"/>
        <v>2457</v>
      </c>
      <c r="KO43" s="359">
        <f t="shared" si="497"/>
        <v>9</v>
      </c>
      <c r="KP43" s="359">
        <f t="shared" si="498"/>
        <v>9</v>
      </c>
      <c r="KQ43" s="359">
        <f t="shared" si="499"/>
        <v>0</v>
      </c>
      <c r="KR43" s="360">
        <f t="shared" si="500"/>
        <v>5712</v>
      </c>
      <c r="KS43" s="360">
        <f t="shared" si="501"/>
        <v>3255</v>
      </c>
      <c r="KT43" s="360">
        <f t="shared" si="502"/>
        <v>2457</v>
      </c>
      <c r="KU43" s="341">
        <v>177</v>
      </c>
      <c r="KV43" s="341">
        <v>189</v>
      </c>
      <c r="KW43" s="341">
        <v>3078</v>
      </c>
      <c r="KX43" s="341">
        <v>2268</v>
      </c>
      <c r="KY43" s="361">
        <v>402090</v>
      </c>
      <c r="KZ43" s="341">
        <v>200944</v>
      </c>
      <c r="LA43" s="341">
        <v>201146</v>
      </c>
      <c r="LB43" s="9">
        <f t="shared" si="503"/>
        <v>384943</v>
      </c>
      <c r="LC43" s="9">
        <v>191661</v>
      </c>
      <c r="LD43" s="9">
        <v>193282</v>
      </c>
      <c r="LE43" s="140">
        <f t="shared" si="504"/>
        <v>382565</v>
      </c>
      <c r="LF43" s="341">
        <v>190441</v>
      </c>
      <c r="LG43" s="341">
        <v>192124</v>
      </c>
      <c r="LH43" s="9">
        <f t="shared" si="505"/>
        <v>4559</v>
      </c>
      <c r="LI43" s="341">
        <v>2406</v>
      </c>
      <c r="LJ43" s="341">
        <v>2153</v>
      </c>
      <c r="LK43" s="9">
        <f t="shared" si="506"/>
        <v>4092</v>
      </c>
      <c r="LL43" s="341">
        <v>2121</v>
      </c>
      <c r="LM43" s="341">
        <v>1971</v>
      </c>
      <c r="LN43" s="140">
        <f t="shared" si="507"/>
        <v>12588</v>
      </c>
      <c r="LO43" s="140">
        <f t="shared" si="508"/>
        <v>6877</v>
      </c>
      <c r="LP43" s="140">
        <f t="shared" si="509"/>
        <v>5711</v>
      </c>
      <c r="LQ43" s="349">
        <v>468955</v>
      </c>
      <c r="LR43" s="341">
        <v>442826</v>
      </c>
      <c r="LS43" s="341">
        <v>6359</v>
      </c>
      <c r="LT43" s="341">
        <v>19770</v>
      </c>
      <c r="LU43" s="9">
        <v>5866</v>
      </c>
      <c r="LV43" s="14">
        <v>476217</v>
      </c>
      <c r="LW43" s="7">
        <v>449986</v>
      </c>
      <c r="LX43" s="7">
        <v>6274</v>
      </c>
      <c r="LY43" s="7">
        <v>19957</v>
      </c>
      <c r="LZ43" s="7">
        <v>6372</v>
      </c>
      <c r="MA43" s="14">
        <v>482132</v>
      </c>
      <c r="MB43" s="7">
        <v>456097</v>
      </c>
      <c r="MC43" s="7">
        <v>6696</v>
      </c>
      <c r="MD43" s="7">
        <v>19339</v>
      </c>
      <c r="ME43" s="7">
        <v>7100</v>
      </c>
      <c r="MF43" s="14">
        <v>495409</v>
      </c>
      <c r="MG43" s="7">
        <v>468084</v>
      </c>
      <c r="MH43" s="7">
        <v>7103</v>
      </c>
      <c r="MI43" s="7">
        <v>20222</v>
      </c>
      <c r="MJ43" s="7">
        <v>7191</v>
      </c>
      <c r="MK43" s="14">
        <v>509510.88099999994</v>
      </c>
      <c r="ML43" s="7">
        <v>480049.84000000008</v>
      </c>
      <c r="MM43" s="7">
        <v>7567.2759999999998</v>
      </c>
      <c r="MN43" s="7">
        <v>7160.7240000000011</v>
      </c>
      <c r="MO43" s="7">
        <v>21893.764999999854</v>
      </c>
      <c r="MP43" s="7">
        <v>522254</v>
      </c>
      <c r="MQ43" s="7">
        <v>492475</v>
      </c>
      <c r="MR43" s="7">
        <v>8523</v>
      </c>
      <c r="MS43" s="7">
        <v>7378</v>
      </c>
      <c r="MT43" s="2">
        <v>21094</v>
      </c>
      <c r="MU43" s="2">
        <v>532182</v>
      </c>
      <c r="MV43" s="2">
        <v>494418</v>
      </c>
      <c r="MW43" s="2">
        <v>8200</v>
      </c>
      <c r="MX43" s="2">
        <v>8282</v>
      </c>
      <c r="MY43" s="2">
        <v>12843</v>
      </c>
      <c r="MZ43" s="14">
        <v>92123</v>
      </c>
      <c r="NA43" s="7">
        <v>87525</v>
      </c>
      <c r="NB43" s="7">
        <v>1032</v>
      </c>
      <c r="NC43" s="7">
        <v>837</v>
      </c>
      <c r="ND43" s="7">
        <v>3566</v>
      </c>
      <c r="NE43" s="14">
        <v>123740</v>
      </c>
      <c r="NF43" s="7">
        <v>115871</v>
      </c>
      <c r="NG43" s="7">
        <v>1570</v>
      </c>
      <c r="NH43" s="7">
        <v>1527</v>
      </c>
      <c r="NI43" s="7">
        <v>6299</v>
      </c>
      <c r="NJ43" s="14">
        <v>151103</v>
      </c>
      <c r="NK43" s="7">
        <v>139094</v>
      </c>
      <c r="NL43" s="7">
        <v>2232</v>
      </c>
      <c r="NM43" s="7">
        <v>2687</v>
      </c>
      <c r="NN43" s="7">
        <v>9777</v>
      </c>
      <c r="NO43" s="14">
        <v>157082.40599999999</v>
      </c>
      <c r="NP43" s="7">
        <v>143636.96</v>
      </c>
      <c r="NQ43" s="7">
        <v>2461.6440000000002</v>
      </c>
      <c r="NR43" s="7">
        <v>2499.4980000000005</v>
      </c>
      <c r="NS43" s="12">
        <v>10983.801999999996</v>
      </c>
      <c r="NT43" s="1">
        <v>163704</v>
      </c>
      <c r="NU43" s="2">
        <v>149353</v>
      </c>
      <c r="NV43" s="2">
        <v>3140</v>
      </c>
      <c r="NW43" s="2">
        <v>2587</v>
      </c>
      <c r="NX43" s="79">
        <v>11138</v>
      </c>
      <c r="NY43" s="2">
        <v>166902</v>
      </c>
      <c r="NZ43" s="2">
        <v>149831</v>
      </c>
      <c r="OA43" s="2">
        <v>3154</v>
      </c>
      <c r="OB43" s="2">
        <v>2755</v>
      </c>
      <c r="OC43" s="2">
        <v>11691</v>
      </c>
    </row>
    <row r="44" spans="1:393" ht="14.25" x14ac:dyDescent="0.2">
      <c r="A44" s="240" t="s">
        <v>27</v>
      </c>
      <c r="B44" s="281" t="s">
        <v>186</v>
      </c>
      <c r="C44" s="282" t="s">
        <v>186</v>
      </c>
      <c r="D44" s="282" t="s">
        <v>186</v>
      </c>
      <c r="E44" s="282" t="s">
        <v>186</v>
      </c>
      <c r="F44" s="283" t="s">
        <v>186</v>
      </c>
      <c r="G44" s="7">
        <v>120951</v>
      </c>
      <c r="H44" s="7">
        <v>104943</v>
      </c>
      <c r="I44" s="7">
        <v>6534</v>
      </c>
      <c r="J44" s="7">
        <v>9912</v>
      </c>
      <c r="K44" s="12">
        <v>9474</v>
      </c>
      <c r="L44" s="7">
        <v>88124</v>
      </c>
      <c r="M44" s="7">
        <v>64508</v>
      </c>
      <c r="N44" s="7"/>
      <c r="O44" s="7"/>
      <c r="P44" s="12"/>
      <c r="Q44" s="9">
        <v>77505</v>
      </c>
      <c r="R44" s="9">
        <v>58108</v>
      </c>
      <c r="S44" s="9">
        <v>3539</v>
      </c>
      <c r="T44" s="9">
        <v>33678</v>
      </c>
      <c r="U44" s="617">
        <v>15858</v>
      </c>
      <c r="V44" s="9">
        <v>75738</v>
      </c>
      <c r="W44" s="9">
        <v>56572</v>
      </c>
      <c r="X44" s="9">
        <v>3201</v>
      </c>
      <c r="Y44" s="9">
        <v>34964</v>
      </c>
      <c r="Z44" s="9">
        <v>15963</v>
      </c>
      <c r="AA44" s="9">
        <v>72957</v>
      </c>
      <c r="AB44" s="9">
        <v>30072</v>
      </c>
      <c r="AC44" s="9">
        <v>3088</v>
      </c>
      <c r="AD44" s="9">
        <v>35124</v>
      </c>
      <c r="AE44" s="726">
        <v>14633</v>
      </c>
      <c r="AF44" s="14">
        <v>172321</v>
      </c>
      <c r="AG44" s="7">
        <v>148375</v>
      </c>
      <c r="AH44" s="7">
        <v>15556</v>
      </c>
      <c r="AI44" s="7">
        <v>7574</v>
      </c>
      <c r="AJ44" s="12">
        <v>8390</v>
      </c>
      <c r="AK44" s="7">
        <v>149675</v>
      </c>
      <c r="AL44" s="7">
        <v>118768</v>
      </c>
      <c r="AM44" s="7"/>
      <c r="AN44" s="7"/>
      <c r="AO44" s="12"/>
      <c r="AP44" s="7">
        <v>114811</v>
      </c>
      <c r="AQ44" s="7">
        <v>92886</v>
      </c>
      <c r="AR44" s="7">
        <v>9419</v>
      </c>
      <c r="AS44" s="7">
        <v>22354</v>
      </c>
      <c r="AT44" s="12">
        <v>12506</v>
      </c>
      <c r="AU44" s="7">
        <v>113515</v>
      </c>
      <c r="AV44" s="7">
        <v>90457</v>
      </c>
      <c r="AW44" s="7">
        <v>9635</v>
      </c>
      <c r="AX44" s="7">
        <v>23559</v>
      </c>
      <c r="AY44" s="7">
        <v>13265</v>
      </c>
      <c r="AZ44" s="7">
        <v>111857</v>
      </c>
      <c r="BA44" s="7">
        <v>71014</v>
      </c>
      <c r="BB44" s="7">
        <v>9440</v>
      </c>
      <c r="BC44" s="7">
        <v>24519</v>
      </c>
      <c r="BD44" s="63">
        <v>13887</v>
      </c>
      <c r="BE44" s="14">
        <v>191550</v>
      </c>
      <c r="BF44" s="7">
        <v>148943</v>
      </c>
      <c r="BG44" s="7">
        <v>13553</v>
      </c>
      <c r="BH44" s="7">
        <v>57285</v>
      </c>
      <c r="BI44" s="313">
        <f t="shared" si="454"/>
        <v>29054</v>
      </c>
      <c r="BJ44" s="281" t="s">
        <v>186</v>
      </c>
      <c r="BK44" s="282" t="s">
        <v>186</v>
      </c>
      <c r="BL44" s="282" t="s">
        <v>186</v>
      </c>
      <c r="BM44" s="282" t="s">
        <v>186</v>
      </c>
      <c r="BN44" s="281" t="s">
        <v>186</v>
      </c>
      <c r="BO44" s="282" t="s">
        <v>186</v>
      </c>
      <c r="BP44" s="282" t="s">
        <v>186</v>
      </c>
      <c r="BQ44" s="282" t="s">
        <v>186</v>
      </c>
      <c r="BR44" s="283" t="s">
        <v>186</v>
      </c>
      <c r="BS44" s="7">
        <v>1272664</v>
      </c>
      <c r="BT44" s="7">
        <v>1186280</v>
      </c>
      <c r="BU44" s="7">
        <v>54033</v>
      </c>
      <c r="BV44" s="7">
        <v>24277</v>
      </c>
      <c r="BW44" s="12">
        <v>32351</v>
      </c>
      <c r="BX44" s="7">
        <v>1463408</v>
      </c>
      <c r="BY44" s="7">
        <v>1324632</v>
      </c>
      <c r="BZ44" s="7">
        <v>0</v>
      </c>
      <c r="CA44" s="7"/>
      <c r="CB44" s="7"/>
      <c r="CC44" s="214">
        <v>1570242</v>
      </c>
      <c r="CD44" s="7">
        <v>1399642</v>
      </c>
      <c r="CE44" s="7">
        <v>75926</v>
      </c>
      <c r="CF44" s="7">
        <v>94674</v>
      </c>
      <c r="CG44" s="7">
        <v>68759</v>
      </c>
      <c r="CH44" s="14">
        <v>1594455</v>
      </c>
      <c r="CI44" s="7">
        <v>1423988</v>
      </c>
      <c r="CJ44" s="7">
        <v>76557</v>
      </c>
      <c r="CK44" s="7">
        <v>93910</v>
      </c>
      <c r="CL44" s="7">
        <v>71810</v>
      </c>
      <c r="CM44" s="66">
        <v>1605700</v>
      </c>
      <c r="CN44" s="64">
        <v>1435302</v>
      </c>
      <c r="CO44" s="64">
        <v>77974</v>
      </c>
      <c r="CP44" s="64">
        <v>92424</v>
      </c>
      <c r="CQ44" s="64">
        <v>72246</v>
      </c>
      <c r="CR44" s="14">
        <v>1631713</v>
      </c>
      <c r="CS44" s="7">
        <v>1453770</v>
      </c>
      <c r="CT44" s="7">
        <v>81473</v>
      </c>
      <c r="CU44" s="7">
        <v>79831</v>
      </c>
      <c r="CV44" s="7">
        <v>68860</v>
      </c>
      <c r="CW44" s="14">
        <v>1648431.5850000002</v>
      </c>
      <c r="CX44" s="7">
        <v>1470000.2439999999</v>
      </c>
      <c r="CY44" s="7">
        <v>82565.362000000023</v>
      </c>
      <c r="CZ44" s="7">
        <v>84301.22</v>
      </c>
      <c r="DA44" s="567">
        <f t="shared" si="455"/>
        <v>95865.979000000225</v>
      </c>
      <c r="DB44" s="7">
        <v>1664897</v>
      </c>
      <c r="DC44" s="7">
        <v>1482117</v>
      </c>
      <c r="DD44" s="7">
        <v>84372</v>
      </c>
      <c r="DE44" s="7">
        <v>87388</v>
      </c>
      <c r="DF44" s="7">
        <v>97503</v>
      </c>
      <c r="DG44" s="7">
        <v>1676212</v>
      </c>
      <c r="DH44" s="7">
        <v>1426394</v>
      </c>
      <c r="DI44" s="7">
        <v>85741</v>
      </c>
      <c r="DJ44" s="7">
        <v>90229</v>
      </c>
      <c r="DK44" s="7">
        <v>63697</v>
      </c>
      <c r="DL44" s="281" t="s">
        <v>186</v>
      </c>
      <c r="DM44" s="282" t="s">
        <v>186</v>
      </c>
      <c r="DN44" s="282" t="s">
        <v>186</v>
      </c>
      <c r="DO44" s="282" t="s">
        <v>186</v>
      </c>
      <c r="DP44" s="283" t="s">
        <v>186</v>
      </c>
      <c r="DQ44" s="7">
        <v>428110</v>
      </c>
      <c r="DR44" s="7">
        <v>395610</v>
      </c>
      <c r="DS44" s="7">
        <v>21798</v>
      </c>
      <c r="DT44" s="7">
        <v>8791</v>
      </c>
      <c r="DU44" s="12">
        <v>10702</v>
      </c>
      <c r="DV44" s="7">
        <v>516818</v>
      </c>
      <c r="DW44" s="7">
        <v>463789</v>
      </c>
      <c r="DX44" s="7">
        <v>0</v>
      </c>
      <c r="DY44" s="7"/>
      <c r="DZ44" s="12"/>
      <c r="EA44" s="7">
        <v>578801</v>
      </c>
      <c r="EB44" s="7">
        <v>512381</v>
      </c>
      <c r="EC44" s="7">
        <v>35525</v>
      </c>
      <c r="ED44" s="7">
        <v>27748</v>
      </c>
      <c r="EE44" s="12">
        <v>30895</v>
      </c>
      <c r="EF44" s="7">
        <v>585699.71400000004</v>
      </c>
      <c r="EG44" s="7">
        <v>518061.76</v>
      </c>
      <c r="EH44" s="7">
        <v>35755.896000000008</v>
      </c>
      <c r="EI44" s="7">
        <v>29986.34</v>
      </c>
      <c r="EJ44" s="12">
        <v>31882.058000000019</v>
      </c>
      <c r="EK44" s="7">
        <v>594835</v>
      </c>
      <c r="EL44" s="7">
        <v>523018</v>
      </c>
      <c r="EM44" s="7">
        <v>38199</v>
      </c>
      <c r="EN44" s="7">
        <v>30868</v>
      </c>
      <c r="EO44" s="661">
        <v>33299</v>
      </c>
      <c r="EP44" s="661">
        <v>600189</v>
      </c>
      <c r="EQ44" s="661">
        <v>503707</v>
      </c>
      <c r="ER44" s="661">
        <v>39420</v>
      </c>
      <c r="ES44" s="661">
        <v>32770</v>
      </c>
      <c r="ET44" s="661">
        <v>33458</v>
      </c>
      <c r="EU44" s="14">
        <v>85146</v>
      </c>
      <c r="EV44" s="7">
        <v>78373</v>
      </c>
      <c r="EW44" s="7">
        <v>4333</v>
      </c>
      <c r="EX44" s="7">
        <v>1898</v>
      </c>
      <c r="EY44" s="12">
        <v>2440</v>
      </c>
      <c r="EZ44" s="7">
        <v>99096</v>
      </c>
      <c r="FA44" s="7">
        <v>88636</v>
      </c>
      <c r="FB44" s="7"/>
      <c r="FC44" s="7"/>
      <c r="FD44" s="12"/>
      <c r="FE44" s="14">
        <v>134058</v>
      </c>
      <c r="FF44" s="7">
        <v>119495</v>
      </c>
      <c r="FG44" s="7">
        <v>7862</v>
      </c>
      <c r="FH44" s="7">
        <v>5887</v>
      </c>
      <c r="FI44" s="7">
        <v>6701</v>
      </c>
      <c r="FJ44" s="14"/>
      <c r="FK44" s="7"/>
      <c r="FL44" s="7"/>
      <c r="FM44" s="7"/>
      <c r="FN44" s="12"/>
      <c r="FO44" s="7">
        <v>142705</v>
      </c>
      <c r="FP44" s="7">
        <v>125189</v>
      </c>
      <c r="FQ44" s="7">
        <v>8929</v>
      </c>
      <c r="FR44" s="7">
        <v>6851</v>
      </c>
      <c r="FS44" s="7">
        <v>8425</v>
      </c>
      <c r="FT44" s="7">
        <v>144606</v>
      </c>
      <c r="FU44" s="7">
        <v>122226</v>
      </c>
      <c r="FV44" s="7">
        <v>8706</v>
      </c>
      <c r="FW44" s="7">
        <v>7165</v>
      </c>
      <c r="FX44" s="7">
        <v>8874</v>
      </c>
      <c r="FY44" s="609">
        <f t="shared" si="510"/>
        <v>415523</v>
      </c>
      <c r="FZ44" s="584">
        <f t="shared" si="511"/>
        <v>390901</v>
      </c>
      <c r="GA44" s="584">
        <f t="shared" si="512"/>
        <v>13201</v>
      </c>
      <c r="GB44" s="584">
        <f t="shared" si="513"/>
        <v>6111</v>
      </c>
      <c r="GC44" s="584">
        <f t="shared" si="514"/>
        <v>11421</v>
      </c>
      <c r="GD44" s="609">
        <f t="shared" si="515"/>
        <v>538074</v>
      </c>
      <c r="GE44" s="584">
        <f t="shared" si="516"/>
        <v>494150</v>
      </c>
      <c r="GF44" s="584">
        <f t="shared" si="517"/>
        <v>0</v>
      </c>
      <c r="GG44" s="584">
        <f t="shared" si="518"/>
        <v>0</v>
      </c>
      <c r="GH44" s="584">
        <f t="shared" si="519"/>
        <v>0</v>
      </c>
      <c r="GI44" s="14">
        <v>581959</v>
      </c>
      <c r="GJ44" s="7">
        <v>525031</v>
      </c>
      <c r="GK44" s="7">
        <v>21779</v>
      </c>
      <c r="GL44" s="7">
        <v>19131</v>
      </c>
      <c r="GM44" s="7">
        <v>35149</v>
      </c>
      <c r="GN44" s="605"/>
      <c r="GO44" s="9"/>
      <c r="GP44" s="9"/>
      <c r="GQ44" s="9"/>
      <c r="GR44" s="9"/>
      <c r="GS44" s="9">
        <v>701062</v>
      </c>
      <c r="GT44" s="9">
        <v>631442</v>
      </c>
      <c r="GU44" s="9">
        <v>27004</v>
      </c>
      <c r="GV44" s="9">
        <v>24117</v>
      </c>
      <c r="GW44" s="617">
        <v>42179</v>
      </c>
      <c r="GX44" s="9">
        <v>2130320</v>
      </c>
      <c r="GY44" s="9">
        <v>623538</v>
      </c>
      <c r="GZ44" s="9">
        <v>26423</v>
      </c>
      <c r="HA44" s="9">
        <v>24519</v>
      </c>
      <c r="HB44" s="9">
        <v>27179</v>
      </c>
      <c r="HC44" s="14">
        <v>221016</v>
      </c>
      <c r="HD44" s="7">
        <v>210410</v>
      </c>
      <c r="HE44" s="7">
        <v>5643</v>
      </c>
      <c r="HF44" s="7">
        <v>2741</v>
      </c>
      <c r="HG44" s="7">
        <v>4963</v>
      </c>
      <c r="HH44" s="14">
        <v>290271</v>
      </c>
      <c r="HI44" s="7">
        <v>270206</v>
      </c>
      <c r="HJ44" s="7"/>
      <c r="HK44" s="7"/>
      <c r="HL44" s="7"/>
      <c r="HM44" s="14">
        <v>353400</v>
      </c>
      <c r="HN44" s="7">
        <v>321909</v>
      </c>
      <c r="HO44" s="7">
        <v>11411</v>
      </c>
      <c r="HP44" s="7">
        <v>11085</v>
      </c>
      <c r="HQ44" s="7">
        <v>20080</v>
      </c>
      <c r="HR44" s="14">
        <v>359155.48499999999</v>
      </c>
      <c r="HS44" s="7">
        <v>328645.429</v>
      </c>
      <c r="HT44" s="7">
        <v>11630.278</v>
      </c>
      <c r="HU44" s="7">
        <v>11174.155000000001</v>
      </c>
      <c r="HV44" s="7">
        <v>18879.777999999984</v>
      </c>
      <c r="HW44" s="7">
        <v>367417</v>
      </c>
      <c r="HX44" s="7">
        <v>327994</v>
      </c>
      <c r="HY44" s="7">
        <v>11245</v>
      </c>
      <c r="HZ44" s="7">
        <v>12318</v>
      </c>
      <c r="IA44" s="7">
        <v>18251</v>
      </c>
      <c r="IB44" s="281" t="s">
        <v>186</v>
      </c>
      <c r="IC44" s="282" t="s">
        <v>186</v>
      </c>
      <c r="ID44" s="339">
        <v>99137</v>
      </c>
      <c r="IE44" s="355">
        <f t="shared" si="466"/>
        <v>58678</v>
      </c>
      <c r="IF44" s="355">
        <f t="shared" si="467"/>
        <v>40459</v>
      </c>
      <c r="IG44" s="355">
        <f t="shared" si="468"/>
        <v>97076</v>
      </c>
      <c r="IH44" s="341">
        <v>57614</v>
      </c>
      <c r="II44" s="341">
        <v>39462</v>
      </c>
      <c r="IJ44" s="355">
        <f t="shared" si="469"/>
        <v>2061</v>
      </c>
      <c r="IK44" s="341">
        <v>1064</v>
      </c>
      <c r="IL44" s="341">
        <v>997</v>
      </c>
      <c r="IM44" s="339">
        <v>140066</v>
      </c>
      <c r="IN44" s="355">
        <f t="shared" si="470"/>
        <v>81441</v>
      </c>
      <c r="IO44" s="355">
        <f t="shared" si="471"/>
        <v>58625</v>
      </c>
      <c r="IP44" s="355">
        <f t="shared" si="472"/>
        <v>136272</v>
      </c>
      <c r="IQ44" s="341">
        <v>79469</v>
      </c>
      <c r="IR44" s="341">
        <v>56803</v>
      </c>
      <c r="IS44" s="355">
        <f t="shared" si="473"/>
        <v>2239</v>
      </c>
      <c r="IT44" s="341">
        <v>954</v>
      </c>
      <c r="IU44" s="341">
        <v>1285</v>
      </c>
      <c r="IV44" s="355">
        <f t="shared" si="474"/>
        <v>1555</v>
      </c>
      <c r="IW44" s="341">
        <v>1018</v>
      </c>
      <c r="IX44" s="341">
        <v>537</v>
      </c>
      <c r="IY44" s="339">
        <v>236427</v>
      </c>
      <c r="IZ44" s="355">
        <f t="shared" si="475"/>
        <v>136110</v>
      </c>
      <c r="JA44" s="355">
        <f t="shared" si="476"/>
        <v>100317</v>
      </c>
      <c r="JB44" s="365">
        <f t="shared" si="477"/>
        <v>224961</v>
      </c>
      <c r="JC44" s="341">
        <v>129477</v>
      </c>
      <c r="JD44" s="341">
        <v>95484</v>
      </c>
      <c r="JE44" s="341">
        <v>6633</v>
      </c>
      <c r="JF44" s="341">
        <v>4833</v>
      </c>
      <c r="JG44" s="365">
        <f t="shared" si="478"/>
        <v>5409</v>
      </c>
      <c r="JH44" s="341">
        <v>2912</v>
      </c>
      <c r="JI44" s="341">
        <v>2497</v>
      </c>
      <c r="JJ44" s="365">
        <f t="shared" si="479"/>
        <v>2253</v>
      </c>
      <c r="JK44" s="341">
        <v>1418</v>
      </c>
      <c r="JL44" s="341">
        <v>835</v>
      </c>
      <c r="JM44" s="356">
        <f t="shared" si="480"/>
        <v>3804</v>
      </c>
      <c r="JN44" s="356">
        <f t="shared" si="481"/>
        <v>2303</v>
      </c>
      <c r="JO44" s="356">
        <f t="shared" si="482"/>
        <v>1501</v>
      </c>
      <c r="JP44" s="357">
        <f t="shared" si="483"/>
        <v>144</v>
      </c>
      <c r="JQ44" s="357">
        <f t="shared" si="484"/>
        <v>100</v>
      </c>
      <c r="JR44" s="357">
        <f t="shared" si="485"/>
        <v>44</v>
      </c>
      <c r="JS44" s="341">
        <v>3660</v>
      </c>
      <c r="JT44" s="341">
        <v>2203</v>
      </c>
      <c r="JU44" s="341">
        <v>1457</v>
      </c>
      <c r="JV44" s="16">
        <f t="shared" si="486"/>
        <v>330377</v>
      </c>
      <c r="JW44" s="355">
        <f t="shared" si="487"/>
        <v>179392</v>
      </c>
      <c r="JX44" s="355">
        <f t="shared" si="488"/>
        <v>150985</v>
      </c>
      <c r="JY44" s="15">
        <f t="shared" si="489"/>
        <v>312528</v>
      </c>
      <c r="JZ44" s="151">
        <f t="shared" si="490"/>
        <v>309860</v>
      </c>
      <c r="KA44" s="341">
        <v>168461</v>
      </c>
      <c r="KB44" s="341">
        <v>141399</v>
      </c>
      <c r="KC44" s="341">
        <v>10931</v>
      </c>
      <c r="KD44" s="341">
        <v>9586</v>
      </c>
      <c r="KE44" s="15">
        <f t="shared" si="491"/>
        <v>8868</v>
      </c>
      <c r="KF44" s="151">
        <f t="shared" si="492"/>
        <v>8786</v>
      </c>
      <c r="KG44" s="341">
        <v>4168</v>
      </c>
      <c r="KH44" s="341">
        <v>4618</v>
      </c>
      <c r="KI44" s="15">
        <f t="shared" si="493"/>
        <v>4213</v>
      </c>
      <c r="KJ44" s="341">
        <v>2415</v>
      </c>
      <c r="KK44" s="341">
        <v>1798</v>
      </c>
      <c r="KL44" s="13">
        <f t="shared" si="494"/>
        <v>8981</v>
      </c>
      <c r="KM44" s="358">
        <f t="shared" si="495"/>
        <v>4348</v>
      </c>
      <c r="KN44" s="358">
        <f t="shared" si="496"/>
        <v>3170</v>
      </c>
      <c r="KO44" s="359">
        <f t="shared" si="497"/>
        <v>54</v>
      </c>
      <c r="KP44" s="359">
        <f t="shared" si="498"/>
        <v>22</v>
      </c>
      <c r="KQ44" s="359">
        <f t="shared" si="499"/>
        <v>32</v>
      </c>
      <c r="KR44" s="360">
        <f t="shared" si="500"/>
        <v>7464</v>
      </c>
      <c r="KS44" s="360">
        <f t="shared" si="501"/>
        <v>4326</v>
      </c>
      <c r="KT44" s="360">
        <f t="shared" si="502"/>
        <v>3138</v>
      </c>
      <c r="KU44" s="341">
        <v>731</v>
      </c>
      <c r="KV44" s="341">
        <v>624</v>
      </c>
      <c r="KW44" s="341">
        <v>3595</v>
      </c>
      <c r="KX44" s="341">
        <v>2514</v>
      </c>
      <c r="KY44" s="361">
        <v>438978</v>
      </c>
      <c r="KZ44" s="341">
        <v>223619</v>
      </c>
      <c r="LA44" s="341">
        <v>215359</v>
      </c>
      <c r="LB44" s="9">
        <f t="shared" si="503"/>
        <v>405514</v>
      </c>
      <c r="LC44" s="9">
        <v>206756</v>
      </c>
      <c r="LD44" s="9">
        <v>198758</v>
      </c>
      <c r="LE44" s="140">
        <f t="shared" si="504"/>
        <v>400323</v>
      </c>
      <c r="LF44" s="341">
        <v>204096</v>
      </c>
      <c r="LG44" s="341">
        <v>196227</v>
      </c>
      <c r="LH44" s="9">
        <f t="shared" si="505"/>
        <v>12405</v>
      </c>
      <c r="LI44" s="341">
        <v>6010</v>
      </c>
      <c r="LJ44" s="341">
        <v>6395</v>
      </c>
      <c r="LK44" s="9">
        <f t="shared" si="506"/>
        <v>8357</v>
      </c>
      <c r="LL44" s="341">
        <v>4225</v>
      </c>
      <c r="LM44" s="341">
        <v>4132</v>
      </c>
      <c r="LN44" s="140">
        <f t="shared" si="507"/>
        <v>21059</v>
      </c>
      <c r="LO44" s="140">
        <f t="shared" si="508"/>
        <v>10853</v>
      </c>
      <c r="LP44" s="140">
        <f t="shared" si="509"/>
        <v>10206</v>
      </c>
      <c r="LQ44" s="349">
        <v>502067</v>
      </c>
      <c r="LR44" s="341">
        <v>457353</v>
      </c>
      <c r="LS44" s="341">
        <v>15797</v>
      </c>
      <c r="LT44" s="341">
        <v>28917</v>
      </c>
      <c r="LU44" s="9">
        <v>12102</v>
      </c>
      <c r="LV44" s="14">
        <v>520029</v>
      </c>
      <c r="LW44" s="7">
        <v>472259</v>
      </c>
      <c r="LX44" s="7">
        <v>16413</v>
      </c>
      <c r="LY44" s="7">
        <v>31357</v>
      </c>
      <c r="LZ44" s="7">
        <v>14226</v>
      </c>
      <c r="MA44" s="14">
        <v>526416</v>
      </c>
      <c r="MB44" s="7">
        <v>478100</v>
      </c>
      <c r="MC44" s="7">
        <v>16617</v>
      </c>
      <c r="MD44" s="7">
        <v>31699</v>
      </c>
      <c r="ME44" s="7">
        <v>13657</v>
      </c>
      <c r="MF44" s="14">
        <v>540498</v>
      </c>
      <c r="MG44" s="7">
        <v>488165</v>
      </c>
      <c r="MH44" s="7">
        <v>17227</v>
      </c>
      <c r="MI44" s="7">
        <v>35106</v>
      </c>
      <c r="MJ44" s="7">
        <v>15501</v>
      </c>
      <c r="MK44" s="14">
        <v>548863.25399999996</v>
      </c>
      <c r="ML44" s="7">
        <v>497015.50100000005</v>
      </c>
      <c r="MM44" s="7">
        <v>18262.420000000002</v>
      </c>
      <c r="MN44" s="7">
        <v>15841.84</v>
      </c>
      <c r="MO44" s="7">
        <v>33585.332999999911</v>
      </c>
      <c r="MP44" s="7">
        <v>558357</v>
      </c>
      <c r="MQ44" s="7">
        <v>506253</v>
      </c>
      <c r="MR44" s="7">
        <v>18075</v>
      </c>
      <c r="MS44" s="7">
        <v>17266</v>
      </c>
      <c r="MT44" s="2">
        <v>33754</v>
      </c>
      <c r="MU44" s="2">
        <v>567549</v>
      </c>
      <c r="MV44" s="2">
        <v>501312</v>
      </c>
      <c r="MW44" s="2">
        <v>17717</v>
      </c>
      <c r="MX44" s="2">
        <v>17354</v>
      </c>
      <c r="MY44" s="2">
        <v>21711</v>
      </c>
      <c r="MZ44" s="14">
        <v>109361</v>
      </c>
      <c r="NA44" s="7">
        <v>102118</v>
      </c>
      <c r="NB44" s="7">
        <v>3225</v>
      </c>
      <c r="NC44" s="7">
        <v>1472</v>
      </c>
      <c r="ND44" s="7">
        <v>4018</v>
      </c>
      <c r="NE44" s="14">
        <v>148707</v>
      </c>
      <c r="NF44" s="7">
        <v>135308</v>
      </c>
      <c r="NG44" s="7"/>
      <c r="NH44" s="7"/>
      <c r="NI44" s="7"/>
      <c r="NJ44" s="14">
        <v>187098</v>
      </c>
      <c r="NK44" s="7">
        <v>166256</v>
      </c>
      <c r="NL44" s="7">
        <v>5816</v>
      </c>
      <c r="NM44" s="7">
        <v>4416</v>
      </c>
      <c r="NN44" s="7">
        <v>15026</v>
      </c>
      <c r="NO44" s="14">
        <v>189707.76900000003</v>
      </c>
      <c r="NP44" s="7">
        <v>168370.07200000001</v>
      </c>
      <c r="NQ44" s="7">
        <v>6632.1420000000007</v>
      </c>
      <c r="NR44" s="7">
        <v>4667.6850000000004</v>
      </c>
      <c r="NS44" s="12">
        <v>14705.555000000015</v>
      </c>
      <c r="NT44" s="1">
        <v>196082</v>
      </c>
      <c r="NU44" s="2">
        <v>173797</v>
      </c>
      <c r="NV44" s="2">
        <v>6738</v>
      </c>
      <c r="NW44" s="2">
        <v>4858</v>
      </c>
      <c r="NX44" s="79">
        <v>15461</v>
      </c>
      <c r="NY44" s="2">
        <v>200132</v>
      </c>
      <c r="NZ44" s="2">
        <v>173318</v>
      </c>
      <c r="OA44" s="2">
        <v>6472</v>
      </c>
      <c r="OB44" s="2">
        <v>5036</v>
      </c>
      <c r="OC44" s="2">
        <v>16324</v>
      </c>
    </row>
    <row r="45" spans="1:393" ht="14.25" x14ac:dyDescent="0.2">
      <c r="A45" s="240" t="s">
        <v>30</v>
      </c>
      <c r="B45" s="281" t="s">
        <v>186</v>
      </c>
      <c r="C45" s="282" t="s">
        <v>186</v>
      </c>
      <c r="D45" s="282" t="s">
        <v>186</v>
      </c>
      <c r="E45" s="282" t="s">
        <v>186</v>
      </c>
      <c r="F45" s="283" t="s">
        <v>186</v>
      </c>
      <c r="G45" s="7">
        <v>452893</v>
      </c>
      <c r="H45" s="7">
        <v>360105</v>
      </c>
      <c r="I45" s="7">
        <v>74549</v>
      </c>
      <c r="J45" s="7">
        <v>17671</v>
      </c>
      <c r="K45" s="12">
        <v>18239</v>
      </c>
      <c r="L45" s="7">
        <v>299014</v>
      </c>
      <c r="M45" s="7">
        <v>219480</v>
      </c>
      <c r="N45" s="7">
        <v>46043</v>
      </c>
      <c r="O45" s="7">
        <v>29987</v>
      </c>
      <c r="P45" s="12">
        <v>33491</v>
      </c>
      <c r="Q45" s="9">
        <v>233547</v>
      </c>
      <c r="R45" s="9">
        <v>168804</v>
      </c>
      <c r="S45" s="9">
        <v>32750</v>
      </c>
      <c r="T45" s="9">
        <v>37832</v>
      </c>
      <c r="U45" s="617">
        <v>31993</v>
      </c>
      <c r="V45" s="9">
        <v>222466</v>
      </c>
      <c r="W45" s="9">
        <v>161179</v>
      </c>
      <c r="X45" s="9">
        <v>31677</v>
      </c>
      <c r="Y45" s="9">
        <v>36865</v>
      </c>
      <c r="Z45" s="9">
        <v>29610</v>
      </c>
      <c r="AA45" s="9">
        <v>220106</v>
      </c>
      <c r="AB45" s="9">
        <v>137476</v>
      </c>
      <c r="AC45" s="9">
        <v>30581</v>
      </c>
      <c r="AD45" s="9">
        <v>36746</v>
      </c>
      <c r="AE45" s="726">
        <v>29727</v>
      </c>
      <c r="AF45" s="14">
        <v>903866</v>
      </c>
      <c r="AG45" s="7">
        <v>707807</v>
      </c>
      <c r="AH45" s="7">
        <v>176381</v>
      </c>
      <c r="AI45" s="7">
        <v>17124</v>
      </c>
      <c r="AJ45" s="12">
        <v>19678</v>
      </c>
      <c r="AK45" s="7">
        <v>765119</v>
      </c>
      <c r="AL45" s="7">
        <v>561152</v>
      </c>
      <c r="AM45" s="7">
        <v>163124</v>
      </c>
      <c r="AN45" s="7">
        <v>28887</v>
      </c>
      <c r="AO45" s="12">
        <v>40843</v>
      </c>
      <c r="AP45" s="7">
        <v>529078</v>
      </c>
      <c r="AQ45" s="7">
        <v>381107</v>
      </c>
      <c r="AR45" s="7">
        <v>118002</v>
      </c>
      <c r="AS45" s="7">
        <v>30902</v>
      </c>
      <c r="AT45" s="12">
        <v>29969</v>
      </c>
      <c r="AU45" s="7">
        <v>506002</v>
      </c>
      <c r="AV45" s="7">
        <v>364666</v>
      </c>
      <c r="AW45" s="7">
        <v>111411</v>
      </c>
      <c r="AX45" s="7">
        <v>32235</v>
      </c>
      <c r="AY45" s="7">
        <v>29925</v>
      </c>
      <c r="AZ45" s="7">
        <v>497214</v>
      </c>
      <c r="BA45" s="7">
        <v>338567</v>
      </c>
      <c r="BB45" s="7">
        <v>108006</v>
      </c>
      <c r="BC45" s="7">
        <v>31807</v>
      </c>
      <c r="BD45" s="63">
        <v>29226</v>
      </c>
      <c r="BE45" s="14">
        <v>749085</v>
      </c>
      <c r="BF45" s="7">
        <v>540035</v>
      </c>
      <c r="BG45" s="7">
        <v>148420</v>
      </c>
      <c r="BH45" s="7">
        <v>69493</v>
      </c>
      <c r="BI45" s="313">
        <f t="shared" si="454"/>
        <v>60630</v>
      </c>
      <c r="BJ45" s="281" t="s">
        <v>186</v>
      </c>
      <c r="BK45" s="282" t="s">
        <v>186</v>
      </c>
      <c r="BL45" s="282" t="s">
        <v>186</v>
      </c>
      <c r="BM45" s="282" t="s">
        <v>186</v>
      </c>
      <c r="BN45" s="281" t="s">
        <v>186</v>
      </c>
      <c r="BO45" s="282" t="s">
        <v>186</v>
      </c>
      <c r="BP45" s="282" t="s">
        <v>186</v>
      </c>
      <c r="BQ45" s="282" t="s">
        <v>186</v>
      </c>
      <c r="BR45" s="283" t="s">
        <v>186</v>
      </c>
      <c r="BS45" s="7">
        <v>4485883</v>
      </c>
      <c r="BT45" s="7">
        <v>3931669</v>
      </c>
      <c r="BU45" s="7">
        <v>464789</v>
      </c>
      <c r="BV45" s="7">
        <v>54303</v>
      </c>
      <c r="BW45" s="12">
        <v>89425</v>
      </c>
      <c r="BX45" s="7">
        <v>5351808</v>
      </c>
      <c r="BY45" s="7">
        <v>4528536</v>
      </c>
      <c r="BZ45" s="7">
        <v>599216</v>
      </c>
      <c r="CA45" s="7">
        <v>97109</v>
      </c>
      <c r="CB45" s="7">
        <v>224056</v>
      </c>
      <c r="CC45" s="214">
        <v>5773332</v>
      </c>
      <c r="CD45" s="7">
        <v>4818896</v>
      </c>
      <c r="CE45" s="7">
        <v>678681</v>
      </c>
      <c r="CF45" s="7">
        <v>275755</v>
      </c>
      <c r="CG45" s="7">
        <v>133516</v>
      </c>
      <c r="CH45" s="14">
        <v>5812881</v>
      </c>
      <c r="CI45" s="7">
        <v>4854992</v>
      </c>
      <c r="CJ45" s="7">
        <v>681224</v>
      </c>
      <c r="CK45" s="7">
        <v>276665</v>
      </c>
      <c r="CL45" s="7">
        <v>137869</v>
      </c>
      <c r="CM45" s="66">
        <v>5807285</v>
      </c>
      <c r="CN45" s="64">
        <v>4859885</v>
      </c>
      <c r="CO45" s="64">
        <v>678730</v>
      </c>
      <c r="CP45" s="64">
        <v>268670</v>
      </c>
      <c r="CQ45" s="64">
        <v>132943</v>
      </c>
      <c r="CR45" s="14">
        <v>5797946</v>
      </c>
      <c r="CS45" s="7">
        <v>4843870</v>
      </c>
      <c r="CT45" s="7">
        <v>683865</v>
      </c>
      <c r="CU45" s="7">
        <v>139413</v>
      </c>
      <c r="CV45" s="7">
        <v>200166</v>
      </c>
      <c r="CW45" s="14">
        <v>5828403.3789999997</v>
      </c>
      <c r="CX45" s="7">
        <v>4860312.3</v>
      </c>
      <c r="CY45" s="7">
        <v>690111.01299999992</v>
      </c>
      <c r="CZ45" s="7">
        <v>144545.024</v>
      </c>
      <c r="DA45" s="567">
        <f t="shared" si="455"/>
        <v>277980.06599999999</v>
      </c>
      <c r="DB45" s="7">
        <v>5865021</v>
      </c>
      <c r="DC45" s="7">
        <v>4888748</v>
      </c>
      <c r="DD45" s="7">
        <v>698372</v>
      </c>
      <c r="DE45" s="7">
        <v>149518</v>
      </c>
      <c r="DF45" s="7">
        <v>277901</v>
      </c>
      <c r="DG45" s="7">
        <v>5899558</v>
      </c>
      <c r="DH45" s="7">
        <v>4801533</v>
      </c>
      <c r="DI45" s="7">
        <v>702970</v>
      </c>
      <c r="DJ45" s="7">
        <v>155168</v>
      </c>
      <c r="DK45" s="7">
        <v>180347</v>
      </c>
      <c r="DL45" s="281" t="s">
        <v>186</v>
      </c>
      <c r="DM45" s="282" t="s">
        <v>186</v>
      </c>
      <c r="DN45" s="282" t="s">
        <v>186</v>
      </c>
      <c r="DO45" s="282" t="s">
        <v>186</v>
      </c>
      <c r="DP45" s="283" t="s">
        <v>186</v>
      </c>
      <c r="DQ45" s="7">
        <v>1584387</v>
      </c>
      <c r="DR45" s="7">
        <v>1356336</v>
      </c>
      <c r="DS45" s="7">
        <v>201864</v>
      </c>
      <c r="DT45" s="7">
        <v>20561</v>
      </c>
      <c r="DU45" s="12">
        <v>26187</v>
      </c>
      <c r="DV45" s="7">
        <v>1944688</v>
      </c>
      <c r="DW45" s="7">
        <v>1620235</v>
      </c>
      <c r="DX45" s="7">
        <v>256313</v>
      </c>
      <c r="DY45" s="7">
        <v>36170</v>
      </c>
      <c r="DZ45" s="12">
        <v>68140</v>
      </c>
      <c r="EA45" s="7">
        <v>2125698</v>
      </c>
      <c r="EB45" s="7">
        <v>1748116</v>
      </c>
      <c r="EC45" s="7">
        <v>296295</v>
      </c>
      <c r="ED45" s="7">
        <v>53567</v>
      </c>
      <c r="EE45" s="12">
        <v>81287</v>
      </c>
      <c r="EF45" s="7">
        <v>2135548.0249999999</v>
      </c>
      <c r="EG45" s="7">
        <v>1755112.7750000001</v>
      </c>
      <c r="EH45" s="7">
        <v>296839.97399999999</v>
      </c>
      <c r="EI45" s="7">
        <v>56021.887999999999</v>
      </c>
      <c r="EJ45" s="12">
        <v>83595.27599999978</v>
      </c>
      <c r="EK45" s="7">
        <v>2148211</v>
      </c>
      <c r="EL45" s="7">
        <v>1759793</v>
      </c>
      <c r="EM45" s="7">
        <v>302957</v>
      </c>
      <c r="EN45" s="7">
        <v>57126</v>
      </c>
      <c r="EO45" s="661">
        <v>85461</v>
      </c>
      <c r="EP45" s="661">
        <v>2161418</v>
      </c>
      <c r="EQ45" s="661">
        <v>1728029</v>
      </c>
      <c r="ER45" s="661">
        <v>306378</v>
      </c>
      <c r="ES45" s="661">
        <v>60245</v>
      </c>
      <c r="ET45" s="661">
        <v>85356</v>
      </c>
      <c r="EU45" s="14">
        <v>392869</v>
      </c>
      <c r="EV45" s="7">
        <v>342866</v>
      </c>
      <c r="EW45" s="7">
        <v>42679</v>
      </c>
      <c r="EX45" s="7">
        <v>4749</v>
      </c>
      <c r="EY45" s="12">
        <v>7324</v>
      </c>
      <c r="EZ45" s="7">
        <v>448112</v>
      </c>
      <c r="FA45" s="7">
        <v>383034</v>
      </c>
      <c r="FB45" s="7">
        <v>48175</v>
      </c>
      <c r="FC45" s="7">
        <v>7955</v>
      </c>
      <c r="FD45" s="12">
        <v>16903</v>
      </c>
      <c r="FE45" s="14">
        <v>539690</v>
      </c>
      <c r="FF45" s="7">
        <v>462111</v>
      </c>
      <c r="FG45" s="7">
        <v>57488</v>
      </c>
      <c r="FH45" s="7">
        <v>11386</v>
      </c>
      <c r="FI45" s="7">
        <v>20091</v>
      </c>
      <c r="FJ45" s="14"/>
      <c r="FK45" s="7"/>
      <c r="FL45" s="7"/>
      <c r="FM45" s="7"/>
      <c r="FN45" s="12"/>
      <c r="FO45" s="7">
        <v>561201</v>
      </c>
      <c r="FP45" s="7">
        <v>479425</v>
      </c>
      <c r="FQ45" s="7">
        <v>59381</v>
      </c>
      <c r="FR45" s="7">
        <v>13055</v>
      </c>
      <c r="FS45" s="7">
        <v>22395</v>
      </c>
      <c r="FT45" s="7">
        <v>576464</v>
      </c>
      <c r="FU45" s="7">
        <v>482941</v>
      </c>
      <c r="FV45" s="7">
        <v>60821</v>
      </c>
      <c r="FW45" s="7">
        <v>13815</v>
      </c>
      <c r="FX45" s="7">
        <v>22843</v>
      </c>
      <c r="FY45" s="609">
        <f t="shared" si="510"/>
        <v>1406916</v>
      </c>
      <c r="FZ45" s="584">
        <f t="shared" si="511"/>
        <v>1249350</v>
      </c>
      <c r="GA45" s="584">
        <f t="shared" si="512"/>
        <v>114693</v>
      </c>
      <c r="GB45" s="584">
        <f t="shared" si="513"/>
        <v>15108</v>
      </c>
      <c r="GC45" s="584">
        <f t="shared" si="514"/>
        <v>42873</v>
      </c>
      <c r="GD45" s="609">
        <f t="shared" si="515"/>
        <v>1844371</v>
      </c>
      <c r="GE45" s="584">
        <f t="shared" si="516"/>
        <v>1584541</v>
      </c>
      <c r="GF45" s="584">
        <f t="shared" si="517"/>
        <v>151308</v>
      </c>
      <c r="GG45" s="584">
        <f t="shared" si="518"/>
        <v>28055</v>
      </c>
      <c r="GH45" s="584">
        <f t="shared" si="519"/>
        <v>108522</v>
      </c>
      <c r="GI45" s="14">
        <v>1871990</v>
      </c>
      <c r="GJ45" s="7">
        <v>1601983</v>
      </c>
      <c r="GK45" s="7">
        <v>153981</v>
      </c>
      <c r="GL45" s="7">
        <v>36435</v>
      </c>
      <c r="GM45" s="7">
        <v>116026</v>
      </c>
      <c r="GN45" s="605"/>
      <c r="GO45" s="9"/>
      <c r="GP45" s="9"/>
      <c r="GQ45" s="9"/>
      <c r="GR45" s="9"/>
      <c r="GS45" s="9">
        <v>2254208</v>
      </c>
      <c r="GT45" s="9">
        <v>1911873</v>
      </c>
      <c r="GU45" s="9">
        <v>193045</v>
      </c>
      <c r="GV45" s="9">
        <v>46422</v>
      </c>
      <c r="GW45" s="617">
        <v>149290</v>
      </c>
      <c r="GX45" s="9">
        <v>7229841</v>
      </c>
      <c r="GY45" s="9">
        <v>1921375</v>
      </c>
      <c r="GZ45" s="9">
        <v>196080</v>
      </c>
      <c r="HA45" s="9">
        <v>49035</v>
      </c>
      <c r="HB45" s="9">
        <v>91602</v>
      </c>
      <c r="HC45" s="14">
        <v>638267</v>
      </c>
      <c r="HD45" s="7">
        <v>576061</v>
      </c>
      <c r="HE45" s="7">
        <v>44436</v>
      </c>
      <c r="HF45" s="7">
        <v>6061</v>
      </c>
      <c r="HG45" s="7">
        <v>17770</v>
      </c>
      <c r="HH45" s="14">
        <v>878680</v>
      </c>
      <c r="HI45" s="7">
        <v>765913</v>
      </c>
      <c r="HJ45" s="7">
        <v>65182</v>
      </c>
      <c r="HK45" s="7">
        <v>12474</v>
      </c>
      <c r="HL45" s="7">
        <v>47585</v>
      </c>
      <c r="HM45" s="14">
        <v>1014001</v>
      </c>
      <c r="HN45" s="7">
        <v>872549</v>
      </c>
      <c r="HO45" s="7">
        <v>79961</v>
      </c>
      <c r="HP45" s="7">
        <v>19336</v>
      </c>
      <c r="HQ45" s="7">
        <v>61491</v>
      </c>
      <c r="HR45" s="14">
        <v>1025063.052</v>
      </c>
      <c r="HS45" s="7">
        <v>880256.56099999999</v>
      </c>
      <c r="HT45" s="7">
        <v>81337.506999999998</v>
      </c>
      <c r="HU45" s="7">
        <v>20313.28</v>
      </c>
      <c r="HV45" s="7">
        <v>63468.98400000004</v>
      </c>
      <c r="HW45" s="7">
        <v>1063906</v>
      </c>
      <c r="HX45" s="7">
        <v>898292</v>
      </c>
      <c r="HY45" s="7">
        <v>82037</v>
      </c>
      <c r="HZ45" s="7">
        <v>22734</v>
      </c>
      <c r="IA45" s="7">
        <v>66385</v>
      </c>
      <c r="IB45" s="281" t="s">
        <v>186</v>
      </c>
      <c r="IC45" s="282" t="s">
        <v>186</v>
      </c>
      <c r="ID45" s="339">
        <v>285664</v>
      </c>
      <c r="IE45" s="355">
        <f t="shared" si="466"/>
        <v>174795</v>
      </c>
      <c r="IF45" s="355">
        <f t="shared" si="467"/>
        <v>110869</v>
      </c>
      <c r="IG45" s="355">
        <f t="shared" si="468"/>
        <v>274988</v>
      </c>
      <c r="IH45" s="341">
        <v>169335</v>
      </c>
      <c r="II45" s="341">
        <v>105653</v>
      </c>
      <c r="IJ45" s="355">
        <f t="shared" si="469"/>
        <v>10676</v>
      </c>
      <c r="IK45" s="341">
        <v>5460</v>
      </c>
      <c r="IL45" s="341">
        <v>5216</v>
      </c>
      <c r="IM45" s="339">
        <v>431525</v>
      </c>
      <c r="IN45" s="355">
        <f t="shared" si="470"/>
        <v>258369</v>
      </c>
      <c r="IO45" s="355">
        <f t="shared" si="471"/>
        <v>173156</v>
      </c>
      <c r="IP45" s="355">
        <f t="shared" si="472"/>
        <v>410346</v>
      </c>
      <c r="IQ45" s="341">
        <v>248052</v>
      </c>
      <c r="IR45" s="341">
        <v>162294</v>
      </c>
      <c r="IS45" s="355">
        <f t="shared" si="473"/>
        <v>17325</v>
      </c>
      <c r="IT45" s="341">
        <v>7921</v>
      </c>
      <c r="IU45" s="341">
        <v>9404</v>
      </c>
      <c r="IV45" s="355">
        <f t="shared" si="474"/>
        <v>3854</v>
      </c>
      <c r="IW45" s="341">
        <v>2396</v>
      </c>
      <c r="IX45" s="341">
        <v>1458</v>
      </c>
      <c r="IY45" s="339">
        <v>749187</v>
      </c>
      <c r="IZ45" s="355">
        <f t="shared" si="475"/>
        <v>438465</v>
      </c>
      <c r="JA45" s="355">
        <f t="shared" si="476"/>
        <v>310722</v>
      </c>
      <c r="JB45" s="365">
        <f t="shared" si="477"/>
        <v>679648</v>
      </c>
      <c r="JC45" s="341">
        <v>402900</v>
      </c>
      <c r="JD45" s="341">
        <v>276748</v>
      </c>
      <c r="JE45" s="341">
        <v>35565</v>
      </c>
      <c r="JF45" s="341">
        <v>33974</v>
      </c>
      <c r="JG45" s="365">
        <f t="shared" si="478"/>
        <v>44849</v>
      </c>
      <c r="JH45" s="341">
        <v>21046</v>
      </c>
      <c r="JI45" s="341">
        <v>23803</v>
      </c>
      <c r="JJ45" s="365">
        <f t="shared" si="479"/>
        <v>6470</v>
      </c>
      <c r="JK45" s="341">
        <v>3890</v>
      </c>
      <c r="JL45" s="341">
        <v>2580</v>
      </c>
      <c r="JM45" s="356">
        <f t="shared" si="480"/>
        <v>18220</v>
      </c>
      <c r="JN45" s="356">
        <f t="shared" si="481"/>
        <v>10629</v>
      </c>
      <c r="JO45" s="356">
        <f t="shared" si="482"/>
        <v>7591</v>
      </c>
      <c r="JP45" s="357">
        <f t="shared" si="483"/>
        <v>573</v>
      </c>
      <c r="JQ45" s="357">
        <f t="shared" si="484"/>
        <v>368</v>
      </c>
      <c r="JR45" s="357">
        <f t="shared" si="485"/>
        <v>205</v>
      </c>
      <c r="JS45" s="341">
        <v>17647</v>
      </c>
      <c r="JT45" s="341">
        <v>10261</v>
      </c>
      <c r="JU45" s="341">
        <v>7386</v>
      </c>
      <c r="JV45" s="16">
        <f t="shared" si="486"/>
        <v>1014047</v>
      </c>
      <c r="JW45" s="355">
        <f t="shared" si="487"/>
        <v>551549</v>
      </c>
      <c r="JX45" s="355">
        <f t="shared" si="488"/>
        <v>462498</v>
      </c>
      <c r="JY45" s="15">
        <f t="shared" si="489"/>
        <v>906484</v>
      </c>
      <c r="JZ45" s="151">
        <f t="shared" si="490"/>
        <v>899746</v>
      </c>
      <c r="KA45" s="341">
        <v>497611</v>
      </c>
      <c r="KB45" s="341">
        <v>402135</v>
      </c>
      <c r="KC45" s="341">
        <v>53938</v>
      </c>
      <c r="KD45" s="341">
        <v>60363</v>
      </c>
      <c r="KE45" s="15">
        <f t="shared" si="491"/>
        <v>72014</v>
      </c>
      <c r="KF45" s="151">
        <f t="shared" si="492"/>
        <v>71639</v>
      </c>
      <c r="KG45" s="341">
        <v>30231</v>
      </c>
      <c r="KH45" s="341">
        <v>41408</v>
      </c>
      <c r="KI45" s="15">
        <f t="shared" si="493"/>
        <v>10359</v>
      </c>
      <c r="KJ45" s="341">
        <v>5720</v>
      </c>
      <c r="KK45" s="341">
        <v>4639</v>
      </c>
      <c r="KL45" s="13">
        <f t="shared" si="494"/>
        <v>35549</v>
      </c>
      <c r="KM45" s="358">
        <f t="shared" si="495"/>
        <v>17987</v>
      </c>
      <c r="KN45" s="358">
        <f t="shared" si="496"/>
        <v>14316</v>
      </c>
      <c r="KO45" s="359">
        <f t="shared" si="497"/>
        <v>256</v>
      </c>
      <c r="KP45" s="359">
        <f t="shared" si="498"/>
        <v>165</v>
      </c>
      <c r="KQ45" s="359">
        <f t="shared" si="499"/>
        <v>91</v>
      </c>
      <c r="KR45" s="360">
        <f t="shared" si="500"/>
        <v>32047</v>
      </c>
      <c r="KS45" s="360">
        <f t="shared" si="501"/>
        <v>17822</v>
      </c>
      <c r="KT45" s="360">
        <f t="shared" si="502"/>
        <v>14225</v>
      </c>
      <c r="KU45" s="341">
        <v>1100</v>
      </c>
      <c r="KV45" s="341">
        <v>1206</v>
      </c>
      <c r="KW45" s="341">
        <v>16722</v>
      </c>
      <c r="KX45" s="341">
        <v>13019</v>
      </c>
      <c r="KY45" s="361">
        <v>1396259</v>
      </c>
      <c r="KZ45" s="341">
        <v>719643</v>
      </c>
      <c r="LA45" s="341">
        <v>676616</v>
      </c>
      <c r="LB45" s="9">
        <f t="shared" si="503"/>
        <v>1201507</v>
      </c>
      <c r="LC45" s="9">
        <v>629388</v>
      </c>
      <c r="LD45" s="9">
        <v>572119</v>
      </c>
      <c r="LE45" s="140">
        <f t="shared" si="504"/>
        <v>1188707</v>
      </c>
      <c r="LF45" s="341">
        <v>622797</v>
      </c>
      <c r="LG45" s="341">
        <v>565910</v>
      </c>
      <c r="LH45" s="9">
        <f t="shared" si="505"/>
        <v>103133</v>
      </c>
      <c r="LI45" s="341">
        <v>40883</v>
      </c>
      <c r="LJ45" s="341">
        <v>62250</v>
      </c>
      <c r="LK45" s="9">
        <f t="shared" si="506"/>
        <v>20100</v>
      </c>
      <c r="LL45" s="341">
        <v>10144</v>
      </c>
      <c r="LM45" s="341">
        <v>9956</v>
      </c>
      <c r="LN45" s="140">
        <f t="shared" si="507"/>
        <v>91619</v>
      </c>
      <c r="LO45" s="140">
        <f t="shared" si="508"/>
        <v>49372</v>
      </c>
      <c r="LP45" s="140">
        <f t="shared" si="509"/>
        <v>42247</v>
      </c>
      <c r="LQ45" s="349">
        <v>1623139</v>
      </c>
      <c r="LR45" s="341">
        <v>1378550</v>
      </c>
      <c r="LS45" s="341">
        <v>119705</v>
      </c>
      <c r="LT45" s="341">
        <v>124884</v>
      </c>
      <c r="LU45" s="9">
        <v>28727</v>
      </c>
      <c r="LV45" s="14">
        <v>1637155</v>
      </c>
      <c r="LW45" s="7">
        <v>1393068</v>
      </c>
      <c r="LX45" s="7">
        <v>120010</v>
      </c>
      <c r="LY45" s="7">
        <v>124077</v>
      </c>
      <c r="LZ45" s="7">
        <v>29496</v>
      </c>
      <c r="MA45" s="14">
        <v>1625482</v>
      </c>
      <c r="MB45" s="7">
        <v>1385420</v>
      </c>
      <c r="MC45" s="7">
        <v>120341</v>
      </c>
      <c r="MD45" s="7">
        <v>119721</v>
      </c>
      <c r="ME45" s="7">
        <v>27327</v>
      </c>
      <c r="MF45" s="14">
        <v>1641165</v>
      </c>
      <c r="MG45" s="7">
        <v>1392437</v>
      </c>
      <c r="MH45" s="7">
        <v>127783</v>
      </c>
      <c r="MI45" s="7">
        <v>120945</v>
      </c>
      <c r="MJ45" s="7">
        <v>30400</v>
      </c>
      <c r="MK45" s="14">
        <v>1662442.0009999999</v>
      </c>
      <c r="ML45" s="7">
        <v>1404090.22</v>
      </c>
      <c r="MM45" s="7">
        <v>132487.89799999999</v>
      </c>
      <c r="MN45" s="7">
        <v>31218.303999999996</v>
      </c>
      <c r="MO45" s="7">
        <v>125863.88299999997</v>
      </c>
      <c r="MP45" s="7">
        <v>1693007</v>
      </c>
      <c r="MQ45" s="7">
        <v>1432448</v>
      </c>
      <c r="MR45" s="7">
        <v>133664</v>
      </c>
      <c r="MS45" s="7">
        <v>33367</v>
      </c>
      <c r="MT45" s="2">
        <v>126895</v>
      </c>
      <c r="MU45" s="2">
        <v>1733369</v>
      </c>
      <c r="MV45" s="2">
        <v>1438434</v>
      </c>
      <c r="MW45" s="2">
        <v>135259</v>
      </c>
      <c r="MX45" s="2">
        <v>35220</v>
      </c>
      <c r="MY45" s="2">
        <v>77921</v>
      </c>
      <c r="MZ45" s="14">
        <v>375780</v>
      </c>
      <c r="NA45" s="7">
        <v>330423</v>
      </c>
      <c r="NB45" s="7">
        <v>27578</v>
      </c>
      <c r="NC45" s="7">
        <v>4298</v>
      </c>
      <c r="ND45" s="7">
        <v>17779</v>
      </c>
      <c r="NE45" s="14">
        <v>517579</v>
      </c>
      <c r="NF45" s="7">
        <v>435594</v>
      </c>
      <c r="NG45" s="7">
        <v>37951</v>
      </c>
      <c r="NH45" s="7">
        <v>7626</v>
      </c>
      <c r="NI45" s="7">
        <v>44034</v>
      </c>
      <c r="NJ45" s="14">
        <v>627164</v>
      </c>
      <c r="NK45" s="7">
        <v>519888</v>
      </c>
      <c r="NL45" s="7">
        <v>47822</v>
      </c>
      <c r="NM45" s="7">
        <v>11064</v>
      </c>
      <c r="NN45" s="7">
        <v>59454</v>
      </c>
      <c r="NO45" s="14">
        <v>637378.94899999991</v>
      </c>
      <c r="NP45" s="7">
        <v>523833.65899999993</v>
      </c>
      <c r="NQ45" s="7">
        <v>51150.390999999996</v>
      </c>
      <c r="NR45" s="7">
        <v>10905.023999999999</v>
      </c>
      <c r="NS45" s="12">
        <v>62394.898999999983</v>
      </c>
      <c r="NT45" s="1">
        <v>649811</v>
      </c>
      <c r="NU45" s="2">
        <v>535501</v>
      </c>
      <c r="NV45" s="2">
        <v>51894</v>
      </c>
      <c r="NW45" s="2">
        <v>11968</v>
      </c>
      <c r="NX45" s="79">
        <v>62416</v>
      </c>
      <c r="NY45" s="2">
        <v>669463</v>
      </c>
      <c r="NZ45" s="2">
        <v>540142</v>
      </c>
      <c r="OA45" s="2">
        <v>53222</v>
      </c>
      <c r="OB45" s="2">
        <v>12486</v>
      </c>
      <c r="OC45" s="2">
        <v>66002</v>
      </c>
    </row>
    <row r="46" spans="1:393" ht="14.25" x14ac:dyDescent="0.2">
      <c r="A46" s="240" t="s">
        <v>31</v>
      </c>
      <c r="B46" s="281" t="s">
        <v>186</v>
      </c>
      <c r="C46" s="282" t="s">
        <v>186</v>
      </c>
      <c r="D46" s="282" t="s">
        <v>186</v>
      </c>
      <c r="E46" s="282" t="s">
        <v>186</v>
      </c>
      <c r="F46" s="283" t="s">
        <v>186</v>
      </c>
      <c r="G46" s="7">
        <v>239322</v>
      </c>
      <c r="H46" s="7">
        <v>225361</v>
      </c>
      <c r="I46" s="7">
        <v>2895</v>
      </c>
      <c r="J46" s="7">
        <v>3156</v>
      </c>
      <c r="K46" s="12">
        <v>11066</v>
      </c>
      <c r="L46" s="7">
        <v>158858</v>
      </c>
      <c r="M46" s="7">
        <v>127743</v>
      </c>
      <c r="N46" s="7">
        <v>4252</v>
      </c>
      <c r="O46" s="7">
        <v>15051</v>
      </c>
      <c r="P46" s="12">
        <v>26863</v>
      </c>
      <c r="Q46" s="9">
        <v>122853</v>
      </c>
      <c r="R46" s="9">
        <v>84516</v>
      </c>
      <c r="S46" s="9">
        <v>10929</v>
      </c>
      <c r="T46" s="9">
        <v>27037</v>
      </c>
      <c r="U46" s="617">
        <v>27408</v>
      </c>
      <c r="V46" s="9">
        <v>113516</v>
      </c>
      <c r="W46" s="9">
        <v>72862</v>
      </c>
      <c r="X46" s="9">
        <v>11758</v>
      </c>
      <c r="Y46" s="9">
        <v>24322</v>
      </c>
      <c r="Z46" s="9">
        <v>28868</v>
      </c>
      <c r="AA46" s="9">
        <v>113501</v>
      </c>
      <c r="AB46" s="9">
        <v>55007</v>
      </c>
      <c r="AC46" s="9">
        <v>12761</v>
      </c>
      <c r="AD46" s="9">
        <v>25125</v>
      </c>
      <c r="AE46" s="726">
        <v>32659</v>
      </c>
      <c r="AF46" s="14">
        <v>249443</v>
      </c>
      <c r="AG46" s="7">
        <v>232083</v>
      </c>
      <c r="AH46" s="7">
        <v>8101</v>
      </c>
      <c r="AI46" s="7">
        <v>3051</v>
      </c>
      <c r="AJ46" s="12">
        <v>9259</v>
      </c>
      <c r="AK46" s="7">
        <v>222487</v>
      </c>
      <c r="AL46" s="7">
        <v>187638</v>
      </c>
      <c r="AM46" s="7">
        <v>13505</v>
      </c>
      <c r="AN46" s="7">
        <v>11929</v>
      </c>
      <c r="AO46" s="12">
        <v>21344</v>
      </c>
      <c r="AP46" s="7">
        <v>173238</v>
      </c>
      <c r="AQ46" s="7">
        <v>135626</v>
      </c>
      <c r="AR46" s="7">
        <v>16904</v>
      </c>
      <c r="AS46" s="7">
        <v>19145</v>
      </c>
      <c r="AT46" s="12">
        <v>20708</v>
      </c>
      <c r="AU46" s="7">
        <v>166590</v>
      </c>
      <c r="AV46" s="7">
        <v>127619</v>
      </c>
      <c r="AW46" s="7">
        <v>17302</v>
      </c>
      <c r="AX46" s="7">
        <v>19773</v>
      </c>
      <c r="AY46" s="7">
        <v>21591</v>
      </c>
      <c r="AZ46" s="7">
        <v>163203</v>
      </c>
      <c r="BA46" s="7">
        <v>111855</v>
      </c>
      <c r="BB46" s="7">
        <v>17103</v>
      </c>
      <c r="BC46" s="7">
        <v>19740</v>
      </c>
      <c r="BD46" s="63">
        <v>21629</v>
      </c>
      <c r="BE46" s="14">
        <v>292793</v>
      </c>
      <c r="BF46" s="7">
        <v>211490</v>
      </c>
      <c r="BG46" s="7">
        <v>29544</v>
      </c>
      <c r="BH46" s="7">
        <v>46781</v>
      </c>
      <c r="BI46" s="313">
        <f t="shared" si="454"/>
        <v>51759</v>
      </c>
      <c r="BJ46" s="281" t="s">
        <v>186</v>
      </c>
      <c r="BK46" s="282" t="s">
        <v>186</v>
      </c>
      <c r="BL46" s="282" t="s">
        <v>186</v>
      </c>
      <c r="BM46" s="282" t="s">
        <v>186</v>
      </c>
      <c r="BN46" s="281" t="s">
        <v>186</v>
      </c>
      <c r="BO46" s="282" t="s">
        <v>186</v>
      </c>
      <c r="BP46" s="282" t="s">
        <v>186</v>
      </c>
      <c r="BQ46" s="282" t="s">
        <v>186</v>
      </c>
      <c r="BR46" s="283" t="s">
        <v>186</v>
      </c>
      <c r="BS46" s="7">
        <v>2281797</v>
      </c>
      <c r="BT46" s="7">
        <v>2202579</v>
      </c>
      <c r="BU46" s="7">
        <v>35119</v>
      </c>
      <c r="BV46" s="7">
        <v>15251</v>
      </c>
      <c r="BW46" s="12">
        <v>44099</v>
      </c>
      <c r="BX46" s="7">
        <v>2783000</v>
      </c>
      <c r="BY46" s="7">
        <v>2603670</v>
      </c>
      <c r="BZ46" s="7">
        <v>66820</v>
      </c>
      <c r="CA46" s="7">
        <v>37406</v>
      </c>
      <c r="CB46" s="7">
        <v>112510</v>
      </c>
      <c r="CC46" s="214">
        <v>3070988</v>
      </c>
      <c r="CD46" s="7">
        <v>2822623</v>
      </c>
      <c r="CE46" s="7">
        <v>93562</v>
      </c>
      <c r="CF46" s="7">
        <v>154803</v>
      </c>
      <c r="CG46" s="7">
        <v>59813</v>
      </c>
      <c r="CH46" s="14">
        <v>3116085</v>
      </c>
      <c r="CI46" s="7">
        <v>2862676</v>
      </c>
      <c r="CJ46" s="7">
        <v>97533</v>
      </c>
      <c r="CK46" s="7">
        <v>155876</v>
      </c>
      <c r="CL46" s="7">
        <v>61987</v>
      </c>
      <c r="CM46" s="66">
        <v>3150406</v>
      </c>
      <c r="CN46" s="64">
        <v>2892732</v>
      </c>
      <c r="CO46" s="64">
        <v>97397</v>
      </c>
      <c r="CP46" s="64">
        <v>160277</v>
      </c>
      <c r="CQ46" s="64">
        <v>61664</v>
      </c>
      <c r="CR46" s="14">
        <v>3196254</v>
      </c>
      <c r="CS46" s="7">
        <v>2915255</v>
      </c>
      <c r="CT46" s="7">
        <v>110941</v>
      </c>
      <c r="CU46" s="7">
        <v>69221</v>
      </c>
      <c r="CV46" s="7">
        <v>137005</v>
      </c>
      <c r="CW46" s="14">
        <v>3234835.7930000001</v>
      </c>
      <c r="CX46" s="7">
        <v>2941920.4440000001</v>
      </c>
      <c r="CY46" s="7">
        <v>114016.515</v>
      </c>
      <c r="CZ46" s="7">
        <v>72438.773000000001</v>
      </c>
      <c r="DA46" s="567">
        <f t="shared" si="455"/>
        <v>178898.83399999992</v>
      </c>
      <c r="DB46" s="7">
        <v>3282868</v>
      </c>
      <c r="DC46" s="7">
        <v>2977878</v>
      </c>
      <c r="DD46" s="7">
        <v>119894</v>
      </c>
      <c r="DE46" s="7">
        <v>78532</v>
      </c>
      <c r="DF46" s="7">
        <v>184117</v>
      </c>
      <c r="DG46" s="7">
        <v>3320015</v>
      </c>
      <c r="DH46" s="7">
        <v>2950134</v>
      </c>
      <c r="DI46" s="7">
        <v>123760</v>
      </c>
      <c r="DJ46" s="7">
        <v>81226</v>
      </c>
      <c r="DK46" s="7">
        <v>115584</v>
      </c>
      <c r="DL46" s="281" t="s">
        <v>186</v>
      </c>
      <c r="DM46" s="282" t="s">
        <v>186</v>
      </c>
      <c r="DN46" s="282" t="s">
        <v>186</v>
      </c>
      <c r="DO46" s="282" t="s">
        <v>186</v>
      </c>
      <c r="DP46" s="283" t="s">
        <v>186</v>
      </c>
      <c r="DQ46" s="7">
        <v>763948</v>
      </c>
      <c r="DR46" s="7">
        <v>735177</v>
      </c>
      <c r="DS46" s="7">
        <v>13879</v>
      </c>
      <c r="DT46" s="7">
        <v>5849</v>
      </c>
      <c r="DU46" s="12">
        <v>14892</v>
      </c>
      <c r="DV46" s="7">
        <v>1002246</v>
      </c>
      <c r="DW46" s="7">
        <v>935016</v>
      </c>
      <c r="DX46" s="7">
        <v>28253</v>
      </c>
      <c r="DY46" s="7">
        <v>13493</v>
      </c>
      <c r="DZ46" s="12">
        <v>38977</v>
      </c>
      <c r="EA46" s="7">
        <v>1130137</v>
      </c>
      <c r="EB46" s="7">
        <v>1027633</v>
      </c>
      <c r="EC46" s="7">
        <v>47756</v>
      </c>
      <c r="ED46" s="7">
        <v>22102</v>
      </c>
      <c r="EE46" s="12">
        <v>54748</v>
      </c>
      <c r="EF46" s="7">
        <v>1146479.425</v>
      </c>
      <c r="EG46" s="7">
        <v>1041667.1100000001</v>
      </c>
      <c r="EH46" s="7">
        <v>49622.282000000007</v>
      </c>
      <c r="EI46" s="7">
        <v>23271.105</v>
      </c>
      <c r="EJ46" s="12">
        <v>55190.032999999938</v>
      </c>
      <c r="EK46" s="7">
        <v>1165821</v>
      </c>
      <c r="EL46" s="7">
        <v>1055041</v>
      </c>
      <c r="EM46" s="7">
        <v>52681</v>
      </c>
      <c r="EN46" s="7">
        <v>25323</v>
      </c>
      <c r="EO46" s="661">
        <v>57877</v>
      </c>
      <c r="EP46" s="661">
        <v>1177116</v>
      </c>
      <c r="EQ46" s="661">
        <v>1044087</v>
      </c>
      <c r="ER46" s="661">
        <v>54862</v>
      </c>
      <c r="ES46" s="661">
        <v>26211</v>
      </c>
      <c r="ET46" s="661">
        <v>61178</v>
      </c>
      <c r="EU46" s="14">
        <v>237156</v>
      </c>
      <c r="EV46" s="7">
        <v>229723</v>
      </c>
      <c r="EW46" s="7">
        <v>2892</v>
      </c>
      <c r="EX46" s="7">
        <v>1671</v>
      </c>
      <c r="EY46" s="12">
        <v>4541</v>
      </c>
      <c r="EZ46" s="7">
        <v>243093</v>
      </c>
      <c r="FA46" s="7">
        <v>228145</v>
      </c>
      <c r="FB46" s="7">
        <v>5688</v>
      </c>
      <c r="FC46" s="7">
        <v>2825</v>
      </c>
      <c r="FD46" s="12">
        <v>9260</v>
      </c>
      <c r="FE46" s="14">
        <v>339807</v>
      </c>
      <c r="FF46" s="7">
        <v>312298</v>
      </c>
      <c r="FG46" s="7">
        <v>12718</v>
      </c>
      <c r="FH46" s="7">
        <v>5535</v>
      </c>
      <c r="FI46" s="7">
        <v>14791</v>
      </c>
      <c r="FJ46" s="14"/>
      <c r="FK46" s="7"/>
      <c r="FL46" s="7"/>
      <c r="FM46" s="7"/>
      <c r="FN46" s="12"/>
      <c r="FO46" s="7">
        <v>366569</v>
      </c>
      <c r="FP46" s="7">
        <v>336384</v>
      </c>
      <c r="FQ46" s="7">
        <v>13897</v>
      </c>
      <c r="FR46" s="7">
        <v>7004</v>
      </c>
      <c r="FS46" s="7">
        <v>16231</v>
      </c>
      <c r="FT46" s="7">
        <v>377276</v>
      </c>
      <c r="FU46" s="7">
        <v>341093</v>
      </c>
      <c r="FV46" s="7">
        <v>13353</v>
      </c>
      <c r="FW46" s="7">
        <v>7042</v>
      </c>
      <c r="FX46" s="7">
        <v>18212</v>
      </c>
      <c r="FY46" s="609">
        <f t="shared" si="510"/>
        <v>841740</v>
      </c>
      <c r="FZ46" s="584">
        <f t="shared" si="511"/>
        <v>812526</v>
      </c>
      <c r="GA46" s="584">
        <f t="shared" si="512"/>
        <v>10955</v>
      </c>
      <c r="GB46" s="584">
        <f t="shared" si="513"/>
        <v>5353</v>
      </c>
      <c r="GC46" s="584">
        <f t="shared" si="514"/>
        <v>18259</v>
      </c>
      <c r="GD46" s="609">
        <f t="shared" si="515"/>
        <v>1111175</v>
      </c>
      <c r="GE46" s="584">
        <f t="shared" si="516"/>
        <v>1042972</v>
      </c>
      <c r="GF46" s="584">
        <f t="shared" si="517"/>
        <v>21501</v>
      </c>
      <c r="GG46" s="584">
        <f t="shared" si="518"/>
        <v>11853</v>
      </c>
      <c r="GH46" s="584">
        <f t="shared" si="519"/>
        <v>46702</v>
      </c>
      <c r="GI46" s="14">
        <v>1270630</v>
      </c>
      <c r="GJ46" s="7">
        <v>1166430</v>
      </c>
      <c r="GK46" s="7">
        <v>35425</v>
      </c>
      <c r="GL46" s="7">
        <v>19431</v>
      </c>
      <c r="GM46" s="7">
        <v>68775</v>
      </c>
      <c r="GN46" s="605"/>
      <c r="GO46" s="9"/>
      <c r="GP46" s="9"/>
      <c r="GQ46" s="9"/>
      <c r="GR46" s="9"/>
      <c r="GS46" s="9">
        <v>1526846</v>
      </c>
      <c r="GT46" s="9">
        <v>1394022</v>
      </c>
      <c r="GU46" s="9">
        <v>41922</v>
      </c>
      <c r="GV46" s="9">
        <v>26190</v>
      </c>
      <c r="GW46" s="617">
        <v>90597</v>
      </c>
      <c r="GX46" s="9">
        <v>4400519</v>
      </c>
      <c r="GY46" s="9">
        <v>1408107</v>
      </c>
      <c r="GZ46" s="9">
        <v>43037</v>
      </c>
      <c r="HA46" s="9">
        <v>27381</v>
      </c>
      <c r="HB46" s="9">
        <v>55399</v>
      </c>
      <c r="HC46" s="14">
        <v>431381</v>
      </c>
      <c r="HD46" s="7">
        <v>418198</v>
      </c>
      <c r="HE46" s="7">
        <v>5655</v>
      </c>
      <c r="HF46" s="7">
        <v>2241</v>
      </c>
      <c r="HG46" s="7">
        <v>7528</v>
      </c>
      <c r="HH46" s="14">
        <v>605210</v>
      </c>
      <c r="HI46" s="7">
        <v>573129</v>
      </c>
      <c r="HJ46" s="7">
        <v>10688</v>
      </c>
      <c r="HK46" s="7">
        <v>5445</v>
      </c>
      <c r="HL46" s="7">
        <v>21393</v>
      </c>
      <c r="HM46" s="14">
        <v>747417</v>
      </c>
      <c r="HN46" s="7">
        <v>691898</v>
      </c>
      <c r="HO46" s="7">
        <v>17240</v>
      </c>
      <c r="HP46" s="7">
        <v>10755</v>
      </c>
      <c r="HQ46" s="7">
        <v>38279</v>
      </c>
      <c r="HR46" s="14">
        <v>758440.23499999999</v>
      </c>
      <c r="HS46" s="7">
        <v>700757.87399999995</v>
      </c>
      <c r="HT46" s="7">
        <v>17066.623</v>
      </c>
      <c r="HU46" s="7">
        <v>10740.51</v>
      </c>
      <c r="HV46" s="7">
        <v>40615.738000000034</v>
      </c>
      <c r="HW46" s="7">
        <v>800158</v>
      </c>
      <c r="HX46" s="7">
        <v>726393</v>
      </c>
      <c r="HY46" s="7">
        <v>19323</v>
      </c>
      <c r="HZ46" s="7">
        <v>12940</v>
      </c>
      <c r="IA46" s="7">
        <v>45571</v>
      </c>
      <c r="IB46" s="281" t="s">
        <v>186</v>
      </c>
      <c r="IC46" s="282" t="s">
        <v>186</v>
      </c>
      <c r="ID46" s="361">
        <v>139069</v>
      </c>
      <c r="IE46" s="355">
        <f t="shared" si="466"/>
        <v>85322</v>
      </c>
      <c r="IF46" s="355">
        <f t="shared" si="467"/>
        <v>53747</v>
      </c>
      <c r="IG46" s="355">
        <f t="shared" si="468"/>
        <v>137448</v>
      </c>
      <c r="IH46" s="341">
        <v>84246</v>
      </c>
      <c r="II46" s="341">
        <v>53202</v>
      </c>
      <c r="IJ46" s="355">
        <f t="shared" si="469"/>
        <v>1621</v>
      </c>
      <c r="IK46" s="341">
        <v>1076</v>
      </c>
      <c r="IL46" s="341">
        <v>545</v>
      </c>
      <c r="IM46" s="339">
        <v>220475</v>
      </c>
      <c r="IN46" s="355">
        <f t="shared" si="470"/>
        <v>131900</v>
      </c>
      <c r="IO46" s="355">
        <f t="shared" si="471"/>
        <v>88575</v>
      </c>
      <c r="IP46" s="355">
        <f t="shared" si="472"/>
        <v>217750</v>
      </c>
      <c r="IQ46" s="341">
        <v>130118</v>
      </c>
      <c r="IR46" s="341">
        <v>87632</v>
      </c>
      <c r="IS46" s="355">
        <f t="shared" si="473"/>
        <v>1379</v>
      </c>
      <c r="IT46" s="341">
        <v>863</v>
      </c>
      <c r="IU46" s="341">
        <v>516</v>
      </c>
      <c r="IV46" s="355">
        <f t="shared" si="474"/>
        <v>1346</v>
      </c>
      <c r="IW46" s="341">
        <v>919</v>
      </c>
      <c r="IX46" s="341">
        <v>427</v>
      </c>
      <c r="IY46" s="339">
        <v>407281</v>
      </c>
      <c r="IZ46" s="355">
        <f t="shared" si="475"/>
        <v>235447</v>
      </c>
      <c r="JA46" s="355">
        <f t="shared" si="476"/>
        <v>171834</v>
      </c>
      <c r="JB46" s="365">
        <f t="shared" si="477"/>
        <v>395454</v>
      </c>
      <c r="JC46" s="341">
        <v>228366</v>
      </c>
      <c r="JD46" s="341">
        <v>167088</v>
      </c>
      <c r="JE46" s="341">
        <v>7081</v>
      </c>
      <c r="JF46" s="341">
        <v>4746</v>
      </c>
      <c r="JG46" s="365">
        <f t="shared" si="478"/>
        <v>3993</v>
      </c>
      <c r="JH46" s="341">
        <v>2428</v>
      </c>
      <c r="JI46" s="341">
        <v>1565</v>
      </c>
      <c r="JJ46" s="365">
        <f t="shared" si="479"/>
        <v>1779</v>
      </c>
      <c r="JK46" s="341">
        <v>1115</v>
      </c>
      <c r="JL46" s="341">
        <v>664</v>
      </c>
      <c r="JM46" s="356">
        <f t="shared" si="480"/>
        <v>6055</v>
      </c>
      <c r="JN46" s="356">
        <f t="shared" si="481"/>
        <v>3538</v>
      </c>
      <c r="JO46" s="356">
        <f t="shared" si="482"/>
        <v>2517</v>
      </c>
      <c r="JP46" s="357">
        <f t="shared" si="483"/>
        <v>247</v>
      </c>
      <c r="JQ46" s="357">
        <f t="shared" si="484"/>
        <v>150</v>
      </c>
      <c r="JR46" s="357">
        <f t="shared" si="485"/>
        <v>97</v>
      </c>
      <c r="JS46" s="341">
        <v>5808</v>
      </c>
      <c r="JT46" s="341">
        <v>3388</v>
      </c>
      <c r="JU46" s="341">
        <v>2420</v>
      </c>
      <c r="JV46" s="16">
        <f t="shared" si="486"/>
        <v>604584</v>
      </c>
      <c r="JW46" s="355">
        <f t="shared" si="487"/>
        <v>324772</v>
      </c>
      <c r="JX46" s="355">
        <f t="shared" si="488"/>
        <v>279812</v>
      </c>
      <c r="JY46" s="15">
        <f t="shared" si="489"/>
        <v>582803</v>
      </c>
      <c r="JZ46" s="151">
        <f t="shared" si="490"/>
        <v>580520</v>
      </c>
      <c r="KA46" s="341">
        <v>311073</v>
      </c>
      <c r="KB46" s="341">
        <v>269447</v>
      </c>
      <c r="KC46" s="341">
        <v>13699</v>
      </c>
      <c r="KD46" s="341">
        <v>10365</v>
      </c>
      <c r="KE46" s="15">
        <f t="shared" si="491"/>
        <v>8063</v>
      </c>
      <c r="KF46" s="151">
        <f t="shared" si="492"/>
        <v>7936</v>
      </c>
      <c r="KG46" s="341">
        <v>4796</v>
      </c>
      <c r="KH46" s="341">
        <v>3140</v>
      </c>
      <c r="KI46" s="15">
        <f t="shared" si="493"/>
        <v>3682</v>
      </c>
      <c r="KJ46" s="341">
        <v>1994</v>
      </c>
      <c r="KK46" s="341">
        <v>1688</v>
      </c>
      <c r="KL46" s="13">
        <f t="shared" si="494"/>
        <v>13718</v>
      </c>
      <c r="KM46" s="358">
        <f t="shared" si="495"/>
        <v>6909</v>
      </c>
      <c r="KN46" s="358">
        <f t="shared" si="496"/>
        <v>5537</v>
      </c>
      <c r="KO46" s="359">
        <f t="shared" si="497"/>
        <v>85</v>
      </c>
      <c r="KP46" s="359">
        <f t="shared" si="498"/>
        <v>36</v>
      </c>
      <c r="KQ46" s="359">
        <f t="shared" si="499"/>
        <v>49</v>
      </c>
      <c r="KR46" s="360">
        <f t="shared" si="500"/>
        <v>12361</v>
      </c>
      <c r="KS46" s="360">
        <f t="shared" si="501"/>
        <v>6873</v>
      </c>
      <c r="KT46" s="360">
        <f t="shared" si="502"/>
        <v>5488</v>
      </c>
      <c r="KU46" s="341">
        <v>816</v>
      </c>
      <c r="KV46" s="341">
        <v>931</v>
      </c>
      <c r="KW46" s="341">
        <v>6057</v>
      </c>
      <c r="KX46" s="341">
        <v>4557</v>
      </c>
      <c r="KY46" s="361">
        <v>868082</v>
      </c>
      <c r="KZ46" s="341">
        <v>440833</v>
      </c>
      <c r="LA46" s="341">
        <v>427249</v>
      </c>
      <c r="LB46" s="9">
        <f t="shared" si="503"/>
        <v>814827</v>
      </c>
      <c r="LC46" s="9">
        <v>411707</v>
      </c>
      <c r="LD46" s="9">
        <v>403120</v>
      </c>
      <c r="LE46" s="140">
        <f t="shared" si="504"/>
        <v>809251</v>
      </c>
      <c r="LF46" s="341">
        <v>408867</v>
      </c>
      <c r="LG46" s="341">
        <v>400384</v>
      </c>
      <c r="LH46" s="9">
        <f t="shared" si="505"/>
        <v>15813</v>
      </c>
      <c r="LI46" s="341">
        <v>8797</v>
      </c>
      <c r="LJ46" s="341">
        <v>7016</v>
      </c>
      <c r="LK46" s="9">
        <f t="shared" si="506"/>
        <v>9028</v>
      </c>
      <c r="LL46" s="341">
        <v>4734</v>
      </c>
      <c r="LM46" s="341">
        <v>4294</v>
      </c>
      <c r="LN46" s="140">
        <f t="shared" si="507"/>
        <v>37442</v>
      </c>
      <c r="LO46" s="140">
        <f t="shared" si="508"/>
        <v>20329</v>
      </c>
      <c r="LP46" s="140">
        <f t="shared" si="509"/>
        <v>17113</v>
      </c>
      <c r="LQ46" s="349">
        <v>1034519</v>
      </c>
      <c r="LR46" s="341">
        <v>954241</v>
      </c>
      <c r="LS46" s="341">
        <v>22996</v>
      </c>
      <c r="LT46" s="341">
        <v>57282</v>
      </c>
      <c r="LU46" s="9">
        <v>15002</v>
      </c>
      <c r="LV46" s="14">
        <v>1062119</v>
      </c>
      <c r="LW46" s="7">
        <v>979575</v>
      </c>
      <c r="LX46" s="7">
        <v>23764</v>
      </c>
      <c r="LY46" s="7">
        <v>58780</v>
      </c>
      <c r="LZ46" s="7">
        <v>15994</v>
      </c>
      <c r="MA46" s="14">
        <v>1085453</v>
      </c>
      <c r="MB46" s="7">
        <v>998282</v>
      </c>
      <c r="MC46" s="7">
        <v>23734</v>
      </c>
      <c r="MD46" s="7">
        <v>63437</v>
      </c>
      <c r="ME46" s="7">
        <v>15536</v>
      </c>
      <c r="MF46" s="14">
        <v>1103196</v>
      </c>
      <c r="MG46" s="7">
        <v>1009521</v>
      </c>
      <c r="MH46" s="7">
        <v>26471</v>
      </c>
      <c r="MI46" s="7">
        <v>67204</v>
      </c>
      <c r="MJ46" s="7">
        <v>16474</v>
      </c>
      <c r="MK46" s="14">
        <v>1125313.6510000001</v>
      </c>
      <c r="ML46" s="7">
        <v>1025884.2749999999</v>
      </c>
      <c r="MM46" s="7">
        <v>26388.727999999999</v>
      </c>
      <c r="MN46" s="7">
        <v>16230.103999999999</v>
      </c>
      <c r="MO46" s="7">
        <v>73040.648000000161</v>
      </c>
      <c r="MP46" s="7">
        <v>1160277</v>
      </c>
      <c r="MQ46" s="7">
        <v>1057638</v>
      </c>
      <c r="MR46" s="7">
        <v>28025</v>
      </c>
      <c r="MS46" s="7">
        <v>19186</v>
      </c>
      <c r="MT46" s="2">
        <v>74366</v>
      </c>
      <c r="MU46" s="2">
        <v>1189333</v>
      </c>
      <c r="MV46" s="2">
        <v>1067014</v>
      </c>
      <c r="MW46" s="2">
        <v>29684</v>
      </c>
      <c r="MX46" s="2">
        <v>20339</v>
      </c>
      <c r="MY46" s="2">
        <v>44903</v>
      </c>
      <c r="MZ46" s="14">
        <v>173203</v>
      </c>
      <c r="NA46" s="7">
        <v>164605</v>
      </c>
      <c r="NB46" s="7">
        <v>2408</v>
      </c>
      <c r="NC46" s="7">
        <v>1441</v>
      </c>
      <c r="ND46" s="7">
        <v>6190</v>
      </c>
      <c r="NE46" s="14">
        <v>262872</v>
      </c>
      <c r="NF46" s="7">
        <v>241698</v>
      </c>
      <c r="NG46" s="7">
        <v>5125</v>
      </c>
      <c r="NH46" s="7">
        <v>3583</v>
      </c>
      <c r="NI46" s="7">
        <v>16049</v>
      </c>
      <c r="NJ46" s="14">
        <v>355779</v>
      </c>
      <c r="NK46" s="7">
        <v>317623</v>
      </c>
      <c r="NL46" s="7">
        <v>9231</v>
      </c>
      <c r="NM46" s="7">
        <v>5719</v>
      </c>
      <c r="NN46" s="7">
        <v>28925</v>
      </c>
      <c r="NO46" s="14">
        <v>366873.41600000003</v>
      </c>
      <c r="NP46" s="7">
        <v>325126.40100000001</v>
      </c>
      <c r="NQ46" s="7">
        <v>9322.1049999999996</v>
      </c>
      <c r="NR46" s="7">
        <v>5489.5940000000001</v>
      </c>
      <c r="NS46" s="12">
        <v>32424.910000000014</v>
      </c>
      <c r="NT46" s="1">
        <v>375733</v>
      </c>
      <c r="NU46" s="2">
        <v>332884</v>
      </c>
      <c r="NV46" s="2">
        <v>9975</v>
      </c>
      <c r="NW46" s="2">
        <v>7097</v>
      </c>
      <c r="NX46" s="79">
        <v>32815</v>
      </c>
      <c r="NY46" s="2">
        <v>389175</v>
      </c>
      <c r="NZ46" s="2">
        <v>340621</v>
      </c>
      <c r="OA46" s="2">
        <v>10361</v>
      </c>
      <c r="OB46" s="2">
        <v>7399</v>
      </c>
      <c r="OC46" s="2">
        <v>32867</v>
      </c>
    </row>
    <row r="47" spans="1:393" ht="14.25" x14ac:dyDescent="0.2">
      <c r="A47" s="241" t="s">
        <v>32</v>
      </c>
      <c r="B47" s="281" t="s">
        <v>186</v>
      </c>
      <c r="C47" s="282" t="s">
        <v>186</v>
      </c>
      <c r="D47" s="282" t="s">
        <v>186</v>
      </c>
      <c r="E47" s="282" t="s">
        <v>186</v>
      </c>
      <c r="F47" s="283" t="s">
        <v>186</v>
      </c>
      <c r="G47" s="7">
        <v>380613</v>
      </c>
      <c r="H47" s="7">
        <v>337790</v>
      </c>
      <c r="I47" s="7">
        <v>36749</v>
      </c>
      <c r="J47" s="7">
        <v>4523</v>
      </c>
      <c r="K47" s="12">
        <v>6074</v>
      </c>
      <c r="L47" s="7">
        <v>237618</v>
      </c>
      <c r="M47" s="7">
        <v>200974</v>
      </c>
      <c r="N47" s="7">
        <v>23195</v>
      </c>
      <c r="O47" s="7">
        <v>9870</v>
      </c>
      <c r="P47" s="12">
        <v>13449</v>
      </c>
      <c r="Q47" s="9">
        <v>177358</v>
      </c>
      <c r="R47" s="9">
        <v>144529</v>
      </c>
      <c r="S47" s="9">
        <v>17210</v>
      </c>
      <c r="T47" s="9">
        <v>20331</v>
      </c>
      <c r="U47" s="617">
        <v>15619</v>
      </c>
      <c r="V47" s="9">
        <v>162333</v>
      </c>
      <c r="W47" s="9">
        <v>129424</v>
      </c>
      <c r="X47" s="9">
        <v>16260</v>
      </c>
      <c r="Y47" s="9">
        <v>19055</v>
      </c>
      <c r="Z47" s="9">
        <v>16649</v>
      </c>
      <c r="AA47" s="9">
        <v>155009</v>
      </c>
      <c r="AB47" s="9">
        <v>110717</v>
      </c>
      <c r="AC47" s="9">
        <v>16563</v>
      </c>
      <c r="AD47" s="9">
        <v>18891</v>
      </c>
      <c r="AE47" s="726">
        <v>16251</v>
      </c>
      <c r="AF47" s="14">
        <v>477755</v>
      </c>
      <c r="AG47" s="7">
        <v>401590</v>
      </c>
      <c r="AH47" s="7">
        <v>69783</v>
      </c>
      <c r="AI47" s="7">
        <v>4454</v>
      </c>
      <c r="AJ47" s="12">
        <v>6382</v>
      </c>
      <c r="AK47" s="7">
        <v>441477</v>
      </c>
      <c r="AL47" s="7">
        <v>355924</v>
      </c>
      <c r="AM47" s="7">
        <v>69019</v>
      </c>
      <c r="AN47" s="7">
        <v>9763</v>
      </c>
      <c r="AO47" s="12">
        <v>16534</v>
      </c>
      <c r="AP47" s="7">
        <v>347983</v>
      </c>
      <c r="AQ47" s="7">
        <v>273016</v>
      </c>
      <c r="AR47" s="7">
        <v>58372</v>
      </c>
      <c r="AS47" s="7">
        <v>14280</v>
      </c>
      <c r="AT47" s="12">
        <v>16595</v>
      </c>
      <c r="AU47" s="7">
        <v>338934</v>
      </c>
      <c r="AV47" s="7">
        <v>262922</v>
      </c>
      <c r="AW47" s="7">
        <v>57933</v>
      </c>
      <c r="AX47" s="7">
        <v>16222</v>
      </c>
      <c r="AY47" s="7">
        <v>18079</v>
      </c>
      <c r="AZ47" s="7">
        <v>325742</v>
      </c>
      <c r="BA47" s="7">
        <v>244978</v>
      </c>
      <c r="BB47" s="7">
        <v>54239</v>
      </c>
      <c r="BC47" s="7">
        <v>16231</v>
      </c>
      <c r="BD47" s="63">
        <v>18283</v>
      </c>
      <c r="BE47" s="14">
        <v>513506</v>
      </c>
      <c r="BF47" s="7">
        <v>405143</v>
      </c>
      <c r="BG47" s="7">
        <v>74602</v>
      </c>
      <c r="BH47" s="7">
        <v>35363</v>
      </c>
      <c r="BI47" s="313">
        <f t="shared" si="454"/>
        <v>33761</v>
      </c>
      <c r="BJ47" s="281" t="s">
        <v>186</v>
      </c>
      <c r="BK47" s="282" t="s">
        <v>186</v>
      </c>
      <c r="BL47" s="282" t="s">
        <v>186</v>
      </c>
      <c r="BM47" s="282" t="s">
        <v>186</v>
      </c>
      <c r="BN47" s="281" t="s">
        <v>186</v>
      </c>
      <c r="BO47" s="282" t="s">
        <v>186</v>
      </c>
      <c r="BP47" s="282" t="s">
        <v>186</v>
      </c>
      <c r="BQ47" s="282" t="s">
        <v>186</v>
      </c>
      <c r="BR47" s="283" t="s">
        <v>186</v>
      </c>
      <c r="BS47" s="7">
        <v>2433211</v>
      </c>
      <c r="BT47" s="7">
        <v>2200573</v>
      </c>
      <c r="BU47" s="7">
        <v>198288</v>
      </c>
      <c r="BV47" s="7">
        <v>21991</v>
      </c>
      <c r="BW47" s="12">
        <v>34350</v>
      </c>
      <c r="BX47" s="7">
        <v>2955811</v>
      </c>
      <c r="BY47" s="7">
        <v>2603634</v>
      </c>
      <c r="BZ47" s="7">
        <v>260963</v>
      </c>
      <c r="CA47" s="7">
        <v>37607</v>
      </c>
      <c r="CB47" s="7">
        <v>91214</v>
      </c>
      <c r="CC47" s="214">
        <v>3266107</v>
      </c>
      <c r="CD47" s="7">
        <v>2846601</v>
      </c>
      <c r="CE47" s="7">
        <v>304393</v>
      </c>
      <c r="CF47" s="7">
        <v>115113</v>
      </c>
      <c r="CG47" s="7">
        <v>58001</v>
      </c>
      <c r="CH47" s="14">
        <v>3327600</v>
      </c>
      <c r="CI47" s="7">
        <v>2897612</v>
      </c>
      <c r="CJ47" s="7">
        <v>308337</v>
      </c>
      <c r="CK47" s="7">
        <v>121651</v>
      </c>
      <c r="CL47" s="7">
        <v>59735</v>
      </c>
      <c r="CM47" s="66">
        <v>3384116</v>
      </c>
      <c r="CN47" s="64">
        <v>2947328</v>
      </c>
      <c r="CO47" s="64">
        <v>313358</v>
      </c>
      <c r="CP47" s="64">
        <v>123430</v>
      </c>
      <c r="CQ47" s="64">
        <v>62881</v>
      </c>
      <c r="CR47" s="14">
        <v>3418384</v>
      </c>
      <c r="CS47" s="7">
        <v>2964212</v>
      </c>
      <c r="CT47" s="7">
        <v>326643</v>
      </c>
      <c r="CU47" s="7">
        <v>66675</v>
      </c>
      <c r="CV47" s="7">
        <v>84966</v>
      </c>
      <c r="CW47" s="14">
        <v>3471143.3680000002</v>
      </c>
      <c r="CX47" s="7">
        <v>2999423.5269999998</v>
      </c>
      <c r="CY47" s="7">
        <v>337562.31599999999</v>
      </c>
      <c r="CZ47" s="7">
        <v>69989.920000000013</v>
      </c>
      <c r="DA47" s="567">
        <f t="shared" si="455"/>
        <v>134157.52500000049</v>
      </c>
      <c r="DB47" s="7">
        <v>3503974</v>
      </c>
      <c r="DC47" s="7">
        <v>3027608</v>
      </c>
      <c r="DD47" s="7">
        <v>340189</v>
      </c>
      <c r="DE47" s="7">
        <v>72955</v>
      </c>
      <c r="DF47" s="7">
        <v>136177</v>
      </c>
      <c r="DG47" s="7">
        <v>3546504</v>
      </c>
      <c r="DH47" s="7">
        <v>3011882</v>
      </c>
      <c r="DI47" s="7">
        <v>344975</v>
      </c>
      <c r="DJ47" s="7">
        <v>75853</v>
      </c>
      <c r="DK47" s="7">
        <v>91320</v>
      </c>
      <c r="DL47" s="281" t="s">
        <v>186</v>
      </c>
      <c r="DM47" s="282" t="s">
        <v>186</v>
      </c>
      <c r="DN47" s="282" t="s">
        <v>186</v>
      </c>
      <c r="DO47" s="282" t="s">
        <v>186</v>
      </c>
      <c r="DP47" s="283" t="s">
        <v>186</v>
      </c>
      <c r="DQ47" s="7">
        <v>756510</v>
      </c>
      <c r="DR47" s="7">
        <v>669580</v>
      </c>
      <c r="DS47" s="7">
        <v>76806</v>
      </c>
      <c r="DT47" s="7">
        <v>7871</v>
      </c>
      <c r="DU47" s="12">
        <v>10124</v>
      </c>
      <c r="DV47" s="7">
        <v>981665</v>
      </c>
      <c r="DW47" s="7">
        <v>845300</v>
      </c>
      <c r="DX47" s="7">
        <v>106436</v>
      </c>
      <c r="DY47" s="7">
        <v>13503</v>
      </c>
      <c r="DZ47" s="12">
        <v>29929</v>
      </c>
      <c r="EA47" s="7">
        <v>1162423</v>
      </c>
      <c r="EB47" s="7">
        <v>987322</v>
      </c>
      <c r="EC47" s="7">
        <v>135497</v>
      </c>
      <c r="ED47" s="7">
        <v>22587</v>
      </c>
      <c r="EE47" s="12">
        <v>39604</v>
      </c>
      <c r="EF47" s="7">
        <v>1182258.693</v>
      </c>
      <c r="EG47" s="7">
        <v>1000942.698</v>
      </c>
      <c r="EH47" s="7">
        <v>139723.59599999999</v>
      </c>
      <c r="EI47" s="7">
        <v>25364.768000000004</v>
      </c>
      <c r="EJ47" s="12">
        <v>41592.399000000005</v>
      </c>
      <c r="EK47" s="7">
        <v>1193343</v>
      </c>
      <c r="EL47" s="7">
        <v>1006659</v>
      </c>
      <c r="EM47" s="7">
        <v>142671</v>
      </c>
      <c r="EN47" s="7">
        <v>26113</v>
      </c>
      <c r="EO47" s="661">
        <v>44013</v>
      </c>
      <c r="EP47" s="661">
        <v>1211042</v>
      </c>
      <c r="EQ47" s="661">
        <v>999410</v>
      </c>
      <c r="ER47" s="661">
        <v>148811</v>
      </c>
      <c r="ES47" s="661">
        <v>28083</v>
      </c>
      <c r="ET47" s="661">
        <v>44029</v>
      </c>
      <c r="EU47" s="14">
        <v>149347</v>
      </c>
      <c r="EV47" s="7">
        <v>132358</v>
      </c>
      <c r="EW47" s="7">
        <v>14433</v>
      </c>
      <c r="EX47" s="7">
        <v>1787</v>
      </c>
      <c r="EY47" s="12">
        <v>2556</v>
      </c>
      <c r="EZ47" s="7">
        <v>184666</v>
      </c>
      <c r="FA47" s="7">
        <v>159677</v>
      </c>
      <c r="FB47" s="7">
        <v>18884</v>
      </c>
      <c r="FC47" s="7">
        <v>2691</v>
      </c>
      <c r="FD47" s="12">
        <v>6105</v>
      </c>
      <c r="FE47" s="14">
        <v>263719</v>
      </c>
      <c r="FF47" s="7">
        <v>225877</v>
      </c>
      <c r="FG47" s="7">
        <v>27650</v>
      </c>
      <c r="FH47" s="7">
        <v>5473</v>
      </c>
      <c r="FI47" s="7">
        <v>10192</v>
      </c>
      <c r="FJ47" s="14"/>
      <c r="FK47" s="7"/>
      <c r="FL47" s="7"/>
      <c r="FM47" s="7"/>
      <c r="FN47" s="12"/>
      <c r="FO47" s="7">
        <v>281346</v>
      </c>
      <c r="FP47" s="7">
        <v>238222</v>
      </c>
      <c r="FQ47" s="7">
        <v>31859</v>
      </c>
      <c r="FR47" s="7">
        <v>5773</v>
      </c>
      <c r="FS47" s="7">
        <v>11265</v>
      </c>
      <c r="FT47" s="7">
        <v>293922</v>
      </c>
      <c r="FU47" s="7">
        <v>244000</v>
      </c>
      <c r="FV47" s="7">
        <v>34566</v>
      </c>
      <c r="FW47" s="7">
        <v>6588</v>
      </c>
      <c r="FX47" s="7">
        <v>11021</v>
      </c>
      <c r="FY47" s="609">
        <f t="shared" si="510"/>
        <v>735108</v>
      </c>
      <c r="FZ47" s="584">
        <f t="shared" si="511"/>
        <v>670555</v>
      </c>
      <c r="GA47" s="584">
        <f t="shared" si="512"/>
        <v>48534</v>
      </c>
      <c r="GB47" s="584">
        <f t="shared" si="513"/>
        <v>7373</v>
      </c>
      <c r="GC47" s="584">
        <f t="shared" si="514"/>
        <v>16019</v>
      </c>
      <c r="GD47" s="609">
        <f t="shared" si="515"/>
        <v>969142</v>
      </c>
      <c r="GE47" s="584">
        <f t="shared" si="516"/>
        <v>864840</v>
      </c>
      <c r="GF47" s="584">
        <f t="shared" si="517"/>
        <v>65453</v>
      </c>
      <c r="GG47" s="584">
        <f t="shared" si="518"/>
        <v>11884</v>
      </c>
      <c r="GH47" s="584">
        <f t="shared" si="519"/>
        <v>38849</v>
      </c>
      <c r="GI47" s="14">
        <v>1071396</v>
      </c>
      <c r="GJ47" s="7">
        <v>945563</v>
      </c>
      <c r="GK47" s="7">
        <v>75299</v>
      </c>
      <c r="GL47" s="7">
        <v>20004</v>
      </c>
      <c r="GM47" s="7">
        <v>50534</v>
      </c>
      <c r="GN47" s="605"/>
      <c r="GO47" s="9"/>
      <c r="GP47" s="9"/>
      <c r="GQ47" s="9"/>
      <c r="GR47" s="9"/>
      <c r="GS47" s="9">
        <v>1326147</v>
      </c>
      <c r="GT47" s="9">
        <v>1160867</v>
      </c>
      <c r="GU47" s="9">
        <v>99807</v>
      </c>
      <c r="GV47" s="9">
        <v>25075</v>
      </c>
      <c r="GW47" s="617">
        <v>65473</v>
      </c>
      <c r="GX47" s="9">
        <v>4275599</v>
      </c>
      <c r="GY47" s="9">
        <v>1171271</v>
      </c>
      <c r="GZ47" s="9">
        <v>102689</v>
      </c>
      <c r="HA47" s="9">
        <v>26091</v>
      </c>
      <c r="HB47" s="9">
        <v>41769</v>
      </c>
      <c r="HC47" s="14">
        <v>383678</v>
      </c>
      <c r="HD47" s="7">
        <v>354046</v>
      </c>
      <c r="HE47" s="7">
        <v>22783</v>
      </c>
      <c r="HF47" s="7">
        <v>3293</v>
      </c>
      <c r="HG47" s="7">
        <v>6849</v>
      </c>
      <c r="HH47" s="14">
        <v>507892</v>
      </c>
      <c r="HI47" s="7">
        <v>460640</v>
      </c>
      <c r="HJ47" s="7">
        <v>30379</v>
      </c>
      <c r="HK47" s="7">
        <v>5716</v>
      </c>
      <c r="HL47" s="7">
        <v>16873</v>
      </c>
      <c r="HM47" s="14">
        <v>626641</v>
      </c>
      <c r="HN47" s="7">
        <v>562469</v>
      </c>
      <c r="HO47" s="7">
        <v>38805</v>
      </c>
      <c r="HP47" s="7">
        <v>11343</v>
      </c>
      <c r="HQ47" s="7">
        <v>25367</v>
      </c>
      <c r="HR47" s="14">
        <v>640887.70900000003</v>
      </c>
      <c r="HS47" s="7">
        <v>571967.25600000005</v>
      </c>
      <c r="HT47" s="7">
        <v>40392.072</v>
      </c>
      <c r="HU47" s="7">
        <v>11051.039999999999</v>
      </c>
      <c r="HV47" s="7">
        <v>28528.380999999979</v>
      </c>
      <c r="HW47" s="7">
        <v>670037</v>
      </c>
      <c r="HX47" s="7">
        <v>591349</v>
      </c>
      <c r="HY47" s="7">
        <v>41257</v>
      </c>
      <c r="HZ47" s="7">
        <v>12328</v>
      </c>
      <c r="IA47" s="7">
        <v>28846</v>
      </c>
      <c r="IB47" s="281" t="s">
        <v>186</v>
      </c>
      <c r="IC47" s="282" t="s">
        <v>186</v>
      </c>
      <c r="ID47" s="339">
        <v>155398</v>
      </c>
      <c r="IE47" s="355">
        <f t="shared" si="466"/>
        <v>93405</v>
      </c>
      <c r="IF47" s="355">
        <f t="shared" si="467"/>
        <v>61993</v>
      </c>
      <c r="IG47" s="355">
        <f t="shared" si="468"/>
        <v>148482</v>
      </c>
      <c r="IH47" s="341">
        <v>90252</v>
      </c>
      <c r="II47" s="341">
        <v>58230</v>
      </c>
      <c r="IJ47" s="355">
        <f t="shared" si="469"/>
        <v>6916</v>
      </c>
      <c r="IK47" s="341">
        <v>3153</v>
      </c>
      <c r="IL47" s="341">
        <v>3763</v>
      </c>
      <c r="IM47" s="339">
        <v>233558</v>
      </c>
      <c r="IN47" s="355">
        <f t="shared" si="470"/>
        <v>137570</v>
      </c>
      <c r="IO47" s="355">
        <f t="shared" si="471"/>
        <v>95988</v>
      </c>
      <c r="IP47" s="355">
        <f t="shared" si="472"/>
        <v>221609</v>
      </c>
      <c r="IQ47" s="341">
        <v>132071</v>
      </c>
      <c r="IR47" s="341">
        <v>89538</v>
      </c>
      <c r="IS47" s="355">
        <f t="shared" si="473"/>
        <v>9448</v>
      </c>
      <c r="IT47" s="341">
        <v>3865</v>
      </c>
      <c r="IU47" s="341">
        <v>5583</v>
      </c>
      <c r="IV47" s="355">
        <f t="shared" si="474"/>
        <v>2501</v>
      </c>
      <c r="IW47" s="341">
        <v>1634</v>
      </c>
      <c r="IX47" s="341">
        <v>867</v>
      </c>
      <c r="IY47" s="339">
        <v>405515</v>
      </c>
      <c r="IZ47" s="355">
        <f t="shared" si="475"/>
        <v>233828</v>
      </c>
      <c r="JA47" s="355">
        <f t="shared" si="476"/>
        <v>171687</v>
      </c>
      <c r="JB47" s="365">
        <f t="shared" si="477"/>
        <v>375832</v>
      </c>
      <c r="JC47" s="341">
        <v>219254</v>
      </c>
      <c r="JD47" s="341">
        <v>156578</v>
      </c>
      <c r="JE47" s="341">
        <v>14574</v>
      </c>
      <c r="JF47" s="341">
        <v>15109</v>
      </c>
      <c r="JG47" s="365">
        <f t="shared" si="478"/>
        <v>20156</v>
      </c>
      <c r="JH47" s="341">
        <v>8823</v>
      </c>
      <c r="JI47" s="341">
        <v>11333</v>
      </c>
      <c r="JJ47" s="365">
        <f t="shared" si="479"/>
        <v>3236</v>
      </c>
      <c r="JK47" s="341">
        <v>1869</v>
      </c>
      <c r="JL47" s="341">
        <v>1367</v>
      </c>
      <c r="JM47" s="356">
        <f t="shared" si="480"/>
        <v>6291</v>
      </c>
      <c r="JN47" s="356">
        <f t="shared" si="481"/>
        <v>3882</v>
      </c>
      <c r="JO47" s="356">
        <f t="shared" si="482"/>
        <v>2409</v>
      </c>
      <c r="JP47" s="357">
        <f t="shared" si="483"/>
        <v>388</v>
      </c>
      <c r="JQ47" s="357">
        <f t="shared" si="484"/>
        <v>251</v>
      </c>
      <c r="JR47" s="357">
        <f t="shared" si="485"/>
        <v>137</v>
      </c>
      <c r="JS47" s="341">
        <v>5903</v>
      </c>
      <c r="JT47" s="341">
        <v>3631</v>
      </c>
      <c r="JU47" s="341">
        <v>2272</v>
      </c>
      <c r="JV47" s="16">
        <f t="shared" si="486"/>
        <v>585761</v>
      </c>
      <c r="JW47" s="355">
        <f t="shared" si="487"/>
        <v>316402</v>
      </c>
      <c r="JX47" s="355">
        <f t="shared" si="488"/>
        <v>269359</v>
      </c>
      <c r="JY47" s="15">
        <f t="shared" si="489"/>
        <v>538197</v>
      </c>
      <c r="JZ47" s="151">
        <f t="shared" si="490"/>
        <v>534358</v>
      </c>
      <c r="KA47" s="341">
        <v>292124</v>
      </c>
      <c r="KB47" s="341">
        <v>242234</v>
      </c>
      <c r="KC47" s="341">
        <v>24278</v>
      </c>
      <c r="KD47" s="341">
        <v>27125</v>
      </c>
      <c r="KE47" s="15">
        <f t="shared" si="491"/>
        <v>34101</v>
      </c>
      <c r="KF47" s="151">
        <f t="shared" si="492"/>
        <v>33978</v>
      </c>
      <c r="KG47" s="341">
        <v>14384</v>
      </c>
      <c r="KH47" s="341">
        <v>19594</v>
      </c>
      <c r="KI47" s="15">
        <f t="shared" si="493"/>
        <v>5586</v>
      </c>
      <c r="KJ47" s="341">
        <v>3046</v>
      </c>
      <c r="KK47" s="341">
        <v>2540</v>
      </c>
      <c r="KL47" s="13">
        <f t="shared" si="494"/>
        <v>13463</v>
      </c>
      <c r="KM47" s="358">
        <f t="shared" si="495"/>
        <v>6848</v>
      </c>
      <c r="KN47" s="358">
        <f t="shared" si="496"/>
        <v>4991</v>
      </c>
      <c r="KO47" s="359">
        <f t="shared" si="497"/>
        <v>106</v>
      </c>
      <c r="KP47" s="359">
        <f t="shared" si="498"/>
        <v>55</v>
      </c>
      <c r="KQ47" s="359">
        <f t="shared" si="499"/>
        <v>51</v>
      </c>
      <c r="KR47" s="360">
        <f t="shared" si="500"/>
        <v>11733</v>
      </c>
      <c r="KS47" s="360">
        <f t="shared" si="501"/>
        <v>6793</v>
      </c>
      <c r="KT47" s="360">
        <f t="shared" si="502"/>
        <v>4940</v>
      </c>
      <c r="KU47" s="341">
        <v>918</v>
      </c>
      <c r="KV47" s="341">
        <v>596</v>
      </c>
      <c r="KW47" s="341">
        <v>5875</v>
      </c>
      <c r="KX47" s="341">
        <v>4344</v>
      </c>
      <c r="KY47" s="361">
        <v>784476</v>
      </c>
      <c r="KZ47" s="341">
        <v>396399</v>
      </c>
      <c r="LA47" s="341">
        <v>388077</v>
      </c>
      <c r="LB47" s="9">
        <f t="shared" si="503"/>
        <v>705163</v>
      </c>
      <c r="LC47" s="9">
        <v>360991</v>
      </c>
      <c r="LD47" s="9">
        <v>344172</v>
      </c>
      <c r="LE47" s="140">
        <f t="shared" si="504"/>
        <v>699275</v>
      </c>
      <c r="LF47" s="341">
        <v>357928</v>
      </c>
      <c r="LG47" s="341">
        <v>341347</v>
      </c>
      <c r="LH47" s="9">
        <f t="shared" si="505"/>
        <v>46569</v>
      </c>
      <c r="LI47" s="341">
        <v>18564</v>
      </c>
      <c r="LJ47" s="341">
        <v>28005</v>
      </c>
      <c r="LK47" s="9">
        <f t="shared" si="506"/>
        <v>9193</v>
      </c>
      <c r="LL47" s="341">
        <v>4553</v>
      </c>
      <c r="LM47" s="341">
        <v>4640</v>
      </c>
      <c r="LN47" s="140">
        <f t="shared" si="507"/>
        <v>32744</v>
      </c>
      <c r="LO47" s="140">
        <f t="shared" si="508"/>
        <v>16844</v>
      </c>
      <c r="LP47" s="140">
        <f t="shared" si="509"/>
        <v>15900</v>
      </c>
      <c r="LQ47" s="349">
        <v>923423</v>
      </c>
      <c r="LR47" s="341">
        <v>822813</v>
      </c>
      <c r="LS47" s="341">
        <v>822813</v>
      </c>
      <c r="LT47" s="341">
        <v>43684</v>
      </c>
      <c r="LU47" s="9">
        <v>14456</v>
      </c>
      <c r="LV47" s="14">
        <v>952961</v>
      </c>
      <c r="LW47" s="7">
        <v>850372</v>
      </c>
      <c r="LX47" s="7">
        <v>57131</v>
      </c>
      <c r="LY47" s="7">
        <v>45458</v>
      </c>
      <c r="LZ47" s="7">
        <v>14999</v>
      </c>
      <c r="MA47" s="14">
        <v>980669</v>
      </c>
      <c r="MB47" s="7">
        <v>875702</v>
      </c>
      <c r="MC47" s="7">
        <v>58157</v>
      </c>
      <c r="MD47" s="7">
        <v>46810</v>
      </c>
      <c r="ME47" s="7">
        <v>14919</v>
      </c>
      <c r="MF47" s="14">
        <v>998246</v>
      </c>
      <c r="MG47" s="7">
        <v>883987</v>
      </c>
      <c r="MH47" s="7">
        <v>63018</v>
      </c>
      <c r="MI47" s="7">
        <v>51241</v>
      </c>
      <c r="MJ47" s="7">
        <v>17479</v>
      </c>
      <c r="MK47" s="14">
        <v>1023031.933</v>
      </c>
      <c r="ML47" s="7">
        <v>902210.255</v>
      </c>
      <c r="MM47" s="7">
        <v>66358.403999999995</v>
      </c>
      <c r="MN47" s="7">
        <v>17892.16</v>
      </c>
      <c r="MO47" s="7">
        <v>54463.273999999961</v>
      </c>
      <c r="MP47" s="7">
        <v>1044801</v>
      </c>
      <c r="MQ47" s="7">
        <v>922645</v>
      </c>
      <c r="MR47" s="7">
        <v>67948</v>
      </c>
      <c r="MS47" s="7">
        <v>19302</v>
      </c>
      <c r="MT47" s="2">
        <v>54208</v>
      </c>
      <c r="MU47" s="2">
        <v>1065803</v>
      </c>
      <c r="MV47" s="2">
        <v>927271</v>
      </c>
      <c r="MW47" s="2">
        <v>68123</v>
      </c>
      <c r="MX47" s="2">
        <v>19503</v>
      </c>
      <c r="MY47" s="2">
        <v>34135</v>
      </c>
      <c r="MZ47" s="14">
        <v>202083</v>
      </c>
      <c r="NA47" s="7">
        <v>184151</v>
      </c>
      <c r="NB47" s="7">
        <v>11318</v>
      </c>
      <c r="NC47" s="7">
        <v>2293</v>
      </c>
      <c r="ND47" s="7">
        <v>6614</v>
      </c>
      <c r="NE47" s="14">
        <v>276584</v>
      </c>
      <c r="NF47" s="7">
        <v>244523</v>
      </c>
      <c r="NG47" s="7">
        <v>16190</v>
      </c>
      <c r="NH47" s="7">
        <v>3477</v>
      </c>
      <c r="NI47" s="7">
        <v>15871</v>
      </c>
      <c r="NJ47" s="14">
        <v>371605</v>
      </c>
      <c r="NK47" s="7">
        <v>321518</v>
      </c>
      <c r="NL47" s="7">
        <v>24213</v>
      </c>
      <c r="NM47" s="7">
        <v>6136</v>
      </c>
      <c r="NN47" s="7">
        <v>25874</v>
      </c>
      <c r="NO47" s="14">
        <v>382144.22399999999</v>
      </c>
      <c r="NP47" s="7">
        <v>330242.99899999995</v>
      </c>
      <c r="NQ47" s="7">
        <v>25966.331999999999</v>
      </c>
      <c r="NR47" s="7">
        <v>6841.12</v>
      </c>
      <c r="NS47" s="12">
        <v>25934.893000000036</v>
      </c>
      <c r="NT47" s="1">
        <v>389062</v>
      </c>
      <c r="NU47" s="2">
        <v>335763</v>
      </c>
      <c r="NV47" s="2">
        <v>26535</v>
      </c>
      <c r="NW47" s="2">
        <v>7281</v>
      </c>
      <c r="NX47" s="79">
        <v>26764</v>
      </c>
      <c r="NY47" s="2">
        <v>395766</v>
      </c>
      <c r="NZ47" s="2">
        <v>335922</v>
      </c>
      <c r="OA47" s="2">
        <v>26866</v>
      </c>
      <c r="OB47" s="2">
        <v>7175</v>
      </c>
      <c r="OC47" s="2">
        <v>27284</v>
      </c>
    </row>
    <row r="48" spans="1:393" ht="14.25" x14ac:dyDescent="0.2">
      <c r="A48" s="241" t="s">
        <v>34</v>
      </c>
      <c r="B48" s="281" t="s">
        <v>186</v>
      </c>
      <c r="C48" s="282" t="s">
        <v>186</v>
      </c>
      <c r="D48" s="282" t="s">
        <v>186</v>
      </c>
      <c r="E48" s="282" t="s">
        <v>186</v>
      </c>
      <c r="F48" s="283" t="s">
        <v>186</v>
      </c>
      <c r="G48" s="7">
        <v>79925</v>
      </c>
      <c r="H48" s="7">
        <v>74049</v>
      </c>
      <c r="I48" s="7">
        <v>2466</v>
      </c>
      <c r="J48" s="7">
        <v>3828</v>
      </c>
      <c r="K48" s="12">
        <v>3410</v>
      </c>
      <c r="L48" s="7">
        <v>58376</v>
      </c>
      <c r="M48" s="7">
        <v>44637</v>
      </c>
      <c r="N48" s="7">
        <v>1929</v>
      </c>
      <c r="O48" s="7">
        <v>14809</v>
      </c>
      <c r="P48" s="12">
        <v>11810</v>
      </c>
      <c r="Q48" s="9">
        <v>48635</v>
      </c>
      <c r="R48" s="9">
        <v>35621</v>
      </c>
      <c r="S48" s="9">
        <v>2574</v>
      </c>
      <c r="T48" s="9">
        <v>22411</v>
      </c>
      <c r="U48" s="617">
        <v>10440</v>
      </c>
      <c r="V48" s="9">
        <v>48455</v>
      </c>
      <c r="W48" s="9">
        <v>35663</v>
      </c>
      <c r="X48" s="9">
        <v>2947</v>
      </c>
      <c r="Y48" s="9">
        <v>22176</v>
      </c>
      <c r="Z48" s="9">
        <v>9838</v>
      </c>
      <c r="AA48" s="9">
        <v>49576</v>
      </c>
      <c r="AB48" s="9">
        <v>18296</v>
      </c>
      <c r="AC48" s="9">
        <v>2755</v>
      </c>
      <c r="AD48" s="9">
        <v>24518</v>
      </c>
      <c r="AE48" s="726">
        <v>10852</v>
      </c>
      <c r="AF48" s="14">
        <v>101147</v>
      </c>
      <c r="AG48" s="7">
        <v>92781</v>
      </c>
      <c r="AH48" s="7">
        <v>5441</v>
      </c>
      <c r="AI48" s="7">
        <v>2572</v>
      </c>
      <c r="AJ48" s="12">
        <v>2925</v>
      </c>
      <c r="AK48" s="7">
        <v>87485</v>
      </c>
      <c r="AL48" s="7">
        <v>73414</v>
      </c>
      <c r="AM48" s="7">
        <v>5787</v>
      </c>
      <c r="AN48" s="7">
        <v>8327</v>
      </c>
      <c r="AO48" s="12">
        <v>8284</v>
      </c>
      <c r="AP48" s="7">
        <v>67602</v>
      </c>
      <c r="AQ48" s="7">
        <v>54612</v>
      </c>
      <c r="AR48" s="7">
        <v>4868</v>
      </c>
      <c r="AS48" s="7">
        <v>13632</v>
      </c>
      <c r="AT48" s="12">
        <v>8122</v>
      </c>
      <c r="AU48" s="7">
        <v>64336</v>
      </c>
      <c r="AV48" s="7">
        <v>50148</v>
      </c>
      <c r="AW48" s="7">
        <v>5167</v>
      </c>
      <c r="AX48" s="7">
        <v>15992</v>
      </c>
      <c r="AY48" s="7">
        <v>8940</v>
      </c>
      <c r="AZ48" s="7">
        <v>64301</v>
      </c>
      <c r="BA48" s="7">
        <v>39526</v>
      </c>
      <c r="BB48" s="7">
        <v>4310</v>
      </c>
      <c r="BC48" s="7">
        <v>16681</v>
      </c>
      <c r="BD48" s="63">
        <v>8792</v>
      </c>
      <c r="BE48" s="14">
        <v>113935</v>
      </c>
      <c r="BF48" s="7">
        <v>87352</v>
      </c>
      <c r="BG48" s="7">
        <v>7470</v>
      </c>
      <c r="BH48" s="7">
        <v>38068</v>
      </c>
      <c r="BI48" s="313">
        <f t="shared" si="454"/>
        <v>19113</v>
      </c>
      <c r="BJ48" s="281" t="s">
        <v>186</v>
      </c>
      <c r="BK48" s="282" t="s">
        <v>186</v>
      </c>
      <c r="BL48" s="282" t="s">
        <v>186</v>
      </c>
      <c r="BM48" s="282" t="s">
        <v>186</v>
      </c>
      <c r="BN48" s="281" t="s">
        <v>186</v>
      </c>
      <c r="BO48" s="282" t="s">
        <v>186</v>
      </c>
      <c r="BP48" s="282" t="s">
        <v>186</v>
      </c>
      <c r="BQ48" s="282" t="s">
        <v>186</v>
      </c>
      <c r="BR48" s="283" t="s">
        <v>186</v>
      </c>
      <c r="BS48" s="7">
        <v>814977</v>
      </c>
      <c r="BT48" s="7">
        <v>780046</v>
      </c>
      <c r="BU48" s="7">
        <v>21609</v>
      </c>
      <c r="BV48" s="7">
        <v>9588</v>
      </c>
      <c r="BW48" s="12">
        <v>13322</v>
      </c>
      <c r="BX48" s="7">
        <v>941380</v>
      </c>
      <c r="BY48" s="7">
        <v>881275</v>
      </c>
      <c r="BZ48" s="7">
        <v>28342</v>
      </c>
      <c r="CA48" s="7">
        <v>20206</v>
      </c>
      <c r="CB48" s="7">
        <v>31763</v>
      </c>
      <c r="CC48" s="214">
        <v>1011349</v>
      </c>
      <c r="CD48" s="7">
        <v>935917</v>
      </c>
      <c r="CE48" s="7">
        <v>32767</v>
      </c>
      <c r="CF48" s="7">
        <v>42665</v>
      </c>
      <c r="CG48" s="7">
        <v>31998</v>
      </c>
      <c r="CH48" s="14">
        <v>1023656</v>
      </c>
      <c r="CI48" s="7">
        <v>947058</v>
      </c>
      <c r="CJ48" s="7">
        <v>33870</v>
      </c>
      <c r="CK48" s="7">
        <v>42728</v>
      </c>
      <c r="CL48" s="7">
        <v>34222</v>
      </c>
      <c r="CM48" s="66">
        <v>1026325</v>
      </c>
      <c r="CN48" s="64">
        <v>949157</v>
      </c>
      <c r="CO48" s="64">
        <v>34364</v>
      </c>
      <c r="CP48" s="64">
        <v>42804</v>
      </c>
      <c r="CQ48" s="64">
        <v>34105</v>
      </c>
      <c r="CR48" s="14">
        <v>1058670</v>
      </c>
      <c r="CS48" s="7">
        <v>977367</v>
      </c>
      <c r="CT48" s="7">
        <v>37432</v>
      </c>
      <c r="CU48" s="7">
        <v>37768</v>
      </c>
      <c r="CV48" s="7">
        <v>32339</v>
      </c>
      <c r="CW48" s="14">
        <v>1074077.53</v>
      </c>
      <c r="CX48" s="7">
        <v>991070.73699999985</v>
      </c>
      <c r="CY48" s="7">
        <v>38077.292000000001</v>
      </c>
      <c r="CZ48" s="7">
        <v>39228.110999999997</v>
      </c>
      <c r="DA48" s="567">
        <f t="shared" si="455"/>
        <v>44929.501000000178</v>
      </c>
      <c r="DB48" s="7">
        <v>1083919</v>
      </c>
      <c r="DC48" s="7">
        <v>1002785</v>
      </c>
      <c r="DD48" s="7">
        <v>38393</v>
      </c>
      <c r="DE48" s="7">
        <v>42645</v>
      </c>
      <c r="DF48" s="7">
        <v>42263</v>
      </c>
      <c r="DG48" s="7">
        <v>1091953</v>
      </c>
      <c r="DH48" s="7">
        <v>976434</v>
      </c>
      <c r="DI48" s="7">
        <v>39966</v>
      </c>
      <c r="DJ48" s="7">
        <v>42828</v>
      </c>
      <c r="DK48" s="7">
        <v>26943</v>
      </c>
      <c r="DL48" s="281" t="s">
        <v>186</v>
      </c>
      <c r="DM48" s="282" t="s">
        <v>186</v>
      </c>
      <c r="DN48" s="282" t="s">
        <v>186</v>
      </c>
      <c r="DO48" s="282" t="s">
        <v>186</v>
      </c>
      <c r="DP48" s="283" t="s">
        <v>186</v>
      </c>
      <c r="DQ48" s="7">
        <v>280537</v>
      </c>
      <c r="DR48" s="7">
        <v>266709</v>
      </c>
      <c r="DS48" s="7">
        <v>9279</v>
      </c>
      <c r="DT48" s="7">
        <v>3756</v>
      </c>
      <c r="DU48" s="12">
        <v>4549</v>
      </c>
      <c r="DV48" s="7">
        <v>343288</v>
      </c>
      <c r="DW48" s="7">
        <v>320264</v>
      </c>
      <c r="DX48" s="7">
        <v>12017</v>
      </c>
      <c r="DY48" s="7">
        <v>7261</v>
      </c>
      <c r="DZ48" s="12">
        <v>11007</v>
      </c>
      <c r="EA48" s="7">
        <v>394263</v>
      </c>
      <c r="EB48" s="7">
        <v>361580</v>
      </c>
      <c r="EC48" s="7">
        <v>17722</v>
      </c>
      <c r="ED48" s="7">
        <v>13212</v>
      </c>
      <c r="EE48" s="12">
        <v>14961</v>
      </c>
      <c r="EF48" s="7">
        <v>401147.18799999997</v>
      </c>
      <c r="EG48" s="7">
        <v>367742.24300000002</v>
      </c>
      <c r="EH48" s="7">
        <v>18309.894</v>
      </c>
      <c r="EI48" s="7">
        <v>13540.275</v>
      </c>
      <c r="EJ48" s="12">
        <v>15095.050999999949</v>
      </c>
      <c r="EK48" s="7">
        <v>404355</v>
      </c>
      <c r="EL48" s="7">
        <v>371878</v>
      </c>
      <c r="EM48" s="7">
        <v>18256</v>
      </c>
      <c r="EN48" s="7">
        <v>14850</v>
      </c>
      <c r="EO48" s="661">
        <v>13951</v>
      </c>
      <c r="EP48" s="661">
        <v>409239</v>
      </c>
      <c r="EQ48" s="661">
        <v>364805</v>
      </c>
      <c r="ER48" s="661">
        <v>17698</v>
      </c>
      <c r="ES48" s="661">
        <v>15826</v>
      </c>
      <c r="ET48" s="661">
        <v>15097</v>
      </c>
      <c r="EU48" s="14">
        <v>70665</v>
      </c>
      <c r="EV48" s="7">
        <v>68095</v>
      </c>
      <c r="EW48" s="7">
        <v>1441</v>
      </c>
      <c r="EX48" s="7">
        <v>902</v>
      </c>
      <c r="EY48" s="12">
        <v>1129</v>
      </c>
      <c r="EZ48" s="7">
        <v>79596</v>
      </c>
      <c r="FA48" s="7">
        <v>75095</v>
      </c>
      <c r="FB48" s="7">
        <v>2136</v>
      </c>
      <c r="FC48" s="7">
        <v>1248</v>
      </c>
      <c r="FD48" s="12">
        <v>2365</v>
      </c>
      <c r="FE48" s="14">
        <v>106984</v>
      </c>
      <c r="FF48" s="7">
        <v>100598</v>
      </c>
      <c r="FG48" s="7">
        <v>2838</v>
      </c>
      <c r="FH48" s="7">
        <v>3066</v>
      </c>
      <c r="FI48" s="7">
        <v>3548</v>
      </c>
      <c r="FJ48" s="14"/>
      <c r="FK48" s="7"/>
      <c r="FL48" s="7"/>
      <c r="FM48" s="7"/>
      <c r="FN48" s="12"/>
      <c r="FO48" s="7">
        <v>113021</v>
      </c>
      <c r="FP48" s="7">
        <v>106676</v>
      </c>
      <c r="FQ48" s="7">
        <v>2739</v>
      </c>
      <c r="FR48" s="7">
        <v>3075</v>
      </c>
      <c r="FS48" s="7">
        <v>3558</v>
      </c>
      <c r="FT48" s="7">
        <v>117344</v>
      </c>
      <c r="FU48" s="7">
        <v>107562</v>
      </c>
      <c r="FV48" s="7">
        <v>3071</v>
      </c>
      <c r="FW48" s="7">
        <v>3690</v>
      </c>
      <c r="FX48" s="7">
        <v>4210</v>
      </c>
      <c r="FY48" s="609">
        <f t="shared" si="510"/>
        <v>259327</v>
      </c>
      <c r="FZ48" s="584">
        <f t="shared" si="511"/>
        <v>249432</v>
      </c>
      <c r="GA48" s="584">
        <f t="shared" si="512"/>
        <v>5102</v>
      </c>
      <c r="GB48" s="584">
        <f t="shared" si="513"/>
        <v>2406</v>
      </c>
      <c r="GC48" s="584">
        <f t="shared" si="514"/>
        <v>4793</v>
      </c>
      <c r="GD48" s="609">
        <f t="shared" si="515"/>
        <v>337736</v>
      </c>
      <c r="GE48" s="584">
        <f t="shared" si="516"/>
        <v>318807</v>
      </c>
      <c r="GF48" s="584">
        <f t="shared" si="517"/>
        <v>7224</v>
      </c>
      <c r="GG48" s="584">
        <f t="shared" si="518"/>
        <v>4948</v>
      </c>
      <c r="GH48" s="584">
        <f t="shared" si="519"/>
        <v>11705</v>
      </c>
      <c r="GI48" s="14">
        <v>382788</v>
      </c>
      <c r="GJ48" s="7">
        <v>358248</v>
      </c>
      <c r="GK48" s="7">
        <v>8897</v>
      </c>
      <c r="GL48" s="7">
        <v>9148</v>
      </c>
      <c r="GM48" s="7">
        <v>15643</v>
      </c>
      <c r="GN48" s="605"/>
      <c r="GO48" s="9"/>
      <c r="GP48" s="9"/>
      <c r="GQ48" s="9"/>
      <c r="GR48" s="9"/>
      <c r="GS48" s="9">
        <v>454035</v>
      </c>
      <c r="GT48" s="9">
        <v>424305</v>
      </c>
      <c r="GU48" s="9">
        <v>10936</v>
      </c>
      <c r="GV48" s="9">
        <v>11234</v>
      </c>
      <c r="GW48" s="617">
        <v>18639</v>
      </c>
      <c r="GX48" s="9">
        <v>1385390</v>
      </c>
      <c r="GY48" s="9">
        <v>422635</v>
      </c>
      <c r="GZ48" s="9">
        <v>12114</v>
      </c>
      <c r="HA48" s="9">
        <v>11710</v>
      </c>
      <c r="HB48" s="9">
        <v>11736</v>
      </c>
      <c r="HC48" s="14">
        <v>130172</v>
      </c>
      <c r="HD48" s="7">
        <v>125668</v>
      </c>
      <c r="HE48" s="7">
        <v>2597</v>
      </c>
      <c r="HF48" s="7">
        <v>1069</v>
      </c>
      <c r="HG48" s="7">
        <v>1907</v>
      </c>
      <c r="HH48" s="14">
        <v>179181</v>
      </c>
      <c r="HI48" s="7">
        <v>169950</v>
      </c>
      <c r="HJ48" s="7">
        <v>3785</v>
      </c>
      <c r="HK48" s="7">
        <v>2542</v>
      </c>
      <c r="HL48" s="7">
        <v>5446</v>
      </c>
      <c r="HM48" s="14">
        <v>223229</v>
      </c>
      <c r="HN48" s="7">
        <v>209892</v>
      </c>
      <c r="HO48" s="7">
        <v>4548</v>
      </c>
      <c r="HP48" s="7">
        <v>5438</v>
      </c>
      <c r="HQ48" s="7">
        <v>8789</v>
      </c>
      <c r="HR48" s="14">
        <v>227870.592</v>
      </c>
      <c r="HS48" s="7">
        <v>214606.17699999997</v>
      </c>
      <c r="HT48" s="7">
        <v>4782.4349999999995</v>
      </c>
      <c r="HU48" s="7">
        <v>5106.6180000000004</v>
      </c>
      <c r="HV48" s="7">
        <v>8481.9800000000378</v>
      </c>
      <c r="HW48" s="7">
        <v>231713</v>
      </c>
      <c r="HX48" s="7">
        <v>213130</v>
      </c>
      <c r="HY48" s="7">
        <v>5857</v>
      </c>
      <c r="HZ48" s="7">
        <v>5670</v>
      </c>
      <c r="IA48" s="7">
        <v>8291</v>
      </c>
      <c r="IB48" s="281" t="s">
        <v>186</v>
      </c>
      <c r="IC48" s="282" t="s">
        <v>186</v>
      </c>
      <c r="ID48" s="339">
        <v>53630</v>
      </c>
      <c r="IE48" s="355">
        <f t="shared" si="466"/>
        <v>32193</v>
      </c>
      <c r="IF48" s="355">
        <f t="shared" si="467"/>
        <v>21437</v>
      </c>
      <c r="IG48" s="355">
        <f t="shared" si="468"/>
        <v>52934</v>
      </c>
      <c r="IH48" s="341">
        <v>31805</v>
      </c>
      <c r="II48" s="341">
        <v>21129</v>
      </c>
      <c r="IJ48" s="355">
        <f t="shared" si="469"/>
        <v>696</v>
      </c>
      <c r="IK48" s="341">
        <v>388</v>
      </c>
      <c r="IL48" s="341">
        <v>308</v>
      </c>
      <c r="IM48" s="339">
        <v>77796</v>
      </c>
      <c r="IN48" s="355">
        <f t="shared" si="470"/>
        <v>45229</v>
      </c>
      <c r="IO48" s="355">
        <f t="shared" si="471"/>
        <v>32567</v>
      </c>
      <c r="IP48" s="355">
        <f t="shared" si="472"/>
        <v>76410</v>
      </c>
      <c r="IQ48" s="341">
        <v>44440</v>
      </c>
      <c r="IR48" s="341">
        <v>31970</v>
      </c>
      <c r="IS48" s="355">
        <f t="shared" si="473"/>
        <v>760</v>
      </c>
      <c r="IT48" s="341">
        <v>407</v>
      </c>
      <c r="IU48" s="341">
        <v>353</v>
      </c>
      <c r="IV48" s="355">
        <f t="shared" si="474"/>
        <v>626</v>
      </c>
      <c r="IW48" s="341">
        <v>382</v>
      </c>
      <c r="IX48" s="341">
        <v>244</v>
      </c>
      <c r="IY48" s="339">
        <v>141542</v>
      </c>
      <c r="IZ48" s="355">
        <f t="shared" si="475"/>
        <v>80274</v>
      </c>
      <c r="JA48" s="355">
        <f t="shared" si="476"/>
        <v>61268</v>
      </c>
      <c r="JB48" s="365">
        <f t="shared" si="477"/>
        <v>137135</v>
      </c>
      <c r="JC48" s="341">
        <v>77698</v>
      </c>
      <c r="JD48" s="341">
        <v>59437</v>
      </c>
      <c r="JE48" s="341">
        <v>2576</v>
      </c>
      <c r="JF48" s="341">
        <v>1831</v>
      </c>
      <c r="JG48" s="365">
        <f t="shared" si="478"/>
        <v>2011</v>
      </c>
      <c r="JH48" s="341">
        <v>1053</v>
      </c>
      <c r="JI48" s="341">
        <v>958</v>
      </c>
      <c r="JJ48" s="365">
        <f t="shared" si="479"/>
        <v>798</v>
      </c>
      <c r="JK48" s="341">
        <v>561</v>
      </c>
      <c r="JL48" s="341">
        <v>237</v>
      </c>
      <c r="JM48" s="356">
        <f t="shared" si="480"/>
        <v>1598</v>
      </c>
      <c r="JN48" s="356">
        <f t="shared" si="481"/>
        <v>962</v>
      </c>
      <c r="JO48" s="356">
        <f t="shared" si="482"/>
        <v>636</v>
      </c>
      <c r="JP48" s="357">
        <f t="shared" si="483"/>
        <v>98</v>
      </c>
      <c r="JQ48" s="357">
        <f t="shared" si="484"/>
        <v>72</v>
      </c>
      <c r="JR48" s="357">
        <f t="shared" si="485"/>
        <v>26</v>
      </c>
      <c r="JS48" s="341">
        <v>1500</v>
      </c>
      <c r="JT48" s="341">
        <v>890</v>
      </c>
      <c r="JU48" s="341">
        <v>610</v>
      </c>
      <c r="JV48" s="16">
        <f t="shared" si="486"/>
        <v>188662</v>
      </c>
      <c r="JW48" s="355">
        <f t="shared" si="487"/>
        <v>100770</v>
      </c>
      <c r="JX48" s="355">
        <f t="shared" si="488"/>
        <v>87892</v>
      </c>
      <c r="JY48" s="15">
        <f t="shared" si="489"/>
        <v>181337</v>
      </c>
      <c r="JZ48" s="151">
        <f t="shared" si="490"/>
        <v>180417</v>
      </c>
      <c r="KA48" s="341">
        <v>96223</v>
      </c>
      <c r="KB48" s="341">
        <v>84194</v>
      </c>
      <c r="KC48" s="341">
        <v>4547</v>
      </c>
      <c r="KD48" s="341">
        <v>3698</v>
      </c>
      <c r="KE48" s="15">
        <f t="shared" si="491"/>
        <v>3661</v>
      </c>
      <c r="KF48" s="151">
        <f t="shared" si="492"/>
        <v>3610</v>
      </c>
      <c r="KG48" s="341">
        <v>1849</v>
      </c>
      <c r="KH48" s="341">
        <v>1761</v>
      </c>
      <c r="KI48" s="15">
        <f t="shared" si="493"/>
        <v>1504</v>
      </c>
      <c r="KJ48" s="341">
        <v>810</v>
      </c>
      <c r="KK48" s="341">
        <v>694</v>
      </c>
      <c r="KL48" s="13">
        <f t="shared" si="494"/>
        <v>3664</v>
      </c>
      <c r="KM48" s="358">
        <f t="shared" si="495"/>
        <v>1888</v>
      </c>
      <c r="KN48" s="358">
        <f t="shared" si="496"/>
        <v>1243</v>
      </c>
      <c r="KO48" s="359">
        <f t="shared" si="497"/>
        <v>19</v>
      </c>
      <c r="KP48" s="359">
        <f t="shared" si="498"/>
        <v>19</v>
      </c>
      <c r="KQ48" s="359">
        <f t="shared" si="499"/>
        <v>0</v>
      </c>
      <c r="KR48" s="360">
        <f t="shared" si="500"/>
        <v>3112</v>
      </c>
      <c r="KS48" s="360">
        <f t="shared" si="501"/>
        <v>1869</v>
      </c>
      <c r="KT48" s="360">
        <f t="shared" si="502"/>
        <v>1243</v>
      </c>
      <c r="KU48" s="341">
        <v>289</v>
      </c>
      <c r="KV48" s="341">
        <v>225</v>
      </c>
      <c r="KW48" s="341">
        <v>1580</v>
      </c>
      <c r="KX48" s="341">
        <v>1018</v>
      </c>
      <c r="KY48" s="361">
        <v>258140</v>
      </c>
      <c r="KZ48" s="341">
        <v>129156</v>
      </c>
      <c r="LA48" s="341">
        <v>128984</v>
      </c>
      <c r="LB48" s="9">
        <f t="shared" si="503"/>
        <v>243712</v>
      </c>
      <c r="LC48" s="9">
        <v>121671</v>
      </c>
      <c r="LD48" s="9">
        <v>122041</v>
      </c>
      <c r="LE48" s="140">
        <f t="shared" si="504"/>
        <v>241683</v>
      </c>
      <c r="LF48" s="341">
        <v>120615</v>
      </c>
      <c r="LG48" s="341">
        <v>121068</v>
      </c>
      <c r="LH48" s="9">
        <f t="shared" si="505"/>
        <v>5088</v>
      </c>
      <c r="LI48" s="341">
        <v>2546</v>
      </c>
      <c r="LJ48" s="341">
        <v>2542</v>
      </c>
      <c r="LK48" s="9">
        <f t="shared" si="506"/>
        <v>3700</v>
      </c>
      <c r="LL48" s="341">
        <v>1971</v>
      </c>
      <c r="LM48" s="341">
        <v>1729</v>
      </c>
      <c r="LN48" s="140">
        <f t="shared" si="507"/>
        <v>9340</v>
      </c>
      <c r="LO48" s="140">
        <f t="shared" si="508"/>
        <v>4939</v>
      </c>
      <c r="LP48" s="140">
        <f t="shared" si="509"/>
        <v>4401</v>
      </c>
      <c r="LQ48" s="349">
        <v>308020</v>
      </c>
      <c r="LR48" s="341">
        <v>287052</v>
      </c>
      <c r="LS48" s="341">
        <v>287052</v>
      </c>
      <c r="LT48" s="341">
        <v>14376</v>
      </c>
      <c r="LU48" s="9">
        <v>5937</v>
      </c>
      <c r="LV48" s="14">
        <v>310997</v>
      </c>
      <c r="LW48" s="7">
        <v>290336</v>
      </c>
      <c r="LX48" s="7">
        <v>6591</v>
      </c>
      <c r="LY48" s="7">
        <v>14070</v>
      </c>
      <c r="LZ48" s="7">
        <v>6202</v>
      </c>
      <c r="MA48" s="14">
        <v>309758</v>
      </c>
      <c r="MB48" s="7">
        <v>289645</v>
      </c>
      <c r="MC48" s="7">
        <v>6247</v>
      </c>
      <c r="MD48" s="7">
        <v>13866</v>
      </c>
      <c r="ME48" s="7">
        <v>5789</v>
      </c>
      <c r="MF48" s="14">
        <v>327017</v>
      </c>
      <c r="MG48" s="7">
        <v>304739</v>
      </c>
      <c r="MH48" s="7">
        <v>7127</v>
      </c>
      <c r="MI48" s="7">
        <v>15151</v>
      </c>
      <c r="MJ48" s="7">
        <v>7181</v>
      </c>
      <c r="MK48" s="14">
        <v>334684.93200000003</v>
      </c>
      <c r="ML48" s="7">
        <v>311664.24699999997</v>
      </c>
      <c r="MM48" s="7">
        <v>8016.271999999999</v>
      </c>
      <c r="MN48" s="7">
        <v>6963.5700000000006</v>
      </c>
      <c r="MO48" s="7">
        <v>15004.413000000057</v>
      </c>
      <c r="MP48" s="7">
        <v>341014</v>
      </c>
      <c r="MQ48" s="7">
        <v>317629</v>
      </c>
      <c r="MR48" s="7">
        <v>8197</v>
      </c>
      <c r="MS48" s="7">
        <v>8159</v>
      </c>
      <c r="MT48" s="2">
        <v>15081</v>
      </c>
      <c r="MU48" s="2">
        <v>345534</v>
      </c>
      <c r="MV48" s="2">
        <v>315073</v>
      </c>
      <c r="MW48" s="2">
        <v>9043</v>
      </c>
      <c r="MX48" s="2">
        <v>8020</v>
      </c>
      <c r="MY48" s="2">
        <v>9034</v>
      </c>
      <c r="MZ48" s="14">
        <v>58490</v>
      </c>
      <c r="NA48" s="7">
        <v>55669</v>
      </c>
      <c r="NB48" s="7">
        <v>1064</v>
      </c>
      <c r="NC48" s="7">
        <v>435</v>
      </c>
      <c r="ND48" s="7">
        <v>1757</v>
      </c>
      <c r="NE48" s="14">
        <v>78959</v>
      </c>
      <c r="NF48" s="7">
        <v>73762</v>
      </c>
      <c r="NG48" s="7">
        <v>1303</v>
      </c>
      <c r="NH48" s="7">
        <v>1158</v>
      </c>
      <c r="NI48" s="7">
        <v>3894</v>
      </c>
      <c r="NJ48" s="14">
        <v>103788</v>
      </c>
      <c r="NK48" s="7">
        <v>94847</v>
      </c>
      <c r="NL48" s="7">
        <v>2579</v>
      </c>
      <c r="NM48" s="7">
        <v>1743</v>
      </c>
      <c r="NN48" s="7">
        <v>6362</v>
      </c>
      <c r="NO48" s="14">
        <v>106814.34</v>
      </c>
      <c r="NP48" s="7">
        <v>97058.069999999992</v>
      </c>
      <c r="NQ48" s="7">
        <v>3233.8369999999995</v>
      </c>
      <c r="NR48" s="7">
        <v>1856.952</v>
      </c>
      <c r="NS48" s="12">
        <v>6522.4330000000045</v>
      </c>
      <c r="NT48" s="1">
        <v>110214</v>
      </c>
      <c r="NU48" s="2">
        <v>100221</v>
      </c>
      <c r="NV48" s="2">
        <v>2783</v>
      </c>
      <c r="NW48" s="2">
        <v>2258</v>
      </c>
      <c r="NX48" s="79">
        <v>7186</v>
      </c>
      <c r="NY48" s="2">
        <v>113821</v>
      </c>
      <c r="NZ48" s="2">
        <v>101943</v>
      </c>
      <c r="OA48" s="2">
        <v>3186</v>
      </c>
      <c r="OB48" s="2">
        <v>2350</v>
      </c>
      <c r="OC48" s="2">
        <v>6912</v>
      </c>
    </row>
    <row r="49" spans="1:393" ht="14.25" x14ac:dyDescent="0.2">
      <c r="A49" s="241" t="s">
        <v>40</v>
      </c>
      <c r="B49" s="281" t="s">
        <v>186</v>
      </c>
      <c r="C49" s="282" t="s">
        <v>186</v>
      </c>
      <c r="D49" s="282" t="s">
        <v>186</v>
      </c>
      <c r="E49" s="282" t="s">
        <v>186</v>
      </c>
      <c r="F49" s="283" t="s">
        <v>186</v>
      </c>
      <c r="G49" s="7">
        <v>59354</v>
      </c>
      <c r="H49" s="7">
        <v>57452</v>
      </c>
      <c r="I49" s="7">
        <v>21</v>
      </c>
      <c r="J49" s="7">
        <v>298</v>
      </c>
      <c r="K49" s="12">
        <v>1881</v>
      </c>
      <c r="L49" s="7">
        <v>35658</v>
      </c>
      <c r="M49" s="7">
        <v>34045</v>
      </c>
      <c r="N49" s="7">
        <v>20</v>
      </c>
      <c r="O49" s="7">
        <v>444</v>
      </c>
      <c r="P49" s="12">
        <v>1593</v>
      </c>
      <c r="Q49" s="9">
        <v>22541</v>
      </c>
      <c r="R49" s="9">
        <v>20247</v>
      </c>
      <c r="S49" s="9">
        <v>562</v>
      </c>
      <c r="T49" s="9">
        <v>367</v>
      </c>
      <c r="U49" s="617">
        <v>1732</v>
      </c>
      <c r="V49" s="9">
        <v>20030</v>
      </c>
      <c r="W49" s="9">
        <v>17703</v>
      </c>
      <c r="X49" s="9">
        <v>476</v>
      </c>
      <c r="Y49" s="9">
        <v>483</v>
      </c>
      <c r="Z49" s="9">
        <v>1851</v>
      </c>
      <c r="AA49" s="9">
        <v>19167</v>
      </c>
      <c r="AB49" s="9">
        <v>16548</v>
      </c>
      <c r="AC49" s="9">
        <v>418</v>
      </c>
      <c r="AD49" s="9">
        <v>748</v>
      </c>
      <c r="AE49" s="726">
        <v>1942</v>
      </c>
      <c r="AF49" s="14">
        <v>33073</v>
      </c>
      <c r="AG49" s="7">
        <v>30513</v>
      </c>
      <c r="AH49" s="7">
        <v>43</v>
      </c>
      <c r="AI49" s="7">
        <v>167</v>
      </c>
      <c r="AJ49" s="12">
        <v>2517</v>
      </c>
      <c r="AK49" s="7">
        <v>30298</v>
      </c>
      <c r="AL49" s="7">
        <v>27006</v>
      </c>
      <c r="AM49" s="7">
        <v>89</v>
      </c>
      <c r="AN49" s="7">
        <v>449</v>
      </c>
      <c r="AO49" s="12">
        <v>3203</v>
      </c>
      <c r="AP49" s="7">
        <v>20913</v>
      </c>
      <c r="AQ49" s="7">
        <v>17816</v>
      </c>
      <c r="AR49" s="7">
        <v>162</v>
      </c>
      <c r="AS49" s="7">
        <v>953</v>
      </c>
      <c r="AT49" s="12">
        <v>2935</v>
      </c>
      <c r="AU49" s="7">
        <v>20892</v>
      </c>
      <c r="AV49" s="7">
        <v>17324</v>
      </c>
      <c r="AW49" s="7">
        <v>178</v>
      </c>
      <c r="AX49" s="7">
        <v>1064</v>
      </c>
      <c r="AY49" s="7">
        <v>3390</v>
      </c>
      <c r="AZ49" s="7">
        <v>20830</v>
      </c>
      <c r="BA49" s="7">
        <v>16459</v>
      </c>
      <c r="BB49" s="7">
        <v>320</v>
      </c>
      <c r="BC49" s="7">
        <v>1085</v>
      </c>
      <c r="BD49" s="63">
        <v>3547</v>
      </c>
      <c r="BE49" s="14">
        <v>42489</v>
      </c>
      <c r="BF49" s="7">
        <v>36614</v>
      </c>
      <c r="BG49" s="7"/>
      <c r="BH49" s="7"/>
      <c r="BI49" s="313">
        <f t="shared" si="454"/>
        <v>5875</v>
      </c>
      <c r="BJ49" s="281" t="s">
        <v>186</v>
      </c>
      <c r="BK49" s="282" t="s">
        <v>186</v>
      </c>
      <c r="BL49" s="282" t="s">
        <v>186</v>
      </c>
      <c r="BM49" s="282" t="s">
        <v>186</v>
      </c>
      <c r="BN49" s="281" t="s">
        <v>186</v>
      </c>
      <c r="BO49" s="282" t="s">
        <v>186</v>
      </c>
      <c r="BP49" s="282" t="s">
        <v>186</v>
      </c>
      <c r="BQ49" s="282" t="s">
        <v>186</v>
      </c>
      <c r="BR49" s="283" t="s">
        <v>186</v>
      </c>
      <c r="BS49" s="7">
        <v>304123</v>
      </c>
      <c r="BT49" s="7">
        <v>293544</v>
      </c>
      <c r="BU49" s="7">
        <v>1516</v>
      </c>
      <c r="BV49" s="7">
        <v>1411</v>
      </c>
      <c r="BW49" s="12">
        <v>9063</v>
      </c>
      <c r="BX49" s="7">
        <v>342629</v>
      </c>
      <c r="BY49" s="7">
        <v>325418</v>
      </c>
      <c r="BZ49" s="7">
        <v>1358</v>
      </c>
      <c r="CA49" s="7">
        <v>2413</v>
      </c>
      <c r="CB49" s="7">
        <v>15853</v>
      </c>
      <c r="CC49" s="214">
        <v>362416</v>
      </c>
      <c r="CD49" s="7">
        <v>340377</v>
      </c>
      <c r="CE49" s="7">
        <v>2309</v>
      </c>
      <c r="CF49" s="7">
        <v>19730</v>
      </c>
      <c r="CG49" s="7">
        <v>3321</v>
      </c>
      <c r="CH49" s="14">
        <v>367821</v>
      </c>
      <c r="CI49" s="7">
        <v>345645</v>
      </c>
      <c r="CJ49" s="7">
        <v>2181</v>
      </c>
      <c r="CK49" s="7">
        <v>19995</v>
      </c>
      <c r="CL49" s="7">
        <v>3904</v>
      </c>
      <c r="CM49" s="66">
        <v>370537</v>
      </c>
      <c r="CN49" s="64">
        <v>346518</v>
      </c>
      <c r="CO49" s="64">
        <v>2010</v>
      </c>
      <c r="CP49" s="64">
        <v>22009</v>
      </c>
      <c r="CQ49" s="64">
        <v>5046</v>
      </c>
      <c r="CR49" s="14">
        <v>392778</v>
      </c>
      <c r="CS49" s="7">
        <v>368252</v>
      </c>
      <c r="CT49" s="7">
        <v>2714</v>
      </c>
      <c r="CU49" s="7">
        <v>4511</v>
      </c>
      <c r="CV49" s="7">
        <v>18894</v>
      </c>
      <c r="CW49" s="14">
        <v>399660.57600000006</v>
      </c>
      <c r="CX49" s="7">
        <v>374779.02299999999</v>
      </c>
      <c r="CY49" s="7"/>
      <c r="CZ49" s="7"/>
      <c r="DA49" s="567">
        <f t="shared" si="455"/>
        <v>24881.553000000073</v>
      </c>
      <c r="DB49" s="7">
        <v>409133</v>
      </c>
      <c r="DC49" s="7">
        <v>382056</v>
      </c>
      <c r="DD49" s="7">
        <v>3591</v>
      </c>
      <c r="DE49" s="7">
        <v>4923</v>
      </c>
      <c r="DF49" s="7">
        <v>23149</v>
      </c>
      <c r="DG49" s="7">
        <v>417774</v>
      </c>
      <c r="DH49" s="7">
        <v>384643</v>
      </c>
      <c r="DI49" s="7">
        <v>3741</v>
      </c>
      <c r="DJ49" s="7">
        <v>5688</v>
      </c>
      <c r="DK49" s="7">
        <v>14197</v>
      </c>
      <c r="DL49" s="281" t="s">
        <v>186</v>
      </c>
      <c r="DM49" s="282" t="s">
        <v>186</v>
      </c>
      <c r="DN49" s="282" t="s">
        <v>186</v>
      </c>
      <c r="DO49" s="282" t="s">
        <v>186</v>
      </c>
      <c r="DP49" s="283" t="s">
        <v>186</v>
      </c>
      <c r="DQ49" s="7">
        <v>121269</v>
      </c>
      <c r="DR49" s="7">
        <v>116256</v>
      </c>
      <c r="DS49" s="7">
        <v>824</v>
      </c>
      <c r="DT49" s="7">
        <v>669</v>
      </c>
      <c r="DU49" s="12">
        <v>4189</v>
      </c>
      <c r="DV49" s="7">
        <v>138855</v>
      </c>
      <c r="DW49" s="7">
        <v>130806</v>
      </c>
      <c r="DX49" s="7">
        <v>781</v>
      </c>
      <c r="DY49" s="7">
        <v>1035</v>
      </c>
      <c r="DZ49" s="12">
        <v>7268</v>
      </c>
      <c r="EA49" s="7">
        <v>158059</v>
      </c>
      <c r="EB49" s="7">
        <v>146717</v>
      </c>
      <c r="EC49" s="7">
        <v>1363</v>
      </c>
      <c r="ED49" s="7">
        <v>1683</v>
      </c>
      <c r="EE49" s="12">
        <v>9979</v>
      </c>
      <c r="EF49" s="7">
        <v>162431.26400000002</v>
      </c>
      <c r="EG49" s="7">
        <v>150569.83799999999</v>
      </c>
      <c r="EH49" s="7"/>
      <c r="EI49" s="7"/>
      <c r="EJ49" s="12">
        <v>11861.426000000036</v>
      </c>
      <c r="EK49" s="7">
        <v>163637</v>
      </c>
      <c r="EL49" s="7">
        <v>151670</v>
      </c>
      <c r="EM49" s="7">
        <v>1289</v>
      </c>
      <c r="EN49" s="7">
        <v>1991</v>
      </c>
      <c r="EO49" s="661">
        <v>10423</v>
      </c>
      <c r="EP49" s="661">
        <v>167968</v>
      </c>
      <c r="EQ49" s="661">
        <v>153718</v>
      </c>
      <c r="ER49" s="661">
        <v>1255</v>
      </c>
      <c r="ES49" s="661">
        <v>2051</v>
      </c>
      <c r="ET49" s="661">
        <v>11528</v>
      </c>
      <c r="EU49" s="14">
        <v>39802</v>
      </c>
      <c r="EV49" s="7">
        <v>38471</v>
      </c>
      <c r="EW49" s="7">
        <v>90</v>
      </c>
      <c r="EX49" s="7">
        <v>156</v>
      </c>
      <c r="EY49" s="12">
        <v>1241</v>
      </c>
      <c r="EZ49" s="7">
        <v>38567</v>
      </c>
      <c r="FA49" s="7">
        <v>36051</v>
      </c>
      <c r="FB49" s="7">
        <v>237</v>
      </c>
      <c r="FC49" s="7">
        <v>278</v>
      </c>
      <c r="FD49" s="12">
        <v>2279</v>
      </c>
      <c r="FE49" s="14">
        <v>53193</v>
      </c>
      <c r="FF49" s="7">
        <v>50190</v>
      </c>
      <c r="FG49" s="7">
        <v>111</v>
      </c>
      <c r="FH49" s="7">
        <v>391</v>
      </c>
      <c r="FI49" s="7">
        <v>2892</v>
      </c>
      <c r="FJ49" s="14"/>
      <c r="FK49" s="7"/>
      <c r="FL49" s="7"/>
      <c r="FM49" s="7"/>
      <c r="FN49" s="12"/>
      <c r="FO49" s="7">
        <v>55880</v>
      </c>
      <c r="FP49" s="7">
        <v>52300</v>
      </c>
      <c r="FQ49" s="7">
        <v>213</v>
      </c>
      <c r="FR49" s="7">
        <v>455</v>
      </c>
      <c r="FS49" s="7">
        <v>3198</v>
      </c>
      <c r="FT49" s="7">
        <v>59868</v>
      </c>
      <c r="FU49" s="7">
        <v>55475</v>
      </c>
      <c r="FV49" s="7">
        <v>214</v>
      </c>
      <c r="FW49" s="7">
        <v>490</v>
      </c>
      <c r="FX49" s="7">
        <v>3782</v>
      </c>
      <c r="FY49" s="609">
        <f t="shared" si="510"/>
        <v>111441</v>
      </c>
      <c r="FZ49" s="584">
        <f t="shared" si="511"/>
        <v>108213</v>
      </c>
      <c r="GA49" s="584">
        <f t="shared" si="512"/>
        <v>360</v>
      </c>
      <c r="GB49" s="584">
        <f t="shared" si="513"/>
        <v>455</v>
      </c>
      <c r="GC49" s="584">
        <f t="shared" si="514"/>
        <v>2868</v>
      </c>
      <c r="GD49" s="609">
        <f t="shared" si="515"/>
        <v>128410</v>
      </c>
      <c r="GE49" s="584">
        <f t="shared" si="516"/>
        <v>122484</v>
      </c>
      <c r="GF49" s="584">
        <f t="shared" si="517"/>
        <v>538</v>
      </c>
      <c r="GG49" s="584">
        <f t="shared" si="518"/>
        <v>817</v>
      </c>
      <c r="GH49" s="584">
        <f t="shared" si="519"/>
        <v>5388</v>
      </c>
      <c r="GI49" s="14">
        <v>154091</v>
      </c>
      <c r="GJ49" s="7">
        <v>146266</v>
      </c>
      <c r="GK49" s="7">
        <v>744</v>
      </c>
      <c r="GL49" s="7">
        <v>1361</v>
      </c>
      <c r="GM49" s="7">
        <v>7081</v>
      </c>
      <c r="GN49" s="605"/>
      <c r="GO49" s="9"/>
      <c r="GP49" s="9"/>
      <c r="GQ49" s="9"/>
      <c r="GR49" s="9"/>
      <c r="GS49" s="9">
        <v>178881</v>
      </c>
      <c r="GT49" s="9">
        <v>168061</v>
      </c>
      <c r="GU49" s="9">
        <v>1552</v>
      </c>
      <c r="GV49" s="9">
        <v>1598</v>
      </c>
      <c r="GW49" s="617">
        <v>9022</v>
      </c>
      <c r="GX49" s="9">
        <v>534636</v>
      </c>
      <c r="GY49" s="9">
        <v>171809</v>
      </c>
      <c r="GZ49" s="9">
        <v>1459</v>
      </c>
      <c r="HA49" s="9">
        <v>1646</v>
      </c>
      <c r="HB49" s="9">
        <v>4937</v>
      </c>
      <c r="HC49" s="14">
        <v>53637</v>
      </c>
      <c r="HD49" s="7">
        <v>52323</v>
      </c>
      <c r="HE49" s="7">
        <v>185</v>
      </c>
      <c r="HF49" s="7">
        <v>223</v>
      </c>
      <c r="HG49" s="7">
        <v>1129</v>
      </c>
      <c r="HH49" s="14">
        <v>67551</v>
      </c>
      <c r="HI49" s="7">
        <v>65496</v>
      </c>
      <c r="HJ49" s="7">
        <v>170</v>
      </c>
      <c r="HK49" s="7">
        <v>345</v>
      </c>
      <c r="HL49" s="7">
        <v>1885</v>
      </c>
      <c r="HM49" s="14">
        <v>84717</v>
      </c>
      <c r="HN49" s="7">
        <v>81309</v>
      </c>
      <c r="HO49" s="7">
        <v>522</v>
      </c>
      <c r="HP49" s="7">
        <v>766</v>
      </c>
      <c r="HQ49" s="7">
        <v>2886</v>
      </c>
      <c r="HR49" s="14">
        <v>85862.847999999984</v>
      </c>
      <c r="HS49" s="7">
        <v>82689.993000000002</v>
      </c>
      <c r="HT49" s="7"/>
      <c r="HU49" s="7"/>
      <c r="HV49" s="7">
        <v>3172.8549999999814</v>
      </c>
      <c r="HW49" s="7">
        <v>89875</v>
      </c>
      <c r="HX49" s="7">
        <v>84780</v>
      </c>
      <c r="HY49" s="7">
        <v>884</v>
      </c>
      <c r="HZ49" s="7">
        <v>853</v>
      </c>
      <c r="IA49" s="7">
        <v>3670</v>
      </c>
      <c r="IB49" s="281" t="s">
        <v>186</v>
      </c>
      <c r="IC49" s="282" t="s">
        <v>186</v>
      </c>
      <c r="ID49" s="339">
        <v>18063</v>
      </c>
      <c r="IE49" s="355">
        <f t="shared" si="466"/>
        <v>11177</v>
      </c>
      <c r="IF49" s="355">
        <f t="shared" si="467"/>
        <v>6886</v>
      </c>
      <c r="IG49" s="355">
        <f t="shared" si="468"/>
        <v>17913</v>
      </c>
      <c r="IH49" s="341">
        <v>11089</v>
      </c>
      <c r="II49" s="341">
        <v>6824</v>
      </c>
      <c r="IJ49" s="355">
        <f t="shared" si="469"/>
        <v>150</v>
      </c>
      <c r="IK49" s="341">
        <v>88</v>
      </c>
      <c r="IL49" s="341">
        <v>62</v>
      </c>
      <c r="IM49" s="339">
        <v>26624</v>
      </c>
      <c r="IN49" s="355">
        <f t="shared" si="470"/>
        <v>16121</v>
      </c>
      <c r="IO49" s="355">
        <f t="shared" si="471"/>
        <v>10503</v>
      </c>
      <c r="IP49" s="355">
        <f t="shared" si="472"/>
        <v>26403</v>
      </c>
      <c r="IQ49" s="341">
        <v>15987</v>
      </c>
      <c r="IR49" s="341">
        <v>10416</v>
      </c>
      <c r="IS49" s="355">
        <f t="shared" si="473"/>
        <v>93</v>
      </c>
      <c r="IT49" s="341">
        <v>44</v>
      </c>
      <c r="IU49" s="341">
        <v>49</v>
      </c>
      <c r="IV49" s="355">
        <f t="shared" si="474"/>
        <v>128</v>
      </c>
      <c r="IW49" s="341">
        <v>90</v>
      </c>
      <c r="IX49" s="341">
        <v>38</v>
      </c>
      <c r="IY49" s="339">
        <v>54042</v>
      </c>
      <c r="IZ49" s="355">
        <f t="shared" si="475"/>
        <v>31081</v>
      </c>
      <c r="JA49" s="355">
        <f t="shared" si="476"/>
        <v>22961</v>
      </c>
      <c r="JB49" s="365">
        <f t="shared" si="477"/>
        <v>52926</v>
      </c>
      <c r="JC49" s="341">
        <v>30387</v>
      </c>
      <c r="JD49" s="341">
        <v>22539</v>
      </c>
      <c r="JE49" s="341">
        <v>694</v>
      </c>
      <c r="JF49" s="341">
        <v>422</v>
      </c>
      <c r="JG49" s="365">
        <f t="shared" si="478"/>
        <v>203</v>
      </c>
      <c r="JH49" s="341">
        <v>147</v>
      </c>
      <c r="JI49" s="341">
        <v>56</v>
      </c>
      <c r="JJ49" s="365">
        <f t="shared" si="479"/>
        <v>127</v>
      </c>
      <c r="JK49" s="341">
        <v>94</v>
      </c>
      <c r="JL49" s="341">
        <v>33</v>
      </c>
      <c r="JM49" s="356">
        <f t="shared" si="480"/>
        <v>786</v>
      </c>
      <c r="JN49" s="356">
        <f t="shared" si="481"/>
        <v>453</v>
      </c>
      <c r="JO49" s="356">
        <f t="shared" si="482"/>
        <v>333</v>
      </c>
      <c r="JP49" s="357">
        <f t="shared" si="483"/>
        <v>36</v>
      </c>
      <c r="JQ49" s="357">
        <f t="shared" si="484"/>
        <v>25</v>
      </c>
      <c r="JR49" s="357">
        <f t="shared" si="485"/>
        <v>11</v>
      </c>
      <c r="JS49" s="341">
        <v>750</v>
      </c>
      <c r="JT49" s="341">
        <v>428</v>
      </c>
      <c r="JU49" s="341">
        <v>322</v>
      </c>
      <c r="JV49" s="16">
        <f t="shared" si="486"/>
        <v>71639</v>
      </c>
      <c r="JW49" s="355">
        <f t="shared" si="487"/>
        <v>37740</v>
      </c>
      <c r="JX49" s="355">
        <f t="shared" si="488"/>
        <v>33899</v>
      </c>
      <c r="JY49" s="15">
        <f t="shared" si="489"/>
        <v>69742</v>
      </c>
      <c r="JZ49" s="151">
        <f t="shared" si="490"/>
        <v>69530</v>
      </c>
      <c r="KA49" s="341">
        <v>36634</v>
      </c>
      <c r="KB49" s="341">
        <v>32896</v>
      </c>
      <c r="KC49" s="341">
        <v>1106</v>
      </c>
      <c r="KD49" s="341">
        <v>1003</v>
      </c>
      <c r="KE49" s="15">
        <f t="shared" si="491"/>
        <v>270</v>
      </c>
      <c r="KF49" s="151">
        <f t="shared" si="492"/>
        <v>270</v>
      </c>
      <c r="KG49" s="341">
        <v>168</v>
      </c>
      <c r="KH49" s="341">
        <v>102</v>
      </c>
      <c r="KI49" s="15">
        <f t="shared" si="493"/>
        <v>299</v>
      </c>
      <c r="KJ49" s="341">
        <v>199</v>
      </c>
      <c r="KK49" s="341">
        <v>100</v>
      </c>
      <c r="KL49" s="13">
        <f t="shared" si="494"/>
        <v>1627</v>
      </c>
      <c r="KM49" s="358">
        <f t="shared" si="495"/>
        <v>739</v>
      </c>
      <c r="KN49" s="358">
        <f t="shared" si="496"/>
        <v>801</v>
      </c>
      <c r="KO49" s="359">
        <f t="shared" si="497"/>
        <v>5</v>
      </c>
      <c r="KP49" s="359">
        <f t="shared" si="498"/>
        <v>0</v>
      </c>
      <c r="KQ49" s="359">
        <f t="shared" si="499"/>
        <v>5</v>
      </c>
      <c r="KR49" s="360">
        <f t="shared" si="500"/>
        <v>1535</v>
      </c>
      <c r="KS49" s="360">
        <f t="shared" si="501"/>
        <v>739</v>
      </c>
      <c r="KT49" s="360">
        <f t="shared" si="502"/>
        <v>796</v>
      </c>
      <c r="KU49" s="341">
        <v>323</v>
      </c>
      <c r="KV49" s="341">
        <v>570</v>
      </c>
      <c r="KW49" s="341">
        <v>416</v>
      </c>
      <c r="KX49" s="341">
        <v>226</v>
      </c>
      <c r="KY49" s="361">
        <v>89843</v>
      </c>
      <c r="KZ49" s="341">
        <v>44047</v>
      </c>
      <c r="LA49" s="341">
        <v>45796</v>
      </c>
      <c r="LB49" s="9">
        <f t="shared" si="503"/>
        <v>86433</v>
      </c>
      <c r="LC49" s="9">
        <v>42391</v>
      </c>
      <c r="LD49" s="9">
        <v>44042</v>
      </c>
      <c r="LE49" s="140">
        <f t="shared" si="504"/>
        <v>86098</v>
      </c>
      <c r="LF49" s="341">
        <v>42264</v>
      </c>
      <c r="LG49" s="341">
        <v>43834</v>
      </c>
      <c r="LH49" s="9">
        <f t="shared" si="505"/>
        <v>301</v>
      </c>
      <c r="LI49" s="341">
        <v>197</v>
      </c>
      <c r="LJ49" s="341">
        <v>104</v>
      </c>
      <c r="LK49" s="9">
        <f t="shared" si="506"/>
        <v>539</v>
      </c>
      <c r="LL49" s="341">
        <v>199</v>
      </c>
      <c r="LM49" s="341">
        <v>340</v>
      </c>
      <c r="LN49" s="140">
        <f t="shared" si="507"/>
        <v>3109</v>
      </c>
      <c r="LO49" s="140">
        <f t="shared" si="508"/>
        <v>1459</v>
      </c>
      <c r="LP49" s="140">
        <f t="shared" si="509"/>
        <v>1650</v>
      </c>
      <c r="LQ49" s="349">
        <v>105113</v>
      </c>
      <c r="LR49" s="341">
        <v>99473</v>
      </c>
      <c r="LS49" s="341">
        <v>559</v>
      </c>
      <c r="LT49" s="341">
        <v>5081</v>
      </c>
      <c r="LU49" s="9">
        <v>714</v>
      </c>
      <c r="LV49" s="14">
        <v>107856</v>
      </c>
      <c r="LW49" s="7">
        <v>102428</v>
      </c>
      <c r="LX49" s="7">
        <v>375</v>
      </c>
      <c r="LY49" s="7">
        <v>5053</v>
      </c>
      <c r="LZ49" s="7">
        <v>702</v>
      </c>
      <c r="MA49" s="14">
        <v>108176</v>
      </c>
      <c r="MB49" s="7">
        <v>101800</v>
      </c>
      <c r="MC49" s="7">
        <v>441</v>
      </c>
      <c r="MD49" s="7">
        <v>5935</v>
      </c>
      <c r="ME49" s="7">
        <v>1120</v>
      </c>
      <c r="MF49" s="14">
        <v>115714</v>
      </c>
      <c r="MG49" s="7">
        <v>109504</v>
      </c>
      <c r="MH49" s="7">
        <v>847</v>
      </c>
      <c r="MI49" s="7">
        <v>5363</v>
      </c>
      <c r="MJ49" s="7">
        <v>1078</v>
      </c>
      <c r="MK49" s="14">
        <v>117729.47199999998</v>
      </c>
      <c r="ML49" s="7">
        <v>111898.89600000001</v>
      </c>
      <c r="MM49" s="7"/>
      <c r="MN49" s="7"/>
      <c r="MO49" s="7">
        <v>5830.5759999999718</v>
      </c>
      <c r="MP49" s="7">
        <v>123001</v>
      </c>
      <c r="MQ49" s="7">
        <v>115761</v>
      </c>
      <c r="MR49" s="7">
        <v>1339</v>
      </c>
      <c r="MS49" s="7">
        <v>1143</v>
      </c>
      <c r="MT49" s="2">
        <v>5824</v>
      </c>
      <c r="MU49" s="2">
        <v>124445</v>
      </c>
      <c r="MV49" s="2">
        <v>116334</v>
      </c>
      <c r="MW49" s="2">
        <v>1245</v>
      </c>
      <c r="MX49" s="2">
        <v>1156</v>
      </c>
      <c r="MY49" s="2">
        <v>3119</v>
      </c>
      <c r="MZ49" s="14">
        <v>18002</v>
      </c>
      <c r="NA49" s="7">
        <v>17419</v>
      </c>
      <c r="NB49" s="7">
        <v>85</v>
      </c>
      <c r="NC49" s="7">
        <v>76</v>
      </c>
      <c r="ND49" s="7">
        <v>498</v>
      </c>
      <c r="NE49" s="14">
        <v>22292</v>
      </c>
      <c r="NF49" s="7">
        <v>20937</v>
      </c>
      <c r="NG49" s="7">
        <v>131</v>
      </c>
      <c r="NH49" s="7">
        <v>194</v>
      </c>
      <c r="NI49" s="7">
        <v>1224</v>
      </c>
      <c r="NJ49" s="14">
        <v>30997</v>
      </c>
      <c r="NK49" s="7">
        <v>28195</v>
      </c>
      <c r="NL49" s="7">
        <v>325</v>
      </c>
      <c r="NM49" s="7">
        <v>312</v>
      </c>
      <c r="NN49" s="7">
        <v>2477</v>
      </c>
      <c r="NO49" s="14">
        <v>31866.624000000003</v>
      </c>
      <c r="NP49" s="7">
        <v>29208.902999999998</v>
      </c>
      <c r="NQ49" s="7"/>
      <c r="NR49" s="7"/>
      <c r="NS49" s="12">
        <v>2657.721000000005</v>
      </c>
      <c r="NT49" s="1">
        <v>35339</v>
      </c>
      <c r="NU49" s="2">
        <v>32319</v>
      </c>
      <c r="NV49" s="2">
        <v>439</v>
      </c>
      <c r="NW49" s="2">
        <v>357</v>
      </c>
      <c r="NX49" s="79">
        <v>2551</v>
      </c>
      <c r="NY49" s="2">
        <v>34570</v>
      </c>
      <c r="NZ49" s="2">
        <v>31554</v>
      </c>
      <c r="OA49" s="2">
        <v>361</v>
      </c>
      <c r="OB49" s="2">
        <v>303</v>
      </c>
      <c r="OC49" s="2">
        <v>2412</v>
      </c>
    </row>
    <row r="50" spans="1:393" ht="14.25" x14ac:dyDescent="0.2">
      <c r="A50" s="241" t="s">
        <v>41</v>
      </c>
      <c r="B50" s="281" t="s">
        <v>186</v>
      </c>
      <c r="C50" s="282" t="s">
        <v>186</v>
      </c>
      <c r="D50" s="282" t="s">
        <v>186</v>
      </c>
      <c r="E50" s="282" t="s">
        <v>186</v>
      </c>
      <c r="F50" s="283" t="s">
        <v>186</v>
      </c>
      <c r="G50" s="7">
        <v>546954</v>
      </c>
      <c r="H50" s="7">
        <v>468691</v>
      </c>
      <c r="I50" s="7">
        <v>66087</v>
      </c>
      <c r="J50" s="7">
        <v>11506</v>
      </c>
      <c r="K50" s="12">
        <v>12176</v>
      </c>
      <c r="L50" s="7">
        <v>331801</v>
      </c>
      <c r="M50" s="7">
        <v>271196</v>
      </c>
      <c r="N50" s="7">
        <v>41377</v>
      </c>
      <c r="O50" s="7">
        <v>16053</v>
      </c>
      <c r="P50" s="12">
        <v>19228</v>
      </c>
      <c r="Q50" s="9">
        <v>259935</v>
      </c>
      <c r="R50" s="9">
        <v>206335</v>
      </c>
      <c r="S50" s="9">
        <v>33386</v>
      </c>
      <c r="T50" s="9">
        <v>25698</v>
      </c>
      <c r="U50" s="617">
        <v>20214</v>
      </c>
      <c r="V50" s="9">
        <v>249708</v>
      </c>
      <c r="W50" s="9">
        <v>199260</v>
      </c>
      <c r="X50" s="9">
        <v>29061</v>
      </c>
      <c r="Y50" s="9">
        <v>26109</v>
      </c>
      <c r="Z50" s="9">
        <v>21348</v>
      </c>
      <c r="AA50" s="9">
        <v>248694</v>
      </c>
      <c r="AB50" s="9">
        <v>178266</v>
      </c>
      <c r="AC50" s="9">
        <v>29483</v>
      </c>
      <c r="AD50" s="9">
        <v>27981</v>
      </c>
      <c r="AE50" s="726">
        <v>23650</v>
      </c>
      <c r="AF50" s="14">
        <v>1137934</v>
      </c>
      <c r="AG50" s="7">
        <v>958162</v>
      </c>
      <c r="AH50" s="7">
        <v>166242</v>
      </c>
      <c r="AI50" s="7">
        <v>12298</v>
      </c>
      <c r="AJ50" s="12">
        <v>13530</v>
      </c>
      <c r="AK50" s="7">
        <v>930284</v>
      </c>
      <c r="AL50" s="7">
        <v>747331</v>
      </c>
      <c r="AM50" s="7">
        <v>153438</v>
      </c>
      <c r="AN50" s="7">
        <v>18902</v>
      </c>
      <c r="AO50" s="12">
        <v>29515</v>
      </c>
      <c r="AP50" s="7">
        <v>675705</v>
      </c>
      <c r="AQ50" s="7">
        <v>532030</v>
      </c>
      <c r="AR50" s="7">
        <v>119982</v>
      </c>
      <c r="AS50" s="7">
        <v>25020</v>
      </c>
      <c r="AT50" s="12">
        <v>23693</v>
      </c>
      <c r="AU50" s="7">
        <v>644363</v>
      </c>
      <c r="AV50" s="7">
        <v>500999</v>
      </c>
      <c r="AW50" s="7">
        <v>118135</v>
      </c>
      <c r="AX50" s="7">
        <v>25523</v>
      </c>
      <c r="AY50" s="7">
        <v>24959</v>
      </c>
      <c r="AZ50" s="7">
        <v>626821</v>
      </c>
      <c r="BA50" s="7">
        <v>468684</v>
      </c>
      <c r="BB50" s="7">
        <v>117216</v>
      </c>
      <c r="BC50" s="7">
        <v>25640</v>
      </c>
      <c r="BD50" s="63">
        <v>24968</v>
      </c>
      <c r="BE50" s="14">
        <v>918451</v>
      </c>
      <c r="BF50" s="7">
        <v>719497</v>
      </c>
      <c r="BG50" s="7">
        <v>151193</v>
      </c>
      <c r="BH50" s="7">
        <v>51232</v>
      </c>
      <c r="BI50" s="313">
        <f t="shared" si="454"/>
        <v>47761</v>
      </c>
      <c r="BJ50" s="281" t="s">
        <v>186</v>
      </c>
      <c r="BK50" s="282" t="s">
        <v>186</v>
      </c>
      <c r="BL50" s="282" t="s">
        <v>186</v>
      </c>
      <c r="BM50" s="282" t="s">
        <v>186</v>
      </c>
      <c r="BN50" s="281" t="s">
        <v>186</v>
      </c>
      <c r="BO50" s="282" t="s">
        <v>186</v>
      </c>
      <c r="BP50" s="282" t="s">
        <v>186</v>
      </c>
      <c r="BQ50" s="282" t="s">
        <v>186</v>
      </c>
      <c r="BR50" s="283" t="s">
        <v>186</v>
      </c>
      <c r="BS50" s="7">
        <v>5239876</v>
      </c>
      <c r="BT50" s="7">
        <v>4748494</v>
      </c>
      <c r="BU50" s="7">
        <v>424092</v>
      </c>
      <c r="BV50" s="7">
        <v>41016</v>
      </c>
      <c r="BW50" s="12">
        <v>67290</v>
      </c>
      <c r="BX50" s="7">
        <v>6149655</v>
      </c>
      <c r="BY50" s="7">
        <v>5425976</v>
      </c>
      <c r="BZ50" s="7">
        <v>551362</v>
      </c>
      <c r="CA50" s="7">
        <v>71277</v>
      </c>
      <c r="CB50" s="7">
        <v>172317</v>
      </c>
      <c r="CC50" s="214">
        <v>6557701</v>
      </c>
      <c r="CD50" s="7">
        <v>5718523</v>
      </c>
      <c r="CE50" s="7">
        <v>631113</v>
      </c>
      <c r="CF50" s="7">
        <v>208065</v>
      </c>
      <c r="CG50" s="7">
        <v>100225</v>
      </c>
      <c r="CH50" s="14">
        <v>6644076</v>
      </c>
      <c r="CI50" s="7">
        <v>5790397</v>
      </c>
      <c r="CJ50" s="7">
        <v>645891</v>
      </c>
      <c r="CK50" s="7">
        <v>207788</v>
      </c>
      <c r="CL50" s="7">
        <v>103378</v>
      </c>
      <c r="CM50" s="66">
        <v>6732030</v>
      </c>
      <c r="CN50" s="64">
        <v>5868983</v>
      </c>
      <c r="CO50" s="64">
        <v>654563</v>
      </c>
      <c r="CP50" s="64">
        <v>208484</v>
      </c>
      <c r="CQ50" s="64">
        <v>110107</v>
      </c>
      <c r="CR50" s="14">
        <v>6752029</v>
      </c>
      <c r="CS50" s="7">
        <v>5850645</v>
      </c>
      <c r="CT50" s="7">
        <v>684125</v>
      </c>
      <c r="CU50" s="7">
        <v>120199</v>
      </c>
      <c r="CV50" s="7">
        <v>151807</v>
      </c>
      <c r="CW50" s="14">
        <v>6799623.1940000001</v>
      </c>
      <c r="CX50" s="7">
        <v>5868193.8770000003</v>
      </c>
      <c r="CY50" s="7">
        <v>693462.57599999988</v>
      </c>
      <c r="CZ50" s="7">
        <v>125430.02</v>
      </c>
      <c r="DA50" s="567">
        <f t="shared" si="455"/>
        <v>237966.74099999992</v>
      </c>
      <c r="DB50" s="7">
        <v>6850815</v>
      </c>
      <c r="DC50" s="7">
        <v>5909566</v>
      </c>
      <c r="DD50" s="7">
        <v>704074</v>
      </c>
      <c r="DE50" s="7">
        <v>131618</v>
      </c>
      <c r="DF50" s="7">
        <v>235849</v>
      </c>
      <c r="DG50" s="7">
        <v>6900939</v>
      </c>
      <c r="DH50" s="7">
        <v>5858382</v>
      </c>
      <c r="DI50" s="7">
        <v>705192</v>
      </c>
      <c r="DJ50" s="7">
        <v>135936</v>
      </c>
      <c r="DK50" s="7">
        <v>163318</v>
      </c>
      <c r="DL50" s="281" t="s">
        <v>186</v>
      </c>
      <c r="DM50" s="282" t="s">
        <v>186</v>
      </c>
      <c r="DN50" s="282" t="s">
        <v>186</v>
      </c>
      <c r="DO50" s="282" t="s">
        <v>186</v>
      </c>
      <c r="DP50" s="283" t="s">
        <v>186</v>
      </c>
      <c r="DQ50" s="7">
        <v>1548553</v>
      </c>
      <c r="DR50" s="7">
        <v>1364442</v>
      </c>
      <c r="DS50" s="7">
        <v>167138</v>
      </c>
      <c r="DT50" s="7">
        <v>13362</v>
      </c>
      <c r="DU50" s="12">
        <v>16973</v>
      </c>
      <c r="DV50" s="7">
        <v>1911572</v>
      </c>
      <c r="DW50" s="7">
        <v>1641827</v>
      </c>
      <c r="DX50" s="7">
        <v>220179</v>
      </c>
      <c r="DY50" s="7">
        <v>25023</v>
      </c>
      <c r="DZ50" s="12">
        <v>49566</v>
      </c>
      <c r="EA50" s="7">
        <v>2169253</v>
      </c>
      <c r="EB50" s="7">
        <v>1826231</v>
      </c>
      <c r="EC50" s="7">
        <v>285099</v>
      </c>
      <c r="ED50" s="7">
        <v>41913</v>
      </c>
      <c r="EE50" s="12">
        <v>57923</v>
      </c>
      <c r="EF50" s="7">
        <v>2199651.09</v>
      </c>
      <c r="EG50" s="7">
        <v>1841649.1469999999</v>
      </c>
      <c r="EH50" s="7">
        <v>291406.31999999995</v>
      </c>
      <c r="EI50" s="7">
        <v>45048.81</v>
      </c>
      <c r="EJ50" s="12">
        <v>66595.623000000021</v>
      </c>
      <c r="EK50" s="7">
        <v>2226173</v>
      </c>
      <c r="EL50" s="7">
        <v>1859284</v>
      </c>
      <c r="EM50" s="7">
        <v>300790</v>
      </c>
      <c r="EN50" s="7">
        <v>47312</v>
      </c>
      <c r="EO50" s="661">
        <v>65647</v>
      </c>
      <c r="EP50" s="661">
        <v>2240950</v>
      </c>
      <c r="EQ50" s="661">
        <v>1838798</v>
      </c>
      <c r="ER50" s="661">
        <v>302614</v>
      </c>
      <c r="ES50" s="661">
        <v>47397</v>
      </c>
      <c r="ET50" s="661">
        <v>69042</v>
      </c>
      <c r="EU50" s="14">
        <v>369144</v>
      </c>
      <c r="EV50" s="7">
        <v>328954</v>
      </c>
      <c r="EW50" s="7">
        <v>35070</v>
      </c>
      <c r="EX50" s="7">
        <v>3637</v>
      </c>
      <c r="EY50" s="12">
        <v>5120</v>
      </c>
      <c r="EZ50" s="7">
        <v>439608</v>
      </c>
      <c r="FA50" s="7">
        <v>383947</v>
      </c>
      <c r="FB50" s="7">
        <v>43679</v>
      </c>
      <c r="FC50" s="7">
        <v>5268</v>
      </c>
      <c r="FD50" s="12">
        <v>11982</v>
      </c>
      <c r="FE50" s="14">
        <v>576202</v>
      </c>
      <c r="FF50" s="7">
        <v>495047</v>
      </c>
      <c r="FG50" s="7">
        <v>65223</v>
      </c>
      <c r="FH50" s="7">
        <v>10176</v>
      </c>
      <c r="FI50" s="7">
        <v>15932</v>
      </c>
      <c r="FJ50" s="14"/>
      <c r="FK50" s="7"/>
      <c r="FL50" s="7"/>
      <c r="FM50" s="7"/>
      <c r="FN50" s="12"/>
      <c r="FO50" s="7">
        <v>610446</v>
      </c>
      <c r="FP50" s="7">
        <v>523329</v>
      </c>
      <c r="FQ50" s="7">
        <v>68382</v>
      </c>
      <c r="FR50" s="7">
        <v>11013</v>
      </c>
      <c r="FS50" s="7">
        <v>18594</v>
      </c>
      <c r="FT50" s="7">
        <v>624184</v>
      </c>
      <c r="FU50" s="7">
        <v>528535</v>
      </c>
      <c r="FV50" s="7">
        <v>67319</v>
      </c>
      <c r="FW50" s="7">
        <v>12237</v>
      </c>
      <c r="FX50" s="7">
        <v>20346</v>
      </c>
      <c r="FY50" s="609">
        <f t="shared" si="510"/>
        <v>1544480</v>
      </c>
      <c r="FZ50" s="584">
        <f t="shared" si="511"/>
        <v>1413192</v>
      </c>
      <c r="GA50" s="584">
        <f t="shared" si="512"/>
        <v>95053</v>
      </c>
      <c r="GB50" s="584">
        <f t="shared" si="513"/>
        <v>12815</v>
      </c>
      <c r="GC50" s="584">
        <f t="shared" si="514"/>
        <v>36235</v>
      </c>
      <c r="GD50" s="609">
        <f t="shared" si="515"/>
        <v>2003140</v>
      </c>
      <c r="GE50" s="584">
        <f t="shared" si="516"/>
        <v>1787873</v>
      </c>
      <c r="GF50" s="584">
        <f t="shared" si="517"/>
        <v>132638</v>
      </c>
      <c r="GG50" s="584">
        <f t="shared" si="518"/>
        <v>21379</v>
      </c>
      <c r="GH50" s="584">
        <f t="shared" si="519"/>
        <v>82629</v>
      </c>
      <c r="GI50" s="14">
        <v>2106942</v>
      </c>
      <c r="GJ50" s="7">
        <v>1852501</v>
      </c>
      <c r="GK50" s="7">
        <v>159367</v>
      </c>
      <c r="GL50" s="7">
        <v>32956</v>
      </c>
      <c r="GM50" s="7">
        <v>95074</v>
      </c>
      <c r="GN50" s="605"/>
      <c r="GO50" s="9"/>
      <c r="GP50" s="9"/>
      <c r="GQ50" s="9"/>
      <c r="GR50" s="9"/>
      <c r="GS50" s="9">
        <v>2539375</v>
      </c>
      <c r="GT50" s="9">
        <v>2215781</v>
      </c>
      <c r="GU50" s="9">
        <v>193363</v>
      </c>
      <c r="GV50" s="9">
        <v>42583</v>
      </c>
      <c r="GW50" s="617">
        <v>129923</v>
      </c>
      <c r="GX50" s="9">
        <v>8193304</v>
      </c>
      <c r="GY50" s="9">
        <v>2235051</v>
      </c>
      <c r="GZ50" s="9">
        <v>198132</v>
      </c>
      <c r="HA50" s="9">
        <v>43578</v>
      </c>
      <c r="HB50" s="9">
        <v>82780</v>
      </c>
      <c r="HC50" s="14">
        <v>767845</v>
      </c>
      <c r="HD50" s="7">
        <v>714052</v>
      </c>
      <c r="HE50" s="7">
        <v>39757</v>
      </c>
      <c r="HF50" s="7">
        <v>5322</v>
      </c>
      <c r="HG50" s="7">
        <v>14036</v>
      </c>
      <c r="HH50" s="14">
        <v>1016256</v>
      </c>
      <c r="HI50" s="7">
        <v>920826</v>
      </c>
      <c r="HJ50" s="7">
        <v>59494</v>
      </c>
      <c r="HK50" s="7">
        <v>9723</v>
      </c>
      <c r="HL50" s="7">
        <v>35936</v>
      </c>
      <c r="HM50" s="14">
        <v>1189585</v>
      </c>
      <c r="HN50" s="7">
        <v>1059830</v>
      </c>
      <c r="HO50" s="7">
        <v>78486</v>
      </c>
      <c r="HP50" s="7">
        <v>16675</v>
      </c>
      <c r="HQ50" s="7">
        <v>51269</v>
      </c>
      <c r="HR50" s="14">
        <v>1196301.47</v>
      </c>
      <c r="HS50" s="7">
        <v>1062743.773</v>
      </c>
      <c r="HT50" s="7">
        <v>77708.351999999999</v>
      </c>
      <c r="HU50" s="7">
        <v>18196.186000000002</v>
      </c>
      <c r="HV50" s="7">
        <v>55849.344999999928</v>
      </c>
      <c r="HW50" s="7">
        <v>1241668</v>
      </c>
      <c r="HX50" s="7">
        <v>1085207</v>
      </c>
      <c r="HY50" s="7">
        <v>84819</v>
      </c>
      <c r="HZ50" s="7">
        <v>19172</v>
      </c>
      <c r="IA50" s="7">
        <v>57830</v>
      </c>
      <c r="IB50" s="281" t="s">
        <v>186</v>
      </c>
      <c r="IC50" s="282" t="s">
        <v>186</v>
      </c>
      <c r="ID50" s="339">
        <v>375000</v>
      </c>
      <c r="IE50" s="355">
        <f t="shared" si="466"/>
        <v>234935</v>
      </c>
      <c r="IF50" s="355">
        <f t="shared" si="467"/>
        <v>140065</v>
      </c>
      <c r="IG50" s="355">
        <f t="shared" si="468"/>
        <v>361972</v>
      </c>
      <c r="IH50" s="341">
        <v>228218</v>
      </c>
      <c r="II50" s="341">
        <v>133754</v>
      </c>
      <c r="IJ50" s="355">
        <f t="shared" si="469"/>
        <v>13028</v>
      </c>
      <c r="IK50" s="341">
        <v>6717</v>
      </c>
      <c r="IL50" s="341">
        <v>6311</v>
      </c>
      <c r="IM50" s="339">
        <v>527742</v>
      </c>
      <c r="IN50" s="355">
        <f t="shared" si="470"/>
        <v>320999</v>
      </c>
      <c r="IO50" s="355">
        <f t="shared" si="471"/>
        <v>206743</v>
      </c>
      <c r="IP50" s="355">
        <f t="shared" si="472"/>
        <v>505052</v>
      </c>
      <c r="IQ50" s="341">
        <v>309429</v>
      </c>
      <c r="IR50" s="341">
        <v>195623</v>
      </c>
      <c r="IS50" s="355">
        <f t="shared" si="473"/>
        <v>18132</v>
      </c>
      <c r="IT50" s="341">
        <v>8595</v>
      </c>
      <c r="IU50" s="341">
        <v>9537</v>
      </c>
      <c r="IV50" s="355">
        <f t="shared" si="474"/>
        <v>4558</v>
      </c>
      <c r="IW50" s="341">
        <v>2975</v>
      </c>
      <c r="IX50" s="341">
        <v>1583</v>
      </c>
      <c r="IY50" s="339">
        <v>858963</v>
      </c>
      <c r="IZ50" s="355">
        <f t="shared" si="475"/>
        <v>504473</v>
      </c>
      <c r="JA50" s="355">
        <f t="shared" si="476"/>
        <v>354490</v>
      </c>
      <c r="JB50" s="365">
        <f t="shared" si="477"/>
        <v>799168</v>
      </c>
      <c r="JC50" s="341">
        <v>472873</v>
      </c>
      <c r="JD50" s="341">
        <v>326295</v>
      </c>
      <c r="JE50" s="341">
        <v>31600</v>
      </c>
      <c r="JF50" s="341">
        <v>28195</v>
      </c>
      <c r="JG50" s="365">
        <f t="shared" si="478"/>
        <v>38872</v>
      </c>
      <c r="JH50" s="341">
        <v>18930</v>
      </c>
      <c r="JI50" s="341">
        <v>19942</v>
      </c>
      <c r="JJ50" s="365">
        <f t="shared" si="479"/>
        <v>5470</v>
      </c>
      <c r="JK50" s="341">
        <v>3359</v>
      </c>
      <c r="JL50" s="341">
        <v>2111</v>
      </c>
      <c r="JM50" s="356">
        <f t="shared" si="480"/>
        <v>15453</v>
      </c>
      <c r="JN50" s="356">
        <f t="shared" si="481"/>
        <v>9311</v>
      </c>
      <c r="JO50" s="356">
        <f t="shared" si="482"/>
        <v>6142</v>
      </c>
      <c r="JP50" s="357">
        <f t="shared" si="483"/>
        <v>571</v>
      </c>
      <c r="JQ50" s="357">
        <f t="shared" si="484"/>
        <v>436</v>
      </c>
      <c r="JR50" s="357">
        <f t="shared" si="485"/>
        <v>135</v>
      </c>
      <c r="JS50" s="341">
        <v>14882</v>
      </c>
      <c r="JT50" s="341">
        <v>8875</v>
      </c>
      <c r="JU50" s="341">
        <v>6007</v>
      </c>
      <c r="JV50" s="16">
        <f t="shared" si="486"/>
        <v>1175336</v>
      </c>
      <c r="JW50" s="355">
        <f t="shared" si="487"/>
        <v>642784</v>
      </c>
      <c r="JX50" s="355">
        <f t="shared" si="488"/>
        <v>532552</v>
      </c>
      <c r="JY50" s="15">
        <f t="shared" si="489"/>
        <v>1084238</v>
      </c>
      <c r="JZ50" s="151">
        <f t="shared" si="490"/>
        <v>1077820</v>
      </c>
      <c r="KA50" s="341">
        <v>593970</v>
      </c>
      <c r="KB50" s="341">
        <v>483850</v>
      </c>
      <c r="KC50" s="341">
        <v>48814</v>
      </c>
      <c r="KD50" s="341">
        <v>48702</v>
      </c>
      <c r="KE50" s="15">
        <f t="shared" si="491"/>
        <v>59983</v>
      </c>
      <c r="KF50" s="151">
        <f t="shared" si="492"/>
        <v>59646</v>
      </c>
      <c r="KG50" s="341">
        <v>27075</v>
      </c>
      <c r="KH50" s="341">
        <v>32571</v>
      </c>
      <c r="KI50" s="15">
        <f t="shared" si="493"/>
        <v>9178</v>
      </c>
      <c r="KJ50" s="341">
        <v>5182</v>
      </c>
      <c r="KK50" s="341">
        <v>3996</v>
      </c>
      <c r="KL50" s="13">
        <f t="shared" si="494"/>
        <v>31115</v>
      </c>
      <c r="KM50" s="358">
        <f t="shared" si="495"/>
        <v>16557</v>
      </c>
      <c r="KN50" s="358">
        <f t="shared" si="496"/>
        <v>12135</v>
      </c>
      <c r="KO50" s="359">
        <f t="shared" si="497"/>
        <v>273</v>
      </c>
      <c r="KP50" s="359">
        <f t="shared" si="498"/>
        <v>137</v>
      </c>
      <c r="KQ50" s="359">
        <f t="shared" si="499"/>
        <v>136</v>
      </c>
      <c r="KR50" s="360">
        <f t="shared" si="500"/>
        <v>28419</v>
      </c>
      <c r="KS50" s="360">
        <f t="shared" si="501"/>
        <v>16420</v>
      </c>
      <c r="KT50" s="360">
        <f t="shared" si="502"/>
        <v>11999</v>
      </c>
      <c r="KU50" s="341">
        <v>578</v>
      </c>
      <c r="KV50" s="341">
        <v>571</v>
      </c>
      <c r="KW50" s="341">
        <v>15842</v>
      </c>
      <c r="KX50" s="341">
        <v>11428</v>
      </c>
      <c r="KY50" s="361">
        <v>1563532</v>
      </c>
      <c r="KZ50" s="341">
        <v>804894</v>
      </c>
      <c r="LA50" s="341">
        <v>758638</v>
      </c>
      <c r="LB50" s="9">
        <f t="shared" si="503"/>
        <v>1403926</v>
      </c>
      <c r="LC50" s="9">
        <v>728529</v>
      </c>
      <c r="LD50" s="9">
        <v>675397</v>
      </c>
      <c r="LE50" s="140">
        <f t="shared" si="504"/>
        <v>1393330</v>
      </c>
      <c r="LF50" s="341">
        <v>723214</v>
      </c>
      <c r="LG50" s="341">
        <v>670116</v>
      </c>
      <c r="LH50" s="9">
        <f t="shared" si="505"/>
        <v>88959</v>
      </c>
      <c r="LI50" s="341">
        <v>38256</v>
      </c>
      <c r="LJ50" s="341">
        <v>50703</v>
      </c>
      <c r="LK50" s="9">
        <f t="shared" si="506"/>
        <v>16111</v>
      </c>
      <c r="LL50" s="341">
        <v>8036</v>
      </c>
      <c r="LM50" s="341">
        <v>8075</v>
      </c>
      <c r="LN50" s="140">
        <f t="shared" si="507"/>
        <v>70647</v>
      </c>
      <c r="LO50" s="140">
        <f t="shared" si="508"/>
        <v>38109</v>
      </c>
      <c r="LP50" s="140">
        <f t="shared" si="509"/>
        <v>32538</v>
      </c>
      <c r="LQ50" s="349">
        <v>1772785</v>
      </c>
      <c r="LR50" s="341">
        <v>1568019</v>
      </c>
      <c r="LS50" s="341">
        <v>111550</v>
      </c>
      <c r="LT50" s="341">
        <v>93216</v>
      </c>
      <c r="LU50" s="9">
        <v>23240</v>
      </c>
      <c r="LV50" s="14">
        <v>1815022</v>
      </c>
      <c r="LW50" s="7">
        <v>1604856</v>
      </c>
      <c r="LX50" s="7">
        <v>115310</v>
      </c>
      <c r="LY50" s="7">
        <v>94856</v>
      </c>
      <c r="LZ50" s="7">
        <v>24801</v>
      </c>
      <c r="MA50" s="14">
        <v>1852451</v>
      </c>
      <c r="MB50" s="7">
        <v>1641653</v>
      </c>
      <c r="MC50" s="7">
        <v>115239</v>
      </c>
      <c r="MD50" s="7">
        <v>95559</v>
      </c>
      <c r="ME50" s="7">
        <v>25596</v>
      </c>
      <c r="MF50" s="14">
        <v>1874907</v>
      </c>
      <c r="MG50" s="7">
        <v>1650989</v>
      </c>
      <c r="MH50" s="7">
        <v>120681</v>
      </c>
      <c r="MI50" s="7">
        <v>103237</v>
      </c>
      <c r="MJ50" s="7">
        <v>28696</v>
      </c>
      <c r="MK50" s="14">
        <v>1898646.2039999999</v>
      </c>
      <c r="ML50" s="7">
        <v>1663425.0360000001</v>
      </c>
      <c r="MM50" s="7">
        <v>120785.80799999999</v>
      </c>
      <c r="MN50" s="7">
        <v>29502.554000000004</v>
      </c>
      <c r="MO50" s="7">
        <v>114435.35999999984</v>
      </c>
      <c r="MP50" s="7">
        <v>1928929</v>
      </c>
      <c r="MQ50" s="7">
        <v>1692452</v>
      </c>
      <c r="MR50" s="7">
        <v>124981</v>
      </c>
      <c r="MS50" s="7">
        <v>31570</v>
      </c>
      <c r="MT50" s="2">
        <v>111329</v>
      </c>
      <c r="MU50" s="2">
        <v>1975125</v>
      </c>
      <c r="MV50" s="2">
        <v>1706516</v>
      </c>
      <c r="MW50" s="2">
        <v>130813</v>
      </c>
      <c r="MX50" s="2">
        <v>31341</v>
      </c>
      <c r="MY50" s="2">
        <v>69771</v>
      </c>
      <c r="MZ50" s="14">
        <v>407491</v>
      </c>
      <c r="NA50" s="7">
        <v>370186</v>
      </c>
      <c r="NB50" s="7">
        <v>20226</v>
      </c>
      <c r="NC50" s="7">
        <v>3856</v>
      </c>
      <c r="ND50" s="7">
        <v>17079</v>
      </c>
      <c r="NE50" s="14">
        <v>547276</v>
      </c>
      <c r="NF50" s="7">
        <v>483100</v>
      </c>
      <c r="NG50" s="7">
        <v>29465</v>
      </c>
      <c r="NH50" s="7">
        <v>6388</v>
      </c>
      <c r="NI50" s="7">
        <v>34711</v>
      </c>
      <c r="NJ50" s="14">
        <v>685322</v>
      </c>
      <c r="NK50" s="7">
        <v>591159</v>
      </c>
      <c r="NL50" s="7">
        <v>42195</v>
      </c>
      <c r="NM50" s="7">
        <v>12021</v>
      </c>
      <c r="NN50" s="7">
        <v>51968</v>
      </c>
      <c r="NO50" s="14">
        <v>702344.73399999994</v>
      </c>
      <c r="NP50" s="7">
        <v>600681.26300000004</v>
      </c>
      <c r="NQ50" s="7">
        <v>43077.455999999998</v>
      </c>
      <c r="NR50" s="7">
        <v>11306.368</v>
      </c>
      <c r="NS50" s="12">
        <v>58586.014999999905</v>
      </c>
      <c r="NT50" s="1">
        <v>710867</v>
      </c>
      <c r="NU50" s="2">
        <v>611442</v>
      </c>
      <c r="NV50" s="2">
        <v>44342</v>
      </c>
      <c r="NW50" s="2">
        <v>12460</v>
      </c>
      <c r="NX50" s="79">
        <v>55005</v>
      </c>
      <c r="NY50" s="2">
        <v>733457</v>
      </c>
      <c r="NZ50" s="2">
        <v>621309</v>
      </c>
      <c r="OA50" s="2">
        <v>45994</v>
      </c>
      <c r="OB50" s="2">
        <v>12169</v>
      </c>
      <c r="OC50" s="2">
        <v>56587</v>
      </c>
    </row>
    <row r="51" spans="1:393" ht="14.25" x14ac:dyDescent="0.2">
      <c r="A51" s="241" t="s">
        <v>45</v>
      </c>
      <c r="B51" s="281" t="s">
        <v>186</v>
      </c>
      <c r="C51" s="282" t="s">
        <v>186</v>
      </c>
      <c r="D51" s="282" t="s">
        <v>186</v>
      </c>
      <c r="E51" s="282" t="s">
        <v>186</v>
      </c>
      <c r="F51" s="283" t="s">
        <v>186</v>
      </c>
      <c r="G51" s="7">
        <v>57707</v>
      </c>
      <c r="H51" s="7">
        <v>54279</v>
      </c>
      <c r="I51" s="7">
        <v>101</v>
      </c>
      <c r="J51" s="7">
        <v>323</v>
      </c>
      <c r="K51" s="12">
        <v>3327</v>
      </c>
      <c r="L51" s="7">
        <v>35421</v>
      </c>
      <c r="M51" s="7">
        <v>32050</v>
      </c>
      <c r="N51" s="7">
        <v>128</v>
      </c>
      <c r="O51" s="7">
        <v>925</v>
      </c>
      <c r="P51" s="12">
        <v>3243</v>
      </c>
      <c r="Q51" s="9">
        <v>23961</v>
      </c>
      <c r="R51" s="9">
        <v>19719</v>
      </c>
      <c r="S51" s="9">
        <v>508</v>
      </c>
      <c r="T51" s="9">
        <v>1368</v>
      </c>
      <c r="U51" s="617">
        <v>3734</v>
      </c>
      <c r="V51" s="9">
        <v>23455</v>
      </c>
      <c r="W51" s="9">
        <v>18194</v>
      </c>
      <c r="X51" s="9">
        <v>782</v>
      </c>
      <c r="Y51" s="9">
        <v>2278</v>
      </c>
      <c r="Z51" s="9">
        <v>4479</v>
      </c>
      <c r="AA51" s="9">
        <v>22026</v>
      </c>
      <c r="AB51" s="9">
        <v>15637</v>
      </c>
      <c r="AC51" s="9">
        <v>880</v>
      </c>
      <c r="AD51" s="9">
        <v>2403</v>
      </c>
      <c r="AE51" s="726">
        <v>4176</v>
      </c>
      <c r="AF51" s="14">
        <v>41013</v>
      </c>
      <c r="AG51" s="7">
        <v>35560</v>
      </c>
      <c r="AH51" s="7">
        <v>152</v>
      </c>
      <c r="AI51" s="7">
        <v>323</v>
      </c>
      <c r="AJ51" s="12">
        <v>5301</v>
      </c>
      <c r="AK51" s="7">
        <v>37759</v>
      </c>
      <c r="AL51" s="7">
        <v>30563</v>
      </c>
      <c r="AM51" s="7">
        <v>235</v>
      </c>
      <c r="AN51" s="7">
        <v>702</v>
      </c>
      <c r="AO51" s="12">
        <v>6961</v>
      </c>
      <c r="AP51" s="7">
        <v>29677</v>
      </c>
      <c r="AQ51" s="7">
        <v>22487</v>
      </c>
      <c r="AR51" s="7">
        <v>487</v>
      </c>
      <c r="AS51" s="7">
        <v>1408</v>
      </c>
      <c r="AT51" s="12">
        <v>6703</v>
      </c>
      <c r="AU51" s="7">
        <v>28670</v>
      </c>
      <c r="AV51" s="7">
        <v>20823</v>
      </c>
      <c r="AW51" s="7">
        <v>400</v>
      </c>
      <c r="AX51" s="7">
        <v>1422</v>
      </c>
      <c r="AY51" s="7">
        <v>7447</v>
      </c>
      <c r="AZ51" s="7">
        <v>27944</v>
      </c>
      <c r="BA51" s="7">
        <v>19054</v>
      </c>
      <c r="BB51" s="7">
        <v>500</v>
      </c>
      <c r="BC51" s="7">
        <v>1366</v>
      </c>
      <c r="BD51" s="63">
        <v>7717</v>
      </c>
      <c r="BE51" s="14">
        <v>53154</v>
      </c>
      <c r="BF51" s="7">
        <v>40646</v>
      </c>
      <c r="BG51" s="7"/>
      <c r="BH51" s="7">
        <v>3632</v>
      </c>
      <c r="BI51" s="313">
        <f t="shared" si="454"/>
        <v>12508</v>
      </c>
      <c r="BJ51" s="281" t="s">
        <v>186</v>
      </c>
      <c r="BK51" s="282" t="s">
        <v>186</v>
      </c>
      <c r="BL51" s="282" t="s">
        <v>186</v>
      </c>
      <c r="BM51" s="282" t="s">
        <v>186</v>
      </c>
      <c r="BN51" s="281" t="s">
        <v>186</v>
      </c>
      <c r="BO51" s="282" t="s">
        <v>186</v>
      </c>
      <c r="BP51" s="282" t="s">
        <v>186</v>
      </c>
      <c r="BQ51" s="282" t="s">
        <v>186</v>
      </c>
      <c r="BR51" s="283" t="s">
        <v>186</v>
      </c>
      <c r="BS51" s="7">
        <v>331780</v>
      </c>
      <c r="BT51" s="7">
        <v>315736</v>
      </c>
      <c r="BU51" s="7">
        <v>1172</v>
      </c>
      <c r="BV51" s="7">
        <v>1602</v>
      </c>
      <c r="BW51" s="12">
        <v>14872</v>
      </c>
      <c r="BX51" s="7">
        <v>401179</v>
      </c>
      <c r="BY51" s="7">
        <v>374125</v>
      </c>
      <c r="BZ51" s="7">
        <v>1917</v>
      </c>
      <c r="CA51" s="7">
        <v>3011</v>
      </c>
      <c r="CB51" s="7">
        <v>25137</v>
      </c>
      <c r="CC51" s="214">
        <v>450105</v>
      </c>
      <c r="CD51" s="7">
        <v>414900</v>
      </c>
      <c r="CE51" s="7">
        <v>2866</v>
      </c>
      <c r="CF51" s="7">
        <v>32339</v>
      </c>
      <c r="CG51" s="7">
        <v>4779</v>
      </c>
      <c r="CH51" s="14">
        <v>459447</v>
      </c>
      <c r="CI51" s="7">
        <v>421558</v>
      </c>
      <c r="CJ51" s="7">
        <v>3120</v>
      </c>
      <c r="CK51" s="7">
        <v>34769</v>
      </c>
      <c r="CL51" s="7">
        <v>5731</v>
      </c>
      <c r="CM51" s="66">
        <v>465110</v>
      </c>
      <c r="CN51" s="64">
        <v>426126</v>
      </c>
      <c r="CO51" s="64">
        <v>3006</v>
      </c>
      <c r="CP51" s="64">
        <v>35978</v>
      </c>
      <c r="CQ51" s="64">
        <v>6630</v>
      </c>
      <c r="CR51" s="14">
        <v>471857</v>
      </c>
      <c r="CS51" s="7">
        <v>431907</v>
      </c>
      <c r="CT51" s="7">
        <v>3702</v>
      </c>
      <c r="CU51" s="7">
        <v>6891</v>
      </c>
      <c r="CV51" s="7">
        <v>31080</v>
      </c>
      <c r="CW51" s="14">
        <v>478388.7</v>
      </c>
      <c r="CX51" s="7">
        <v>437545.68</v>
      </c>
      <c r="CY51" s="7"/>
      <c r="CZ51" s="7">
        <v>6523.8779999999997</v>
      </c>
      <c r="DA51" s="567">
        <f t="shared" si="455"/>
        <v>40843.020000000019</v>
      </c>
      <c r="DB51" s="7">
        <v>486339</v>
      </c>
      <c r="DC51" s="7">
        <v>443493</v>
      </c>
      <c r="DD51" s="7">
        <v>4518</v>
      </c>
      <c r="DE51" s="7">
        <v>6908</v>
      </c>
      <c r="DF51" s="7">
        <v>38191</v>
      </c>
      <c r="DG51" s="7">
        <v>494906</v>
      </c>
      <c r="DH51" s="7">
        <v>444955</v>
      </c>
      <c r="DI51" s="7">
        <v>4909</v>
      </c>
      <c r="DJ51" s="7">
        <v>8016</v>
      </c>
      <c r="DK51" s="7">
        <v>22754</v>
      </c>
      <c r="DL51" s="281" t="s">
        <v>186</v>
      </c>
      <c r="DM51" s="282" t="s">
        <v>186</v>
      </c>
      <c r="DN51" s="282" t="s">
        <v>186</v>
      </c>
      <c r="DO51" s="282" t="s">
        <v>186</v>
      </c>
      <c r="DP51" s="283" t="s">
        <v>186</v>
      </c>
      <c r="DQ51" s="7">
        <v>112899</v>
      </c>
      <c r="DR51" s="7">
        <v>106251</v>
      </c>
      <c r="DS51" s="7">
        <v>507</v>
      </c>
      <c r="DT51" s="7">
        <v>730</v>
      </c>
      <c r="DU51" s="12">
        <v>6141</v>
      </c>
      <c r="DV51" s="7">
        <v>143161</v>
      </c>
      <c r="DW51" s="7">
        <v>132007</v>
      </c>
      <c r="DX51" s="7">
        <v>828</v>
      </c>
      <c r="DY51" s="7">
        <v>1165</v>
      </c>
      <c r="DZ51" s="12">
        <v>10326</v>
      </c>
      <c r="EA51" s="7">
        <v>169243</v>
      </c>
      <c r="EB51" s="7">
        <v>152701</v>
      </c>
      <c r="EC51" s="7">
        <v>1151</v>
      </c>
      <c r="ED51" s="7">
        <v>2072</v>
      </c>
      <c r="EE51" s="12">
        <v>15391</v>
      </c>
      <c r="EF51" s="7">
        <v>171156.84599999999</v>
      </c>
      <c r="EG51" s="7">
        <v>154456.01599999997</v>
      </c>
      <c r="EH51" s="7"/>
      <c r="EI51" s="7">
        <v>2150.9519999999998</v>
      </c>
      <c r="EJ51" s="12">
        <v>16700.830000000016</v>
      </c>
      <c r="EK51" s="7">
        <v>172271</v>
      </c>
      <c r="EL51" s="7">
        <v>154780</v>
      </c>
      <c r="EM51" s="7">
        <v>1567</v>
      </c>
      <c r="EN51" s="7">
        <v>2389</v>
      </c>
      <c r="EO51" s="661">
        <v>15845</v>
      </c>
      <c r="EP51" s="661">
        <v>177156</v>
      </c>
      <c r="EQ51" s="661">
        <v>155889</v>
      </c>
      <c r="ER51" s="661">
        <v>1918</v>
      </c>
      <c r="ES51" s="661">
        <v>3029</v>
      </c>
      <c r="ET51" s="661">
        <v>17297</v>
      </c>
      <c r="EU51" s="14">
        <v>31955</v>
      </c>
      <c r="EV51" s="7">
        <v>30196</v>
      </c>
      <c r="EW51" s="7">
        <v>149</v>
      </c>
      <c r="EX51" s="7">
        <v>239</v>
      </c>
      <c r="EY51" s="12">
        <v>1610</v>
      </c>
      <c r="EZ51" s="7">
        <v>33861</v>
      </c>
      <c r="FA51" s="7">
        <v>31383</v>
      </c>
      <c r="FB51" s="7">
        <v>194</v>
      </c>
      <c r="FC51" s="7">
        <v>267</v>
      </c>
      <c r="FD51" s="12">
        <v>2284</v>
      </c>
      <c r="FE51" s="14">
        <v>50746</v>
      </c>
      <c r="FF51" s="7">
        <v>47010</v>
      </c>
      <c r="FG51" s="7">
        <v>139</v>
      </c>
      <c r="FH51" s="7">
        <v>398</v>
      </c>
      <c r="FI51" s="7">
        <v>3597</v>
      </c>
      <c r="FJ51" s="14"/>
      <c r="FK51" s="7"/>
      <c r="FL51" s="7"/>
      <c r="FM51" s="7"/>
      <c r="FN51" s="12"/>
      <c r="FO51" s="7">
        <v>53296</v>
      </c>
      <c r="FP51" s="7">
        <v>49424</v>
      </c>
      <c r="FQ51" s="7">
        <v>215</v>
      </c>
      <c r="FR51" s="7">
        <v>663</v>
      </c>
      <c r="FS51" s="7">
        <v>3657</v>
      </c>
      <c r="FT51" s="7">
        <v>56165</v>
      </c>
      <c r="FU51" s="7">
        <v>51071</v>
      </c>
      <c r="FV51" s="7">
        <v>414</v>
      </c>
      <c r="FW51" s="7">
        <v>825</v>
      </c>
      <c r="FX51" s="7">
        <v>4072</v>
      </c>
      <c r="FY51" s="609">
        <f t="shared" si="510"/>
        <v>105846</v>
      </c>
      <c r="FZ51" s="584">
        <f t="shared" si="511"/>
        <v>101694</v>
      </c>
      <c r="GA51" s="584">
        <f t="shared" si="512"/>
        <v>492</v>
      </c>
      <c r="GB51" s="584">
        <f t="shared" si="513"/>
        <v>540</v>
      </c>
      <c r="GC51" s="584">
        <f t="shared" si="514"/>
        <v>3660</v>
      </c>
      <c r="GD51" s="609">
        <f t="shared" si="515"/>
        <v>135873</v>
      </c>
      <c r="GE51" s="584">
        <f t="shared" si="516"/>
        <v>128816</v>
      </c>
      <c r="GF51" s="584">
        <f t="shared" si="517"/>
        <v>635</v>
      </c>
      <c r="GG51" s="584">
        <f t="shared" si="518"/>
        <v>810</v>
      </c>
      <c r="GH51" s="584">
        <f t="shared" si="519"/>
        <v>6422</v>
      </c>
      <c r="GI51" s="14">
        <v>166435</v>
      </c>
      <c r="GJ51" s="7">
        <v>155969</v>
      </c>
      <c r="GK51" s="7">
        <v>962</v>
      </c>
      <c r="GL51" s="7">
        <v>1979</v>
      </c>
      <c r="GM51" s="7">
        <v>9504</v>
      </c>
      <c r="GN51" s="605"/>
      <c r="GO51" s="9"/>
      <c r="GP51" s="9"/>
      <c r="GQ51" s="9"/>
      <c r="GR51" s="9"/>
      <c r="GS51" s="9">
        <v>195277</v>
      </c>
      <c r="GT51" s="9">
        <v>182868</v>
      </c>
      <c r="GU51" s="9">
        <v>1281</v>
      </c>
      <c r="GV51" s="9">
        <v>2244</v>
      </c>
      <c r="GW51" s="617">
        <v>11115</v>
      </c>
      <c r="GX51" s="9">
        <v>602896</v>
      </c>
      <c r="GY51" s="9">
        <v>184772</v>
      </c>
      <c r="GZ51" s="9">
        <v>1571</v>
      </c>
      <c r="HA51" s="9">
        <v>2366</v>
      </c>
      <c r="HB51" s="9">
        <v>6120</v>
      </c>
      <c r="HC51" s="14">
        <v>52773</v>
      </c>
      <c r="HD51" s="7">
        <v>51246</v>
      </c>
      <c r="HE51" s="7">
        <v>241</v>
      </c>
      <c r="HF51" s="7">
        <v>139</v>
      </c>
      <c r="HG51" s="7">
        <v>1286</v>
      </c>
      <c r="HH51" s="14">
        <v>73563</v>
      </c>
      <c r="HI51" s="7">
        <v>70574</v>
      </c>
      <c r="HJ51" s="7">
        <v>316</v>
      </c>
      <c r="HK51" s="7">
        <v>317</v>
      </c>
      <c r="HL51" s="7">
        <v>2673</v>
      </c>
      <c r="HM51" s="14">
        <v>94844</v>
      </c>
      <c r="HN51" s="7">
        <v>89387</v>
      </c>
      <c r="HO51" s="7">
        <v>658</v>
      </c>
      <c r="HP51" s="7">
        <v>1211</v>
      </c>
      <c r="HQ51" s="7">
        <v>4799</v>
      </c>
      <c r="HR51" s="14">
        <v>96740.826000000001</v>
      </c>
      <c r="HS51" s="7">
        <v>91334.672000000006</v>
      </c>
      <c r="HT51" s="7"/>
      <c r="HU51" s="7">
        <v>994.30799999999999</v>
      </c>
      <c r="HV51" s="7">
        <v>5406.153999999995</v>
      </c>
      <c r="HW51" s="7">
        <v>100633</v>
      </c>
      <c r="HX51" s="7">
        <v>94896</v>
      </c>
      <c r="HY51" s="7">
        <v>878</v>
      </c>
      <c r="HZ51" s="7">
        <v>1026</v>
      </c>
      <c r="IA51" s="7">
        <v>4228</v>
      </c>
      <c r="IB51" s="281" t="s">
        <v>186</v>
      </c>
      <c r="IC51" s="282" t="s">
        <v>186</v>
      </c>
      <c r="ID51" s="339">
        <v>20582</v>
      </c>
      <c r="IE51" s="355">
        <f t="shared" si="466"/>
        <v>12430</v>
      </c>
      <c r="IF51" s="355">
        <f t="shared" si="467"/>
        <v>8152</v>
      </c>
      <c r="IG51" s="355">
        <f t="shared" si="468"/>
        <v>20377</v>
      </c>
      <c r="IH51" s="341">
        <v>12302</v>
      </c>
      <c r="II51" s="341">
        <v>8075</v>
      </c>
      <c r="IJ51" s="355">
        <f t="shared" si="469"/>
        <v>205</v>
      </c>
      <c r="IK51" s="341">
        <v>128</v>
      </c>
      <c r="IL51" s="341">
        <v>77</v>
      </c>
      <c r="IM51" s="339">
        <v>29786</v>
      </c>
      <c r="IN51" s="355">
        <f t="shared" si="470"/>
        <v>17184</v>
      </c>
      <c r="IO51" s="355">
        <f t="shared" si="471"/>
        <v>12602</v>
      </c>
      <c r="IP51" s="355">
        <f t="shared" si="472"/>
        <v>29631</v>
      </c>
      <c r="IQ51" s="341">
        <v>17108</v>
      </c>
      <c r="IR51" s="341">
        <v>12523</v>
      </c>
      <c r="IS51" s="355">
        <f t="shared" si="473"/>
        <v>67</v>
      </c>
      <c r="IT51" s="341">
        <v>38</v>
      </c>
      <c r="IU51" s="341">
        <v>29</v>
      </c>
      <c r="IV51" s="355">
        <f t="shared" si="474"/>
        <v>88</v>
      </c>
      <c r="IW51" s="341">
        <v>38</v>
      </c>
      <c r="IX51" s="341">
        <v>50</v>
      </c>
      <c r="IY51" s="339">
        <v>54624</v>
      </c>
      <c r="IZ51" s="355">
        <f t="shared" si="475"/>
        <v>30487</v>
      </c>
      <c r="JA51" s="355">
        <f t="shared" si="476"/>
        <v>24137</v>
      </c>
      <c r="JB51" s="365">
        <f t="shared" si="477"/>
        <v>53135</v>
      </c>
      <c r="JC51" s="341">
        <v>29680</v>
      </c>
      <c r="JD51" s="341">
        <v>23455</v>
      </c>
      <c r="JE51" s="341">
        <v>807</v>
      </c>
      <c r="JF51" s="341">
        <v>682</v>
      </c>
      <c r="JG51" s="365">
        <f t="shared" si="478"/>
        <v>141</v>
      </c>
      <c r="JH51" s="341">
        <v>110</v>
      </c>
      <c r="JI51" s="341">
        <v>31</v>
      </c>
      <c r="JJ51" s="365">
        <f t="shared" si="479"/>
        <v>261</v>
      </c>
      <c r="JK51" s="341">
        <v>159</v>
      </c>
      <c r="JL51" s="341">
        <v>102</v>
      </c>
      <c r="JM51" s="356">
        <f t="shared" si="480"/>
        <v>1087</v>
      </c>
      <c r="JN51" s="356">
        <f t="shared" si="481"/>
        <v>538</v>
      </c>
      <c r="JO51" s="356">
        <f t="shared" si="482"/>
        <v>549</v>
      </c>
      <c r="JP51" s="357">
        <f t="shared" si="483"/>
        <v>10</v>
      </c>
      <c r="JQ51" s="357">
        <f t="shared" si="484"/>
        <v>4</v>
      </c>
      <c r="JR51" s="357">
        <f t="shared" si="485"/>
        <v>6</v>
      </c>
      <c r="JS51" s="341">
        <v>1077</v>
      </c>
      <c r="JT51" s="341">
        <v>534</v>
      </c>
      <c r="JU51" s="341">
        <v>543</v>
      </c>
      <c r="JV51" s="16">
        <f t="shared" si="486"/>
        <v>73891</v>
      </c>
      <c r="JW51" s="355">
        <f t="shared" si="487"/>
        <v>39262</v>
      </c>
      <c r="JX51" s="355">
        <f t="shared" si="488"/>
        <v>34629</v>
      </c>
      <c r="JY51" s="15">
        <f t="shared" si="489"/>
        <v>71498</v>
      </c>
      <c r="JZ51" s="151">
        <f t="shared" si="490"/>
        <v>71317</v>
      </c>
      <c r="KA51" s="341">
        <v>37977</v>
      </c>
      <c r="KB51" s="341">
        <v>33340</v>
      </c>
      <c r="KC51" s="341">
        <v>1285</v>
      </c>
      <c r="KD51" s="341">
        <v>1289</v>
      </c>
      <c r="KE51" s="15">
        <f t="shared" si="491"/>
        <v>343</v>
      </c>
      <c r="KF51" s="151">
        <f t="shared" si="492"/>
        <v>343</v>
      </c>
      <c r="KG51" s="341">
        <v>245</v>
      </c>
      <c r="KH51" s="341">
        <v>98</v>
      </c>
      <c r="KI51" s="15">
        <f t="shared" si="493"/>
        <v>301</v>
      </c>
      <c r="KJ51" s="341">
        <v>203</v>
      </c>
      <c r="KK51" s="341">
        <v>98</v>
      </c>
      <c r="KL51" s="13">
        <f t="shared" si="494"/>
        <v>2050</v>
      </c>
      <c r="KM51" s="358">
        <f t="shared" si="495"/>
        <v>837</v>
      </c>
      <c r="KN51" s="358">
        <f t="shared" si="496"/>
        <v>1093</v>
      </c>
      <c r="KO51" s="359">
        <f t="shared" si="497"/>
        <v>8</v>
      </c>
      <c r="KP51" s="359">
        <f t="shared" si="498"/>
        <v>0</v>
      </c>
      <c r="KQ51" s="359">
        <f t="shared" si="499"/>
        <v>8</v>
      </c>
      <c r="KR51" s="360">
        <f t="shared" si="500"/>
        <v>1922</v>
      </c>
      <c r="KS51" s="360">
        <f t="shared" si="501"/>
        <v>837</v>
      </c>
      <c r="KT51" s="360">
        <f t="shared" si="502"/>
        <v>1085</v>
      </c>
      <c r="KU51" s="341">
        <v>602</v>
      </c>
      <c r="KV51" s="341">
        <v>824</v>
      </c>
      <c r="KW51" s="341">
        <v>235</v>
      </c>
      <c r="KX51" s="341">
        <v>261</v>
      </c>
      <c r="KY51" s="361">
        <v>102012</v>
      </c>
      <c r="KZ51" s="341">
        <v>51278</v>
      </c>
      <c r="LA51" s="341">
        <v>50734</v>
      </c>
      <c r="LB51" s="9">
        <f t="shared" si="503"/>
        <v>97433</v>
      </c>
      <c r="LC51" s="9">
        <v>49255</v>
      </c>
      <c r="LD51" s="9">
        <v>48178</v>
      </c>
      <c r="LE51" s="140">
        <f t="shared" si="504"/>
        <v>97082</v>
      </c>
      <c r="LF51" s="341">
        <v>49081</v>
      </c>
      <c r="LG51" s="341">
        <v>48001</v>
      </c>
      <c r="LH51" s="9">
        <f t="shared" si="505"/>
        <v>441</v>
      </c>
      <c r="LI51" s="341">
        <v>286</v>
      </c>
      <c r="LJ51" s="341">
        <v>155</v>
      </c>
      <c r="LK51" s="9">
        <f t="shared" si="506"/>
        <v>543</v>
      </c>
      <c r="LL51" s="341">
        <v>261</v>
      </c>
      <c r="LM51" s="341">
        <v>282</v>
      </c>
      <c r="LN51" s="140">
        <f t="shared" si="507"/>
        <v>4138</v>
      </c>
      <c r="LO51" s="140">
        <f t="shared" si="508"/>
        <v>1737</v>
      </c>
      <c r="LP51" s="140">
        <f t="shared" si="509"/>
        <v>2401</v>
      </c>
      <c r="LQ51" s="349">
        <v>125036</v>
      </c>
      <c r="LR51" s="341">
        <v>118915</v>
      </c>
      <c r="LS51" s="341">
        <v>561</v>
      </c>
      <c r="LT51" s="341">
        <v>5560</v>
      </c>
      <c r="LU51" s="9">
        <v>749</v>
      </c>
      <c r="LV51" s="14">
        <v>128013</v>
      </c>
      <c r="LW51" s="7">
        <v>120969</v>
      </c>
      <c r="LX51" s="7">
        <v>585</v>
      </c>
      <c r="LY51" s="7">
        <v>6459</v>
      </c>
      <c r="LZ51" s="7">
        <v>1175</v>
      </c>
      <c r="MA51" s="14">
        <v>129679</v>
      </c>
      <c r="MB51" s="7">
        <v>122224</v>
      </c>
      <c r="MC51" s="7">
        <v>669</v>
      </c>
      <c r="MD51" s="7">
        <v>6786</v>
      </c>
      <c r="ME51" s="7">
        <v>1436</v>
      </c>
      <c r="MF51" s="14">
        <v>133787</v>
      </c>
      <c r="MG51" s="7">
        <v>125968</v>
      </c>
      <c r="MH51" s="7">
        <v>871</v>
      </c>
      <c r="MI51" s="7">
        <v>6948</v>
      </c>
      <c r="MJ51" s="7">
        <v>1815</v>
      </c>
      <c r="MK51" s="14">
        <v>138201.18</v>
      </c>
      <c r="ML51" s="7">
        <v>129590.03200000001</v>
      </c>
      <c r="MM51" s="7"/>
      <c r="MN51" s="7">
        <v>1552.338</v>
      </c>
      <c r="MO51" s="7">
        <v>8611.1479999999865</v>
      </c>
      <c r="MP51" s="7">
        <v>141981</v>
      </c>
      <c r="MQ51" s="7">
        <v>133444</v>
      </c>
      <c r="MR51" s="7">
        <v>1066</v>
      </c>
      <c r="MS51" s="7">
        <v>1581</v>
      </c>
      <c r="MT51" s="2">
        <v>7458</v>
      </c>
      <c r="MU51" s="2">
        <v>143856</v>
      </c>
      <c r="MV51" s="2">
        <v>133701</v>
      </c>
      <c r="MW51" s="2">
        <v>1157</v>
      </c>
      <c r="MX51" s="2">
        <v>1541</v>
      </c>
      <c r="MY51" s="2">
        <v>3902</v>
      </c>
      <c r="MZ51" s="14">
        <v>21118</v>
      </c>
      <c r="NA51" s="7">
        <v>20252</v>
      </c>
      <c r="NB51" s="7">
        <v>102</v>
      </c>
      <c r="NC51" s="7">
        <v>162</v>
      </c>
      <c r="ND51" s="7">
        <v>764</v>
      </c>
      <c r="NE51" s="14">
        <v>28449</v>
      </c>
      <c r="NF51" s="7">
        <v>26859</v>
      </c>
      <c r="NG51" s="7">
        <v>125</v>
      </c>
      <c r="NH51" s="7">
        <v>226</v>
      </c>
      <c r="NI51" s="7">
        <v>1465</v>
      </c>
      <c r="NJ51" s="14">
        <v>38943</v>
      </c>
      <c r="NK51" s="7">
        <v>36581</v>
      </c>
      <c r="NL51" s="7">
        <v>213</v>
      </c>
      <c r="NM51" s="7">
        <v>604</v>
      </c>
      <c r="NN51" s="7">
        <v>2149</v>
      </c>
      <c r="NO51" s="14">
        <v>41460.353999999999</v>
      </c>
      <c r="NP51" s="7">
        <v>38255.360000000001</v>
      </c>
      <c r="NQ51" s="7"/>
      <c r="NR51" s="7">
        <v>558.03</v>
      </c>
      <c r="NS51" s="12">
        <v>3204.9939999999988</v>
      </c>
      <c r="NT51" s="1">
        <v>43245</v>
      </c>
      <c r="NU51" s="2">
        <v>39556</v>
      </c>
      <c r="NV51" s="2">
        <v>223</v>
      </c>
      <c r="NW51" s="2">
        <v>564</v>
      </c>
      <c r="NX51" s="79">
        <v>3453</v>
      </c>
      <c r="NY51" s="2">
        <v>43223</v>
      </c>
      <c r="NZ51" s="2">
        <v>38805</v>
      </c>
      <c r="OA51" s="2">
        <v>279</v>
      </c>
      <c r="OB51" s="2">
        <v>515</v>
      </c>
      <c r="OC51" s="2">
        <v>3686</v>
      </c>
    </row>
    <row r="52" spans="1:393" ht="14.25" x14ac:dyDescent="0.2">
      <c r="A52" s="245" t="s">
        <v>49</v>
      </c>
      <c r="B52" s="284" t="s">
        <v>186</v>
      </c>
      <c r="C52" s="285" t="s">
        <v>186</v>
      </c>
      <c r="D52" s="285" t="s">
        <v>186</v>
      </c>
      <c r="E52" s="285" t="s">
        <v>186</v>
      </c>
      <c r="F52" s="286" t="s">
        <v>186</v>
      </c>
      <c r="G52" s="265">
        <v>294862</v>
      </c>
      <c r="H52" s="265">
        <v>270697</v>
      </c>
      <c r="I52" s="265">
        <v>11460</v>
      </c>
      <c r="J52" s="265">
        <v>9868</v>
      </c>
      <c r="K52" s="266">
        <v>12705</v>
      </c>
      <c r="L52" s="265">
        <v>186125</v>
      </c>
      <c r="M52" s="265">
        <v>153166</v>
      </c>
      <c r="N52" s="265">
        <v>9203</v>
      </c>
      <c r="O52" s="265">
        <v>21855</v>
      </c>
      <c r="P52" s="266">
        <v>23756</v>
      </c>
      <c r="Q52" s="274">
        <v>134580</v>
      </c>
      <c r="R52" s="274">
        <v>106838</v>
      </c>
      <c r="S52" s="274">
        <v>7794</v>
      </c>
      <c r="T52" s="274">
        <v>33410</v>
      </c>
      <c r="U52" s="618">
        <v>19948</v>
      </c>
      <c r="V52" s="274">
        <v>130426</v>
      </c>
      <c r="W52" s="274">
        <v>99783</v>
      </c>
      <c r="X52" s="274">
        <v>8510</v>
      </c>
      <c r="Y52" s="274">
        <v>34372</v>
      </c>
      <c r="Z52" s="274">
        <v>22133</v>
      </c>
      <c r="AA52" s="274">
        <v>125453</v>
      </c>
      <c r="AB52" s="274">
        <v>72167</v>
      </c>
      <c r="AC52" s="274">
        <v>8306</v>
      </c>
      <c r="AD52" s="274">
        <v>33828</v>
      </c>
      <c r="AE52" s="483">
        <v>23645</v>
      </c>
      <c r="AF52" s="264">
        <v>367210</v>
      </c>
      <c r="AG52" s="265">
        <v>324190</v>
      </c>
      <c r="AH52" s="265">
        <v>33386</v>
      </c>
      <c r="AI52" s="265">
        <v>7323</v>
      </c>
      <c r="AJ52" s="266">
        <v>9634</v>
      </c>
      <c r="AK52" s="265">
        <v>332292</v>
      </c>
      <c r="AL52" s="265">
        <v>274317</v>
      </c>
      <c r="AM52" s="265">
        <v>38740</v>
      </c>
      <c r="AN52" s="265">
        <v>17586</v>
      </c>
      <c r="AO52" s="266">
        <v>19235</v>
      </c>
      <c r="AP52" s="265">
        <v>251056</v>
      </c>
      <c r="AQ52" s="265">
        <v>199748</v>
      </c>
      <c r="AR52" s="265">
        <v>32144</v>
      </c>
      <c r="AS52" s="265">
        <v>28039</v>
      </c>
      <c r="AT52" s="266">
        <v>19164</v>
      </c>
      <c r="AU52" s="265">
        <v>237275</v>
      </c>
      <c r="AV52" s="265">
        <v>187289</v>
      </c>
      <c r="AW52" s="265">
        <v>30829</v>
      </c>
      <c r="AX52" s="265">
        <v>27510</v>
      </c>
      <c r="AY52" s="265">
        <v>19143</v>
      </c>
      <c r="AZ52" s="265">
        <v>232708</v>
      </c>
      <c r="BA52" s="265">
        <v>165229</v>
      </c>
      <c r="BB52" s="265">
        <v>32062</v>
      </c>
      <c r="BC52" s="265">
        <v>26562</v>
      </c>
      <c r="BD52" s="63">
        <v>18312</v>
      </c>
      <c r="BE52" s="264">
        <v>376536</v>
      </c>
      <c r="BF52" s="265">
        <v>298866</v>
      </c>
      <c r="BG52" s="265">
        <v>39931</v>
      </c>
      <c r="BH52" s="265">
        <v>61674</v>
      </c>
      <c r="BI52" s="482">
        <f t="shared" si="454"/>
        <v>37739</v>
      </c>
      <c r="BJ52" s="284" t="s">
        <v>186</v>
      </c>
      <c r="BK52" s="285" t="s">
        <v>186</v>
      </c>
      <c r="BL52" s="285" t="s">
        <v>186</v>
      </c>
      <c r="BM52" s="285" t="s">
        <v>186</v>
      </c>
      <c r="BN52" s="284" t="s">
        <v>186</v>
      </c>
      <c r="BO52" s="285" t="s">
        <v>186</v>
      </c>
      <c r="BP52" s="285" t="s">
        <v>186</v>
      </c>
      <c r="BQ52" s="285" t="s">
        <v>186</v>
      </c>
      <c r="BR52" s="286" t="s">
        <v>186</v>
      </c>
      <c r="BS52" s="265">
        <v>2432154</v>
      </c>
      <c r="BT52" s="265">
        <v>2323388</v>
      </c>
      <c r="BU52" s="265">
        <v>71150</v>
      </c>
      <c r="BV52" s="265">
        <v>20271</v>
      </c>
      <c r="BW52" s="266">
        <v>37616</v>
      </c>
      <c r="BX52" s="265">
        <v>2957461</v>
      </c>
      <c r="BY52" s="265">
        <v>2765088</v>
      </c>
      <c r="BZ52" s="265">
        <v>104109</v>
      </c>
      <c r="CA52" s="265">
        <v>47449</v>
      </c>
      <c r="CB52" s="265">
        <v>88264</v>
      </c>
      <c r="CC52" s="267">
        <v>3266181</v>
      </c>
      <c r="CD52" s="265">
        <v>3001193</v>
      </c>
      <c r="CE52" s="265">
        <v>135442</v>
      </c>
      <c r="CF52" s="265">
        <v>129546</v>
      </c>
      <c r="CG52" s="265">
        <v>79512</v>
      </c>
      <c r="CH52" s="264">
        <v>3317664</v>
      </c>
      <c r="CI52" s="265">
        <v>3048507</v>
      </c>
      <c r="CJ52" s="265">
        <v>137740</v>
      </c>
      <c r="CK52" s="265">
        <v>131417</v>
      </c>
      <c r="CL52" s="265">
        <v>85156</v>
      </c>
      <c r="CM52" s="268">
        <v>3333900</v>
      </c>
      <c r="CN52" s="269">
        <v>3069238</v>
      </c>
      <c r="CO52" s="269">
        <v>139937</v>
      </c>
      <c r="CP52" s="269">
        <v>124725</v>
      </c>
      <c r="CQ52" s="269">
        <v>84483</v>
      </c>
      <c r="CR52" s="264">
        <v>3387900</v>
      </c>
      <c r="CS52" s="265">
        <v>3109027</v>
      </c>
      <c r="CT52" s="265">
        <v>149568</v>
      </c>
      <c r="CU52" s="265">
        <v>92978</v>
      </c>
      <c r="CV52" s="265">
        <v>102025</v>
      </c>
      <c r="CW52" s="264">
        <v>3426856.1919999998</v>
      </c>
      <c r="CX52" s="265">
        <v>3136373.2070000004</v>
      </c>
      <c r="CY52" s="265">
        <v>153163.394</v>
      </c>
      <c r="CZ52" s="265">
        <v>98935.76</v>
      </c>
      <c r="DA52" s="623">
        <f t="shared" si="455"/>
        <v>137319.5909999994</v>
      </c>
      <c r="DB52" s="265">
        <v>3460879</v>
      </c>
      <c r="DC52" s="265">
        <v>3162184</v>
      </c>
      <c r="DD52" s="265">
        <v>155247</v>
      </c>
      <c r="DE52" s="265">
        <v>103209</v>
      </c>
      <c r="DF52" s="265">
        <v>142874</v>
      </c>
      <c r="DG52" s="265">
        <v>3495569</v>
      </c>
      <c r="DH52" s="265">
        <v>3113585</v>
      </c>
      <c r="DI52" s="265">
        <v>157145</v>
      </c>
      <c r="DJ52" s="265">
        <v>110558</v>
      </c>
      <c r="DK52" s="265">
        <v>91044</v>
      </c>
      <c r="DL52" s="284" t="s">
        <v>186</v>
      </c>
      <c r="DM52" s="285" t="s">
        <v>186</v>
      </c>
      <c r="DN52" s="285" t="s">
        <v>186</v>
      </c>
      <c r="DO52" s="285" t="s">
        <v>186</v>
      </c>
      <c r="DP52" s="286" t="s">
        <v>186</v>
      </c>
      <c r="DQ52" s="265">
        <v>735487</v>
      </c>
      <c r="DR52" s="265">
        <v>693651</v>
      </c>
      <c r="DS52" s="265">
        <v>29467</v>
      </c>
      <c r="DT52" s="265">
        <v>7641</v>
      </c>
      <c r="DU52" s="266">
        <v>12369</v>
      </c>
      <c r="DV52" s="265">
        <v>976375</v>
      </c>
      <c r="DW52" s="265">
        <v>905052</v>
      </c>
      <c r="DX52" s="265">
        <v>42363</v>
      </c>
      <c r="DY52" s="265">
        <v>16444</v>
      </c>
      <c r="DZ52" s="266">
        <v>28960</v>
      </c>
      <c r="EA52" s="265">
        <v>1141344</v>
      </c>
      <c r="EB52" s="265">
        <v>1039141</v>
      </c>
      <c r="EC52" s="265">
        <v>59508</v>
      </c>
      <c r="ED52" s="265">
        <v>32833</v>
      </c>
      <c r="EE52" s="266">
        <v>42695</v>
      </c>
      <c r="EF52" s="265">
        <v>1160034.56</v>
      </c>
      <c r="EG52" s="265">
        <v>1051183.1340000001</v>
      </c>
      <c r="EH52" s="265">
        <v>62885.726000000002</v>
      </c>
      <c r="EI52" s="265">
        <v>35173.589999999997</v>
      </c>
      <c r="EJ52" s="266">
        <v>45965.699999999975</v>
      </c>
      <c r="EK52" s="265">
        <v>1182320</v>
      </c>
      <c r="EL52" s="265">
        <v>1069152</v>
      </c>
      <c r="EM52" s="265">
        <v>66196</v>
      </c>
      <c r="EN52" s="265">
        <v>37198</v>
      </c>
      <c r="EO52" s="662">
        <v>46700</v>
      </c>
      <c r="EP52" s="718">
        <v>1197908</v>
      </c>
      <c r="EQ52" s="718">
        <v>1051841</v>
      </c>
      <c r="ER52" s="718">
        <v>69720</v>
      </c>
      <c r="ES52" s="718">
        <v>39825</v>
      </c>
      <c r="ET52" s="718">
        <v>49385</v>
      </c>
      <c r="EU52" s="264">
        <v>220177</v>
      </c>
      <c r="EV52" s="265">
        <v>210932</v>
      </c>
      <c r="EW52" s="265">
        <v>6033</v>
      </c>
      <c r="EX52" s="265">
        <v>1948</v>
      </c>
      <c r="EY52" s="266">
        <v>3212</v>
      </c>
      <c r="EZ52" s="265">
        <v>260711</v>
      </c>
      <c r="FA52" s="265">
        <v>244818</v>
      </c>
      <c r="FB52" s="265">
        <v>8978</v>
      </c>
      <c r="FC52" s="265">
        <v>3332</v>
      </c>
      <c r="FD52" s="266">
        <v>6915</v>
      </c>
      <c r="FE52" s="264">
        <v>341679</v>
      </c>
      <c r="FF52" s="265">
        <v>318722</v>
      </c>
      <c r="FG52" s="265">
        <v>12355</v>
      </c>
      <c r="FH52" s="265">
        <v>7126</v>
      </c>
      <c r="FI52" s="265">
        <v>10602</v>
      </c>
      <c r="FJ52" s="264"/>
      <c r="FK52" s="265"/>
      <c r="FL52" s="265"/>
      <c r="FM52" s="265"/>
      <c r="FN52" s="266"/>
      <c r="FO52" s="264">
        <v>368323</v>
      </c>
      <c r="FP52" s="265">
        <v>342698</v>
      </c>
      <c r="FQ52" s="265">
        <v>13247</v>
      </c>
      <c r="FR52" s="265">
        <v>8685</v>
      </c>
      <c r="FS52" s="266">
        <v>12367</v>
      </c>
      <c r="FT52" s="7">
        <v>379309</v>
      </c>
      <c r="FU52" s="7">
        <v>344715</v>
      </c>
      <c r="FV52" s="7">
        <v>15264</v>
      </c>
      <c r="FW52" s="7">
        <v>9335</v>
      </c>
      <c r="FX52" s="7">
        <v>13328</v>
      </c>
      <c r="FY52" s="609">
        <f t="shared" si="510"/>
        <v>769147</v>
      </c>
      <c r="FZ52" s="584">
        <f t="shared" si="511"/>
        <v>738771</v>
      </c>
      <c r="GA52" s="584">
        <f t="shared" si="512"/>
        <v>15689</v>
      </c>
      <c r="GB52" s="584">
        <f t="shared" si="513"/>
        <v>5680</v>
      </c>
      <c r="GC52" s="584">
        <f t="shared" si="514"/>
        <v>14687</v>
      </c>
      <c r="GD52" s="609">
        <f t="shared" si="515"/>
        <v>1039984</v>
      </c>
      <c r="GE52" s="584">
        <f t="shared" si="516"/>
        <v>979965</v>
      </c>
      <c r="GF52" s="584">
        <f t="shared" si="517"/>
        <v>24985</v>
      </c>
      <c r="GG52" s="584">
        <f t="shared" si="518"/>
        <v>13277</v>
      </c>
      <c r="GH52" s="584">
        <f t="shared" si="519"/>
        <v>35034</v>
      </c>
      <c r="GI52" s="264">
        <v>1156378</v>
      </c>
      <c r="GJ52" s="265">
        <v>1078341</v>
      </c>
      <c r="GK52" s="265">
        <v>32327</v>
      </c>
      <c r="GL52" s="265">
        <v>21254</v>
      </c>
      <c r="GM52" s="265">
        <v>45710</v>
      </c>
      <c r="GN52" s="606"/>
      <c r="GO52" s="274"/>
      <c r="GP52" s="274"/>
      <c r="GQ52" s="274"/>
      <c r="GR52" s="274"/>
      <c r="GS52" s="274">
        <v>1390411</v>
      </c>
      <c r="GT52" s="274">
        <v>1290979</v>
      </c>
      <c r="GU52" s="274">
        <v>37948</v>
      </c>
      <c r="GV52" s="274">
        <v>27522</v>
      </c>
      <c r="GW52" s="618">
        <v>61295</v>
      </c>
      <c r="GX52" s="274">
        <v>4289904</v>
      </c>
      <c r="GY52" s="274">
        <v>1300841</v>
      </c>
      <c r="GZ52" s="274">
        <v>40158</v>
      </c>
      <c r="HA52" s="274">
        <v>29678</v>
      </c>
      <c r="HB52" s="274">
        <v>37881</v>
      </c>
      <c r="HC52" s="264">
        <v>375603</v>
      </c>
      <c r="HD52" s="265">
        <v>363111</v>
      </c>
      <c r="HE52" s="265">
        <v>6802</v>
      </c>
      <c r="HF52" s="265">
        <v>2161</v>
      </c>
      <c r="HG52" s="265">
        <v>5690</v>
      </c>
      <c r="HH52" s="264">
        <v>530268</v>
      </c>
      <c r="HI52" s="265">
        <v>504486</v>
      </c>
      <c r="HJ52" s="265">
        <v>10489</v>
      </c>
      <c r="HK52" s="265">
        <v>6074</v>
      </c>
      <c r="HL52" s="265">
        <v>15293</v>
      </c>
      <c r="HM52" s="264">
        <v>649278</v>
      </c>
      <c r="HN52" s="265">
        <v>608533</v>
      </c>
      <c r="HO52" s="265">
        <v>16497</v>
      </c>
      <c r="HP52" s="265">
        <v>11346</v>
      </c>
      <c r="HQ52" s="265">
        <v>24248</v>
      </c>
      <c r="HR52" s="264">
        <v>661790.20799999998</v>
      </c>
      <c r="HS52" s="265">
        <v>618343.02</v>
      </c>
      <c r="HT52" s="265">
        <v>16010.783000000001</v>
      </c>
      <c r="HU52" s="265">
        <v>12366.97</v>
      </c>
      <c r="HV52" s="265">
        <v>27436.404999999962</v>
      </c>
      <c r="HW52" s="265">
        <v>690713</v>
      </c>
      <c r="HX52" s="265">
        <v>639557</v>
      </c>
      <c r="HY52" s="265">
        <v>15357</v>
      </c>
      <c r="HZ52" s="265">
        <v>12922</v>
      </c>
      <c r="IA52" s="265">
        <v>25994</v>
      </c>
      <c r="IB52" s="284" t="s">
        <v>186</v>
      </c>
      <c r="IC52" s="285" t="s">
        <v>186</v>
      </c>
      <c r="ID52" s="372">
        <v>145043</v>
      </c>
      <c r="IE52" s="373">
        <f t="shared" si="466"/>
        <v>87699</v>
      </c>
      <c r="IF52" s="373">
        <f t="shared" si="467"/>
        <v>57344</v>
      </c>
      <c r="IG52" s="373">
        <f t="shared" si="468"/>
        <v>143380</v>
      </c>
      <c r="IH52" s="374">
        <v>86634</v>
      </c>
      <c r="II52" s="374">
        <v>56746</v>
      </c>
      <c r="IJ52" s="373">
        <f t="shared" si="469"/>
        <v>1663</v>
      </c>
      <c r="IK52" s="374">
        <v>1065</v>
      </c>
      <c r="IL52" s="374">
        <v>598</v>
      </c>
      <c r="IM52" s="372">
        <v>40332</v>
      </c>
      <c r="IN52" s="373">
        <f t="shared" si="470"/>
        <v>22736</v>
      </c>
      <c r="IO52" s="373">
        <f t="shared" si="471"/>
        <v>17596</v>
      </c>
      <c r="IP52" s="373">
        <f t="shared" si="472"/>
        <v>40139</v>
      </c>
      <c r="IQ52" s="374">
        <v>22625</v>
      </c>
      <c r="IR52" s="374">
        <v>17514</v>
      </c>
      <c r="IS52" s="373">
        <f t="shared" si="473"/>
        <v>10</v>
      </c>
      <c r="IT52" s="374">
        <v>10</v>
      </c>
      <c r="IU52" s="374">
        <v>0</v>
      </c>
      <c r="IV52" s="373">
        <f t="shared" si="474"/>
        <v>183</v>
      </c>
      <c r="IW52" s="374">
        <v>101</v>
      </c>
      <c r="IX52" s="374">
        <v>82</v>
      </c>
      <c r="IY52" s="372">
        <v>401076</v>
      </c>
      <c r="IZ52" s="373">
        <f t="shared" si="475"/>
        <v>228324</v>
      </c>
      <c r="JA52" s="373">
        <f t="shared" si="476"/>
        <v>172752</v>
      </c>
      <c r="JB52" s="388">
        <f t="shared" si="477"/>
        <v>386603</v>
      </c>
      <c r="JC52" s="374">
        <v>220638</v>
      </c>
      <c r="JD52" s="374">
        <v>165965</v>
      </c>
      <c r="JE52" s="374">
        <v>7686</v>
      </c>
      <c r="JF52" s="374">
        <v>6787</v>
      </c>
      <c r="JG52" s="388">
        <f t="shared" si="478"/>
        <v>6455</v>
      </c>
      <c r="JH52" s="374">
        <v>3149</v>
      </c>
      <c r="JI52" s="374">
        <v>3306</v>
      </c>
      <c r="JJ52" s="388">
        <f t="shared" si="479"/>
        <v>2343</v>
      </c>
      <c r="JK52" s="374">
        <v>1258</v>
      </c>
      <c r="JL52" s="374">
        <v>1085</v>
      </c>
      <c r="JM52" s="375">
        <f t="shared" si="480"/>
        <v>5675</v>
      </c>
      <c r="JN52" s="375">
        <f t="shared" si="481"/>
        <v>3279</v>
      </c>
      <c r="JO52" s="375">
        <f t="shared" si="482"/>
        <v>2396</v>
      </c>
      <c r="JP52" s="376">
        <f t="shared" si="483"/>
        <v>189</v>
      </c>
      <c r="JQ52" s="376">
        <f t="shared" si="484"/>
        <v>96</v>
      </c>
      <c r="JR52" s="376">
        <f t="shared" si="485"/>
        <v>93</v>
      </c>
      <c r="JS52" s="374">
        <v>5486</v>
      </c>
      <c r="JT52" s="374">
        <v>3183</v>
      </c>
      <c r="JU52" s="374">
        <v>2303</v>
      </c>
      <c r="JV52" s="270">
        <f t="shared" si="486"/>
        <v>548970</v>
      </c>
      <c r="JW52" s="373">
        <f t="shared" si="487"/>
        <v>291005</v>
      </c>
      <c r="JX52" s="373">
        <f t="shared" si="488"/>
        <v>257965</v>
      </c>
      <c r="JY52" s="271">
        <f t="shared" si="489"/>
        <v>527839</v>
      </c>
      <c r="JZ52" s="272">
        <f t="shared" si="490"/>
        <v>525301</v>
      </c>
      <c r="KA52" s="374">
        <v>278948</v>
      </c>
      <c r="KB52" s="374">
        <v>246353</v>
      </c>
      <c r="KC52" s="374">
        <v>12057</v>
      </c>
      <c r="KD52" s="374">
        <v>11612</v>
      </c>
      <c r="KE52" s="271">
        <f t="shared" si="491"/>
        <v>9656</v>
      </c>
      <c r="KF52" s="272">
        <f t="shared" si="492"/>
        <v>9611</v>
      </c>
      <c r="KG52" s="374">
        <v>4368</v>
      </c>
      <c r="KH52" s="374">
        <v>5243</v>
      </c>
      <c r="KI52" s="271">
        <f t="shared" si="493"/>
        <v>3732</v>
      </c>
      <c r="KJ52" s="374">
        <v>1992</v>
      </c>
      <c r="KK52" s="374">
        <v>1740</v>
      </c>
      <c r="KL52" s="273">
        <f t="shared" si="494"/>
        <v>11475</v>
      </c>
      <c r="KM52" s="377">
        <f t="shared" si="495"/>
        <v>5697</v>
      </c>
      <c r="KN52" s="377">
        <f t="shared" si="496"/>
        <v>4629</v>
      </c>
      <c r="KO52" s="378">
        <f t="shared" si="497"/>
        <v>95</v>
      </c>
      <c r="KP52" s="378">
        <f t="shared" si="498"/>
        <v>61</v>
      </c>
      <c r="KQ52" s="378">
        <f t="shared" si="499"/>
        <v>34</v>
      </c>
      <c r="KR52" s="379">
        <f t="shared" si="500"/>
        <v>10231</v>
      </c>
      <c r="KS52" s="379">
        <f t="shared" si="501"/>
        <v>5636</v>
      </c>
      <c r="KT52" s="379">
        <f t="shared" si="502"/>
        <v>4595</v>
      </c>
      <c r="KU52" s="374">
        <v>477</v>
      </c>
      <c r="KV52" s="374">
        <v>594</v>
      </c>
      <c r="KW52" s="374">
        <v>5159</v>
      </c>
      <c r="KX52" s="374">
        <v>4001</v>
      </c>
      <c r="KY52" s="380">
        <v>779273</v>
      </c>
      <c r="KZ52" s="374">
        <v>389432</v>
      </c>
      <c r="LA52" s="374">
        <v>389841</v>
      </c>
      <c r="LB52" s="274">
        <f t="shared" si="503"/>
        <v>735147</v>
      </c>
      <c r="LC52" s="274">
        <v>367942</v>
      </c>
      <c r="LD52" s="274">
        <v>367205</v>
      </c>
      <c r="LE52" s="275">
        <f t="shared" si="504"/>
        <v>729088</v>
      </c>
      <c r="LF52" s="374">
        <v>364780</v>
      </c>
      <c r="LG52" s="374">
        <v>364308</v>
      </c>
      <c r="LH52" s="274">
        <f t="shared" si="505"/>
        <v>16007</v>
      </c>
      <c r="LI52" s="374">
        <v>7142</v>
      </c>
      <c r="LJ52" s="374">
        <v>8865</v>
      </c>
      <c r="LK52" s="274">
        <f t="shared" si="506"/>
        <v>9945</v>
      </c>
      <c r="LL52" s="374">
        <v>5074</v>
      </c>
      <c r="LM52" s="374">
        <v>4871</v>
      </c>
      <c r="LN52" s="275">
        <f t="shared" si="507"/>
        <v>28119</v>
      </c>
      <c r="LO52" s="275">
        <f t="shared" si="508"/>
        <v>14348</v>
      </c>
      <c r="LP52" s="275">
        <f t="shared" si="509"/>
        <v>13771</v>
      </c>
      <c r="LQ52" s="381">
        <v>926417</v>
      </c>
      <c r="LR52" s="374">
        <v>864301</v>
      </c>
      <c r="LS52" s="374">
        <v>20659</v>
      </c>
      <c r="LT52" s="374">
        <v>41457</v>
      </c>
      <c r="LU52" s="274">
        <v>14798</v>
      </c>
      <c r="LV52" s="264">
        <v>949549</v>
      </c>
      <c r="LW52" s="265">
        <v>883830</v>
      </c>
      <c r="LX52" s="265">
        <v>22247</v>
      </c>
      <c r="LY52" s="265">
        <v>43472</v>
      </c>
      <c r="LZ52" s="265">
        <v>15736</v>
      </c>
      <c r="MA52" s="264">
        <v>954584</v>
      </c>
      <c r="MB52" s="265">
        <v>889666</v>
      </c>
      <c r="MC52" s="265">
        <v>23218</v>
      </c>
      <c r="MD52" s="265">
        <v>41700</v>
      </c>
      <c r="ME52" s="265">
        <v>15914</v>
      </c>
      <c r="MF52" s="264">
        <v>976533</v>
      </c>
      <c r="MG52" s="265">
        <v>905783</v>
      </c>
      <c r="MH52" s="265">
        <v>25864</v>
      </c>
      <c r="MI52" s="265">
        <v>44886</v>
      </c>
      <c r="MJ52" s="265">
        <v>17219</v>
      </c>
      <c r="MK52" s="264">
        <v>996488.70400000003</v>
      </c>
      <c r="ML52" s="265">
        <v>924079.29099999997</v>
      </c>
      <c r="MM52" s="265">
        <v>24498.427000000003</v>
      </c>
      <c r="MN52" s="265">
        <v>18630.759999999998</v>
      </c>
      <c r="MO52" s="265">
        <v>47910.986000000055</v>
      </c>
      <c r="MP52" s="265">
        <v>1022088</v>
      </c>
      <c r="MQ52" s="265">
        <v>948281</v>
      </c>
      <c r="MR52" s="265">
        <v>24701</v>
      </c>
      <c r="MS52" s="265">
        <v>18837</v>
      </c>
      <c r="MT52" s="2">
        <v>48928</v>
      </c>
      <c r="MU52" s="2">
        <v>1047769</v>
      </c>
      <c r="MV52" s="2">
        <v>956126</v>
      </c>
      <c r="MW52" s="2">
        <v>24894</v>
      </c>
      <c r="MX52" s="2">
        <v>20343</v>
      </c>
      <c r="MY52" s="2">
        <v>29658</v>
      </c>
      <c r="MZ52" s="264">
        <v>173367</v>
      </c>
      <c r="NA52" s="265">
        <v>164728</v>
      </c>
      <c r="NB52" s="265">
        <v>2854</v>
      </c>
      <c r="NC52" s="265">
        <v>1571</v>
      </c>
      <c r="ND52" s="265">
        <v>5785</v>
      </c>
      <c r="NE52" s="264">
        <v>249005</v>
      </c>
      <c r="NF52" s="265">
        <v>230661</v>
      </c>
      <c r="NG52" s="265">
        <v>5518</v>
      </c>
      <c r="NH52" s="265">
        <v>3871</v>
      </c>
      <c r="NI52" s="265">
        <v>12826</v>
      </c>
      <c r="NJ52" s="264">
        <v>327255</v>
      </c>
      <c r="NK52" s="265">
        <v>297250</v>
      </c>
      <c r="NL52" s="265">
        <v>9367</v>
      </c>
      <c r="NM52" s="265">
        <v>5873</v>
      </c>
      <c r="NN52" s="265">
        <v>20638</v>
      </c>
      <c r="NO52" s="264">
        <v>334698.49600000004</v>
      </c>
      <c r="NP52" s="265">
        <v>305736.27100000001</v>
      </c>
      <c r="NQ52" s="265">
        <v>8487.6440000000002</v>
      </c>
      <c r="NR52" s="265">
        <v>6263.79</v>
      </c>
      <c r="NS52" s="266">
        <v>20474.581000000035</v>
      </c>
      <c r="NT52" s="4">
        <v>350048</v>
      </c>
      <c r="NU52" s="4">
        <v>316467</v>
      </c>
      <c r="NV52" s="4">
        <v>9215</v>
      </c>
      <c r="NW52" s="4">
        <v>6812</v>
      </c>
      <c r="NX52" s="233">
        <v>24322</v>
      </c>
      <c r="NY52" s="2">
        <v>357056</v>
      </c>
      <c r="NZ52" s="2">
        <v>316569</v>
      </c>
      <c r="OA52" s="2">
        <v>9537</v>
      </c>
      <c r="OB52" s="2">
        <v>7421</v>
      </c>
      <c r="OC52" s="2">
        <v>25363</v>
      </c>
    </row>
    <row r="53" spans="1:393" x14ac:dyDescent="0.2">
      <c r="A53" s="246" t="s">
        <v>185</v>
      </c>
      <c r="B53" s="281" t="s">
        <v>186</v>
      </c>
      <c r="C53" s="282" t="s">
        <v>186</v>
      </c>
      <c r="D53" s="282" t="s">
        <v>186</v>
      </c>
      <c r="E53" s="282" t="s">
        <v>186</v>
      </c>
      <c r="F53" s="283" t="s">
        <v>186</v>
      </c>
      <c r="G53" s="288">
        <f>SUM(G55:G63)</f>
        <v>3152991</v>
      </c>
      <c r="H53" s="288">
        <f t="shared" ref="H53:AT53" si="520">SUM(H55:H63)</f>
        <v>2429289</v>
      </c>
      <c r="I53" s="288">
        <f t="shared" si="520"/>
        <v>360710</v>
      </c>
      <c r="J53" s="288">
        <f t="shared" si="520"/>
        <v>509379</v>
      </c>
      <c r="K53" s="289">
        <f t="shared" si="520"/>
        <v>362992</v>
      </c>
      <c r="L53" s="288">
        <f>SUM(L55:L63)</f>
        <v>2368466</v>
      </c>
      <c r="M53" s="288">
        <f t="shared" si="520"/>
        <v>1530108</v>
      </c>
      <c r="N53" s="288">
        <f t="shared" si="520"/>
        <v>253587</v>
      </c>
      <c r="O53" s="288">
        <f t="shared" si="520"/>
        <v>640469</v>
      </c>
      <c r="P53" s="289">
        <f t="shared" si="520"/>
        <v>584771</v>
      </c>
      <c r="Q53" s="385">
        <f>SUM(Q55:Q63)</f>
        <v>2033419</v>
      </c>
      <c r="R53" s="385">
        <f t="shared" ref="R53:W53" si="521">SUM(R55:R63)</f>
        <v>1173172</v>
      </c>
      <c r="S53" s="385">
        <f t="shared" si="521"/>
        <v>239051</v>
      </c>
      <c r="T53" s="385">
        <f t="shared" si="521"/>
        <v>753711</v>
      </c>
      <c r="U53" s="603">
        <f t="shared" si="521"/>
        <v>621196</v>
      </c>
      <c r="V53" s="385">
        <f>SUM(V55:V63)</f>
        <v>1994230</v>
      </c>
      <c r="W53" s="385">
        <f t="shared" si="521"/>
        <v>1101003</v>
      </c>
      <c r="X53" s="385">
        <f t="shared" ref="X53" si="522">SUM(X55:X63)</f>
        <v>232293</v>
      </c>
      <c r="Y53" s="385">
        <f t="shared" ref="Y53" si="523">SUM(Y55:Y63)</f>
        <v>774073</v>
      </c>
      <c r="Z53" s="603">
        <f t="shared" ref="Z53:AE53" si="524">SUM(Z55:Z63)</f>
        <v>660634</v>
      </c>
      <c r="AA53" s="603">
        <f t="shared" si="524"/>
        <v>1984169</v>
      </c>
      <c r="AB53" s="603">
        <f t="shared" si="524"/>
        <v>738948</v>
      </c>
      <c r="AC53" s="603">
        <f t="shared" si="524"/>
        <v>236076</v>
      </c>
      <c r="AD53" s="603">
        <f t="shared" si="524"/>
        <v>780552</v>
      </c>
      <c r="AE53" s="603">
        <f t="shared" si="524"/>
        <v>670548</v>
      </c>
      <c r="AF53" s="288">
        <f>SUM(AF55:AF63)</f>
        <v>4822826</v>
      </c>
      <c r="AG53" s="288">
        <f t="shared" si="520"/>
        <v>3741432</v>
      </c>
      <c r="AH53" s="288">
        <f t="shared" si="520"/>
        <v>774856</v>
      </c>
      <c r="AI53" s="288">
        <f t="shared" si="520"/>
        <v>454617</v>
      </c>
      <c r="AJ53" s="289">
        <f t="shared" si="520"/>
        <v>306538</v>
      </c>
      <c r="AK53" s="288">
        <f>SUM(AK55:AK63)</f>
        <v>4226213</v>
      </c>
      <c r="AL53" s="288">
        <f t="shared" si="520"/>
        <v>2917410</v>
      </c>
      <c r="AM53" s="288">
        <f t="shared" si="520"/>
        <v>744066</v>
      </c>
      <c r="AN53" s="288">
        <f t="shared" si="520"/>
        <v>615288</v>
      </c>
      <c r="AO53" s="289">
        <f t="shared" si="520"/>
        <v>564737</v>
      </c>
      <c r="AP53" s="288">
        <f>SUM(AP55:AP63)</f>
        <v>2836713</v>
      </c>
      <c r="AQ53" s="288">
        <f t="shared" si="520"/>
        <v>1880214</v>
      </c>
      <c r="AR53" s="288">
        <f t="shared" si="520"/>
        <v>500233</v>
      </c>
      <c r="AS53" s="288">
        <f t="shared" si="520"/>
        <v>563803</v>
      </c>
      <c r="AT53" s="289">
        <f t="shared" si="520"/>
        <v>456266</v>
      </c>
      <c r="AU53" s="289">
        <f t="shared" ref="AU53:BD53" si="525">SUM(AU55:AU63)</f>
        <v>2732382</v>
      </c>
      <c r="AV53" s="289">
        <f t="shared" si="525"/>
        <v>1753313</v>
      </c>
      <c r="AW53" s="289">
        <f t="shared" si="525"/>
        <v>487288</v>
      </c>
      <c r="AX53" s="289">
        <f t="shared" si="525"/>
        <v>582601</v>
      </c>
      <c r="AY53" s="289">
        <f t="shared" si="525"/>
        <v>491289</v>
      </c>
      <c r="AZ53" s="289">
        <f t="shared" si="525"/>
        <v>2673205</v>
      </c>
      <c r="BA53" s="289">
        <f t="shared" si="525"/>
        <v>1441964</v>
      </c>
      <c r="BB53" s="289">
        <f t="shared" si="525"/>
        <v>476007</v>
      </c>
      <c r="BC53" s="289">
        <f t="shared" si="525"/>
        <v>585154</v>
      </c>
      <c r="BD53" s="289">
        <f t="shared" si="525"/>
        <v>499513</v>
      </c>
      <c r="BE53" s="579">
        <f t="shared" ref="BE53:BI53" si="526">SUM(BE55:BE63)</f>
        <v>4799943</v>
      </c>
      <c r="BF53" s="288">
        <f t="shared" si="526"/>
        <v>2943350</v>
      </c>
      <c r="BG53" s="288">
        <f t="shared" si="526"/>
        <v>723014</v>
      </c>
      <c r="BH53" s="288">
        <f t="shared" si="526"/>
        <v>1336073</v>
      </c>
      <c r="BI53" s="288">
        <f t="shared" si="526"/>
        <v>1133579</v>
      </c>
      <c r="BJ53" s="281" t="s">
        <v>186</v>
      </c>
      <c r="BK53" s="282" t="s">
        <v>186</v>
      </c>
      <c r="BL53" s="282" t="s">
        <v>186</v>
      </c>
      <c r="BM53" s="282" t="s">
        <v>186</v>
      </c>
      <c r="BN53" s="389" t="s">
        <v>186</v>
      </c>
      <c r="BO53" s="282" t="s">
        <v>186</v>
      </c>
      <c r="BP53" s="282" t="s">
        <v>186</v>
      </c>
      <c r="BQ53" s="282" t="s">
        <v>186</v>
      </c>
      <c r="BR53" s="283" t="s">
        <v>186</v>
      </c>
      <c r="BS53" s="288">
        <f>SUM(BS55:BS63)</f>
        <v>25568811</v>
      </c>
      <c r="BT53" s="288">
        <f t="shared" ref="BT53:BW53" si="527">SUM(BT55:BT63)</f>
        <v>22380192</v>
      </c>
      <c r="BU53" s="288">
        <f t="shared" si="527"/>
        <v>2136798</v>
      </c>
      <c r="BV53" s="288">
        <f t="shared" si="527"/>
        <v>1028293</v>
      </c>
      <c r="BW53" s="289">
        <f t="shared" si="527"/>
        <v>1051821</v>
      </c>
      <c r="BX53" s="288">
        <f>SUM(BX55:BX63)</f>
        <v>29233508</v>
      </c>
      <c r="BY53" s="288">
        <f t="shared" ref="BY53:CQ53" si="528">SUM(BY55:BY63)</f>
        <v>24358708</v>
      </c>
      <c r="BZ53" s="288">
        <f t="shared" si="528"/>
        <v>2580614</v>
      </c>
      <c r="CA53" s="288">
        <f t="shared" si="528"/>
        <v>1635095</v>
      </c>
      <c r="CB53" s="288">
        <f t="shared" si="528"/>
        <v>2294186</v>
      </c>
      <c r="CC53" s="288">
        <f>SUM(CC55:CC63)</f>
        <v>31556071</v>
      </c>
      <c r="CD53" s="288">
        <f t="shared" si="528"/>
        <v>25469721</v>
      </c>
      <c r="CE53" s="288">
        <f t="shared" si="528"/>
        <v>3020951</v>
      </c>
      <c r="CF53" s="288">
        <f t="shared" si="528"/>
        <v>3065399</v>
      </c>
      <c r="CG53" s="289">
        <f t="shared" si="528"/>
        <v>2302189</v>
      </c>
      <c r="CH53" s="288">
        <f>SUM(CH55:CH63)</f>
        <v>31876632</v>
      </c>
      <c r="CI53" s="288">
        <f t="shared" si="528"/>
        <v>25725914</v>
      </c>
      <c r="CJ53" s="288">
        <f t="shared" si="528"/>
        <v>3075896</v>
      </c>
      <c r="CK53" s="288">
        <f t="shared" si="528"/>
        <v>3074822</v>
      </c>
      <c r="CL53" s="289">
        <f t="shared" si="528"/>
        <v>2369229</v>
      </c>
      <c r="CM53" s="288">
        <f>SUM(CM55:CM63)</f>
        <v>32322829</v>
      </c>
      <c r="CN53" s="288">
        <f t="shared" si="528"/>
        <v>26151525</v>
      </c>
      <c r="CO53" s="288">
        <f t="shared" si="528"/>
        <v>3157415</v>
      </c>
      <c r="CP53" s="288">
        <f t="shared" si="528"/>
        <v>3013889</v>
      </c>
      <c r="CQ53" s="288">
        <f t="shared" si="528"/>
        <v>2397141</v>
      </c>
      <c r="CR53" s="288">
        <f t="shared" ref="CR53:DK53" si="529">SUM(CR55:CR63)</f>
        <v>32461707</v>
      </c>
      <c r="CS53" s="288">
        <f t="shared" si="529"/>
        <v>26083419</v>
      </c>
      <c r="CT53" s="288">
        <f t="shared" si="529"/>
        <v>3228877</v>
      </c>
      <c r="CU53" s="288">
        <f t="shared" si="529"/>
        <v>2560693</v>
      </c>
      <c r="CV53" s="288">
        <f t="shared" si="529"/>
        <v>2754434</v>
      </c>
      <c r="CW53" s="288">
        <f t="shared" si="529"/>
        <v>32830665.380000003</v>
      </c>
      <c r="CX53" s="288">
        <f t="shared" si="529"/>
        <v>26272943.955000002</v>
      </c>
      <c r="CY53" s="288">
        <f t="shared" si="529"/>
        <v>3275036.5630000001</v>
      </c>
      <c r="CZ53" s="288">
        <f t="shared" si="529"/>
        <v>2653741.3220000002</v>
      </c>
      <c r="DA53" s="289">
        <f t="shared" si="529"/>
        <v>3282684.8619999993</v>
      </c>
      <c r="DB53" s="289">
        <f t="shared" si="529"/>
        <v>33158125</v>
      </c>
      <c r="DC53" s="288">
        <f t="shared" si="529"/>
        <v>26421693</v>
      </c>
      <c r="DD53" s="288">
        <f t="shared" si="529"/>
        <v>3345138</v>
      </c>
      <c r="DE53" s="288">
        <f t="shared" si="529"/>
        <v>2771206</v>
      </c>
      <c r="DF53" s="288">
        <f t="shared" si="529"/>
        <v>3387808</v>
      </c>
      <c r="DG53" s="288">
        <f t="shared" si="529"/>
        <v>33503927</v>
      </c>
      <c r="DH53" s="288">
        <f t="shared" si="529"/>
        <v>25039751</v>
      </c>
      <c r="DI53" s="288">
        <f t="shared" si="529"/>
        <v>3413436</v>
      </c>
      <c r="DJ53" s="288">
        <f t="shared" si="529"/>
        <v>2884957</v>
      </c>
      <c r="DK53" s="288">
        <f t="shared" si="529"/>
        <v>1942387</v>
      </c>
      <c r="DL53" s="389" t="s">
        <v>186</v>
      </c>
      <c r="DM53" s="282" t="s">
        <v>186</v>
      </c>
      <c r="DN53" s="282" t="s">
        <v>186</v>
      </c>
      <c r="DO53" s="282" t="s">
        <v>186</v>
      </c>
      <c r="DP53" s="283" t="s">
        <v>186</v>
      </c>
      <c r="DQ53" s="288">
        <f>SUM(DQ55:DQ63)</f>
        <v>7118189</v>
      </c>
      <c r="DR53" s="288">
        <f t="shared" ref="DR53:DU53" si="530">SUM(DR55:DR63)</f>
        <v>6094768</v>
      </c>
      <c r="DS53" s="288">
        <f t="shared" si="530"/>
        <v>742501</v>
      </c>
      <c r="DT53" s="288">
        <f t="shared" si="530"/>
        <v>347471</v>
      </c>
      <c r="DU53" s="289">
        <f t="shared" si="530"/>
        <v>280920</v>
      </c>
      <c r="DV53" s="288">
        <f>SUM(DV55:DV63)</f>
        <v>8399505</v>
      </c>
      <c r="DW53" s="288">
        <f t="shared" ref="DW53:IA53" si="531">SUM(DW55:DW63)</f>
        <v>6837398</v>
      </c>
      <c r="DX53" s="288">
        <f t="shared" si="531"/>
        <v>941380</v>
      </c>
      <c r="DY53" s="288">
        <f t="shared" si="531"/>
        <v>568120</v>
      </c>
      <c r="DZ53" s="289">
        <f t="shared" si="531"/>
        <v>620727</v>
      </c>
      <c r="EA53" s="288">
        <f t="shared" si="531"/>
        <v>9135202</v>
      </c>
      <c r="EB53" s="288">
        <f t="shared" si="531"/>
        <v>7211154</v>
      </c>
      <c r="EC53" s="288">
        <f t="shared" si="531"/>
        <v>1164860</v>
      </c>
      <c r="ED53" s="288">
        <f t="shared" si="531"/>
        <v>835565</v>
      </c>
      <c r="EE53" s="289">
        <f t="shared" si="531"/>
        <v>759188</v>
      </c>
      <c r="EF53" s="288">
        <f t="shared" si="531"/>
        <v>9229012.0029999986</v>
      </c>
      <c r="EG53" s="288">
        <f t="shared" si="531"/>
        <v>7257927.5260000005</v>
      </c>
      <c r="EH53" s="288">
        <f t="shared" si="531"/>
        <v>1178605.5969999998</v>
      </c>
      <c r="EI53" s="288">
        <f t="shared" si="531"/>
        <v>872785.42200000002</v>
      </c>
      <c r="EJ53" s="289">
        <f t="shared" si="531"/>
        <v>792478.87999999919</v>
      </c>
      <c r="EK53" s="289">
        <f t="shared" si="531"/>
        <v>9300602</v>
      </c>
      <c r="EL53" s="289">
        <f t="shared" si="531"/>
        <v>7268330</v>
      </c>
      <c r="EM53" s="289">
        <f t="shared" si="531"/>
        <v>1206314</v>
      </c>
      <c r="EN53" s="289">
        <f t="shared" si="531"/>
        <v>910910</v>
      </c>
      <c r="EO53" s="289">
        <f t="shared" si="531"/>
        <v>824557</v>
      </c>
      <c r="EP53" s="289">
        <f t="shared" si="531"/>
        <v>9382819</v>
      </c>
      <c r="EQ53" s="289">
        <f t="shared" si="531"/>
        <v>6801114</v>
      </c>
      <c r="ER53" s="289">
        <f t="shared" si="531"/>
        <v>1228523</v>
      </c>
      <c r="ES53" s="289">
        <f t="shared" si="531"/>
        <v>949630</v>
      </c>
      <c r="ET53" s="289">
        <f t="shared" si="531"/>
        <v>864182</v>
      </c>
      <c r="EU53" s="383">
        <f>SUM(EU55:EU63)</f>
        <v>2063777</v>
      </c>
      <c r="EV53" s="288">
        <f t="shared" si="531"/>
        <v>1798991</v>
      </c>
      <c r="EW53" s="288">
        <f t="shared" si="531"/>
        <v>178713</v>
      </c>
      <c r="EX53" s="288">
        <f t="shared" si="531"/>
        <v>85878</v>
      </c>
      <c r="EY53" s="289">
        <f t="shared" si="531"/>
        <v>86073</v>
      </c>
      <c r="EZ53" s="288">
        <f>SUM(EZ55:EZ63)</f>
        <v>2359176</v>
      </c>
      <c r="FA53" s="288">
        <f t="shared" si="531"/>
        <v>1963592</v>
      </c>
      <c r="FB53" s="288">
        <f t="shared" si="531"/>
        <v>226606</v>
      </c>
      <c r="FC53" s="288">
        <f t="shared" si="531"/>
        <v>130245</v>
      </c>
      <c r="FD53" s="289">
        <f t="shared" si="531"/>
        <v>168978</v>
      </c>
      <c r="FE53" s="288">
        <f>SUM(FE55:FE63)</f>
        <v>2845332</v>
      </c>
      <c r="FF53" s="288">
        <f t="shared" si="531"/>
        <v>2306518</v>
      </c>
      <c r="FG53" s="288">
        <f t="shared" si="531"/>
        <v>308916</v>
      </c>
      <c r="FH53" s="288">
        <f t="shared" si="531"/>
        <v>218035</v>
      </c>
      <c r="FI53" s="288">
        <f t="shared" si="531"/>
        <v>229898</v>
      </c>
      <c r="FJ53" s="288">
        <f>SUM(FJ55:FJ63)</f>
        <v>0</v>
      </c>
      <c r="FK53" s="288">
        <f t="shared" si="531"/>
        <v>0</v>
      </c>
      <c r="FL53" s="288">
        <f t="shared" si="531"/>
        <v>0</v>
      </c>
      <c r="FM53" s="288">
        <f t="shared" si="531"/>
        <v>0</v>
      </c>
      <c r="FN53" s="289">
        <f t="shared" si="531"/>
        <v>0</v>
      </c>
      <c r="FO53" s="289">
        <f t="shared" si="531"/>
        <v>2923458</v>
      </c>
      <c r="FP53" s="289">
        <f t="shared" si="531"/>
        <v>2366870</v>
      </c>
      <c r="FQ53" s="289">
        <f t="shared" si="531"/>
        <v>310155</v>
      </c>
      <c r="FR53" s="289">
        <f t="shared" si="531"/>
        <v>236453</v>
      </c>
      <c r="FS53" s="289">
        <f t="shared" si="531"/>
        <v>246221</v>
      </c>
      <c r="FT53" s="289">
        <f t="shared" si="531"/>
        <v>2992218</v>
      </c>
      <c r="FU53" s="289">
        <f t="shared" si="531"/>
        <v>2277926</v>
      </c>
      <c r="FV53" s="289">
        <f t="shared" si="531"/>
        <v>318075</v>
      </c>
      <c r="FW53" s="289">
        <f t="shared" si="531"/>
        <v>246258</v>
      </c>
      <c r="FX53" s="289">
        <f t="shared" si="531"/>
        <v>264887</v>
      </c>
      <c r="FY53" s="579">
        <f t="shared" si="531"/>
        <v>9721368</v>
      </c>
      <c r="FZ53" s="555">
        <f t="shared" si="531"/>
        <v>8626042</v>
      </c>
      <c r="GA53" s="555">
        <f t="shared" si="531"/>
        <v>587527</v>
      </c>
      <c r="GB53" s="555">
        <f t="shared" si="531"/>
        <v>289537</v>
      </c>
      <c r="GC53" s="555">
        <f t="shared" si="531"/>
        <v>507799</v>
      </c>
      <c r="GD53" s="579">
        <f t="shared" si="531"/>
        <v>12196075</v>
      </c>
      <c r="GE53" s="555">
        <f t="shared" si="531"/>
        <v>10322340</v>
      </c>
      <c r="GF53" s="555">
        <f t="shared" si="531"/>
        <v>772943</v>
      </c>
      <c r="GG53" s="555">
        <f t="shared" si="531"/>
        <v>476032</v>
      </c>
      <c r="GH53" s="555">
        <f t="shared" si="531"/>
        <v>1100792</v>
      </c>
      <c r="GI53" s="288">
        <f>SUM(GI55:GI63)</f>
        <v>12340278</v>
      </c>
      <c r="GJ53" s="288">
        <f t="shared" si="531"/>
        <v>10051501</v>
      </c>
      <c r="GK53" s="288">
        <f t="shared" si="531"/>
        <v>910216</v>
      </c>
      <c r="GL53" s="288">
        <f t="shared" si="531"/>
        <v>705567</v>
      </c>
      <c r="GM53" s="289">
        <f t="shared" si="531"/>
        <v>1378561</v>
      </c>
      <c r="GN53" s="385">
        <f>SUM(GN55:GN63)</f>
        <v>0</v>
      </c>
      <c r="GO53" s="385">
        <f t="shared" si="531"/>
        <v>0</v>
      </c>
      <c r="GP53" s="385">
        <f t="shared" si="531"/>
        <v>0</v>
      </c>
      <c r="GQ53" s="385">
        <f t="shared" si="531"/>
        <v>0</v>
      </c>
      <c r="GR53" s="603">
        <f t="shared" si="531"/>
        <v>0</v>
      </c>
      <c r="GS53" s="603">
        <f t="shared" si="531"/>
        <v>15407662</v>
      </c>
      <c r="GT53" s="603">
        <f t="shared" si="531"/>
        <v>12528453</v>
      </c>
      <c r="GU53" s="603">
        <f t="shared" si="531"/>
        <v>1107854</v>
      </c>
      <c r="GV53" s="603">
        <f t="shared" si="531"/>
        <v>883382</v>
      </c>
      <c r="GW53" s="603">
        <f t="shared" si="531"/>
        <v>1770105</v>
      </c>
      <c r="GX53" s="603">
        <f t="shared" si="531"/>
        <v>43784459</v>
      </c>
      <c r="GY53" s="603">
        <f t="shared" si="531"/>
        <v>12197718</v>
      </c>
      <c r="GZ53" s="603">
        <f t="shared" si="531"/>
        <v>1149297</v>
      </c>
      <c r="HA53" s="603">
        <f t="shared" si="531"/>
        <v>934744</v>
      </c>
      <c r="HB53" s="603">
        <f t="shared" si="531"/>
        <v>990918</v>
      </c>
      <c r="HC53" s="288">
        <f>SUM(HC55:HC63)</f>
        <v>4654518</v>
      </c>
      <c r="HD53" s="288">
        <f t="shared" si="531"/>
        <v>4151399</v>
      </c>
      <c r="HE53" s="288">
        <f t="shared" si="531"/>
        <v>264048</v>
      </c>
      <c r="HF53" s="288">
        <f t="shared" si="531"/>
        <v>123436</v>
      </c>
      <c r="HG53" s="289">
        <f t="shared" si="531"/>
        <v>239071</v>
      </c>
      <c r="HH53" s="288">
        <f>SUM(HH55:HH63)</f>
        <v>5890760</v>
      </c>
      <c r="HI53" s="288">
        <f t="shared" si="531"/>
        <v>5000014</v>
      </c>
      <c r="HJ53" s="288">
        <f t="shared" si="531"/>
        <v>349980</v>
      </c>
      <c r="HK53" s="288">
        <f t="shared" si="531"/>
        <v>209649</v>
      </c>
      <c r="HL53" s="288">
        <f t="shared" si="531"/>
        <v>540766</v>
      </c>
      <c r="HM53" s="288">
        <f>SUM(HM55:HM63)</f>
        <v>7126702</v>
      </c>
      <c r="HN53" s="288">
        <f t="shared" si="531"/>
        <v>5791320</v>
      </c>
      <c r="HO53" s="288">
        <f t="shared" si="531"/>
        <v>497318</v>
      </c>
      <c r="HP53" s="288">
        <f t="shared" si="531"/>
        <v>400675</v>
      </c>
      <c r="HQ53" s="288">
        <f t="shared" si="531"/>
        <v>838064</v>
      </c>
      <c r="HR53" s="288">
        <f>SUM(HR55:HR63)</f>
        <v>7229800.2679999992</v>
      </c>
      <c r="HS53" s="288">
        <f t="shared" si="531"/>
        <v>5866325.6270000003</v>
      </c>
      <c r="HT53" s="288">
        <f t="shared" si="531"/>
        <v>503368.30700000003</v>
      </c>
      <c r="HU53" s="288">
        <f t="shared" si="531"/>
        <v>405950.50800000003</v>
      </c>
      <c r="HV53" s="288">
        <f t="shared" si="531"/>
        <v>860106.33400000003</v>
      </c>
      <c r="HW53" s="288">
        <f t="shared" si="531"/>
        <v>7508569</v>
      </c>
      <c r="HX53" s="288">
        <f t="shared" si="531"/>
        <v>5793333</v>
      </c>
      <c r="HY53" s="288">
        <f t="shared" si="531"/>
        <v>531281</v>
      </c>
      <c r="HZ53" s="288">
        <f t="shared" si="531"/>
        <v>450688</v>
      </c>
      <c r="IA53" s="288">
        <f t="shared" si="531"/>
        <v>922649</v>
      </c>
      <c r="IB53" s="389" t="s">
        <v>186</v>
      </c>
      <c r="IC53" s="282" t="s">
        <v>186</v>
      </c>
      <c r="ID53" s="307">
        <f t="shared" ref="ID53:KO53" si="532">SUM(ID55:ID63)</f>
        <v>2137841</v>
      </c>
      <c r="IE53" s="280">
        <f t="shared" si="532"/>
        <v>1345149</v>
      </c>
      <c r="IF53" s="280">
        <f t="shared" si="532"/>
        <v>792692</v>
      </c>
      <c r="IG53" s="280">
        <f t="shared" si="532"/>
        <v>2077020</v>
      </c>
      <c r="IH53" s="280">
        <f t="shared" si="532"/>
        <v>1313092</v>
      </c>
      <c r="II53" s="280">
        <f t="shared" si="532"/>
        <v>763928</v>
      </c>
      <c r="IJ53" s="280">
        <f t="shared" si="532"/>
        <v>60821</v>
      </c>
      <c r="IK53" s="280">
        <f t="shared" si="532"/>
        <v>32057</v>
      </c>
      <c r="IL53" s="280">
        <f t="shared" si="532"/>
        <v>28764</v>
      </c>
      <c r="IM53" s="307">
        <f t="shared" si="532"/>
        <v>2901083</v>
      </c>
      <c r="IN53" s="280">
        <f t="shared" si="532"/>
        <v>1771312</v>
      </c>
      <c r="IO53" s="280">
        <f t="shared" si="532"/>
        <v>1129771</v>
      </c>
      <c r="IP53" s="280">
        <f t="shared" si="532"/>
        <v>2806036</v>
      </c>
      <c r="IQ53" s="280">
        <f t="shared" si="532"/>
        <v>1723308</v>
      </c>
      <c r="IR53" s="280">
        <f t="shared" si="532"/>
        <v>1082728</v>
      </c>
      <c r="IS53" s="280">
        <f t="shared" si="532"/>
        <v>83248</v>
      </c>
      <c r="IT53" s="280">
        <f t="shared" si="532"/>
        <v>40793</v>
      </c>
      <c r="IU53" s="280">
        <f t="shared" si="532"/>
        <v>42455</v>
      </c>
      <c r="IV53" s="280">
        <f t="shared" si="532"/>
        <v>11799</v>
      </c>
      <c r="IW53" s="280">
        <f t="shared" si="532"/>
        <v>7211</v>
      </c>
      <c r="IX53" s="280">
        <f t="shared" si="532"/>
        <v>4588</v>
      </c>
      <c r="IY53" s="307">
        <f t="shared" si="532"/>
        <v>5156117</v>
      </c>
      <c r="IZ53" s="280">
        <f t="shared" si="532"/>
        <v>2986058</v>
      </c>
      <c r="JA53" s="280">
        <f t="shared" si="532"/>
        <v>2170059</v>
      </c>
      <c r="JB53" s="288">
        <f t="shared" si="532"/>
        <v>4693626</v>
      </c>
      <c r="JC53" s="280">
        <f t="shared" si="532"/>
        <v>2742688</v>
      </c>
      <c r="JD53" s="280">
        <f t="shared" si="532"/>
        <v>1950938</v>
      </c>
      <c r="JE53" s="280">
        <f t="shared" si="532"/>
        <v>243370</v>
      </c>
      <c r="JF53" s="280">
        <f t="shared" si="532"/>
        <v>219121</v>
      </c>
      <c r="JG53" s="288">
        <f t="shared" si="532"/>
        <v>207883</v>
      </c>
      <c r="JH53" s="280">
        <f t="shared" si="532"/>
        <v>98883</v>
      </c>
      <c r="JI53" s="280">
        <f t="shared" si="532"/>
        <v>109000</v>
      </c>
      <c r="JJ53" s="288">
        <f t="shared" si="532"/>
        <v>97089</v>
      </c>
      <c r="JK53" s="280">
        <f t="shared" si="532"/>
        <v>54155</v>
      </c>
      <c r="JL53" s="280">
        <f t="shared" si="532"/>
        <v>42934</v>
      </c>
      <c r="JM53" s="280">
        <f t="shared" si="532"/>
        <v>157519</v>
      </c>
      <c r="JN53" s="280">
        <f t="shared" si="532"/>
        <v>90332</v>
      </c>
      <c r="JO53" s="280">
        <f t="shared" si="532"/>
        <v>67187</v>
      </c>
      <c r="JP53" s="280">
        <f t="shared" si="532"/>
        <v>4622</v>
      </c>
      <c r="JQ53" s="280">
        <f t="shared" si="532"/>
        <v>2778</v>
      </c>
      <c r="JR53" s="280">
        <f t="shared" si="532"/>
        <v>1844</v>
      </c>
      <c r="JS53" s="280">
        <f t="shared" si="532"/>
        <v>152897</v>
      </c>
      <c r="JT53" s="280">
        <f t="shared" si="532"/>
        <v>87554</v>
      </c>
      <c r="JU53" s="280">
        <f t="shared" si="532"/>
        <v>65343</v>
      </c>
      <c r="JV53" s="383">
        <f t="shared" si="532"/>
        <v>7657591</v>
      </c>
      <c r="JW53" s="280">
        <f t="shared" si="532"/>
        <v>4090480</v>
      </c>
      <c r="JX53" s="280">
        <f t="shared" si="532"/>
        <v>3567111</v>
      </c>
      <c r="JY53" s="288">
        <f t="shared" si="532"/>
        <v>6827051</v>
      </c>
      <c r="JZ53" s="288">
        <f t="shared" si="532"/>
        <v>6697255</v>
      </c>
      <c r="KA53" s="280">
        <f t="shared" si="532"/>
        <v>3616188</v>
      </c>
      <c r="KB53" s="280">
        <f t="shared" si="532"/>
        <v>3081067</v>
      </c>
      <c r="KC53" s="280">
        <f t="shared" si="532"/>
        <v>474292</v>
      </c>
      <c r="KD53" s="280">
        <f t="shared" si="532"/>
        <v>486044</v>
      </c>
      <c r="KE53" s="288">
        <f t="shared" si="532"/>
        <v>408814</v>
      </c>
      <c r="KF53" s="288">
        <f t="shared" si="532"/>
        <v>392325</v>
      </c>
      <c r="KG53" s="280">
        <f t="shared" si="532"/>
        <v>171774</v>
      </c>
      <c r="KH53" s="280">
        <f t="shared" si="532"/>
        <v>220551</v>
      </c>
      <c r="KI53" s="288">
        <f t="shared" si="532"/>
        <v>203659</v>
      </c>
      <c r="KJ53" s="280">
        <f t="shared" si="532"/>
        <v>102472</v>
      </c>
      <c r="KK53" s="280">
        <f t="shared" si="532"/>
        <v>101187</v>
      </c>
      <c r="KL53" s="289">
        <f t="shared" si="532"/>
        <v>421726</v>
      </c>
      <c r="KM53" s="384">
        <f t="shared" si="532"/>
        <v>200046</v>
      </c>
      <c r="KN53" s="384">
        <f t="shared" si="532"/>
        <v>164306</v>
      </c>
      <c r="KO53" s="384">
        <f t="shared" si="532"/>
        <v>7191</v>
      </c>
      <c r="KP53" s="384">
        <f t="shared" ref="KP53:MJ53" si="533">SUM(KP55:KP63)</f>
        <v>2253</v>
      </c>
      <c r="KQ53" s="384">
        <f t="shared" si="533"/>
        <v>4938</v>
      </c>
      <c r="KR53" s="384">
        <f t="shared" si="533"/>
        <v>357161</v>
      </c>
      <c r="KS53" s="384">
        <f t="shared" si="533"/>
        <v>197793</v>
      </c>
      <c r="KT53" s="384">
        <f t="shared" si="533"/>
        <v>159368</v>
      </c>
      <c r="KU53" s="280">
        <f t="shared" si="533"/>
        <v>4279</v>
      </c>
      <c r="KV53" s="280">
        <f t="shared" si="533"/>
        <v>4556</v>
      </c>
      <c r="KW53" s="280">
        <f t="shared" si="533"/>
        <v>193514</v>
      </c>
      <c r="KX53" s="280">
        <f t="shared" si="533"/>
        <v>154812</v>
      </c>
      <c r="KY53" s="332">
        <f t="shared" si="533"/>
        <v>9836899</v>
      </c>
      <c r="KZ53" s="280">
        <f t="shared" si="533"/>
        <v>4924960</v>
      </c>
      <c r="LA53" s="280">
        <f t="shared" si="533"/>
        <v>4911939</v>
      </c>
      <c r="LB53" s="385">
        <f t="shared" si="533"/>
        <v>8358748</v>
      </c>
      <c r="LC53" s="385">
        <f t="shared" si="533"/>
        <v>4225795</v>
      </c>
      <c r="LD53" s="385">
        <f t="shared" si="533"/>
        <v>4132953</v>
      </c>
      <c r="LE53" s="385">
        <f t="shared" si="533"/>
        <v>8159676</v>
      </c>
      <c r="LF53" s="280">
        <f t="shared" si="533"/>
        <v>4133721</v>
      </c>
      <c r="LG53" s="280">
        <f t="shared" si="533"/>
        <v>4025955</v>
      </c>
      <c r="LH53" s="385">
        <f t="shared" si="533"/>
        <v>546337</v>
      </c>
      <c r="LI53" s="280">
        <f t="shared" si="533"/>
        <v>226970</v>
      </c>
      <c r="LJ53" s="280">
        <f t="shared" si="533"/>
        <v>319367</v>
      </c>
      <c r="LK53" s="385">
        <f t="shared" si="533"/>
        <v>345787</v>
      </c>
      <c r="LL53" s="280">
        <f t="shared" si="533"/>
        <v>155663</v>
      </c>
      <c r="LM53" s="280">
        <f t="shared" si="533"/>
        <v>190124</v>
      </c>
      <c r="LN53" s="385">
        <f t="shared" si="533"/>
        <v>931814</v>
      </c>
      <c r="LO53" s="280">
        <f t="shared" si="533"/>
        <v>472195</v>
      </c>
      <c r="LP53" s="280">
        <f t="shared" si="533"/>
        <v>459619</v>
      </c>
      <c r="LQ53" s="333">
        <f t="shared" si="533"/>
        <v>11410188</v>
      </c>
      <c r="LR53" s="280">
        <f t="shared" si="533"/>
        <v>9396873</v>
      </c>
      <c r="LS53" s="280">
        <f t="shared" si="533"/>
        <v>970143</v>
      </c>
      <c r="LT53" s="280">
        <f t="shared" si="533"/>
        <v>1308493</v>
      </c>
      <c r="LU53" s="385">
        <f t="shared" si="533"/>
        <v>525737</v>
      </c>
      <c r="LV53" s="383">
        <f t="shared" si="533"/>
        <v>11633026</v>
      </c>
      <c r="LW53" s="288">
        <f t="shared" si="533"/>
        <v>9570230</v>
      </c>
      <c r="LX53" s="288">
        <f t="shared" si="533"/>
        <v>725351</v>
      </c>
      <c r="LY53" s="288">
        <f t="shared" si="533"/>
        <v>1337445</v>
      </c>
      <c r="LZ53" s="288">
        <f t="shared" si="533"/>
        <v>548411</v>
      </c>
      <c r="MA53" s="383">
        <f t="shared" si="533"/>
        <v>11918726</v>
      </c>
      <c r="MB53" s="288">
        <f t="shared" si="533"/>
        <v>9829391</v>
      </c>
      <c r="MC53" s="288">
        <f t="shared" si="533"/>
        <v>751503</v>
      </c>
      <c r="MD53" s="288">
        <f t="shared" si="533"/>
        <v>1337832</v>
      </c>
      <c r="ME53" s="288">
        <f t="shared" si="533"/>
        <v>560180</v>
      </c>
      <c r="MF53" s="383">
        <f t="shared" si="533"/>
        <v>12028740</v>
      </c>
      <c r="MG53" s="555">
        <f t="shared" si="533"/>
        <v>9826160</v>
      </c>
      <c r="MH53" s="555">
        <f t="shared" si="533"/>
        <v>764565</v>
      </c>
      <c r="MI53" s="555">
        <f>SUM(MI55:MI63)</f>
        <v>1438015</v>
      </c>
      <c r="MJ53" s="554">
        <f t="shared" si="533"/>
        <v>605090</v>
      </c>
      <c r="MK53" s="288">
        <f>SUM(MK55:MK63)</f>
        <v>12224952.989</v>
      </c>
      <c r="ML53" s="288">
        <f>SUM(ML55:ML63)</f>
        <v>9976490.1530000009</v>
      </c>
      <c r="MM53" s="288">
        <f>SUM(MM55:MM63)</f>
        <v>777324.90600000008</v>
      </c>
      <c r="MN53" s="288">
        <f>SUM(MN55:MN63)</f>
        <v>615020.2300000001</v>
      </c>
      <c r="MO53" s="288">
        <f>SUM(MO55:MO63)</f>
        <v>1471137.9300000004</v>
      </c>
      <c r="MP53" s="288">
        <f t="shared" ref="MP53:MY53" si="534">SUM(MP55:MP63)</f>
        <v>12484204</v>
      </c>
      <c r="MQ53" s="288">
        <f t="shared" si="534"/>
        <v>10161583</v>
      </c>
      <c r="MR53" s="288">
        <f t="shared" si="534"/>
        <v>797699</v>
      </c>
      <c r="MS53" s="288">
        <f t="shared" si="534"/>
        <v>646929</v>
      </c>
      <c r="MT53" s="288">
        <f t="shared" si="534"/>
        <v>1523884</v>
      </c>
      <c r="MU53" s="288">
        <f t="shared" si="534"/>
        <v>12771224</v>
      </c>
      <c r="MV53" s="288">
        <f t="shared" si="534"/>
        <v>9919792</v>
      </c>
      <c r="MW53" s="288">
        <f t="shared" si="534"/>
        <v>831222</v>
      </c>
      <c r="MX53" s="288">
        <f t="shared" si="534"/>
        <v>688486</v>
      </c>
      <c r="MY53" s="288">
        <f t="shared" si="534"/>
        <v>855043</v>
      </c>
      <c r="MZ53" s="383">
        <f t="shared" ref="MZ53:OC53" si="535">SUM(MZ55:MZ63)</f>
        <v>3003073</v>
      </c>
      <c r="NA53" s="288">
        <f t="shared" si="535"/>
        <v>2675652</v>
      </c>
      <c r="NB53" s="288">
        <f t="shared" si="535"/>
        <v>144766</v>
      </c>
      <c r="NC53" s="288">
        <f t="shared" si="535"/>
        <v>80223</v>
      </c>
      <c r="ND53" s="289">
        <f t="shared" si="535"/>
        <v>182655</v>
      </c>
      <c r="NE53" s="288">
        <f t="shared" si="535"/>
        <v>3946139</v>
      </c>
      <c r="NF53" s="288">
        <f t="shared" si="535"/>
        <v>3358734</v>
      </c>
      <c r="NG53" s="288">
        <f t="shared" si="535"/>
        <v>196357</v>
      </c>
      <c r="NH53" s="288">
        <f t="shared" si="535"/>
        <v>136138</v>
      </c>
      <c r="NI53" s="288">
        <f t="shared" si="535"/>
        <v>391048</v>
      </c>
      <c r="NJ53" s="383">
        <f t="shared" si="535"/>
        <v>4902038</v>
      </c>
      <c r="NK53" s="288">
        <f t="shared" si="535"/>
        <v>4034840</v>
      </c>
      <c r="NL53" s="288">
        <f t="shared" si="535"/>
        <v>267247</v>
      </c>
      <c r="NM53" s="288">
        <f t="shared" si="535"/>
        <v>204415</v>
      </c>
      <c r="NN53" s="288">
        <f t="shared" si="535"/>
        <v>599951</v>
      </c>
      <c r="NO53" s="383">
        <f t="shared" si="535"/>
        <v>4995152.7209999999</v>
      </c>
      <c r="NP53" s="288">
        <f t="shared" si="535"/>
        <v>4110164.5260000005</v>
      </c>
      <c r="NQ53" s="288">
        <f t="shared" si="535"/>
        <v>273956.59899999999</v>
      </c>
      <c r="NR53" s="288">
        <f t="shared" si="535"/>
        <v>209069.72200000001</v>
      </c>
      <c r="NS53" s="289">
        <f t="shared" si="535"/>
        <v>611031.5959999999</v>
      </c>
      <c r="NT53" s="288">
        <f t="shared" si="535"/>
        <v>5118620</v>
      </c>
      <c r="NU53" s="288">
        <f t="shared" si="535"/>
        <v>4193764</v>
      </c>
      <c r="NV53" s="288">
        <f t="shared" si="535"/>
        <v>285237</v>
      </c>
      <c r="NW53" s="288">
        <f t="shared" si="535"/>
        <v>222451</v>
      </c>
      <c r="NX53" s="554">
        <f t="shared" si="535"/>
        <v>639237</v>
      </c>
      <c r="NY53" s="554">
        <f t="shared" si="535"/>
        <v>5262655</v>
      </c>
      <c r="NZ53" s="554">
        <f t="shared" si="535"/>
        <v>4126459</v>
      </c>
      <c r="OA53" s="554">
        <f t="shared" si="535"/>
        <v>299941</v>
      </c>
      <c r="OB53" s="554">
        <f t="shared" si="535"/>
        <v>237798</v>
      </c>
      <c r="OC53" s="554">
        <f t="shared" si="535"/>
        <v>680410</v>
      </c>
    </row>
    <row r="54" spans="1:393" ht="15" x14ac:dyDescent="0.2">
      <c r="A54" s="246" t="s">
        <v>182</v>
      </c>
      <c r="B54" s="281" t="s">
        <v>186</v>
      </c>
      <c r="C54" s="282" t="s">
        <v>186</v>
      </c>
      <c r="D54" s="282" t="s">
        <v>186</v>
      </c>
      <c r="E54" s="282" t="s">
        <v>186</v>
      </c>
      <c r="F54" s="283" t="s">
        <v>186</v>
      </c>
      <c r="G54" s="251"/>
      <c r="H54" s="251"/>
      <c r="I54" s="251"/>
      <c r="J54" s="251"/>
      <c r="K54" s="335"/>
      <c r="L54" s="251"/>
      <c r="M54" s="251"/>
      <c r="N54" s="251"/>
      <c r="O54" s="251"/>
      <c r="P54" s="335"/>
      <c r="Q54" s="348"/>
      <c r="R54" s="348"/>
      <c r="S54" s="348"/>
      <c r="T54" s="348"/>
      <c r="U54" s="614"/>
      <c r="V54" s="348"/>
      <c r="W54" s="348"/>
      <c r="X54" s="348"/>
      <c r="Y54" s="348"/>
      <c r="Z54" s="348"/>
      <c r="AA54" s="348">
        <v>0</v>
      </c>
      <c r="AB54" s="348">
        <v>0</v>
      </c>
      <c r="AC54" s="348"/>
      <c r="AD54" s="348"/>
      <c r="AE54" s="600">
        <v>0</v>
      </c>
      <c r="AF54" s="249"/>
      <c r="AG54" s="251"/>
      <c r="AH54" s="251"/>
      <c r="AI54" s="251"/>
      <c r="AJ54" s="335"/>
      <c r="AK54" s="251"/>
      <c r="AL54" s="251"/>
      <c r="AM54" s="251"/>
      <c r="AN54" s="251"/>
      <c r="AO54" s="335"/>
      <c r="AP54" s="251"/>
      <c r="AQ54" s="251"/>
      <c r="AR54" s="251"/>
      <c r="AS54" s="251"/>
      <c r="AT54" s="335"/>
      <c r="AU54" s="251"/>
      <c r="AV54" s="251"/>
      <c r="AW54" s="251"/>
      <c r="AX54" s="251"/>
      <c r="AY54" s="251"/>
      <c r="AZ54" s="251">
        <v>0</v>
      </c>
      <c r="BA54" s="251">
        <v>0</v>
      </c>
      <c r="BB54" s="251"/>
      <c r="BC54" s="251"/>
      <c r="BD54" s="251">
        <v>0</v>
      </c>
      <c r="BE54" s="249"/>
      <c r="BF54" s="251"/>
      <c r="BG54" s="251"/>
      <c r="BH54" s="251"/>
      <c r="BI54" s="288"/>
      <c r="BJ54" s="281" t="s">
        <v>186</v>
      </c>
      <c r="BK54" s="282" t="s">
        <v>186</v>
      </c>
      <c r="BL54" s="282" t="s">
        <v>186</v>
      </c>
      <c r="BM54" s="282" t="s">
        <v>186</v>
      </c>
      <c r="BN54" s="281" t="s">
        <v>186</v>
      </c>
      <c r="BO54" s="282" t="s">
        <v>186</v>
      </c>
      <c r="BP54" s="282" t="s">
        <v>186</v>
      </c>
      <c r="BQ54" s="282" t="s">
        <v>186</v>
      </c>
      <c r="BR54" s="283" t="s">
        <v>186</v>
      </c>
      <c r="BS54" s="251"/>
      <c r="BT54" s="251"/>
      <c r="BU54" s="251"/>
      <c r="BV54" s="251"/>
      <c r="BW54" s="335"/>
      <c r="BX54" s="251"/>
      <c r="BY54" s="251"/>
      <c r="BZ54" s="251"/>
      <c r="CA54" s="251"/>
      <c r="CB54" s="251"/>
      <c r="CC54" s="336"/>
      <c r="CD54" s="251"/>
      <c r="CE54" s="251"/>
      <c r="CF54" s="251"/>
      <c r="CG54" s="251"/>
      <c r="CH54" s="249"/>
      <c r="CI54" s="251"/>
      <c r="CJ54" s="251"/>
      <c r="CK54" s="251"/>
      <c r="CL54" s="251"/>
      <c r="CM54" s="249"/>
      <c r="CN54" s="251"/>
      <c r="CO54" s="251"/>
      <c r="CP54" s="251"/>
      <c r="CQ54" s="251"/>
      <c r="CR54" s="249"/>
      <c r="CS54" s="251"/>
      <c r="CT54" s="251"/>
      <c r="CU54" s="251"/>
      <c r="CV54" s="251"/>
      <c r="CW54" s="249"/>
      <c r="CX54" s="251"/>
      <c r="CY54" s="251"/>
      <c r="CZ54" s="251"/>
      <c r="DA54" s="289"/>
      <c r="DB54" s="251"/>
      <c r="DC54" s="251"/>
      <c r="DD54" s="251"/>
      <c r="DE54" s="251"/>
      <c r="DF54" s="288"/>
      <c r="DG54" s="288">
        <v>0</v>
      </c>
      <c r="DH54" s="288">
        <v>0</v>
      </c>
      <c r="DI54" s="288"/>
      <c r="DJ54" s="288"/>
      <c r="DK54" s="288">
        <v>0</v>
      </c>
      <c r="DL54" s="281" t="s">
        <v>186</v>
      </c>
      <c r="DM54" s="282" t="s">
        <v>186</v>
      </c>
      <c r="DN54" s="282" t="s">
        <v>186</v>
      </c>
      <c r="DO54" s="282" t="s">
        <v>186</v>
      </c>
      <c r="DP54" s="283" t="s">
        <v>186</v>
      </c>
      <c r="DQ54" s="251"/>
      <c r="DR54" s="251"/>
      <c r="DS54" s="251"/>
      <c r="DT54" s="251"/>
      <c r="DU54" s="335"/>
      <c r="DV54" s="251"/>
      <c r="DW54" s="251"/>
      <c r="DX54" s="251"/>
      <c r="DY54" s="251"/>
      <c r="DZ54" s="335"/>
      <c r="EA54" s="251"/>
      <c r="EB54" s="251"/>
      <c r="EC54" s="251"/>
      <c r="ED54" s="251"/>
      <c r="EE54" s="335"/>
      <c r="EF54" s="251"/>
      <c r="EG54" s="251"/>
      <c r="EH54" s="251"/>
      <c r="EI54" s="251"/>
      <c r="EJ54" s="335"/>
      <c r="EK54" s="251"/>
      <c r="EL54" s="251"/>
      <c r="EM54" s="251"/>
      <c r="EN54" s="251"/>
      <c r="EO54" s="661"/>
      <c r="EP54" s="661">
        <v>0</v>
      </c>
      <c r="EQ54" s="661"/>
      <c r="ER54" s="661"/>
      <c r="ES54" s="661"/>
      <c r="ET54" s="661">
        <v>0</v>
      </c>
      <c r="EU54" s="249"/>
      <c r="EV54" s="251"/>
      <c r="EW54" s="251"/>
      <c r="EX54" s="251"/>
      <c r="EY54" s="335"/>
      <c r="EZ54" s="251"/>
      <c r="FA54" s="251"/>
      <c r="FB54" s="251"/>
      <c r="FC54" s="251"/>
      <c r="FD54" s="335"/>
      <c r="FE54" s="249"/>
      <c r="FF54" s="251"/>
      <c r="FG54" s="251"/>
      <c r="FH54" s="251"/>
      <c r="FI54" s="251"/>
      <c r="FJ54" s="249"/>
      <c r="FK54" s="251"/>
      <c r="FL54" s="251"/>
      <c r="FM54" s="251"/>
      <c r="FN54" s="335"/>
      <c r="FO54" s="251"/>
      <c r="FP54" s="251"/>
      <c r="FQ54" s="251"/>
      <c r="FR54" s="251"/>
      <c r="FS54" s="251"/>
      <c r="FT54" s="251"/>
      <c r="FU54" s="251">
        <v>0</v>
      </c>
      <c r="FV54" s="251"/>
      <c r="FW54" s="251"/>
      <c r="FX54" s="251">
        <v>0</v>
      </c>
      <c r="FY54" s="383"/>
      <c r="FZ54" s="288"/>
      <c r="GA54" s="288"/>
      <c r="GB54" s="288"/>
      <c r="GC54" s="288"/>
      <c r="GD54" s="383"/>
      <c r="GE54" s="288"/>
      <c r="GF54" s="288"/>
      <c r="GG54" s="288"/>
      <c r="GH54" s="288"/>
      <c r="GI54" s="249"/>
      <c r="GJ54" s="251"/>
      <c r="GK54" s="251"/>
      <c r="GL54" s="251"/>
      <c r="GM54" s="251"/>
      <c r="GN54" s="604"/>
      <c r="GO54" s="348"/>
      <c r="GP54" s="348"/>
      <c r="GQ54" s="348"/>
      <c r="GR54" s="348"/>
      <c r="GS54" s="348"/>
      <c r="GT54" s="348"/>
      <c r="GU54" s="348"/>
      <c r="GV54" s="348"/>
      <c r="GW54" s="614"/>
      <c r="GX54" s="348"/>
      <c r="GY54" s="348">
        <v>0</v>
      </c>
      <c r="GZ54" s="348"/>
      <c r="HA54" s="348"/>
      <c r="HB54" s="348">
        <v>0</v>
      </c>
      <c r="HC54" s="249"/>
      <c r="HD54" s="251"/>
      <c r="HE54" s="251"/>
      <c r="HF54" s="251"/>
      <c r="HG54" s="251"/>
      <c r="HH54" s="249"/>
      <c r="HI54" s="251"/>
      <c r="HJ54" s="251"/>
      <c r="HK54" s="251"/>
      <c r="HL54" s="251"/>
      <c r="HM54" s="249"/>
      <c r="HN54" s="251"/>
      <c r="HO54" s="251"/>
      <c r="HP54" s="251"/>
      <c r="HQ54" s="251"/>
      <c r="HR54" s="249"/>
      <c r="HS54" s="251"/>
      <c r="HT54" s="251"/>
      <c r="HU54" s="251"/>
      <c r="HV54" s="251"/>
      <c r="HW54" s="251"/>
      <c r="HX54" s="251">
        <v>0</v>
      </c>
      <c r="HY54" s="251"/>
      <c r="HZ54" s="251"/>
      <c r="IA54" s="251">
        <v>0</v>
      </c>
      <c r="IB54" s="281" t="s">
        <v>186</v>
      </c>
      <c r="IC54" s="282" t="s">
        <v>186</v>
      </c>
      <c r="ID54" s="339"/>
      <c r="IE54" s="341"/>
      <c r="IF54" s="341"/>
      <c r="IG54" s="341"/>
      <c r="IH54" s="341"/>
      <c r="II54" s="341"/>
      <c r="IJ54" s="341"/>
      <c r="IK54" s="341"/>
      <c r="IL54" s="341"/>
      <c r="IM54" s="339"/>
      <c r="IN54" s="341"/>
      <c r="IO54" s="341"/>
      <c r="IP54" s="341"/>
      <c r="IQ54" s="341"/>
      <c r="IR54" s="341"/>
      <c r="IS54" s="341"/>
      <c r="IT54" s="341"/>
      <c r="IU54" s="341"/>
      <c r="IV54" s="341"/>
      <c r="IW54" s="341"/>
      <c r="IX54" s="341"/>
      <c r="IY54" s="339"/>
      <c r="IZ54" s="341"/>
      <c r="JA54" s="341"/>
      <c r="JB54" s="251"/>
      <c r="JC54" s="341"/>
      <c r="JD54" s="341"/>
      <c r="JE54" s="341"/>
      <c r="JF54" s="341"/>
      <c r="JG54" s="251"/>
      <c r="JH54" s="341"/>
      <c r="JI54" s="341"/>
      <c r="JJ54" s="251"/>
      <c r="JK54" s="341"/>
      <c r="JL54" s="341"/>
      <c r="JM54" s="341"/>
      <c r="JN54" s="341"/>
      <c r="JO54" s="341"/>
      <c r="JP54" s="357"/>
      <c r="JQ54" s="357"/>
      <c r="JR54" s="357"/>
      <c r="JS54" s="341"/>
      <c r="JT54" s="341"/>
      <c r="JU54" s="341"/>
      <c r="JV54" s="249"/>
      <c r="JW54" s="341"/>
      <c r="JX54" s="341"/>
      <c r="JY54" s="251"/>
      <c r="JZ54" s="251"/>
      <c r="KA54" s="341"/>
      <c r="KB54" s="341"/>
      <c r="KC54" s="341"/>
      <c r="KD54" s="341"/>
      <c r="KE54" s="251"/>
      <c r="KF54" s="251"/>
      <c r="KG54" s="341"/>
      <c r="KH54" s="341"/>
      <c r="KI54" s="251"/>
      <c r="KJ54" s="341"/>
      <c r="KK54" s="341"/>
      <c r="KL54" s="251"/>
      <c r="KM54" s="390"/>
      <c r="KN54" s="386"/>
      <c r="KO54" s="359"/>
      <c r="KP54" s="359"/>
      <c r="KQ54" s="359"/>
      <c r="KR54" s="386"/>
      <c r="KS54" s="386"/>
      <c r="KT54" s="386"/>
      <c r="KU54" s="341"/>
      <c r="KV54" s="341"/>
      <c r="KW54" s="341"/>
      <c r="KX54" s="341"/>
      <c r="KY54" s="361"/>
      <c r="KZ54" s="341"/>
      <c r="LA54" s="341"/>
      <c r="LB54" s="348"/>
      <c r="LC54" s="348"/>
      <c r="LD54" s="348"/>
      <c r="LE54" s="387"/>
      <c r="LF54" s="341"/>
      <c r="LG54" s="341"/>
      <c r="LH54" s="348"/>
      <c r="LI54" s="341"/>
      <c r="LJ54" s="341"/>
      <c r="LK54" s="348"/>
      <c r="LL54" s="341"/>
      <c r="LM54" s="341"/>
      <c r="LN54" s="348"/>
      <c r="LO54" s="64"/>
      <c r="LP54" s="64"/>
      <c r="LQ54" s="349"/>
      <c r="LR54" s="341"/>
      <c r="LS54" s="341"/>
      <c r="LT54" s="341"/>
      <c r="LU54" s="348"/>
      <c r="LV54" s="249"/>
      <c r="LW54" s="251"/>
      <c r="LX54" s="251"/>
      <c r="LY54" s="251"/>
      <c r="LZ54" s="251"/>
      <c r="MA54" s="249"/>
      <c r="MB54" s="251"/>
      <c r="MC54" s="251"/>
      <c r="MD54" s="251"/>
      <c r="ME54" s="251"/>
      <c r="MF54" s="249"/>
      <c r="MG54" s="251"/>
      <c r="MH54" s="251"/>
      <c r="MI54" s="251"/>
      <c r="MJ54" s="251"/>
      <c r="MK54" s="249"/>
      <c r="ML54" s="251"/>
      <c r="MM54" s="251"/>
      <c r="MN54" s="251"/>
      <c r="MO54" s="251"/>
      <c r="MP54" s="251"/>
      <c r="MQ54" s="251"/>
      <c r="MR54" s="251"/>
      <c r="MS54" s="251"/>
      <c r="MT54" s="2"/>
      <c r="MU54" s="2">
        <v>0</v>
      </c>
      <c r="MV54" s="2">
        <v>0</v>
      </c>
      <c r="MW54" s="2"/>
      <c r="MX54" s="2"/>
      <c r="MY54" s="2">
        <v>0</v>
      </c>
      <c r="MZ54" s="249"/>
      <c r="NA54" s="251"/>
      <c r="NB54" s="251"/>
      <c r="NC54" s="251"/>
      <c r="ND54" s="251"/>
      <c r="NE54" s="249"/>
      <c r="NF54" s="251"/>
      <c r="NG54" s="251"/>
      <c r="NH54" s="251"/>
      <c r="NI54" s="251"/>
      <c r="NJ54" s="249"/>
      <c r="NK54" s="251"/>
      <c r="NL54" s="251"/>
      <c r="NM54" s="251"/>
      <c r="NN54" s="251"/>
      <c r="NO54" s="249"/>
      <c r="NP54" s="251"/>
      <c r="NQ54" s="251"/>
      <c r="NR54" s="251"/>
      <c r="NS54" s="335"/>
      <c r="NT54" s="569"/>
      <c r="NX54" s="79"/>
      <c r="NZ54" s="2">
        <v>0</v>
      </c>
      <c r="OC54" s="2">
        <v>0</v>
      </c>
    </row>
    <row r="55" spans="1:393" ht="14.25" x14ac:dyDescent="0.2">
      <c r="A55" s="241" t="s">
        <v>21</v>
      </c>
      <c r="B55" s="281" t="s">
        <v>186</v>
      </c>
      <c r="C55" s="282" t="s">
        <v>186</v>
      </c>
      <c r="D55" s="282" t="s">
        <v>186</v>
      </c>
      <c r="E55" s="282" t="s">
        <v>186</v>
      </c>
      <c r="F55" s="283" t="s">
        <v>186</v>
      </c>
      <c r="G55" s="7">
        <v>185213</v>
      </c>
      <c r="H55" s="7">
        <v>153772</v>
      </c>
      <c r="I55" s="7">
        <v>15941</v>
      </c>
      <c r="J55" s="7">
        <v>23935</v>
      </c>
      <c r="K55" s="12">
        <v>15500</v>
      </c>
      <c r="L55" s="7">
        <v>132917</v>
      </c>
      <c r="M55" s="7">
        <v>95345</v>
      </c>
      <c r="N55" s="7">
        <v>11880</v>
      </c>
      <c r="O55" s="7">
        <v>33171</v>
      </c>
      <c r="P55" s="12">
        <v>25692</v>
      </c>
      <c r="Q55" s="9">
        <v>113739</v>
      </c>
      <c r="R55" s="9">
        <v>72472</v>
      </c>
      <c r="S55" s="9">
        <v>12508</v>
      </c>
      <c r="T55" s="9">
        <v>44753</v>
      </c>
      <c r="U55" s="617">
        <v>28759</v>
      </c>
      <c r="V55" s="9">
        <v>107430</v>
      </c>
      <c r="W55" s="9">
        <v>67322</v>
      </c>
      <c r="X55" s="9">
        <v>11684</v>
      </c>
      <c r="Y55" s="9">
        <v>44231</v>
      </c>
      <c r="Z55" s="9">
        <v>28285</v>
      </c>
      <c r="AA55" s="9">
        <v>107178</v>
      </c>
      <c r="AB55" s="9">
        <v>44280</v>
      </c>
      <c r="AC55" s="9">
        <v>11240</v>
      </c>
      <c r="AD55" s="9">
        <v>45507</v>
      </c>
      <c r="AE55" s="726">
        <v>30053</v>
      </c>
      <c r="AF55" s="7">
        <v>271995</v>
      </c>
      <c r="AG55" s="7">
        <v>223361</v>
      </c>
      <c r="AH55" s="7">
        <v>34466</v>
      </c>
      <c r="AI55" s="7">
        <v>22519</v>
      </c>
      <c r="AJ55" s="12">
        <v>14168</v>
      </c>
      <c r="AK55" s="7">
        <v>234739</v>
      </c>
      <c r="AL55" s="7">
        <v>171490</v>
      </c>
      <c r="AM55" s="7">
        <v>33858</v>
      </c>
      <c r="AN55" s="7">
        <v>34415</v>
      </c>
      <c r="AO55" s="12">
        <v>29391</v>
      </c>
      <c r="AP55" s="7">
        <v>163353</v>
      </c>
      <c r="AQ55" s="7">
        <v>110327</v>
      </c>
      <c r="AR55" s="7">
        <v>27292</v>
      </c>
      <c r="AS55" s="7">
        <v>37235</v>
      </c>
      <c r="AT55" s="12">
        <v>25734</v>
      </c>
      <c r="AU55" s="7">
        <v>156360</v>
      </c>
      <c r="AV55" s="7">
        <v>105089</v>
      </c>
      <c r="AW55" s="7">
        <v>25613</v>
      </c>
      <c r="AX55" s="7">
        <v>38741</v>
      </c>
      <c r="AY55" s="7">
        <v>25628</v>
      </c>
      <c r="AZ55" s="7">
        <v>149357</v>
      </c>
      <c r="BA55" s="7">
        <v>80352</v>
      </c>
      <c r="BB55" s="7">
        <v>25021</v>
      </c>
      <c r="BC55" s="7">
        <v>38915</v>
      </c>
      <c r="BD55" s="63">
        <v>24474</v>
      </c>
      <c r="BE55" s="14">
        <v>274752</v>
      </c>
      <c r="BF55" s="7">
        <v>178164</v>
      </c>
      <c r="BG55" s="7">
        <v>39554</v>
      </c>
      <c r="BH55" s="7">
        <v>84101</v>
      </c>
      <c r="BI55" s="313">
        <f t="shared" ref="BI55:BI64" si="536">BE55-BF55-BG55</f>
        <v>57034</v>
      </c>
      <c r="BJ55" s="281" t="s">
        <v>186</v>
      </c>
      <c r="BK55" s="282" t="s">
        <v>186</v>
      </c>
      <c r="BL55" s="282" t="s">
        <v>186</v>
      </c>
      <c r="BM55" s="282" t="s">
        <v>186</v>
      </c>
      <c r="BN55" s="281" t="s">
        <v>186</v>
      </c>
      <c r="BO55" s="282" t="s">
        <v>186</v>
      </c>
      <c r="BP55" s="282" t="s">
        <v>186</v>
      </c>
      <c r="BQ55" s="282" t="s">
        <v>186</v>
      </c>
      <c r="BR55" s="283" t="s">
        <v>186</v>
      </c>
      <c r="BS55" s="7">
        <v>1741755</v>
      </c>
      <c r="BT55" s="7">
        <v>1593488</v>
      </c>
      <c r="BU55" s="7">
        <v>102204</v>
      </c>
      <c r="BV55" s="7">
        <v>53533</v>
      </c>
      <c r="BW55" s="12">
        <v>46063</v>
      </c>
      <c r="BX55" s="7">
        <v>1927961</v>
      </c>
      <c r="BY55" s="7">
        <v>1682295</v>
      </c>
      <c r="BZ55" s="7">
        <v>129789</v>
      </c>
      <c r="CA55" s="7">
        <v>95376</v>
      </c>
      <c r="CB55" s="7">
        <v>115877</v>
      </c>
      <c r="CC55" s="214">
        <v>2061899</v>
      </c>
      <c r="CD55" s="7">
        <v>1750046</v>
      </c>
      <c r="CE55" s="7">
        <v>155099</v>
      </c>
      <c r="CF55" s="7">
        <v>156754</v>
      </c>
      <c r="CG55" s="7">
        <v>146462</v>
      </c>
      <c r="CH55" s="14">
        <v>2075997</v>
      </c>
      <c r="CI55" s="7">
        <v>1756998</v>
      </c>
      <c r="CJ55" s="7">
        <v>157873</v>
      </c>
      <c r="CK55" s="7">
        <v>161126</v>
      </c>
      <c r="CL55" s="7">
        <v>151578</v>
      </c>
      <c r="CM55" s="14">
        <v>2081571</v>
      </c>
      <c r="CN55" s="64">
        <v>1759339</v>
      </c>
      <c r="CO55" s="64">
        <v>161558</v>
      </c>
      <c r="CP55" s="64">
        <v>160674</v>
      </c>
      <c r="CQ55" s="64">
        <v>152240</v>
      </c>
      <c r="CR55" s="14">
        <v>2138942</v>
      </c>
      <c r="CS55" s="7">
        <v>1794772</v>
      </c>
      <c r="CT55" s="7">
        <v>172512</v>
      </c>
      <c r="CU55" s="7">
        <v>168295</v>
      </c>
      <c r="CV55" s="7">
        <v>144720</v>
      </c>
      <c r="CW55" s="14">
        <v>2159111.6159999999</v>
      </c>
      <c r="CX55" s="7">
        <v>1801440.5499999998</v>
      </c>
      <c r="CY55" s="7">
        <v>177774.304</v>
      </c>
      <c r="CZ55" s="7">
        <v>176273.875</v>
      </c>
      <c r="DA55" s="567">
        <f t="shared" ref="DA55:DA64" si="537">CW55-CX55-CY55</f>
        <v>179896.7620000001</v>
      </c>
      <c r="DB55" s="7">
        <v>2182623</v>
      </c>
      <c r="DC55" s="7">
        <v>1816058</v>
      </c>
      <c r="DD55" s="7">
        <v>183834</v>
      </c>
      <c r="DE55" s="7">
        <v>187392</v>
      </c>
      <c r="DF55" s="7">
        <v>182023</v>
      </c>
      <c r="DG55" s="7">
        <v>2199635</v>
      </c>
      <c r="DH55" s="7">
        <v>1706706</v>
      </c>
      <c r="DI55" s="7">
        <v>189058</v>
      </c>
      <c r="DJ55" s="7">
        <v>195995</v>
      </c>
      <c r="DK55" s="7">
        <v>109210</v>
      </c>
      <c r="DL55" s="281" t="s">
        <v>186</v>
      </c>
      <c r="DM55" s="282" t="s">
        <v>186</v>
      </c>
      <c r="DN55" s="282" t="s">
        <v>186</v>
      </c>
      <c r="DO55" s="282" t="s">
        <v>186</v>
      </c>
      <c r="DP55" s="283" t="s">
        <v>186</v>
      </c>
      <c r="DQ55" s="14">
        <v>495696</v>
      </c>
      <c r="DR55" s="7">
        <v>449820</v>
      </c>
      <c r="DS55" s="7">
        <v>33515</v>
      </c>
      <c r="DT55" s="7">
        <v>17053</v>
      </c>
      <c r="DU55" s="12">
        <v>12361</v>
      </c>
      <c r="DV55" s="14">
        <v>553667</v>
      </c>
      <c r="DW55" s="7">
        <v>476127</v>
      </c>
      <c r="DX55" s="7">
        <v>46218</v>
      </c>
      <c r="DY55" s="7">
        <v>31013</v>
      </c>
      <c r="DZ55" s="12">
        <v>31322</v>
      </c>
      <c r="EA55" s="14">
        <v>600131</v>
      </c>
      <c r="EB55" s="7">
        <v>494243</v>
      </c>
      <c r="EC55" s="7">
        <v>62856</v>
      </c>
      <c r="ED55" s="7">
        <v>55507</v>
      </c>
      <c r="EE55" s="12">
        <v>43032</v>
      </c>
      <c r="EF55" s="14">
        <v>607858</v>
      </c>
      <c r="EG55" s="7">
        <v>496880.85499999998</v>
      </c>
      <c r="EH55" s="7">
        <v>66067.712</v>
      </c>
      <c r="EI55" s="7">
        <v>58584.375</v>
      </c>
      <c r="EJ55" s="12">
        <v>44909.433000000019</v>
      </c>
      <c r="EK55" s="7">
        <v>613223</v>
      </c>
      <c r="EL55" s="7">
        <v>499990</v>
      </c>
      <c r="EM55" s="7">
        <v>68027</v>
      </c>
      <c r="EN55" s="7">
        <v>60855</v>
      </c>
      <c r="EO55" s="661">
        <v>44986</v>
      </c>
      <c r="EP55" s="661">
        <v>618421</v>
      </c>
      <c r="EQ55" s="661">
        <v>460002</v>
      </c>
      <c r="ER55" s="661">
        <v>71330</v>
      </c>
      <c r="ES55" s="661">
        <v>66132</v>
      </c>
      <c r="ET55" s="661">
        <v>47806</v>
      </c>
      <c r="EU55" s="14">
        <v>145278</v>
      </c>
      <c r="EV55" s="7">
        <v>133873</v>
      </c>
      <c r="EW55" s="7">
        <v>7812</v>
      </c>
      <c r="EX55" s="7">
        <v>4016</v>
      </c>
      <c r="EY55" s="12">
        <v>3593</v>
      </c>
      <c r="EZ55" s="14">
        <v>150926</v>
      </c>
      <c r="FA55" s="7">
        <v>132900</v>
      </c>
      <c r="FB55" s="7">
        <v>10071</v>
      </c>
      <c r="FC55" s="7">
        <v>6800</v>
      </c>
      <c r="FD55" s="12">
        <v>7955</v>
      </c>
      <c r="FE55" s="14">
        <v>176024</v>
      </c>
      <c r="FF55" s="7">
        <v>148940</v>
      </c>
      <c r="FG55" s="7">
        <v>15323</v>
      </c>
      <c r="FH55" s="7">
        <v>13016</v>
      </c>
      <c r="FI55" s="7">
        <v>11761</v>
      </c>
      <c r="FJ55" s="14"/>
      <c r="FK55" s="7"/>
      <c r="FL55" s="7"/>
      <c r="FM55" s="7"/>
      <c r="FN55" s="12"/>
      <c r="FO55" s="7">
        <v>178335</v>
      </c>
      <c r="FP55" s="7">
        <v>149575</v>
      </c>
      <c r="FQ55" s="7">
        <v>16735</v>
      </c>
      <c r="FR55" s="7">
        <v>13493</v>
      </c>
      <c r="FS55" s="7">
        <v>11964</v>
      </c>
      <c r="FT55" s="7">
        <v>181997</v>
      </c>
      <c r="FU55" s="7">
        <v>142002</v>
      </c>
      <c r="FV55" s="7">
        <v>18121</v>
      </c>
      <c r="FW55" s="7">
        <v>14926</v>
      </c>
      <c r="FX55" s="7">
        <v>12383</v>
      </c>
      <c r="FY55" s="609">
        <f t="shared" ref="FY55" si="538">EU55+HC55+MZ55</f>
        <v>742971</v>
      </c>
      <c r="FZ55" s="584">
        <f t="shared" ref="FZ55" si="539">EV55+HD55+NA55</f>
        <v>694678</v>
      </c>
      <c r="GA55" s="584">
        <f t="shared" ref="GA55" si="540">EW55+HE55+NB55</f>
        <v>26590</v>
      </c>
      <c r="GB55" s="584">
        <f t="shared" ref="GB55" si="541">EX55+HF55+NC55</f>
        <v>16137</v>
      </c>
      <c r="GC55" s="584">
        <f t="shared" ref="GC55" si="542">EY55+HG55+ND55</f>
        <v>21703</v>
      </c>
      <c r="GD55" s="609">
        <f t="shared" ref="GD55" si="543">EZ55+HH55+NE55</f>
        <v>871920</v>
      </c>
      <c r="GE55" s="584">
        <f t="shared" ref="GE55" si="544">FA55+HI55+NF55</f>
        <v>785763</v>
      </c>
      <c r="GF55" s="584">
        <f t="shared" ref="GF55" si="545">FB55+HJ55+NG55</f>
        <v>34197</v>
      </c>
      <c r="GG55" s="584">
        <f t="shared" ref="GG55" si="546">FC55+HK55+NH55</f>
        <v>25226</v>
      </c>
      <c r="GH55" s="584">
        <f t="shared" ref="GH55" si="547">FD55+HL55+NI55</f>
        <v>51960</v>
      </c>
      <c r="GI55" s="14">
        <v>845786</v>
      </c>
      <c r="GJ55" s="7">
        <v>729112</v>
      </c>
      <c r="GK55" s="7">
        <v>45469</v>
      </c>
      <c r="GL55" s="7">
        <v>41399</v>
      </c>
      <c r="GM55" s="7">
        <v>71205</v>
      </c>
      <c r="GN55" s="605"/>
      <c r="GO55" s="9"/>
      <c r="GP55" s="9"/>
      <c r="GQ55" s="9"/>
      <c r="GR55" s="9"/>
      <c r="GS55" s="9">
        <v>1066065</v>
      </c>
      <c r="GT55" s="9">
        <v>918929</v>
      </c>
      <c r="GU55" s="9">
        <v>57077</v>
      </c>
      <c r="GV55" s="9">
        <v>55279</v>
      </c>
      <c r="GW55" s="617">
        <v>89669</v>
      </c>
      <c r="GX55" s="9">
        <v>2954606</v>
      </c>
      <c r="GY55" s="9">
        <v>891889</v>
      </c>
      <c r="GZ55" s="9">
        <v>61028</v>
      </c>
      <c r="HA55" s="9">
        <v>58752</v>
      </c>
      <c r="HB55" s="9">
        <v>53036</v>
      </c>
      <c r="HC55" s="14">
        <v>356289</v>
      </c>
      <c r="HD55" s="7">
        <v>335992</v>
      </c>
      <c r="HE55" s="7">
        <v>11332</v>
      </c>
      <c r="HF55" s="7">
        <v>6941</v>
      </c>
      <c r="HG55" s="7">
        <v>8965</v>
      </c>
      <c r="HH55" s="14">
        <v>416751</v>
      </c>
      <c r="HI55" s="7">
        <v>378681</v>
      </c>
      <c r="HJ55" s="7">
        <v>14716</v>
      </c>
      <c r="HK55" s="7">
        <v>10730</v>
      </c>
      <c r="HL55" s="7">
        <v>23354</v>
      </c>
      <c r="HM55" s="14">
        <v>487626</v>
      </c>
      <c r="HN55" s="7">
        <v>422154</v>
      </c>
      <c r="HO55" s="7">
        <v>24044</v>
      </c>
      <c r="HP55" s="7">
        <v>22449</v>
      </c>
      <c r="HQ55" s="7">
        <v>41428</v>
      </c>
      <c r="HR55" s="14">
        <v>491149.26399999997</v>
      </c>
      <c r="HS55" s="7">
        <v>425615.07500000001</v>
      </c>
      <c r="HT55" s="7">
        <v>24340.735999999997</v>
      </c>
      <c r="HU55" s="7">
        <v>23173.375000000004</v>
      </c>
      <c r="HV55" s="7">
        <v>41193.452999999958</v>
      </c>
      <c r="HW55" s="7">
        <v>503028</v>
      </c>
      <c r="HX55" s="7">
        <v>417234</v>
      </c>
      <c r="HY55" s="7">
        <v>25796</v>
      </c>
      <c r="HZ55" s="7">
        <v>27213</v>
      </c>
      <c r="IA55" s="7">
        <v>42325</v>
      </c>
      <c r="IB55" s="281" t="s">
        <v>186</v>
      </c>
      <c r="IC55" s="282" t="s">
        <v>186</v>
      </c>
      <c r="ID55" s="14">
        <v>140535</v>
      </c>
      <c r="IE55" s="355">
        <f t="shared" ref="IE55:IE64" si="548">+IH55+IK55</f>
        <v>87808</v>
      </c>
      <c r="IF55" s="355">
        <f t="shared" ref="IF55:IF64" si="549">+II55+IL55</f>
        <v>52727</v>
      </c>
      <c r="IG55" s="355">
        <f t="shared" ref="IG55:IG64" si="550">+IH55+II55</f>
        <v>138714</v>
      </c>
      <c r="IH55" s="341">
        <v>86783</v>
      </c>
      <c r="II55" s="341">
        <v>51931</v>
      </c>
      <c r="IJ55" s="355">
        <f t="shared" ref="IJ55:IJ64" si="551">+IK55+IL55</f>
        <v>1821</v>
      </c>
      <c r="IK55" s="341">
        <v>1025</v>
      </c>
      <c r="IL55" s="341">
        <v>796</v>
      </c>
      <c r="IM55" s="14">
        <v>68279</v>
      </c>
      <c r="IN55" s="355">
        <f t="shared" ref="IN55:IN64" si="552">+IQ55+IT55+IW55</f>
        <v>42178</v>
      </c>
      <c r="IO55" s="355">
        <f t="shared" ref="IO55:IO64" si="553">+IR55+IU55+IX55</f>
        <v>26101</v>
      </c>
      <c r="IP55" s="355">
        <f t="shared" ref="IP55:IP64" si="554">+IQ55+IR55</f>
        <v>67318</v>
      </c>
      <c r="IQ55" s="341">
        <v>41603</v>
      </c>
      <c r="IR55" s="341">
        <v>25715</v>
      </c>
      <c r="IS55" s="355">
        <f t="shared" ref="IS55:IS64" si="555">+IT55+IU55</f>
        <v>404</v>
      </c>
      <c r="IT55" s="341">
        <v>188</v>
      </c>
      <c r="IU55" s="341">
        <v>216</v>
      </c>
      <c r="IV55" s="355">
        <f t="shared" ref="IV55:IV64" si="556">+IW55+IX55</f>
        <v>557</v>
      </c>
      <c r="IW55" s="341">
        <v>387</v>
      </c>
      <c r="IX55" s="341">
        <v>170</v>
      </c>
      <c r="IY55" s="14">
        <v>392564</v>
      </c>
      <c r="IZ55" s="355">
        <f t="shared" ref="IZ55:IZ64" si="557">+JC55+JH55+JK55+JN55</f>
        <v>230687</v>
      </c>
      <c r="JA55" s="355">
        <f t="shared" ref="JA55:JA64" si="558">+JD55+JI55+JL55+JO55</f>
        <v>161877</v>
      </c>
      <c r="JB55" s="365">
        <f t="shared" ref="JB55:JB64" si="559">+JC55+JD55</f>
        <v>372864</v>
      </c>
      <c r="JC55" s="341">
        <v>219858</v>
      </c>
      <c r="JD55" s="341">
        <v>153006</v>
      </c>
      <c r="JE55" s="341">
        <v>10829</v>
      </c>
      <c r="JF55" s="341">
        <v>8871</v>
      </c>
      <c r="JG55" s="365">
        <f t="shared" ref="JG55:JG64" si="560">+JH55+JI55</f>
        <v>8908</v>
      </c>
      <c r="JH55" s="341">
        <v>4563</v>
      </c>
      <c r="JI55" s="341">
        <v>4345</v>
      </c>
      <c r="JJ55" s="365">
        <f t="shared" ref="JJ55:JJ64" si="561">+JK55+JL55</f>
        <v>4644</v>
      </c>
      <c r="JK55" s="341">
        <v>2679</v>
      </c>
      <c r="JL55" s="341">
        <v>1965</v>
      </c>
      <c r="JM55" s="356">
        <f t="shared" ref="JM55:JM64" si="562">+JN55+JO55</f>
        <v>6148</v>
      </c>
      <c r="JN55" s="356">
        <f t="shared" ref="JN55:JN64" si="563">+JQ55+JT55</f>
        <v>3587</v>
      </c>
      <c r="JO55" s="356">
        <f t="shared" ref="JO55:JO64" si="564">+JR55+JU55</f>
        <v>2561</v>
      </c>
      <c r="JP55" s="357">
        <f t="shared" ref="JP55:JP64" si="565">+JQ55+JR55</f>
        <v>94</v>
      </c>
      <c r="JQ55" s="357">
        <f t="shared" ref="JQ55:JQ64" si="566">+JE55-JH55-JK55-JT55</f>
        <v>56</v>
      </c>
      <c r="JR55" s="357">
        <f t="shared" ref="JR55:JR64" si="567">+JF55-JI55-JL55-JU55</f>
        <v>38</v>
      </c>
      <c r="JS55" s="341">
        <v>6054</v>
      </c>
      <c r="JT55" s="341">
        <v>3531</v>
      </c>
      <c r="JU55" s="341">
        <v>2523</v>
      </c>
      <c r="JV55" s="16">
        <f t="shared" ref="JV55:JV64" si="568">+HC55+MZ55</f>
        <v>597693</v>
      </c>
      <c r="JW55" s="355">
        <f t="shared" ref="JW55:JW64" si="569">+KA55+KG55+KJ55+KM55</f>
        <v>322302</v>
      </c>
      <c r="JX55" s="355">
        <f t="shared" ref="JX55:JX64" si="570">+KB55+KH55+KK55+KN55</f>
        <v>275391</v>
      </c>
      <c r="JY55" s="15">
        <f t="shared" ref="JY55:JY64" si="571">+HD55+NA55</f>
        <v>560805</v>
      </c>
      <c r="JZ55" s="151">
        <f t="shared" ref="JZ55:JZ64" si="572">+KA55+KB55</f>
        <v>552279</v>
      </c>
      <c r="KA55" s="341">
        <v>299201</v>
      </c>
      <c r="KB55" s="341">
        <v>253078</v>
      </c>
      <c r="KC55" s="341">
        <v>23101</v>
      </c>
      <c r="KD55" s="341">
        <v>22313</v>
      </c>
      <c r="KE55" s="15">
        <f t="shared" ref="KE55:KE64" si="573">+HE55+NB55</f>
        <v>18778</v>
      </c>
      <c r="KF55" s="151">
        <f t="shared" ref="KF55:KF64" si="574">+KG55+KH55</f>
        <v>18300</v>
      </c>
      <c r="KG55" s="341">
        <v>8517</v>
      </c>
      <c r="KH55" s="341">
        <v>9783</v>
      </c>
      <c r="KI55" s="15">
        <f t="shared" ref="KI55:KI64" si="575">+KJ55+KK55</f>
        <v>12121</v>
      </c>
      <c r="KJ55" s="341">
        <v>6216</v>
      </c>
      <c r="KK55" s="341">
        <v>5905</v>
      </c>
      <c r="KL55" s="15">
        <f t="shared" ref="KL55:KL64" si="576">+HG55+ND55</f>
        <v>18110</v>
      </c>
      <c r="KM55" s="391">
        <f t="shared" ref="KM55:KM64" si="577">+KP55+KS55</f>
        <v>8368</v>
      </c>
      <c r="KN55" s="358">
        <f t="shared" ref="KN55:KN64" si="578">+KQ55+KT55</f>
        <v>6625</v>
      </c>
      <c r="KO55" s="359">
        <f t="shared" ref="KO55:KO64" si="579">+KP55+KQ55</f>
        <v>247</v>
      </c>
      <c r="KP55" s="359">
        <f t="shared" ref="KP55:KP64" si="580">+KC55-KG55-KJ55-KS55</f>
        <v>170</v>
      </c>
      <c r="KQ55" s="359">
        <f t="shared" ref="KQ55:KQ64" si="581">+KD55-KH55-KK55-KT55</f>
        <v>77</v>
      </c>
      <c r="KR55" s="360">
        <f t="shared" ref="KR55:KR64" si="582">+KS55+KT55</f>
        <v>14746</v>
      </c>
      <c r="KS55" s="360">
        <f t="shared" ref="KS55:KS64" si="583">+KU55+KW55</f>
        <v>8198</v>
      </c>
      <c r="KT55" s="360">
        <f t="shared" ref="KT55:KT64" si="584">+KV55+KX55</f>
        <v>6548</v>
      </c>
      <c r="KU55" s="341">
        <v>265</v>
      </c>
      <c r="KV55" s="341">
        <v>266</v>
      </c>
      <c r="KW55" s="341">
        <v>7933</v>
      </c>
      <c r="KX55" s="341">
        <v>6282</v>
      </c>
      <c r="KY55" s="361">
        <v>720994</v>
      </c>
      <c r="KZ55" s="341">
        <v>361679</v>
      </c>
      <c r="LA55" s="341">
        <v>359315</v>
      </c>
      <c r="LB55" s="9">
        <f t="shared" ref="LB55:LB64" si="585">+HI55+NF55</f>
        <v>652863</v>
      </c>
      <c r="LC55" s="9">
        <v>328763</v>
      </c>
      <c r="LD55" s="9">
        <v>324100</v>
      </c>
      <c r="LE55" s="140">
        <f t="shared" ref="LE55:LE64" si="586">+LF55+LG55</f>
        <v>640851</v>
      </c>
      <c r="LF55" s="341">
        <v>323247</v>
      </c>
      <c r="LG55" s="341">
        <v>317604</v>
      </c>
      <c r="LH55" s="9">
        <f t="shared" ref="LH55:LH64" si="587">+LI55+LJ55</f>
        <v>24126</v>
      </c>
      <c r="LI55" s="341">
        <v>10414</v>
      </c>
      <c r="LJ55" s="341">
        <v>13712</v>
      </c>
      <c r="LK55" s="9">
        <f t="shared" ref="LK55:LK64" si="588">+LL55+LM55</f>
        <v>18426</v>
      </c>
      <c r="LL55" s="341">
        <v>8319</v>
      </c>
      <c r="LM55" s="341">
        <v>10107</v>
      </c>
      <c r="LN55" s="140">
        <f t="shared" ref="LN55:LN64" si="589">+KY55-LB55-LH55</f>
        <v>44005</v>
      </c>
      <c r="LO55" s="140">
        <f t="shared" ref="LO55:LO64" si="590">+KZ55-LC55-LI55</f>
        <v>22502</v>
      </c>
      <c r="LP55" s="140">
        <f t="shared" ref="LP55:LP64" si="591">+LA55-LD55-LJ55</f>
        <v>21503</v>
      </c>
      <c r="LQ55" s="349">
        <v>804909</v>
      </c>
      <c r="LR55" s="341">
        <v>708026</v>
      </c>
      <c r="LS55" s="341">
        <v>32914</v>
      </c>
      <c r="LT55" s="341">
        <v>63969</v>
      </c>
      <c r="LU55" s="9">
        <v>29969</v>
      </c>
      <c r="LV55" s="361">
        <v>818709</v>
      </c>
      <c r="LW55" s="7">
        <v>716156</v>
      </c>
      <c r="LX55" s="7">
        <v>34646</v>
      </c>
      <c r="LY55" s="7">
        <v>67907</v>
      </c>
      <c r="LZ55" s="7">
        <v>32374</v>
      </c>
      <c r="MA55" s="361">
        <v>834589</v>
      </c>
      <c r="MB55" s="7">
        <v>728265</v>
      </c>
      <c r="MC55" s="7">
        <v>36514</v>
      </c>
      <c r="MD55" s="7">
        <v>69810</v>
      </c>
      <c r="ME55" s="7">
        <v>33312</v>
      </c>
      <c r="MF55" s="14">
        <v>860375</v>
      </c>
      <c r="MG55" s="7">
        <v>747268</v>
      </c>
      <c r="MH55" s="7">
        <v>37815</v>
      </c>
      <c r="MI55" s="7">
        <v>75292</v>
      </c>
      <c r="MJ55" s="7">
        <v>36219</v>
      </c>
      <c r="MK55" s="14">
        <v>870452.65599999996</v>
      </c>
      <c r="ML55" s="7">
        <v>756209.11</v>
      </c>
      <c r="MM55" s="7">
        <v>38684.383999999998</v>
      </c>
      <c r="MN55" s="7">
        <v>37233.625000000007</v>
      </c>
      <c r="MO55" s="7">
        <v>75559.161999999982</v>
      </c>
      <c r="MP55" s="7">
        <v>887730</v>
      </c>
      <c r="MQ55" s="7">
        <v>769354</v>
      </c>
      <c r="MR55" s="7">
        <v>40342</v>
      </c>
      <c r="MS55" s="7">
        <v>41786</v>
      </c>
      <c r="MT55" s="2">
        <v>77705</v>
      </c>
      <c r="MU55" s="2">
        <v>905308</v>
      </c>
      <c r="MV55" s="2">
        <v>749887</v>
      </c>
      <c r="MW55" s="2">
        <v>42907</v>
      </c>
      <c r="MX55" s="2">
        <v>43826</v>
      </c>
      <c r="MY55" s="2">
        <v>46469</v>
      </c>
      <c r="MZ55" s="14">
        <v>241404</v>
      </c>
      <c r="NA55" s="7">
        <v>224813</v>
      </c>
      <c r="NB55" s="7">
        <v>7446</v>
      </c>
      <c r="NC55" s="7">
        <v>5180</v>
      </c>
      <c r="ND55" s="7">
        <v>9145</v>
      </c>
      <c r="NE55" s="14">
        <v>304243</v>
      </c>
      <c r="NF55" s="7">
        <v>274182</v>
      </c>
      <c r="NG55" s="7">
        <v>9410</v>
      </c>
      <c r="NH55" s="7">
        <v>7696</v>
      </c>
      <c r="NI55" s="7">
        <v>20651</v>
      </c>
      <c r="NJ55" s="14">
        <v>372749</v>
      </c>
      <c r="NK55" s="7">
        <v>325114</v>
      </c>
      <c r="NL55" s="7">
        <v>13771</v>
      </c>
      <c r="NM55" s="7">
        <v>13770</v>
      </c>
      <c r="NN55" s="7">
        <v>33864</v>
      </c>
      <c r="NO55" s="14">
        <v>379303.39199999999</v>
      </c>
      <c r="NP55" s="7">
        <v>330594.03499999997</v>
      </c>
      <c r="NQ55" s="7">
        <v>14343.648000000001</v>
      </c>
      <c r="NR55" s="7">
        <v>14060.250000000002</v>
      </c>
      <c r="NS55" s="12">
        <v>34365.709000000017</v>
      </c>
      <c r="NT55" s="1">
        <v>389914</v>
      </c>
      <c r="NU55" s="2">
        <v>338533</v>
      </c>
      <c r="NV55" s="2">
        <v>15462</v>
      </c>
      <c r="NW55" s="2">
        <v>15817</v>
      </c>
      <c r="NX55" s="79">
        <v>35808</v>
      </c>
      <c r="NY55" s="2">
        <v>402280</v>
      </c>
      <c r="NZ55" s="2">
        <v>332653</v>
      </c>
      <c r="OA55" s="2">
        <v>17111</v>
      </c>
      <c r="OB55" s="2">
        <v>16613</v>
      </c>
      <c r="OC55" s="2">
        <v>40471</v>
      </c>
    </row>
    <row r="56" spans="1:393" ht="14.25" x14ac:dyDescent="0.2">
      <c r="A56" s="241" t="s">
        <v>28</v>
      </c>
      <c r="B56" s="281" t="s">
        <v>186</v>
      </c>
      <c r="C56" s="282" t="s">
        <v>186</v>
      </c>
      <c r="D56" s="282" t="s">
        <v>186</v>
      </c>
      <c r="E56" s="282" t="s">
        <v>186</v>
      </c>
      <c r="F56" s="283" t="s">
        <v>186</v>
      </c>
      <c r="G56" s="7">
        <v>70153</v>
      </c>
      <c r="H56" s="7">
        <v>69001</v>
      </c>
      <c r="I56" s="7">
        <v>67</v>
      </c>
      <c r="J56" s="7">
        <v>175</v>
      </c>
      <c r="K56" s="12">
        <v>1085</v>
      </c>
      <c r="L56" s="7">
        <v>47183</v>
      </c>
      <c r="M56" s="7">
        <v>45360</v>
      </c>
      <c r="N56" s="7">
        <v>140</v>
      </c>
      <c r="O56" s="7">
        <v>470</v>
      </c>
      <c r="P56" s="7">
        <v>1683</v>
      </c>
      <c r="Q56" s="605">
        <v>34125</v>
      </c>
      <c r="R56" s="9">
        <v>31472</v>
      </c>
      <c r="S56" s="9">
        <v>530</v>
      </c>
      <c r="T56" s="9">
        <v>516</v>
      </c>
      <c r="U56" s="9">
        <v>2123</v>
      </c>
      <c r="V56" s="9">
        <v>31509</v>
      </c>
      <c r="W56" s="9">
        <v>28697</v>
      </c>
      <c r="X56" s="9">
        <v>797</v>
      </c>
      <c r="Y56" s="9">
        <v>580</v>
      </c>
      <c r="Z56" s="9">
        <v>2015</v>
      </c>
      <c r="AA56" s="9">
        <v>29613</v>
      </c>
      <c r="AB56" s="9">
        <v>26235</v>
      </c>
      <c r="AC56" s="9">
        <v>797</v>
      </c>
      <c r="AD56" s="9">
        <v>648</v>
      </c>
      <c r="AE56" s="726">
        <v>2103</v>
      </c>
      <c r="AF56" s="14">
        <v>98307</v>
      </c>
      <c r="AG56" s="7">
        <v>97091</v>
      </c>
      <c r="AH56" s="7">
        <v>246</v>
      </c>
      <c r="AI56" s="7">
        <v>370</v>
      </c>
      <c r="AJ56" s="7">
        <v>970</v>
      </c>
      <c r="AK56" s="7">
        <v>80105</v>
      </c>
      <c r="AL56" s="7">
        <v>77586</v>
      </c>
      <c r="AM56" s="7">
        <v>302</v>
      </c>
      <c r="AN56" s="7">
        <v>465</v>
      </c>
      <c r="AO56" s="12">
        <v>2217</v>
      </c>
      <c r="AP56" s="7">
        <v>58338</v>
      </c>
      <c r="AQ56" s="7">
        <v>55582</v>
      </c>
      <c r="AR56" s="7">
        <v>497</v>
      </c>
      <c r="AS56" s="7">
        <v>455</v>
      </c>
      <c r="AT56" s="12">
        <v>2259</v>
      </c>
      <c r="AU56" s="7">
        <v>53740</v>
      </c>
      <c r="AV56" s="7">
        <v>50576</v>
      </c>
      <c r="AW56" s="7">
        <v>771</v>
      </c>
      <c r="AX56" s="7">
        <v>661</v>
      </c>
      <c r="AY56" s="7">
        <v>2351</v>
      </c>
      <c r="AZ56" s="7">
        <v>51349</v>
      </c>
      <c r="BA56" s="7">
        <v>47554</v>
      </c>
      <c r="BB56" s="7">
        <v>713</v>
      </c>
      <c r="BC56" s="7">
        <v>1030</v>
      </c>
      <c r="BD56" s="63">
        <v>2452</v>
      </c>
      <c r="BE56" s="14">
        <v>88186</v>
      </c>
      <c r="BF56" s="7">
        <v>82562</v>
      </c>
      <c r="BG56" s="7"/>
      <c r="BH56" s="7"/>
      <c r="BI56" s="313">
        <f t="shared" si="536"/>
        <v>5624</v>
      </c>
      <c r="BJ56" s="281" t="s">
        <v>186</v>
      </c>
      <c r="BK56" s="282" t="s">
        <v>186</v>
      </c>
      <c r="BL56" s="282" t="s">
        <v>186</v>
      </c>
      <c r="BM56" s="282" t="s">
        <v>186</v>
      </c>
      <c r="BN56" s="281" t="s">
        <v>186</v>
      </c>
      <c r="BO56" s="282" t="s">
        <v>186</v>
      </c>
      <c r="BP56" s="282" t="s">
        <v>186</v>
      </c>
      <c r="BQ56" s="282" t="s">
        <v>186</v>
      </c>
      <c r="BR56" s="283" t="s">
        <v>186</v>
      </c>
      <c r="BS56" s="7">
        <v>627153</v>
      </c>
      <c r="BT56" s="7">
        <v>619443</v>
      </c>
      <c r="BU56" s="7">
        <v>2211</v>
      </c>
      <c r="BV56" s="7">
        <v>2829</v>
      </c>
      <c r="BW56" s="12">
        <v>5499</v>
      </c>
      <c r="BX56" s="7">
        <v>742605</v>
      </c>
      <c r="BY56" s="7">
        <v>726865</v>
      </c>
      <c r="BZ56" s="7">
        <v>2440</v>
      </c>
      <c r="CA56" s="7">
        <v>3569</v>
      </c>
      <c r="CB56" s="7">
        <v>13300</v>
      </c>
      <c r="CC56" s="214">
        <v>815224</v>
      </c>
      <c r="CD56" s="7">
        <v>791839</v>
      </c>
      <c r="CE56" s="7">
        <v>4781</v>
      </c>
      <c r="CF56" s="7">
        <v>18604</v>
      </c>
      <c r="CG56" s="7">
        <v>6074</v>
      </c>
      <c r="CH56" s="14">
        <v>823994</v>
      </c>
      <c r="CI56" s="7">
        <v>800237</v>
      </c>
      <c r="CJ56" s="7">
        <v>4759</v>
      </c>
      <c r="CK56" s="7">
        <v>18998</v>
      </c>
      <c r="CL56" s="7">
        <v>6083</v>
      </c>
      <c r="CM56" s="14">
        <v>829764</v>
      </c>
      <c r="CN56" s="64">
        <v>804875</v>
      </c>
      <c r="CO56" s="64">
        <v>5125</v>
      </c>
      <c r="CP56" s="64">
        <v>19764</v>
      </c>
      <c r="CQ56" s="64">
        <v>6816</v>
      </c>
      <c r="CR56" s="14">
        <v>842373</v>
      </c>
      <c r="CS56" s="7">
        <v>817282</v>
      </c>
      <c r="CT56" s="7">
        <v>5137</v>
      </c>
      <c r="CU56" s="7">
        <v>7052</v>
      </c>
      <c r="CV56" s="7">
        <v>12053</v>
      </c>
      <c r="CW56" s="14">
        <v>850900.23600000003</v>
      </c>
      <c r="CX56" s="7">
        <v>824712.97500000009</v>
      </c>
      <c r="CY56" s="7"/>
      <c r="CZ56" s="7"/>
      <c r="DA56" s="567">
        <f t="shared" si="537"/>
        <v>26187.26099999994</v>
      </c>
      <c r="DB56" s="7">
        <v>857333</v>
      </c>
      <c r="DC56" s="7">
        <v>831285</v>
      </c>
      <c r="DD56" s="7">
        <v>4949</v>
      </c>
      <c r="DE56" s="7">
        <v>7361</v>
      </c>
      <c r="DF56" s="7">
        <v>20905</v>
      </c>
      <c r="DG56" s="7">
        <v>867024</v>
      </c>
      <c r="DH56" s="7">
        <v>834325</v>
      </c>
      <c r="DI56" s="7">
        <v>5243</v>
      </c>
      <c r="DJ56" s="7">
        <v>7543</v>
      </c>
      <c r="DK56" s="7">
        <v>14997</v>
      </c>
      <c r="DL56" s="281" t="s">
        <v>186</v>
      </c>
      <c r="DM56" s="282" t="s">
        <v>186</v>
      </c>
      <c r="DN56" s="282" t="s">
        <v>186</v>
      </c>
      <c r="DO56" s="282" t="s">
        <v>186</v>
      </c>
      <c r="DP56" s="283" t="s">
        <v>186</v>
      </c>
      <c r="DQ56" s="14">
        <v>182727</v>
      </c>
      <c r="DR56" s="7">
        <v>180114</v>
      </c>
      <c r="DS56" s="7">
        <v>893</v>
      </c>
      <c r="DT56" s="7">
        <v>1008</v>
      </c>
      <c r="DU56" s="12">
        <v>1720</v>
      </c>
      <c r="DV56" s="14">
        <v>229045</v>
      </c>
      <c r="DW56" s="7">
        <v>223458</v>
      </c>
      <c r="DX56" s="7">
        <v>994</v>
      </c>
      <c r="DY56" s="7">
        <v>1436</v>
      </c>
      <c r="DZ56" s="12">
        <v>4593</v>
      </c>
      <c r="EA56" s="14">
        <v>271827</v>
      </c>
      <c r="EB56" s="7">
        <v>262840</v>
      </c>
      <c r="EC56" s="7">
        <v>2197</v>
      </c>
      <c r="ED56" s="7">
        <v>2622</v>
      </c>
      <c r="EE56" s="12">
        <v>6790</v>
      </c>
      <c r="EF56" s="14">
        <v>273001.06800000003</v>
      </c>
      <c r="EG56" s="7">
        <v>263109.75</v>
      </c>
      <c r="EH56" s="7"/>
      <c r="EI56" s="7"/>
      <c r="EJ56" s="12">
        <v>9891.3180000000284</v>
      </c>
      <c r="EK56" s="7">
        <v>273628</v>
      </c>
      <c r="EL56" s="7">
        <v>264409</v>
      </c>
      <c r="EM56" s="7">
        <v>1987</v>
      </c>
      <c r="EN56" s="7">
        <v>2684</v>
      </c>
      <c r="EO56" s="661">
        <v>7064</v>
      </c>
      <c r="EP56" s="661">
        <v>277808</v>
      </c>
      <c r="EQ56" s="661">
        <v>266063</v>
      </c>
      <c r="ER56" s="661">
        <v>1784</v>
      </c>
      <c r="ES56" s="661">
        <v>2995</v>
      </c>
      <c r="ET56" s="661">
        <v>7708</v>
      </c>
      <c r="EU56" s="14">
        <v>54928</v>
      </c>
      <c r="EV56" s="7">
        <v>54292</v>
      </c>
      <c r="EW56" s="7">
        <v>142</v>
      </c>
      <c r="EX56" s="7">
        <v>212</v>
      </c>
      <c r="EY56" s="12">
        <v>494</v>
      </c>
      <c r="EZ56" s="14">
        <v>63934</v>
      </c>
      <c r="FA56" s="7">
        <v>62489</v>
      </c>
      <c r="FB56" s="7">
        <v>179</v>
      </c>
      <c r="FC56" s="7">
        <v>377</v>
      </c>
      <c r="FD56" s="12">
        <v>1266</v>
      </c>
      <c r="FE56" s="14">
        <v>83473</v>
      </c>
      <c r="FF56" s="7">
        <v>80876</v>
      </c>
      <c r="FG56" s="7">
        <v>685</v>
      </c>
      <c r="FH56" s="7">
        <v>657</v>
      </c>
      <c r="FI56" s="7">
        <v>1912</v>
      </c>
      <c r="FJ56" s="14"/>
      <c r="FK56" s="7"/>
      <c r="FL56" s="7"/>
      <c r="FM56" s="7"/>
      <c r="FN56" s="12"/>
      <c r="FO56" s="7">
        <v>84895</v>
      </c>
      <c r="FP56" s="7">
        <v>82210</v>
      </c>
      <c r="FQ56" s="7">
        <v>716</v>
      </c>
      <c r="FR56" s="7">
        <v>628</v>
      </c>
      <c r="FS56" s="7">
        <v>1952</v>
      </c>
      <c r="FT56" s="7">
        <v>87806</v>
      </c>
      <c r="FU56" s="7">
        <v>84732</v>
      </c>
      <c r="FV56" s="7">
        <v>546</v>
      </c>
      <c r="FW56" s="7">
        <v>794</v>
      </c>
      <c r="FX56" s="7">
        <v>1899</v>
      </c>
      <c r="FY56" s="609">
        <f t="shared" ref="FY56:FY64" si="592">EU56+HC56+MZ56</f>
        <v>204280</v>
      </c>
      <c r="FZ56" s="584">
        <f t="shared" ref="FZ56:FZ64" si="593">EV56+HD56+NA56</f>
        <v>201782</v>
      </c>
      <c r="GA56" s="584">
        <f t="shared" ref="GA56:GA64" si="594">EW56+HE56+NB56</f>
        <v>706</v>
      </c>
      <c r="GB56" s="584">
        <f t="shared" ref="GB56:GB64" si="595">EX56+HF56+NC56</f>
        <v>1007</v>
      </c>
      <c r="GC56" s="584">
        <f t="shared" ref="GC56:GC64" si="596">EY56+HG56+ND56</f>
        <v>1792</v>
      </c>
      <c r="GD56" s="609">
        <f t="shared" ref="GD56:GD64" si="597">EZ56+HH56+NE56</f>
        <v>262894</v>
      </c>
      <c r="GE56" s="584">
        <f t="shared" ref="GE56:GE64" si="598">FA56+HI56+NF56</f>
        <v>257297</v>
      </c>
      <c r="GF56" s="584">
        <f t="shared" ref="GF56:GF64" si="599">FB56+HJ56+NG56</f>
        <v>827</v>
      </c>
      <c r="GG56" s="584">
        <f t="shared" ref="GG56:GG64" si="600">FC56+HK56+NH56</f>
        <v>1351</v>
      </c>
      <c r="GH56" s="584">
        <f t="shared" ref="GH56:GH64" si="601">FD56+HL56+NI56</f>
        <v>4770</v>
      </c>
      <c r="GI56" s="14">
        <v>285381</v>
      </c>
      <c r="GJ56" s="7">
        <v>276685</v>
      </c>
      <c r="GK56" s="7">
        <v>1794</v>
      </c>
      <c r="GL56" s="7">
        <v>2081</v>
      </c>
      <c r="GM56" s="7">
        <v>6902</v>
      </c>
      <c r="GN56" s="605"/>
      <c r="GO56" s="9"/>
      <c r="GP56" s="9"/>
      <c r="GQ56" s="9"/>
      <c r="GR56" s="9"/>
      <c r="GS56" s="9">
        <v>347335</v>
      </c>
      <c r="GT56" s="9">
        <v>336928</v>
      </c>
      <c r="GU56" s="9">
        <v>1826</v>
      </c>
      <c r="GV56" s="9">
        <v>2850</v>
      </c>
      <c r="GW56" s="617">
        <v>8564</v>
      </c>
      <c r="GX56" s="9">
        <v>1060377</v>
      </c>
      <c r="GY56" s="9">
        <v>342040</v>
      </c>
      <c r="GZ56" s="9">
        <v>1899</v>
      </c>
      <c r="HA56" s="9">
        <v>3226</v>
      </c>
      <c r="HB56" s="9">
        <v>5526</v>
      </c>
      <c r="HC56" s="14">
        <v>100788</v>
      </c>
      <c r="HD56" s="7">
        <v>99645</v>
      </c>
      <c r="HE56" s="7">
        <v>352</v>
      </c>
      <c r="HF56" s="7">
        <v>443</v>
      </c>
      <c r="HG56" s="7">
        <v>791</v>
      </c>
      <c r="HH56" s="14">
        <v>129992</v>
      </c>
      <c r="HI56" s="7">
        <v>127590</v>
      </c>
      <c r="HJ56" s="7">
        <v>390</v>
      </c>
      <c r="HK56" s="7">
        <v>607</v>
      </c>
      <c r="HL56" s="7">
        <v>2012</v>
      </c>
      <c r="HM56" s="14">
        <v>159873</v>
      </c>
      <c r="HN56" s="7">
        <v>155233</v>
      </c>
      <c r="HO56" s="7">
        <v>895</v>
      </c>
      <c r="HP56" s="7">
        <v>1059</v>
      </c>
      <c r="HQ56" s="7">
        <v>3745</v>
      </c>
      <c r="HR56" s="14">
        <v>166052.196</v>
      </c>
      <c r="HS56" s="7">
        <v>161494.95000000001</v>
      </c>
      <c r="HT56" s="7"/>
      <c r="HU56" s="7"/>
      <c r="HV56" s="7">
        <v>4557.2459999999846</v>
      </c>
      <c r="HW56" s="7">
        <v>171195</v>
      </c>
      <c r="HX56" s="7">
        <v>165411</v>
      </c>
      <c r="HY56" s="7">
        <v>856</v>
      </c>
      <c r="HZ56" s="7">
        <v>1359</v>
      </c>
      <c r="IA56" s="7">
        <v>3720</v>
      </c>
      <c r="IB56" s="281" t="s">
        <v>186</v>
      </c>
      <c r="IC56" s="282" t="s">
        <v>186</v>
      </c>
      <c r="ID56" s="14">
        <v>29126</v>
      </c>
      <c r="IE56" s="355">
        <f t="shared" si="548"/>
        <v>17492</v>
      </c>
      <c r="IF56" s="355">
        <f t="shared" si="549"/>
        <v>11634</v>
      </c>
      <c r="IG56" s="355">
        <f t="shared" si="550"/>
        <v>29013</v>
      </c>
      <c r="IH56" s="341">
        <v>17419</v>
      </c>
      <c r="II56" s="341">
        <v>11594</v>
      </c>
      <c r="IJ56" s="355">
        <f t="shared" si="551"/>
        <v>113</v>
      </c>
      <c r="IK56" s="341">
        <v>73</v>
      </c>
      <c r="IL56" s="341">
        <v>40</v>
      </c>
      <c r="IM56" s="14">
        <v>45264</v>
      </c>
      <c r="IN56" s="355">
        <f t="shared" si="552"/>
        <v>26029</v>
      </c>
      <c r="IO56" s="355">
        <f t="shared" si="553"/>
        <v>19235</v>
      </c>
      <c r="IP56" s="355">
        <f t="shared" si="554"/>
        <v>44816</v>
      </c>
      <c r="IQ56" s="341">
        <v>25762</v>
      </c>
      <c r="IR56" s="341">
        <v>19054</v>
      </c>
      <c r="IS56" s="355">
        <f t="shared" si="555"/>
        <v>65</v>
      </c>
      <c r="IT56" s="341">
        <v>42</v>
      </c>
      <c r="IU56" s="341">
        <v>23</v>
      </c>
      <c r="IV56" s="355">
        <f t="shared" si="556"/>
        <v>383</v>
      </c>
      <c r="IW56" s="341">
        <v>225</v>
      </c>
      <c r="IX56" s="341">
        <v>158</v>
      </c>
      <c r="IY56" s="14">
        <v>95284</v>
      </c>
      <c r="IZ56" s="355">
        <f t="shared" si="557"/>
        <v>53362</v>
      </c>
      <c r="JA56" s="355">
        <f t="shared" si="558"/>
        <v>41922</v>
      </c>
      <c r="JB56" s="365">
        <f t="shared" si="559"/>
        <v>94253</v>
      </c>
      <c r="JC56" s="341">
        <v>52730</v>
      </c>
      <c r="JD56" s="341">
        <v>41523</v>
      </c>
      <c r="JE56" s="341">
        <v>632</v>
      </c>
      <c r="JF56" s="341">
        <v>399</v>
      </c>
      <c r="JG56" s="365">
        <f t="shared" si="560"/>
        <v>188</v>
      </c>
      <c r="JH56" s="341">
        <v>120</v>
      </c>
      <c r="JI56" s="341">
        <v>68</v>
      </c>
      <c r="JJ56" s="365">
        <f t="shared" si="561"/>
        <v>277</v>
      </c>
      <c r="JK56" s="341">
        <v>165</v>
      </c>
      <c r="JL56" s="341">
        <v>112</v>
      </c>
      <c r="JM56" s="356">
        <f t="shared" si="562"/>
        <v>566</v>
      </c>
      <c r="JN56" s="356">
        <f t="shared" si="563"/>
        <v>347</v>
      </c>
      <c r="JO56" s="356">
        <f t="shared" si="564"/>
        <v>219</v>
      </c>
      <c r="JP56" s="357">
        <f t="shared" si="565"/>
        <v>44</v>
      </c>
      <c r="JQ56" s="357">
        <f t="shared" si="566"/>
        <v>23</v>
      </c>
      <c r="JR56" s="357">
        <f t="shared" si="567"/>
        <v>21</v>
      </c>
      <c r="JS56" s="341">
        <v>522</v>
      </c>
      <c r="JT56" s="341">
        <v>324</v>
      </c>
      <c r="JU56" s="341">
        <v>198</v>
      </c>
      <c r="JV56" s="16">
        <f t="shared" si="568"/>
        <v>149352</v>
      </c>
      <c r="JW56" s="355">
        <f t="shared" si="569"/>
        <v>77501</v>
      </c>
      <c r="JX56" s="355">
        <f t="shared" si="570"/>
        <v>71851</v>
      </c>
      <c r="JY56" s="15">
        <f t="shared" si="571"/>
        <v>147490</v>
      </c>
      <c r="JZ56" s="151">
        <f t="shared" si="572"/>
        <v>146860</v>
      </c>
      <c r="KA56" s="341">
        <v>76106</v>
      </c>
      <c r="KB56" s="341">
        <v>70754</v>
      </c>
      <c r="KC56" s="341">
        <v>1395</v>
      </c>
      <c r="KD56" s="341">
        <v>1097</v>
      </c>
      <c r="KE56" s="15">
        <f t="shared" si="573"/>
        <v>564</v>
      </c>
      <c r="KF56" s="151">
        <f t="shared" si="574"/>
        <v>542</v>
      </c>
      <c r="KG56" s="341">
        <v>353</v>
      </c>
      <c r="KH56" s="341">
        <v>189</v>
      </c>
      <c r="KI56" s="15">
        <f t="shared" si="575"/>
        <v>795</v>
      </c>
      <c r="KJ56" s="341">
        <v>442</v>
      </c>
      <c r="KK56" s="341">
        <v>353</v>
      </c>
      <c r="KL56" s="15">
        <f t="shared" si="576"/>
        <v>1298</v>
      </c>
      <c r="KM56" s="391">
        <f t="shared" si="577"/>
        <v>600</v>
      </c>
      <c r="KN56" s="358">
        <f t="shared" si="578"/>
        <v>555</v>
      </c>
      <c r="KO56" s="359">
        <f t="shared" si="579"/>
        <v>7</v>
      </c>
      <c r="KP56" s="359">
        <f t="shared" si="580"/>
        <v>0</v>
      </c>
      <c r="KQ56" s="359">
        <f t="shared" si="581"/>
        <v>7</v>
      </c>
      <c r="KR56" s="360">
        <f t="shared" si="582"/>
        <v>1148</v>
      </c>
      <c r="KS56" s="360">
        <f t="shared" si="583"/>
        <v>600</v>
      </c>
      <c r="KT56" s="360">
        <f t="shared" si="584"/>
        <v>548</v>
      </c>
      <c r="KU56" s="341">
        <v>111</v>
      </c>
      <c r="KV56" s="341">
        <v>128</v>
      </c>
      <c r="KW56" s="341">
        <v>489</v>
      </c>
      <c r="KX56" s="341">
        <v>420</v>
      </c>
      <c r="KY56" s="361">
        <v>198960</v>
      </c>
      <c r="KZ56" s="341">
        <v>96264</v>
      </c>
      <c r="LA56" s="341">
        <v>102696</v>
      </c>
      <c r="LB56" s="9">
        <f t="shared" si="585"/>
        <v>194808</v>
      </c>
      <c r="LC56" s="9">
        <v>94276</v>
      </c>
      <c r="LD56" s="9">
        <v>100532</v>
      </c>
      <c r="LE56" s="140">
        <f t="shared" si="586"/>
        <v>194102</v>
      </c>
      <c r="LF56" s="341">
        <v>93927</v>
      </c>
      <c r="LG56" s="341">
        <v>100175</v>
      </c>
      <c r="LH56" s="9">
        <f t="shared" si="587"/>
        <v>648</v>
      </c>
      <c r="LI56" s="341">
        <v>351</v>
      </c>
      <c r="LJ56" s="341">
        <v>297</v>
      </c>
      <c r="LK56" s="9">
        <f t="shared" si="588"/>
        <v>974</v>
      </c>
      <c r="LL56" s="341">
        <v>476</v>
      </c>
      <c r="LM56" s="341">
        <v>498</v>
      </c>
      <c r="LN56" s="140">
        <f t="shared" si="589"/>
        <v>3504</v>
      </c>
      <c r="LO56" s="140">
        <f t="shared" si="590"/>
        <v>1637</v>
      </c>
      <c r="LP56" s="140">
        <f t="shared" si="591"/>
        <v>1867</v>
      </c>
      <c r="LQ56" s="349">
        <v>237934</v>
      </c>
      <c r="LR56" s="341">
        <v>231298</v>
      </c>
      <c r="LS56" s="341">
        <v>1444</v>
      </c>
      <c r="LT56" s="341">
        <v>5192</v>
      </c>
      <c r="LU56" s="9">
        <v>1639</v>
      </c>
      <c r="LV56" s="361">
        <v>239062</v>
      </c>
      <c r="LW56" s="7">
        <v>232353</v>
      </c>
      <c r="LX56" s="7">
        <v>1300</v>
      </c>
      <c r="LY56" s="7">
        <v>5409</v>
      </c>
      <c r="LZ56" s="7">
        <v>1568</v>
      </c>
      <c r="MA56" s="361">
        <v>243549</v>
      </c>
      <c r="MB56" s="7">
        <v>237010</v>
      </c>
      <c r="MC56" s="7">
        <v>1224</v>
      </c>
      <c r="MD56" s="7">
        <v>5315</v>
      </c>
      <c r="ME56" s="7">
        <v>1806</v>
      </c>
      <c r="MF56" s="14">
        <v>247891</v>
      </c>
      <c r="MG56" s="7">
        <v>240592</v>
      </c>
      <c r="MH56" s="7">
        <v>1149</v>
      </c>
      <c r="MI56" s="7">
        <v>6150</v>
      </c>
      <c r="MJ56" s="7">
        <v>1757</v>
      </c>
      <c r="MK56" s="14">
        <v>259866.99599999998</v>
      </c>
      <c r="ML56" s="7">
        <v>252222.45</v>
      </c>
      <c r="MM56" s="7"/>
      <c r="MN56" s="7"/>
      <c r="MO56" s="7">
        <v>7644.545999999973</v>
      </c>
      <c r="MP56" s="7">
        <v>262440</v>
      </c>
      <c r="MQ56" s="7">
        <v>254718</v>
      </c>
      <c r="MR56" s="7">
        <v>1110</v>
      </c>
      <c r="MS56" s="7">
        <v>2222</v>
      </c>
      <c r="MT56" s="2">
        <v>6612</v>
      </c>
      <c r="MU56" s="2">
        <v>267619</v>
      </c>
      <c r="MV56" s="2">
        <v>257308</v>
      </c>
      <c r="MW56" s="2">
        <v>1353</v>
      </c>
      <c r="MX56" s="2">
        <v>2432</v>
      </c>
      <c r="MY56" s="2">
        <v>4161</v>
      </c>
      <c r="MZ56" s="14">
        <v>48564</v>
      </c>
      <c r="NA56" s="7">
        <v>47845</v>
      </c>
      <c r="NB56" s="7">
        <v>212</v>
      </c>
      <c r="NC56" s="7">
        <v>352</v>
      </c>
      <c r="ND56" s="7">
        <v>507</v>
      </c>
      <c r="NE56" s="14">
        <v>68968</v>
      </c>
      <c r="NF56" s="7">
        <v>67218</v>
      </c>
      <c r="NG56" s="7">
        <v>258</v>
      </c>
      <c r="NH56" s="7">
        <v>367</v>
      </c>
      <c r="NI56" s="7">
        <v>1492</v>
      </c>
      <c r="NJ56" s="14">
        <v>88018</v>
      </c>
      <c r="NK56" s="7">
        <v>85359</v>
      </c>
      <c r="NL56" s="7">
        <v>254</v>
      </c>
      <c r="NM56" s="7">
        <v>698</v>
      </c>
      <c r="NN56" s="7">
        <v>2405</v>
      </c>
      <c r="NO56" s="14">
        <v>93814.8</v>
      </c>
      <c r="NP56" s="7">
        <v>90727.5</v>
      </c>
      <c r="NQ56" s="7"/>
      <c r="NR56" s="7"/>
      <c r="NS56" s="12">
        <v>3087.3000000000029</v>
      </c>
      <c r="NT56" s="1">
        <v>94156</v>
      </c>
      <c r="NU56" s="2">
        <v>91010</v>
      </c>
      <c r="NV56" s="2">
        <v>422</v>
      </c>
      <c r="NW56" s="2">
        <v>900</v>
      </c>
      <c r="NX56" s="79">
        <v>2724</v>
      </c>
      <c r="NY56" s="2">
        <v>96424</v>
      </c>
      <c r="NZ56" s="2">
        <v>91897</v>
      </c>
      <c r="OA56" s="2">
        <v>497</v>
      </c>
      <c r="OB56" s="2">
        <v>1073</v>
      </c>
      <c r="OC56" s="2">
        <v>3155</v>
      </c>
    </row>
    <row r="57" spans="1:393" ht="12.75" customHeight="1" x14ac:dyDescent="0.2">
      <c r="A57" s="240" t="s">
        <v>29</v>
      </c>
      <c r="B57" s="281" t="s">
        <v>186</v>
      </c>
      <c r="C57" s="282" t="s">
        <v>186</v>
      </c>
      <c r="D57" s="282" t="s">
        <v>186</v>
      </c>
      <c r="E57" s="282" t="s">
        <v>186</v>
      </c>
      <c r="F57" s="282" t="s">
        <v>186</v>
      </c>
      <c r="G57" s="14">
        <v>317943</v>
      </c>
      <c r="H57" s="7">
        <v>266299</v>
      </c>
      <c r="I57" s="7">
        <v>17047</v>
      </c>
      <c r="J57" s="7">
        <v>35529</v>
      </c>
      <c r="K57" s="12">
        <v>34597</v>
      </c>
      <c r="L57" s="14">
        <v>247556</v>
      </c>
      <c r="M57" s="7">
        <v>174448</v>
      </c>
      <c r="N57" s="7">
        <v>13827</v>
      </c>
      <c r="O57" s="7">
        <v>47917</v>
      </c>
      <c r="P57" s="12">
        <v>59281</v>
      </c>
      <c r="Q57" s="605">
        <v>216108</v>
      </c>
      <c r="R57" s="9">
        <v>132034</v>
      </c>
      <c r="S57" s="9">
        <v>20425</v>
      </c>
      <c r="T57" s="9">
        <v>61520</v>
      </c>
      <c r="U57" s="617">
        <v>63649</v>
      </c>
      <c r="V57" s="9">
        <v>220418</v>
      </c>
      <c r="W57" s="9">
        <v>130779</v>
      </c>
      <c r="X57" s="9">
        <v>21079</v>
      </c>
      <c r="Y57" s="9">
        <v>66020</v>
      </c>
      <c r="Z57" s="9">
        <v>68488</v>
      </c>
      <c r="AA57" s="9">
        <v>221120</v>
      </c>
      <c r="AB57" s="9">
        <v>101808</v>
      </c>
      <c r="AC57" s="9">
        <v>22622</v>
      </c>
      <c r="AD57" s="9">
        <v>68188</v>
      </c>
      <c r="AE57" s="726">
        <v>68531</v>
      </c>
      <c r="AF57" s="14">
        <v>474714</v>
      </c>
      <c r="AG57" s="7">
        <v>417689</v>
      </c>
      <c r="AH57" s="7">
        <v>32569</v>
      </c>
      <c r="AI57" s="7">
        <v>26324</v>
      </c>
      <c r="AJ57" s="12">
        <v>24456</v>
      </c>
      <c r="AK57" s="14">
        <v>403537</v>
      </c>
      <c r="AL57" s="7">
        <v>318450</v>
      </c>
      <c r="AM57" s="7">
        <v>32055</v>
      </c>
      <c r="AN57" s="7">
        <v>42352</v>
      </c>
      <c r="AO57" s="12">
        <v>53032</v>
      </c>
      <c r="AP57" s="14">
        <v>272537</v>
      </c>
      <c r="AQ57" s="7">
        <v>200325</v>
      </c>
      <c r="AR57" s="7">
        <v>26053</v>
      </c>
      <c r="AS57" s="7">
        <v>48442</v>
      </c>
      <c r="AT57" s="12">
        <v>46159</v>
      </c>
      <c r="AU57" s="7">
        <v>262078</v>
      </c>
      <c r="AV57" s="7">
        <v>186034</v>
      </c>
      <c r="AW57" s="7">
        <v>27403</v>
      </c>
      <c r="AX57" s="7">
        <v>48761</v>
      </c>
      <c r="AY57" s="7">
        <v>48584</v>
      </c>
      <c r="AZ57" s="7">
        <v>253251</v>
      </c>
      <c r="BA57" s="7">
        <v>158410</v>
      </c>
      <c r="BB57" s="7">
        <v>28780</v>
      </c>
      <c r="BC57" s="7">
        <v>48577</v>
      </c>
      <c r="BD57" s="63">
        <v>46022</v>
      </c>
      <c r="BE57" s="14">
        <v>486217</v>
      </c>
      <c r="BF57" s="7">
        <v>325150</v>
      </c>
      <c r="BG57" s="7">
        <v>46506</v>
      </c>
      <c r="BH57" s="7">
        <v>113223</v>
      </c>
      <c r="BI57" s="313">
        <f t="shared" si="536"/>
        <v>114561</v>
      </c>
      <c r="BJ57" s="281" t="s">
        <v>186</v>
      </c>
      <c r="BK57" s="282" t="s">
        <v>186</v>
      </c>
      <c r="BL57" s="282" t="s">
        <v>186</v>
      </c>
      <c r="BM57" s="282" t="s">
        <v>186</v>
      </c>
      <c r="BN57" s="281" t="s">
        <v>186</v>
      </c>
      <c r="BO57" s="282" t="s">
        <v>186</v>
      </c>
      <c r="BP57" s="282" t="s">
        <v>186</v>
      </c>
      <c r="BQ57" s="282" t="s">
        <v>186</v>
      </c>
      <c r="BR57" s="283" t="s">
        <v>186</v>
      </c>
      <c r="BS57" s="14">
        <v>3169566</v>
      </c>
      <c r="BT57" s="7">
        <v>2958347</v>
      </c>
      <c r="BU57" s="7">
        <v>115710</v>
      </c>
      <c r="BV57" s="7">
        <v>67123</v>
      </c>
      <c r="BW57" s="12">
        <v>95509</v>
      </c>
      <c r="BX57" s="14">
        <v>3622182</v>
      </c>
      <c r="BY57" s="7">
        <v>3238585</v>
      </c>
      <c r="BZ57" s="7">
        <v>147998</v>
      </c>
      <c r="CA57" s="7">
        <v>120926</v>
      </c>
      <c r="CB57" s="7">
        <v>235599</v>
      </c>
      <c r="CC57" s="214">
        <v>3829730</v>
      </c>
      <c r="CD57" s="7">
        <v>3335720</v>
      </c>
      <c r="CE57" s="7">
        <v>184825</v>
      </c>
      <c r="CF57" s="7">
        <v>309185</v>
      </c>
      <c r="CG57" s="7">
        <v>180786</v>
      </c>
      <c r="CH57" s="14">
        <v>3863872</v>
      </c>
      <c r="CI57" s="7">
        <v>3363118</v>
      </c>
      <c r="CJ57" s="7">
        <v>188276</v>
      </c>
      <c r="CK57" s="7">
        <v>312478</v>
      </c>
      <c r="CL57" s="7">
        <v>187207</v>
      </c>
      <c r="CM57" s="14">
        <v>3943642</v>
      </c>
      <c r="CN57" s="64">
        <v>3433141</v>
      </c>
      <c r="CO57" s="64">
        <v>195369</v>
      </c>
      <c r="CP57" s="64">
        <v>315132</v>
      </c>
      <c r="CQ57" s="64">
        <v>192722</v>
      </c>
      <c r="CR57" s="14">
        <v>3929610</v>
      </c>
      <c r="CS57" s="7">
        <v>3387060</v>
      </c>
      <c r="CT57" s="7">
        <v>211012</v>
      </c>
      <c r="CU57" s="7">
        <v>207791</v>
      </c>
      <c r="CV57" s="7">
        <v>279210</v>
      </c>
      <c r="CW57" s="14">
        <v>3974490.8279999997</v>
      </c>
      <c r="CX57" s="7">
        <v>3412208.767</v>
      </c>
      <c r="CY57" s="7">
        <v>216239.13500000001</v>
      </c>
      <c r="CZ57" s="7">
        <v>218168.54</v>
      </c>
      <c r="DA57" s="567">
        <f t="shared" si="537"/>
        <v>346042.92599999974</v>
      </c>
      <c r="DB57" s="7">
        <v>4027303</v>
      </c>
      <c r="DC57" s="7">
        <v>3443057</v>
      </c>
      <c r="DD57" s="7">
        <v>222598</v>
      </c>
      <c r="DE57" s="7">
        <v>230782</v>
      </c>
      <c r="DF57" s="7">
        <v>361044</v>
      </c>
      <c r="DG57" s="7">
        <v>4082244</v>
      </c>
      <c r="DH57" s="7">
        <v>3344721</v>
      </c>
      <c r="DI57" s="7">
        <v>228990</v>
      </c>
      <c r="DJ57" s="7">
        <v>245837</v>
      </c>
      <c r="DK57" s="7">
        <v>213621</v>
      </c>
      <c r="DL57" s="281" t="s">
        <v>186</v>
      </c>
      <c r="DM57" s="282" t="s">
        <v>186</v>
      </c>
      <c r="DN57" s="282" t="s">
        <v>186</v>
      </c>
      <c r="DO57" s="282" t="s">
        <v>186</v>
      </c>
      <c r="DP57" s="283" t="s">
        <v>186</v>
      </c>
      <c r="DQ57" s="14">
        <v>912058</v>
      </c>
      <c r="DR57" s="7">
        <v>846805</v>
      </c>
      <c r="DS57" s="7">
        <v>40817</v>
      </c>
      <c r="DT57" s="7">
        <v>21286</v>
      </c>
      <c r="DU57" s="12">
        <v>24436</v>
      </c>
      <c r="DV57" s="14">
        <v>1038398</v>
      </c>
      <c r="DW57" s="7">
        <v>924797</v>
      </c>
      <c r="DX57" s="7">
        <v>53583</v>
      </c>
      <c r="DY57" s="7">
        <v>39129</v>
      </c>
      <c r="DZ57" s="12">
        <v>60018</v>
      </c>
      <c r="EA57" s="14">
        <v>1069569</v>
      </c>
      <c r="EB57" s="7">
        <v>915393</v>
      </c>
      <c r="EC57" s="7">
        <v>80332</v>
      </c>
      <c r="ED57" s="7">
        <v>65429</v>
      </c>
      <c r="EE57" s="12">
        <v>73844</v>
      </c>
      <c r="EF57" s="14">
        <v>1079491.3359999999</v>
      </c>
      <c r="EG57" s="7">
        <v>923127.67299999995</v>
      </c>
      <c r="EH57" s="7">
        <v>81450.95</v>
      </c>
      <c r="EI57" s="7">
        <v>69191.539999999994</v>
      </c>
      <c r="EJ57" s="12">
        <v>74912.712999999945</v>
      </c>
      <c r="EK57" s="7">
        <v>1088662</v>
      </c>
      <c r="EL57" s="7">
        <v>925053</v>
      </c>
      <c r="EM57" s="7">
        <v>82748</v>
      </c>
      <c r="EN57" s="7">
        <v>73976</v>
      </c>
      <c r="EO57" s="661">
        <v>80680</v>
      </c>
      <c r="EP57" s="661">
        <v>1099350</v>
      </c>
      <c r="EQ57" s="661">
        <v>891084</v>
      </c>
      <c r="ER57" s="661">
        <v>83552</v>
      </c>
      <c r="ES57" s="661">
        <v>80249</v>
      </c>
      <c r="ET57" s="661">
        <v>85867</v>
      </c>
      <c r="EU57" s="14">
        <v>287114</v>
      </c>
      <c r="EV57" s="7">
        <v>268396</v>
      </c>
      <c r="EW57" s="7">
        <v>10961</v>
      </c>
      <c r="EX57" s="7">
        <v>5762</v>
      </c>
      <c r="EY57" s="12">
        <v>7757</v>
      </c>
      <c r="EZ57" s="14">
        <v>308263</v>
      </c>
      <c r="FA57" s="7">
        <v>277415</v>
      </c>
      <c r="FB57" s="7">
        <v>14185</v>
      </c>
      <c r="FC57" s="7">
        <v>9484</v>
      </c>
      <c r="FD57" s="12">
        <v>16663</v>
      </c>
      <c r="FE57" s="14">
        <v>338746</v>
      </c>
      <c r="FF57" s="7">
        <v>295144</v>
      </c>
      <c r="FG57" s="7">
        <v>22112</v>
      </c>
      <c r="FH57" s="7">
        <v>16621</v>
      </c>
      <c r="FI57" s="7">
        <v>21490</v>
      </c>
      <c r="FJ57" s="14"/>
      <c r="FK57" s="7"/>
      <c r="FL57" s="7"/>
      <c r="FM57" s="7"/>
      <c r="FN57" s="12"/>
      <c r="FO57" s="7">
        <v>344547</v>
      </c>
      <c r="FP57" s="7">
        <v>300368</v>
      </c>
      <c r="FQ57" s="7">
        <v>21859</v>
      </c>
      <c r="FR57" s="7">
        <v>17294</v>
      </c>
      <c r="FS57" s="7">
        <v>22299</v>
      </c>
      <c r="FT57" s="7">
        <v>351164</v>
      </c>
      <c r="FU57" s="7">
        <v>296209</v>
      </c>
      <c r="FV57" s="7">
        <v>21671</v>
      </c>
      <c r="FW57" s="7">
        <v>18429</v>
      </c>
      <c r="FX57" s="7">
        <v>23503</v>
      </c>
      <c r="FY57" s="609">
        <f t="shared" si="592"/>
        <v>1366113</v>
      </c>
      <c r="FZ57" s="584">
        <f t="shared" si="593"/>
        <v>1277866</v>
      </c>
      <c r="GA57" s="584">
        <f t="shared" si="594"/>
        <v>39046</v>
      </c>
      <c r="GB57" s="584">
        <f t="shared" si="595"/>
        <v>23284</v>
      </c>
      <c r="GC57" s="584">
        <f t="shared" si="596"/>
        <v>49201</v>
      </c>
      <c r="GD57" s="609">
        <f t="shared" si="597"/>
        <v>1726558</v>
      </c>
      <c r="GE57" s="584">
        <f t="shared" si="598"/>
        <v>1555536</v>
      </c>
      <c r="GF57" s="584">
        <f t="shared" si="599"/>
        <v>52434</v>
      </c>
      <c r="GG57" s="584">
        <f t="shared" si="600"/>
        <v>39229</v>
      </c>
      <c r="GH57" s="584">
        <f t="shared" si="601"/>
        <v>118588</v>
      </c>
      <c r="GI57" s="14">
        <v>1665606</v>
      </c>
      <c r="GJ57" s="7">
        <v>1453493</v>
      </c>
      <c r="GK57" s="7">
        <v>69175</v>
      </c>
      <c r="GL57" s="7">
        <v>58238</v>
      </c>
      <c r="GM57" s="7">
        <v>142938</v>
      </c>
      <c r="GN57" s="605"/>
      <c r="GO57" s="9"/>
      <c r="GP57" s="9"/>
      <c r="GQ57" s="9"/>
      <c r="GR57" s="9"/>
      <c r="GS57" s="9">
        <v>2112473</v>
      </c>
      <c r="GT57" s="9">
        <v>1832997</v>
      </c>
      <c r="GU57" s="9">
        <v>82692</v>
      </c>
      <c r="GV57" s="9">
        <v>75385</v>
      </c>
      <c r="GW57" s="617">
        <v>196503</v>
      </c>
      <c r="GX57" s="9">
        <v>5659114</v>
      </c>
      <c r="GY57" s="9">
        <v>1811572</v>
      </c>
      <c r="GZ57" s="9">
        <v>86664</v>
      </c>
      <c r="HA57" s="9">
        <v>81061</v>
      </c>
      <c r="HB57" s="9">
        <v>113094</v>
      </c>
      <c r="HC57" s="14">
        <v>657161</v>
      </c>
      <c r="HD57" s="7">
        <v>619656</v>
      </c>
      <c r="HE57" s="7">
        <v>17304</v>
      </c>
      <c r="HF57" s="7">
        <v>10017</v>
      </c>
      <c r="HG57" s="7">
        <v>20201</v>
      </c>
      <c r="HH57" s="14">
        <v>834554</v>
      </c>
      <c r="HI57" s="7">
        <v>759773</v>
      </c>
      <c r="HJ57" s="7">
        <v>23463</v>
      </c>
      <c r="HK57" s="7">
        <v>16757</v>
      </c>
      <c r="HL57" s="7">
        <v>51318</v>
      </c>
      <c r="HM57" s="14">
        <v>971837</v>
      </c>
      <c r="HN57" s="7">
        <v>855592</v>
      </c>
      <c r="HO57" s="7">
        <v>38109</v>
      </c>
      <c r="HP57" s="7">
        <v>33470</v>
      </c>
      <c r="HQ57" s="7">
        <v>78136</v>
      </c>
      <c r="HR57" s="14">
        <v>985816.46799999999</v>
      </c>
      <c r="HS57" s="7">
        <v>863329.929</v>
      </c>
      <c r="HT57" s="7">
        <v>38360.769999999997</v>
      </c>
      <c r="HU57" s="7">
        <v>34430.240000000005</v>
      </c>
      <c r="HV57" s="7">
        <v>84125.769</v>
      </c>
      <c r="HW57" s="7">
        <v>1018465</v>
      </c>
      <c r="HX57" s="7">
        <v>866395</v>
      </c>
      <c r="HY57" s="7">
        <v>41385</v>
      </c>
      <c r="HZ57" s="7">
        <v>37705</v>
      </c>
      <c r="IA57" s="7">
        <v>87609</v>
      </c>
      <c r="IB57" s="281" t="s">
        <v>186</v>
      </c>
      <c r="IC57" s="282" t="s">
        <v>186</v>
      </c>
      <c r="ID57" s="14">
        <v>265402</v>
      </c>
      <c r="IE57" s="355">
        <f t="shared" si="548"/>
        <v>166362</v>
      </c>
      <c r="IF57" s="355">
        <f t="shared" si="549"/>
        <v>99040</v>
      </c>
      <c r="IG57" s="355">
        <f t="shared" si="550"/>
        <v>261349</v>
      </c>
      <c r="IH57" s="341">
        <v>164005</v>
      </c>
      <c r="II57" s="341">
        <v>97344</v>
      </c>
      <c r="IJ57" s="355">
        <f t="shared" si="551"/>
        <v>4053</v>
      </c>
      <c r="IK57" s="341">
        <v>2357</v>
      </c>
      <c r="IL57" s="341">
        <v>1696</v>
      </c>
      <c r="IM57" s="14">
        <v>394081</v>
      </c>
      <c r="IN57" s="355">
        <f t="shared" si="552"/>
        <v>239657</v>
      </c>
      <c r="IO57" s="355">
        <f t="shared" si="553"/>
        <v>154424</v>
      </c>
      <c r="IP57" s="355">
        <f t="shared" si="554"/>
        <v>385589</v>
      </c>
      <c r="IQ57" s="341">
        <v>234565</v>
      </c>
      <c r="IR57" s="341">
        <v>151024</v>
      </c>
      <c r="IS57" s="355">
        <f t="shared" si="555"/>
        <v>4370</v>
      </c>
      <c r="IT57" s="341">
        <v>2371</v>
      </c>
      <c r="IU57" s="341">
        <v>1999</v>
      </c>
      <c r="IV57" s="355">
        <f t="shared" si="556"/>
        <v>4122</v>
      </c>
      <c r="IW57" s="341">
        <v>2721</v>
      </c>
      <c r="IX57" s="341">
        <v>1401</v>
      </c>
      <c r="IY57" s="14">
        <v>693630</v>
      </c>
      <c r="IZ57" s="355">
        <f t="shared" si="557"/>
        <v>397358</v>
      </c>
      <c r="JA57" s="355">
        <f t="shared" si="558"/>
        <v>296272</v>
      </c>
      <c r="JB57" s="365">
        <f t="shared" si="559"/>
        <v>660310</v>
      </c>
      <c r="JC57" s="341">
        <v>378542</v>
      </c>
      <c r="JD57" s="341">
        <v>281768</v>
      </c>
      <c r="JE57" s="341">
        <v>18816</v>
      </c>
      <c r="JF57" s="341">
        <v>14504</v>
      </c>
      <c r="JG57" s="365">
        <f t="shared" si="560"/>
        <v>12779</v>
      </c>
      <c r="JH57" s="341">
        <v>6879</v>
      </c>
      <c r="JI57" s="341">
        <v>5900</v>
      </c>
      <c r="JJ57" s="365">
        <f t="shared" si="561"/>
        <v>7143</v>
      </c>
      <c r="JK57" s="341">
        <v>4098</v>
      </c>
      <c r="JL57" s="341">
        <v>3045</v>
      </c>
      <c r="JM57" s="356">
        <f t="shared" si="562"/>
        <v>13398</v>
      </c>
      <c r="JN57" s="356">
        <f t="shared" si="563"/>
        <v>7839</v>
      </c>
      <c r="JO57" s="356">
        <f t="shared" si="564"/>
        <v>5559</v>
      </c>
      <c r="JP57" s="357">
        <f t="shared" si="565"/>
        <v>970</v>
      </c>
      <c r="JQ57" s="357">
        <f t="shared" si="566"/>
        <v>516</v>
      </c>
      <c r="JR57" s="357">
        <f t="shared" si="567"/>
        <v>454</v>
      </c>
      <c r="JS57" s="341">
        <v>12428</v>
      </c>
      <c r="JT57" s="341">
        <v>7323</v>
      </c>
      <c r="JU57" s="341">
        <v>5105</v>
      </c>
      <c r="JV57" s="16">
        <f t="shared" si="568"/>
        <v>1078999</v>
      </c>
      <c r="JW57" s="355">
        <f t="shared" si="569"/>
        <v>569017</v>
      </c>
      <c r="JX57" s="355">
        <f t="shared" si="570"/>
        <v>509982</v>
      </c>
      <c r="JY57" s="15">
        <f t="shared" si="571"/>
        <v>1009470</v>
      </c>
      <c r="JZ57" s="151">
        <f t="shared" si="572"/>
        <v>997510</v>
      </c>
      <c r="KA57" s="341">
        <v>525794</v>
      </c>
      <c r="KB57" s="341">
        <v>471716</v>
      </c>
      <c r="KC57" s="341">
        <v>43223</v>
      </c>
      <c r="KD57" s="341">
        <v>38266</v>
      </c>
      <c r="KE57" s="15">
        <f t="shared" si="573"/>
        <v>28085</v>
      </c>
      <c r="KF57" s="151">
        <f t="shared" si="574"/>
        <v>27172</v>
      </c>
      <c r="KG57" s="341">
        <v>13893</v>
      </c>
      <c r="KH57" s="341">
        <v>13279</v>
      </c>
      <c r="KI57" s="15">
        <f t="shared" si="575"/>
        <v>17522</v>
      </c>
      <c r="KJ57" s="341">
        <v>8881</v>
      </c>
      <c r="KK57" s="341">
        <v>8641</v>
      </c>
      <c r="KL57" s="15">
        <f t="shared" si="576"/>
        <v>41444</v>
      </c>
      <c r="KM57" s="391">
        <f t="shared" si="577"/>
        <v>20449</v>
      </c>
      <c r="KN57" s="358">
        <f t="shared" si="578"/>
        <v>16346</v>
      </c>
      <c r="KO57" s="359">
        <f t="shared" si="579"/>
        <v>3760</v>
      </c>
      <c r="KP57" s="359">
        <f t="shared" si="580"/>
        <v>467</v>
      </c>
      <c r="KQ57" s="359">
        <f t="shared" si="581"/>
        <v>3293</v>
      </c>
      <c r="KR57" s="360">
        <f t="shared" si="582"/>
        <v>33035</v>
      </c>
      <c r="KS57" s="360">
        <f t="shared" si="583"/>
        <v>19982</v>
      </c>
      <c r="KT57" s="360">
        <f t="shared" si="584"/>
        <v>13053</v>
      </c>
      <c r="KU57" s="341">
        <v>495</v>
      </c>
      <c r="KV57" s="341">
        <v>527</v>
      </c>
      <c r="KW57" s="341">
        <v>19487</v>
      </c>
      <c r="KX57" s="341">
        <v>12526</v>
      </c>
      <c r="KY57" s="361">
        <v>1418295</v>
      </c>
      <c r="KZ57" s="341">
        <v>705781</v>
      </c>
      <c r="LA57" s="341">
        <v>712514</v>
      </c>
      <c r="LB57" s="9">
        <f t="shared" si="585"/>
        <v>1278121</v>
      </c>
      <c r="LC57" s="9">
        <v>635038</v>
      </c>
      <c r="LD57" s="9">
        <v>643083</v>
      </c>
      <c r="LE57" s="140">
        <f t="shared" si="586"/>
        <v>1260183</v>
      </c>
      <c r="LF57" s="341">
        <v>626840</v>
      </c>
      <c r="LG57" s="341">
        <v>633343</v>
      </c>
      <c r="LH57" s="9">
        <f t="shared" si="587"/>
        <v>38249</v>
      </c>
      <c r="LI57" s="341">
        <v>18066</v>
      </c>
      <c r="LJ57" s="341">
        <v>20183</v>
      </c>
      <c r="LK57" s="9">
        <f t="shared" si="588"/>
        <v>29745</v>
      </c>
      <c r="LL57" s="341">
        <v>13278</v>
      </c>
      <c r="LM57" s="341">
        <v>16467</v>
      </c>
      <c r="LN57" s="140">
        <f t="shared" si="589"/>
        <v>101925</v>
      </c>
      <c r="LO57" s="140">
        <f t="shared" si="590"/>
        <v>52677</v>
      </c>
      <c r="LP57" s="140">
        <f t="shared" si="591"/>
        <v>49248</v>
      </c>
      <c r="LQ57" s="349">
        <v>1614605</v>
      </c>
      <c r="LR57" s="341">
        <v>1421989</v>
      </c>
      <c r="LS57" s="341">
        <v>47308</v>
      </c>
      <c r="LT57" s="341">
        <v>145308</v>
      </c>
      <c r="LU57" s="9">
        <v>43908</v>
      </c>
      <c r="LV57" s="361">
        <v>1648874</v>
      </c>
      <c r="LW57" s="7">
        <v>1448823</v>
      </c>
      <c r="LX57" s="7">
        <v>50867</v>
      </c>
      <c r="LY57" s="7">
        <v>149184</v>
      </c>
      <c r="LZ57" s="7">
        <v>45154</v>
      </c>
      <c r="MA57" s="361">
        <v>1698004</v>
      </c>
      <c r="MB57" s="7">
        <v>1493150</v>
      </c>
      <c r="MC57" s="7">
        <v>54287</v>
      </c>
      <c r="MD57" s="7">
        <v>150567</v>
      </c>
      <c r="ME57" s="7">
        <v>46585</v>
      </c>
      <c r="MF57" s="14">
        <v>1702998</v>
      </c>
      <c r="MG57" s="7">
        <v>1482005</v>
      </c>
      <c r="MH57" s="7">
        <v>58351</v>
      </c>
      <c r="MI57" s="7">
        <v>162642</v>
      </c>
      <c r="MJ57" s="7">
        <v>52489</v>
      </c>
      <c r="MK57" s="14">
        <v>1730754.7039999999</v>
      </c>
      <c r="ML57" s="7">
        <v>1502418.318</v>
      </c>
      <c r="MM57" s="7">
        <v>58854.879999999997</v>
      </c>
      <c r="MN57" s="7">
        <v>55287.020000000004</v>
      </c>
      <c r="MO57" s="7">
        <v>169481.50599999994</v>
      </c>
      <c r="MP57" s="7">
        <v>1767926</v>
      </c>
      <c r="MQ57" s="7">
        <v>1532629</v>
      </c>
      <c r="MR57" s="7">
        <v>60833</v>
      </c>
      <c r="MS57" s="7">
        <v>58091</v>
      </c>
      <c r="MT57" s="2">
        <v>174204</v>
      </c>
      <c r="MU57" s="2">
        <v>1804761</v>
      </c>
      <c r="MV57" s="2">
        <v>1515363</v>
      </c>
      <c r="MW57" s="2">
        <v>64993</v>
      </c>
      <c r="MX57" s="2">
        <v>62632</v>
      </c>
      <c r="MY57" s="2">
        <v>100704</v>
      </c>
      <c r="MZ57" s="14">
        <v>421838</v>
      </c>
      <c r="NA57" s="7">
        <v>389814</v>
      </c>
      <c r="NB57" s="7">
        <v>10781</v>
      </c>
      <c r="NC57" s="7">
        <v>7505</v>
      </c>
      <c r="ND57" s="7">
        <v>21243</v>
      </c>
      <c r="NE57" s="14">
        <v>583741</v>
      </c>
      <c r="NF57" s="7">
        <v>518348</v>
      </c>
      <c r="NG57" s="7">
        <v>14786</v>
      </c>
      <c r="NH57" s="7">
        <v>12988</v>
      </c>
      <c r="NI57" s="7">
        <v>50607</v>
      </c>
      <c r="NJ57" s="14">
        <v>731161</v>
      </c>
      <c r="NK57" s="7">
        <v>626413</v>
      </c>
      <c r="NL57" s="7">
        <v>20242</v>
      </c>
      <c r="NM57" s="7">
        <v>19019</v>
      </c>
      <c r="NN57" s="7">
        <v>84506</v>
      </c>
      <c r="NO57" s="14">
        <v>744938.23599999992</v>
      </c>
      <c r="NP57" s="7">
        <v>639088.38900000008</v>
      </c>
      <c r="NQ57" s="7">
        <v>20494.11</v>
      </c>
      <c r="NR57" s="7">
        <v>20856.78</v>
      </c>
      <c r="NS57" s="12">
        <v>85355.736999999834</v>
      </c>
      <c r="NT57" s="1">
        <v>763033</v>
      </c>
      <c r="NU57" s="2">
        <v>651872</v>
      </c>
      <c r="NV57" s="2">
        <v>21917</v>
      </c>
      <c r="NW57" s="2">
        <v>22335</v>
      </c>
      <c r="NX57" s="79">
        <v>89111</v>
      </c>
      <c r="NY57" s="2">
        <v>786296</v>
      </c>
      <c r="NZ57" s="2">
        <v>648968</v>
      </c>
      <c r="OA57" s="2">
        <v>23608</v>
      </c>
      <c r="OB57" s="2">
        <v>24927</v>
      </c>
      <c r="OC57" s="2">
        <v>95719</v>
      </c>
    </row>
    <row r="58" spans="1:393" ht="12.75" customHeight="1" x14ac:dyDescent="0.2">
      <c r="A58" s="241" t="s">
        <v>36</v>
      </c>
      <c r="B58" s="282" t="s">
        <v>186</v>
      </c>
      <c r="C58" s="282" t="s">
        <v>186</v>
      </c>
      <c r="D58" s="282" t="s">
        <v>186</v>
      </c>
      <c r="E58" s="282" t="s">
        <v>186</v>
      </c>
      <c r="F58" s="282" t="s">
        <v>186</v>
      </c>
      <c r="G58" s="14">
        <v>47691</v>
      </c>
      <c r="H58" s="7">
        <v>46599</v>
      </c>
      <c r="I58" s="7">
        <v>188</v>
      </c>
      <c r="J58" s="7">
        <v>709</v>
      </c>
      <c r="K58" s="7">
        <v>904</v>
      </c>
      <c r="L58" s="14">
        <v>32426</v>
      </c>
      <c r="M58" s="7">
        <v>30318</v>
      </c>
      <c r="N58" s="7">
        <v>239</v>
      </c>
      <c r="O58" s="7">
        <v>1212</v>
      </c>
      <c r="P58" s="7">
        <v>1869</v>
      </c>
      <c r="Q58" s="605">
        <v>26054</v>
      </c>
      <c r="R58" s="9">
        <v>23104</v>
      </c>
      <c r="S58" s="9">
        <v>429</v>
      </c>
      <c r="T58" s="9">
        <v>2480</v>
      </c>
      <c r="U58" s="9">
        <v>2521</v>
      </c>
      <c r="V58" s="9">
        <v>24019</v>
      </c>
      <c r="W58" s="9">
        <v>20551</v>
      </c>
      <c r="X58" s="9">
        <v>673</v>
      </c>
      <c r="Y58" s="9">
        <v>2497</v>
      </c>
      <c r="Z58" s="9">
        <v>2795</v>
      </c>
      <c r="AA58" s="9">
        <v>24422</v>
      </c>
      <c r="AB58" s="9">
        <v>19358</v>
      </c>
      <c r="AC58" s="9">
        <v>912</v>
      </c>
      <c r="AD58" s="9">
        <v>2435</v>
      </c>
      <c r="AE58" s="726">
        <v>2715</v>
      </c>
      <c r="AF58" s="14">
        <v>79732</v>
      </c>
      <c r="AG58" s="7">
        <v>78574</v>
      </c>
      <c r="AH58" s="7">
        <v>311</v>
      </c>
      <c r="AI58" s="7">
        <v>531</v>
      </c>
      <c r="AJ58" s="7">
        <v>847</v>
      </c>
      <c r="AK58" s="14">
        <v>71328</v>
      </c>
      <c r="AL58" s="7">
        <v>68309</v>
      </c>
      <c r="AM58" s="7">
        <v>562</v>
      </c>
      <c r="AN58" s="7">
        <v>1408</v>
      </c>
      <c r="AO58" s="7">
        <v>2457</v>
      </c>
      <c r="AP58" s="14">
        <v>53187</v>
      </c>
      <c r="AQ58" s="7">
        <v>50202</v>
      </c>
      <c r="AR58" s="7">
        <v>743</v>
      </c>
      <c r="AS58" s="7">
        <v>1884</v>
      </c>
      <c r="AT58" s="7">
        <v>2242</v>
      </c>
      <c r="AU58" s="7">
        <v>52839</v>
      </c>
      <c r="AV58" s="7">
        <v>49783</v>
      </c>
      <c r="AW58" s="7">
        <v>621</v>
      </c>
      <c r="AX58" s="7">
        <v>1965</v>
      </c>
      <c r="AY58" s="7">
        <v>2435</v>
      </c>
      <c r="AZ58" s="7">
        <v>48940</v>
      </c>
      <c r="BA58" s="7">
        <v>44618</v>
      </c>
      <c r="BB58" s="7">
        <v>451</v>
      </c>
      <c r="BC58" s="7">
        <v>1983</v>
      </c>
      <c r="BD58" s="63">
        <v>2466</v>
      </c>
      <c r="BE58" s="14">
        <v>77142</v>
      </c>
      <c r="BF58" s="7">
        <v>71017</v>
      </c>
      <c r="BG58" s="7"/>
      <c r="BH58" s="7">
        <v>4361</v>
      </c>
      <c r="BI58" s="313">
        <f t="shared" si="536"/>
        <v>6125</v>
      </c>
      <c r="BJ58" s="281" t="s">
        <v>186</v>
      </c>
      <c r="BK58" s="282" t="s">
        <v>186</v>
      </c>
      <c r="BL58" s="282" t="s">
        <v>186</v>
      </c>
      <c r="BM58" s="282" t="s">
        <v>186</v>
      </c>
      <c r="BN58" s="281" t="s">
        <v>186</v>
      </c>
      <c r="BO58" s="282" t="s">
        <v>186</v>
      </c>
      <c r="BP58" s="282" t="s">
        <v>186</v>
      </c>
      <c r="BQ58" s="282" t="s">
        <v>186</v>
      </c>
      <c r="BR58" s="282" t="s">
        <v>186</v>
      </c>
      <c r="BS58" s="14">
        <v>586471</v>
      </c>
      <c r="BT58" s="7">
        <v>577148</v>
      </c>
      <c r="BU58" s="7">
        <v>3082</v>
      </c>
      <c r="BV58" s="7">
        <v>4455</v>
      </c>
      <c r="BW58" s="7">
        <v>6241</v>
      </c>
      <c r="BX58" s="14">
        <v>720233</v>
      </c>
      <c r="BY58" s="7">
        <v>698189</v>
      </c>
      <c r="BZ58" s="7">
        <v>4326</v>
      </c>
      <c r="CA58" s="7">
        <v>7290</v>
      </c>
      <c r="CB58" s="7">
        <v>17718</v>
      </c>
      <c r="CC58" s="214">
        <v>799074</v>
      </c>
      <c r="CD58" s="7">
        <v>767121</v>
      </c>
      <c r="CE58" s="7">
        <v>5639</v>
      </c>
      <c r="CF58" s="7">
        <v>26314</v>
      </c>
      <c r="CG58" s="7">
        <v>14053</v>
      </c>
      <c r="CH58" s="14">
        <v>810462</v>
      </c>
      <c r="CI58" s="7">
        <v>778062</v>
      </c>
      <c r="CJ58" s="7">
        <v>5724</v>
      </c>
      <c r="CK58" s="7">
        <v>26676</v>
      </c>
      <c r="CL58" s="7">
        <v>14376</v>
      </c>
      <c r="CM58" s="14">
        <v>815266</v>
      </c>
      <c r="CN58" s="64">
        <v>783456</v>
      </c>
      <c r="CO58" s="64">
        <v>6328</v>
      </c>
      <c r="CP58" s="64">
        <v>25482</v>
      </c>
      <c r="CQ58" s="64">
        <v>13948</v>
      </c>
      <c r="CR58" s="14">
        <v>822476</v>
      </c>
      <c r="CS58" s="7">
        <v>788450</v>
      </c>
      <c r="CT58" s="7">
        <v>6537</v>
      </c>
      <c r="CU58" s="7">
        <v>13534</v>
      </c>
      <c r="CV58" s="7">
        <v>20308</v>
      </c>
      <c r="CW58" s="14">
        <v>830412.82499999995</v>
      </c>
      <c r="CX58" s="7">
        <v>795049.50599999994</v>
      </c>
      <c r="CY58" s="7"/>
      <c r="CZ58" s="7">
        <v>14039.2</v>
      </c>
      <c r="DA58" s="567">
        <f t="shared" si="537"/>
        <v>35363.319000000018</v>
      </c>
      <c r="DB58" s="7">
        <v>836894</v>
      </c>
      <c r="DC58" s="7">
        <v>800367</v>
      </c>
      <c r="DD58" s="7">
        <v>7562</v>
      </c>
      <c r="DE58" s="7">
        <v>14927</v>
      </c>
      <c r="DF58" s="7">
        <v>28829</v>
      </c>
      <c r="DG58" s="7">
        <v>846254</v>
      </c>
      <c r="DH58" s="7">
        <v>795794</v>
      </c>
      <c r="DI58" s="7">
        <v>7992</v>
      </c>
      <c r="DJ58" s="7">
        <v>16310</v>
      </c>
      <c r="DK58" s="7">
        <v>19507</v>
      </c>
      <c r="DL58" s="281" t="s">
        <v>186</v>
      </c>
      <c r="DM58" s="282" t="s">
        <v>186</v>
      </c>
      <c r="DN58" s="282" t="s">
        <v>186</v>
      </c>
      <c r="DO58" s="282" t="s">
        <v>186</v>
      </c>
      <c r="DP58" s="282" t="s">
        <v>186</v>
      </c>
      <c r="DQ58" s="14">
        <v>186263</v>
      </c>
      <c r="DR58" s="7">
        <v>183379</v>
      </c>
      <c r="DS58" s="7">
        <v>1257</v>
      </c>
      <c r="DT58" s="7">
        <v>1588</v>
      </c>
      <c r="DU58" s="7">
        <v>1627</v>
      </c>
      <c r="DV58" s="14">
        <v>236406</v>
      </c>
      <c r="DW58" s="7">
        <v>229804</v>
      </c>
      <c r="DX58" s="7">
        <v>1601</v>
      </c>
      <c r="DY58" s="7">
        <v>2741</v>
      </c>
      <c r="DZ58" s="7">
        <v>5001</v>
      </c>
      <c r="EA58" s="14">
        <v>261192</v>
      </c>
      <c r="EB58" s="7">
        <v>251476</v>
      </c>
      <c r="EC58" s="7">
        <v>2770</v>
      </c>
      <c r="ED58" s="7">
        <v>4653</v>
      </c>
      <c r="EE58" s="7">
        <v>6946</v>
      </c>
      <c r="EF58" s="14">
        <v>263190.94999999995</v>
      </c>
      <c r="EG58" s="7">
        <v>253757.63099999999</v>
      </c>
      <c r="EH58" s="7"/>
      <c r="EI58" s="7">
        <v>4986.4000000000005</v>
      </c>
      <c r="EJ58" s="7">
        <v>9433.3189999999595</v>
      </c>
      <c r="EK58" s="7">
        <v>259618</v>
      </c>
      <c r="EL58" s="7">
        <v>249932</v>
      </c>
      <c r="EM58" s="7">
        <v>2561</v>
      </c>
      <c r="EN58" s="7">
        <v>5032</v>
      </c>
      <c r="EO58" s="661">
        <v>7098</v>
      </c>
      <c r="EP58" s="661">
        <v>262412</v>
      </c>
      <c r="EQ58" s="661">
        <v>248596</v>
      </c>
      <c r="ER58" s="661">
        <v>2632</v>
      </c>
      <c r="ES58" s="661">
        <v>5340</v>
      </c>
      <c r="ET58" s="661">
        <v>7379</v>
      </c>
      <c r="EU58" s="14">
        <v>57568</v>
      </c>
      <c r="EV58" s="7">
        <v>56889</v>
      </c>
      <c r="EW58" s="7">
        <v>246</v>
      </c>
      <c r="EX58" s="7">
        <v>425</v>
      </c>
      <c r="EY58" s="7">
        <v>433</v>
      </c>
      <c r="EZ58" s="14">
        <v>71772</v>
      </c>
      <c r="FA58" s="7">
        <v>69798</v>
      </c>
      <c r="FB58" s="7">
        <v>375</v>
      </c>
      <c r="FC58" s="7">
        <v>689</v>
      </c>
      <c r="FD58" s="7">
        <v>1599</v>
      </c>
      <c r="FE58" s="14">
        <v>87123</v>
      </c>
      <c r="FF58" s="7">
        <v>84215</v>
      </c>
      <c r="FG58" s="7">
        <v>732</v>
      </c>
      <c r="FH58" s="7">
        <v>1448</v>
      </c>
      <c r="FI58" s="7">
        <v>2176</v>
      </c>
      <c r="FJ58" s="14"/>
      <c r="FK58" s="7"/>
      <c r="FL58" s="7"/>
      <c r="FM58" s="7"/>
      <c r="FN58" s="12"/>
      <c r="FO58" s="7">
        <v>88093</v>
      </c>
      <c r="FP58" s="7">
        <v>85027</v>
      </c>
      <c r="FQ58" s="7">
        <v>740</v>
      </c>
      <c r="FR58" s="7">
        <v>1447</v>
      </c>
      <c r="FS58" s="7">
        <v>2326</v>
      </c>
      <c r="FT58" s="7">
        <v>86971</v>
      </c>
      <c r="FU58" s="7">
        <v>82991</v>
      </c>
      <c r="FV58" s="7">
        <v>845</v>
      </c>
      <c r="FW58" s="7">
        <v>1362</v>
      </c>
      <c r="FX58" s="7">
        <v>2160</v>
      </c>
      <c r="FY58" s="609">
        <f t="shared" si="592"/>
        <v>231509</v>
      </c>
      <c r="FZ58" s="584">
        <f t="shared" si="593"/>
        <v>226955</v>
      </c>
      <c r="GA58" s="584">
        <f t="shared" si="594"/>
        <v>1167</v>
      </c>
      <c r="GB58" s="584">
        <f t="shared" si="595"/>
        <v>1877</v>
      </c>
      <c r="GC58" s="584">
        <f t="shared" si="596"/>
        <v>3387</v>
      </c>
      <c r="GD58" s="609">
        <f t="shared" si="597"/>
        <v>307876</v>
      </c>
      <c r="GE58" s="584">
        <f t="shared" si="598"/>
        <v>296800</v>
      </c>
      <c r="GF58" s="584">
        <f t="shared" si="599"/>
        <v>1799</v>
      </c>
      <c r="GG58" s="584">
        <f t="shared" si="600"/>
        <v>2938</v>
      </c>
      <c r="GH58" s="584">
        <f t="shared" si="601"/>
        <v>9277</v>
      </c>
      <c r="GI58" s="14">
        <v>329434</v>
      </c>
      <c r="GJ58" s="7">
        <v>314143</v>
      </c>
      <c r="GK58" s="7">
        <v>2521</v>
      </c>
      <c r="GL58" s="7">
        <v>4933</v>
      </c>
      <c r="GM58" s="7">
        <v>12770</v>
      </c>
      <c r="GN58" s="605"/>
      <c r="GO58" s="9"/>
      <c r="GP58" s="9"/>
      <c r="GQ58" s="9"/>
      <c r="GR58" s="9"/>
      <c r="GS58" s="9">
        <v>395690</v>
      </c>
      <c r="GT58" s="9">
        <v>375327</v>
      </c>
      <c r="GU58" s="9">
        <v>3343</v>
      </c>
      <c r="GV58" s="9">
        <v>6152</v>
      </c>
      <c r="GW58" s="617">
        <v>16911</v>
      </c>
      <c r="GX58" s="9">
        <v>1111409</v>
      </c>
      <c r="GY58" s="9">
        <v>376055</v>
      </c>
      <c r="GZ58" s="9">
        <v>3514</v>
      </c>
      <c r="HA58" s="9">
        <v>6172</v>
      </c>
      <c r="HB58" s="9">
        <v>10606</v>
      </c>
      <c r="HC58" s="14">
        <v>117260</v>
      </c>
      <c r="HD58" s="7">
        <v>115120</v>
      </c>
      <c r="HE58" s="7">
        <v>580</v>
      </c>
      <c r="HF58" s="7">
        <v>851</v>
      </c>
      <c r="HG58" s="7">
        <v>1560</v>
      </c>
      <c r="HH58" s="14">
        <v>153874</v>
      </c>
      <c r="HI58" s="7">
        <v>148823</v>
      </c>
      <c r="HJ58" s="7">
        <v>866</v>
      </c>
      <c r="HK58" s="7">
        <v>1479</v>
      </c>
      <c r="HL58" s="7">
        <v>4185</v>
      </c>
      <c r="HM58" s="14">
        <v>187448</v>
      </c>
      <c r="HN58" s="7">
        <v>179153</v>
      </c>
      <c r="HO58" s="7">
        <v>1427</v>
      </c>
      <c r="HP58" s="7">
        <v>2785</v>
      </c>
      <c r="HQ58" s="7">
        <v>6868</v>
      </c>
      <c r="HR58" s="14">
        <v>188771.44</v>
      </c>
      <c r="HS58" s="7">
        <v>179275.86899999998</v>
      </c>
      <c r="HT58" s="7"/>
      <c r="HU58" s="7">
        <v>2668</v>
      </c>
      <c r="HV58" s="7">
        <v>9495.5710000000254</v>
      </c>
      <c r="HW58" s="7">
        <v>199474</v>
      </c>
      <c r="HX58" s="7">
        <v>187307</v>
      </c>
      <c r="HY58" s="7">
        <v>1822</v>
      </c>
      <c r="HZ58" s="7">
        <v>3042</v>
      </c>
      <c r="IA58" s="7">
        <v>7850</v>
      </c>
      <c r="IB58" s="281" t="s">
        <v>186</v>
      </c>
      <c r="IC58" s="282" t="s">
        <v>186</v>
      </c>
      <c r="ID58" s="14">
        <v>24540</v>
      </c>
      <c r="IE58" s="355">
        <f t="shared" si="548"/>
        <v>14528</v>
      </c>
      <c r="IF58" s="355">
        <f t="shared" si="549"/>
        <v>10012</v>
      </c>
      <c r="IG58" s="355">
        <f t="shared" si="550"/>
        <v>24447</v>
      </c>
      <c r="IH58" s="341">
        <v>14479</v>
      </c>
      <c r="II58" s="341">
        <v>9968</v>
      </c>
      <c r="IJ58" s="355">
        <f t="shared" si="551"/>
        <v>93</v>
      </c>
      <c r="IK58" s="341">
        <v>49</v>
      </c>
      <c r="IL58" s="341">
        <v>44</v>
      </c>
      <c r="IM58" s="14">
        <v>43206</v>
      </c>
      <c r="IN58" s="355">
        <f t="shared" si="552"/>
        <v>25397</v>
      </c>
      <c r="IO58" s="355">
        <f t="shared" si="553"/>
        <v>17809</v>
      </c>
      <c r="IP58" s="355">
        <f t="shared" si="554"/>
        <v>42865</v>
      </c>
      <c r="IQ58" s="341">
        <v>25178</v>
      </c>
      <c r="IR58" s="341">
        <v>17687</v>
      </c>
      <c r="IS58" s="355">
        <f t="shared" si="555"/>
        <v>166</v>
      </c>
      <c r="IT58" s="341">
        <v>98</v>
      </c>
      <c r="IU58" s="341">
        <v>68</v>
      </c>
      <c r="IV58" s="355">
        <f t="shared" si="556"/>
        <v>175</v>
      </c>
      <c r="IW58" s="341">
        <v>121</v>
      </c>
      <c r="IX58" s="341">
        <v>54</v>
      </c>
      <c r="IY58" s="14">
        <v>98684</v>
      </c>
      <c r="IZ58" s="355">
        <f t="shared" si="557"/>
        <v>57747</v>
      </c>
      <c r="JA58" s="355">
        <f t="shared" si="558"/>
        <v>40937</v>
      </c>
      <c r="JB58" s="365">
        <f t="shared" si="559"/>
        <v>97028</v>
      </c>
      <c r="JC58" s="341">
        <v>56767</v>
      </c>
      <c r="JD58" s="341">
        <v>40261</v>
      </c>
      <c r="JE58" s="341">
        <v>980</v>
      </c>
      <c r="JF58" s="341">
        <v>676</v>
      </c>
      <c r="JG58" s="365">
        <f t="shared" si="560"/>
        <v>425</v>
      </c>
      <c r="JH58" s="341">
        <v>253</v>
      </c>
      <c r="JI58" s="341">
        <v>172</v>
      </c>
      <c r="JJ58" s="365">
        <f t="shared" si="561"/>
        <v>399</v>
      </c>
      <c r="JK58" s="341">
        <v>257</v>
      </c>
      <c r="JL58" s="341">
        <v>142</v>
      </c>
      <c r="JM58" s="356">
        <f t="shared" si="562"/>
        <v>832</v>
      </c>
      <c r="JN58" s="356">
        <f t="shared" si="563"/>
        <v>470</v>
      </c>
      <c r="JO58" s="356">
        <f t="shared" si="564"/>
        <v>362</v>
      </c>
      <c r="JP58" s="357">
        <f t="shared" si="565"/>
        <v>59</v>
      </c>
      <c r="JQ58" s="357">
        <f t="shared" si="566"/>
        <v>40</v>
      </c>
      <c r="JR58" s="357">
        <f t="shared" si="567"/>
        <v>19</v>
      </c>
      <c r="JS58" s="341">
        <v>773</v>
      </c>
      <c r="JT58" s="341">
        <v>430</v>
      </c>
      <c r="JU58" s="341">
        <v>343</v>
      </c>
      <c r="JV58" s="16">
        <f t="shared" si="568"/>
        <v>173941</v>
      </c>
      <c r="JW58" s="355">
        <f t="shared" si="569"/>
        <v>94252</v>
      </c>
      <c r="JX58" s="355">
        <f t="shared" si="570"/>
        <v>79689</v>
      </c>
      <c r="JY58" s="15">
        <f t="shared" si="571"/>
        <v>170066</v>
      </c>
      <c r="JZ58" s="151">
        <f t="shared" si="572"/>
        <v>168965</v>
      </c>
      <c r="KA58" s="341">
        <v>91440</v>
      </c>
      <c r="KB58" s="341">
        <v>77525</v>
      </c>
      <c r="KC58" s="341">
        <v>2812</v>
      </c>
      <c r="KD58" s="341">
        <v>2164</v>
      </c>
      <c r="KE58" s="15">
        <f t="shared" si="573"/>
        <v>921</v>
      </c>
      <c r="KF58" s="151">
        <f t="shared" si="574"/>
        <v>879</v>
      </c>
      <c r="KG58" s="341">
        <v>497</v>
      </c>
      <c r="KH58" s="341">
        <v>382</v>
      </c>
      <c r="KI58" s="15">
        <f t="shared" si="575"/>
        <v>1452</v>
      </c>
      <c r="KJ58" s="341">
        <v>784</v>
      </c>
      <c r="KK58" s="341">
        <v>668</v>
      </c>
      <c r="KL58" s="15">
        <f t="shared" si="576"/>
        <v>2954</v>
      </c>
      <c r="KM58" s="391">
        <f t="shared" si="577"/>
        <v>1531</v>
      </c>
      <c r="KN58" s="358">
        <f t="shared" si="578"/>
        <v>1114</v>
      </c>
      <c r="KO58" s="359">
        <f t="shared" si="579"/>
        <v>37</v>
      </c>
      <c r="KP58" s="359">
        <f t="shared" si="580"/>
        <v>9</v>
      </c>
      <c r="KQ58" s="359">
        <f t="shared" si="581"/>
        <v>28</v>
      </c>
      <c r="KR58" s="360">
        <f t="shared" si="582"/>
        <v>2608</v>
      </c>
      <c r="KS58" s="360">
        <f t="shared" si="583"/>
        <v>1522</v>
      </c>
      <c r="KT58" s="360">
        <f t="shared" si="584"/>
        <v>1086</v>
      </c>
      <c r="KU58" s="341">
        <v>158</v>
      </c>
      <c r="KV58" s="341">
        <v>85</v>
      </c>
      <c r="KW58" s="341">
        <v>1364</v>
      </c>
      <c r="KX58" s="341">
        <v>1001</v>
      </c>
      <c r="KY58" s="361">
        <v>236104</v>
      </c>
      <c r="KZ58" s="341">
        <v>121832</v>
      </c>
      <c r="LA58" s="341">
        <v>114272</v>
      </c>
      <c r="LB58" s="9">
        <f t="shared" si="585"/>
        <v>227002</v>
      </c>
      <c r="LC58" s="9">
        <v>116699</v>
      </c>
      <c r="LD58" s="9">
        <v>110303</v>
      </c>
      <c r="LE58" s="140">
        <f t="shared" si="586"/>
        <v>225333</v>
      </c>
      <c r="LF58" s="341">
        <v>115869</v>
      </c>
      <c r="LG58" s="341">
        <v>109464</v>
      </c>
      <c r="LH58" s="9">
        <f t="shared" si="587"/>
        <v>1424</v>
      </c>
      <c r="LI58" s="341">
        <v>814</v>
      </c>
      <c r="LJ58" s="341">
        <v>610</v>
      </c>
      <c r="LK58" s="9">
        <f t="shared" si="588"/>
        <v>2249</v>
      </c>
      <c r="LL58" s="341">
        <v>1166</v>
      </c>
      <c r="LM58" s="341">
        <v>1083</v>
      </c>
      <c r="LN58" s="140">
        <f t="shared" si="589"/>
        <v>7678</v>
      </c>
      <c r="LO58" s="140">
        <f t="shared" si="590"/>
        <v>4319</v>
      </c>
      <c r="LP58" s="140">
        <f t="shared" si="591"/>
        <v>3359</v>
      </c>
      <c r="LQ58" s="349">
        <v>282433</v>
      </c>
      <c r="LR58" s="341">
        <v>267546</v>
      </c>
      <c r="LS58" s="341">
        <v>267546</v>
      </c>
      <c r="LT58" s="341">
        <v>12662</v>
      </c>
      <c r="LU58" s="9">
        <v>4595</v>
      </c>
      <c r="LV58" s="361">
        <v>291746</v>
      </c>
      <c r="LW58" s="7">
        <v>276581</v>
      </c>
      <c r="LX58" s="7">
        <v>1962</v>
      </c>
      <c r="LY58" s="7">
        <v>13203</v>
      </c>
      <c r="LZ58" s="7">
        <v>4869</v>
      </c>
      <c r="MA58" s="361">
        <v>292534</v>
      </c>
      <c r="MB58" s="7">
        <v>278190</v>
      </c>
      <c r="MC58" s="7">
        <v>1854</v>
      </c>
      <c r="MD58" s="7">
        <v>12490</v>
      </c>
      <c r="ME58" s="7">
        <v>4234</v>
      </c>
      <c r="MF58" s="14">
        <v>295718</v>
      </c>
      <c r="MG58" s="7">
        <v>280119</v>
      </c>
      <c r="MH58" s="7">
        <v>2084</v>
      </c>
      <c r="MI58" s="7">
        <v>13515</v>
      </c>
      <c r="MJ58" s="7">
        <v>4173</v>
      </c>
      <c r="MK58" s="14">
        <v>298585.59499999997</v>
      </c>
      <c r="ML58" s="7">
        <v>281471.77499999997</v>
      </c>
      <c r="MM58" s="7"/>
      <c r="MN58" s="7">
        <v>4140</v>
      </c>
      <c r="MO58" s="7">
        <v>17113.820000000007</v>
      </c>
      <c r="MP58" s="7">
        <v>307597</v>
      </c>
      <c r="MQ58" s="7">
        <v>290300</v>
      </c>
      <c r="MR58" s="7">
        <v>2603</v>
      </c>
      <c r="MS58" s="7">
        <v>4705</v>
      </c>
      <c r="MT58" s="2">
        <v>14585</v>
      </c>
      <c r="MU58" s="2">
        <v>314519</v>
      </c>
      <c r="MV58" s="2">
        <v>293064</v>
      </c>
      <c r="MW58" s="2">
        <v>2669</v>
      </c>
      <c r="MX58" s="2">
        <v>4810</v>
      </c>
      <c r="MY58" s="2">
        <v>9405</v>
      </c>
      <c r="MZ58" s="14">
        <v>56681</v>
      </c>
      <c r="NA58" s="7">
        <v>54946</v>
      </c>
      <c r="NB58" s="7">
        <v>341</v>
      </c>
      <c r="NC58" s="7">
        <v>601</v>
      </c>
      <c r="ND58" s="7">
        <v>1394</v>
      </c>
      <c r="NE58" s="14">
        <v>82230</v>
      </c>
      <c r="NF58" s="7">
        <v>78179</v>
      </c>
      <c r="NG58" s="7">
        <v>558</v>
      </c>
      <c r="NH58" s="7">
        <v>770</v>
      </c>
      <c r="NI58" s="7">
        <v>3493</v>
      </c>
      <c r="NJ58" s="14">
        <v>108270</v>
      </c>
      <c r="NK58" s="7">
        <v>100966</v>
      </c>
      <c r="NL58" s="7">
        <v>657</v>
      </c>
      <c r="NM58" s="7">
        <v>1388</v>
      </c>
      <c r="NN58" s="7">
        <v>6647</v>
      </c>
      <c r="NO58" s="14">
        <v>109814.155</v>
      </c>
      <c r="NP58" s="7">
        <v>102195.906</v>
      </c>
      <c r="NQ58" s="7"/>
      <c r="NR58" s="7">
        <v>1472</v>
      </c>
      <c r="NS58" s="12">
        <v>7618.2489999999962</v>
      </c>
      <c r="NT58" s="1">
        <v>114454</v>
      </c>
      <c r="NU58" s="2">
        <v>106673</v>
      </c>
      <c r="NV58" s="2">
        <v>781</v>
      </c>
      <c r="NW58" s="2">
        <v>1713</v>
      </c>
      <c r="NX58" s="79">
        <v>6944</v>
      </c>
      <c r="NY58" s="2">
        <v>115045</v>
      </c>
      <c r="NZ58" s="2">
        <v>105757</v>
      </c>
      <c r="OA58" s="2">
        <v>847</v>
      </c>
      <c r="OB58" s="2">
        <v>1768</v>
      </c>
      <c r="OC58" s="2">
        <v>7189</v>
      </c>
    </row>
    <row r="59" spans="1:393" ht="12.75" customHeight="1" x14ac:dyDescent="0.2">
      <c r="A59" s="241" t="s">
        <v>37</v>
      </c>
      <c r="B59" s="282" t="s">
        <v>186</v>
      </c>
      <c r="C59" s="282" t="s">
        <v>186</v>
      </c>
      <c r="D59" s="282" t="s">
        <v>186</v>
      </c>
      <c r="E59" s="282" t="s">
        <v>186</v>
      </c>
      <c r="F59" s="282" t="s">
        <v>186</v>
      </c>
      <c r="G59" s="14">
        <v>486210</v>
      </c>
      <c r="H59" s="7">
        <v>370586</v>
      </c>
      <c r="I59" s="7">
        <v>63378</v>
      </c>
      <c r="J59" s="7">
        <v>103601</v>
      </c>
      <c r="K59" s="7">
        <v>52246</v>
      </c>
      <c r="L59" s="14">
        <v>373429</v>
      </c>
      <c r="M59" s="7">
        <v>238054</v>
      </c>
      <c r="N59" s="7">
        <v>44267</v>
      </c>
      <c r="O59" s="7">
        <v>131847</v>
      </c>
      <c r="P59" s="7">
        <v>91108</v>
      </c>
      <c r="Q59" s="605">
        <v>326336</v>
      </c>
      <c r="R59" s="9">
        <v>198280</v>
      </c>
      <c r="S59" s="9">
        <v>36069</v>
      </c>
      <c r="T59" s="9">
        <v>162967</v>
      </c>
      <c r="U59" s="9">
        <v>91987</v>
      </c>
      <c r="V59" s="9">
        <v>327199</v>
      </c>
      <c r="W59" s="9">
        <v>194473</v>
      </c>
      <c r="X59" s="9">
        <v>34082</v>
      </c>
      <c r="Y59" s="9">
        <v>170068</v>
      </c>
      <c r="Z59" s="9">
        <v>98644</v>
      </c>
      <c r="AA59" s="9">
        <v>329209</v>
      </c>
      <c r="AB59" s="9">
        <v>98176</v>
      </c>
      <c r="AC59" s="9">
        <v>33692</v>
      </c>
      <c r="AD59" s="9">
        <v>174293</v>
      </c>
      <c r="AE59" s="726">
        <v>102423</v>
      </c>
      <c r="AF59" s="14">
        <v>718996</v>
      </c>
      <c r="AG59" s="7">
        <v>537921</v>
      </c>
      <c r="AH59" s="7">
        <v>135454</v>
      </c>
      <c r="AI59" s="7">
        <v>84764</v>
      </c>
      <c r="AJ59" s="7">
        <v>45621</v>
      </c>
      <c r="AK59" s="14">
        <v>641048</v>
      </c>
      <c r="AL59" s="7">
        <v>418852</v>
      </c>
      <c r="AM59" s="7">
        <v>128527</v>
      </c>
      <c r="AN59" s="7">
        <v>126826</v>
      </c>
      <c r="AO59" s="7">
        <v>93669</v>
      </c>
      <c r="AP59" s="14">
        <v>406304</v>
      </c>
      <c r="AQ59" s="7">
        <v>255405</v>
      </c>
      <c r="AR59" s="7">
        <v>85038</v>
      </c>
      <c r="AS59" s="7">
        <v>105439</v>
      </c>
      <c r="AT59" s="7">
        <v>65861</v>
      </c>
      <c r="AU59" s="7">
        <v>385791</v>
      </c>
      <c r="AV59" s="7">
        <v>235407</v>
      </c>
      <c r="AW59" s="7">
        <v>79397</v>
      </c>
      <c r="AX59" s="7">
        <v>107402</v>
      </c>
      <c r="AY59" s="7">
        <v>70987</v>
      </c>
      <c r="AZ59" s="7">
        <v>376225</v>
      </c>
      <c r="BA59" s="7">
        <v>170393</v>
      </c>
      <c r="BB59" s="7">
        <v>76072</v>
      </c>
      <c r="BC59" s="7">
        <v>108271</v>
      </c>
      <c r="BD59" s="63">
        <v>71198</v>
      </c>
      <c r="BE59" s="14">
        <v>722090</v>
      </c>
      <c r="BF59" s="7">
        <v>438988</v>
      </c>
      <c r="BG59" s="7">
        <v>116176</v>
      </c>
      <c r="BH59" s="7">
        <v>271419</v>
      </c>
      <c r="BI59" s="313">
        <f t="shared" si="536"/>
        <v>166926</v>
      </c>
      <c r="BJ59" s="281" t="s">
        <v>186</v>
      </c>
      <c r="BK59" s="282" t="s">
        <v>186</v>
      </c>
      <c r="BL59" s="282" t="s">
        <v>186</v>
      </c>
      <c r="BM59" s="282" t="s">
        <v>186</v>
      </c>
      <c r="BN59" s="281" t="s">
        <v>186</v>
      </c>
      <c r="BO59" s="282" t="s">
        <v>186</v>
      </c>
      <c r="BP59" s="282" t="s">
        <v>186</v>
      </c>
      <c r="BQ59" s="282" t="s">
        <v>186</v>
      </c>
      <c r="BR59" s="282" t="s">
        <v>186</v>
      </c>
      <c r="BS59" s="14">
        <v>3961027</v>
      </c>
      <c r="BT59" s="7">
        <v>3336602</v>
      </c>
      <c r="BU59" s="7">
        <v>402876</v>
      </c>
      <c r="BV59" s="7">
        <v>220196</v>
      </c>
      <c r="BW59" s="7">
        <v>221549</v>
      </c>
      <c r="BX59" s="14">
        <v>4643322</v>
      </c>
      <c r="BY59" s="7">
        <v>3623329</v>
      </c>
      <c r="BZ59" s="7">
        <v>505116</v>
      </c>
      <c r="CA59" s="7">
        <v>380227</v>
      </c>
      <c r="CB59" s="7">
        <v>514877</v>
      </c>
      <c r="CC59" s="214">
        <v>5033379</v>
      </c>
      <c r="CD59" s="7">
        <v>3737157</v>
      </c>
      <c r="CE59" s="7">
        <v>588940</v>
      </c>
      <c r="CF59" s="7">
        <v>707282</v>
      </c>
      <c r="CG59" s="7">
        <v>549250</v>
      </c>
      <c r="CH59" s="14">
        <v>5069611</v>
      </c>
      <c r="CI59" s="7">
        <v>3766074</v>
      </c>
      <c r="CJ59" s="7">
        <v>596937</v>
      </c>
      <c r="CK59" s="7">
        <v>706600</v>
      </c>
      <c r="CL59" s="7">
        <v>568635</v>
      </c>
      <c r="CM59" s="14">
        <v>5124081</v>
      </c>
      <c r="CN59" s="64">
        <v>3818082</v>
      </c>
      <c r="CO59" s="64">
        <v>611219</v>
      </c>
      <c r="CP59" s="64">
        <v>694780</v>
      </c>
      <c r="CQ59" s="64">
        <v>577601</v>
      </c>
      <c r="CR59" s="14">
        <v>5193129</v>
      </c>
      <c r="CS59" s="7">
        <v>3844351</v>
      </c>
      <c r="CT59" s="7">
        <v>618593</v>
      </c>
      <c r="CU59" s="7">
        <v>618963</v>
      </c>
      <c r="CV59" s="7">
        <v>659519</v>
      </c>
      <c r="CW59" s="14">
        <v>5245595.9939999999</v>
      </c>
      <c r="CX59" s="7">
        <v>3864814.196</v>
      </c>
      <c r="CY59" s="7">
        <v>628539.46000000008</v>
      </c>
      <c r="CZ59" s="7">
        <v>644619.36500000011</v>
      </c>
      <c r="DA59" s="567">
        <f t="shared" si="537"/>
        <v>752242.33799999987</v>
      </c>
      <c r="DB59" s="7">
        <v>5300241</v>
      </c>
      <c r="DC59" s="7">
        <v>3882743</v>
      </c>
      <c r="DD59" s="7">
        <v>641301</v>
      </c>
      <c r="DE59" s="7">
        <v>669192</v>
      </c>
      <c r="DF59" s="7">
        <v>776197</v>
      </c>
      <c r="DG59" s="7">
        <v>5341964</v>
      </c>
      <c r="DH59" s="7">
        <v>3458803</v>
      </c>
      <c r="DI59" s="7">
        <v>653432</v>
      </c>
      <c r="DJ59" s="7">
        <v>691940</v>
      </c>
      <c r="DK59" s="7">
        <v>432625</v>
      </c>
      <c r="DL59" s="281" t="s">
        <v>186</v>
      </c>
      <c r="DM59" s="282" t="s">
        <v>186</v>
      </c>
      <c r="DN59" s="282" t="s">
        <v>186</v>
      </c>
      <c r="DO59" s="282" t="s">
        <v>186</v>
      </c>
      <c r="DP59" s="282" t="s">
        <v>186</v>
      </c>
      <c r="DQ59" s="14">
        <v>1070455</v>
      </c>
      <c r="DR59" s="7">
        <v>882106</v>
      </c>
      <c r="DS59" s="7">
        <v>135625</v>
      </c>
      <c r="DT59" s="7">
        <v>71592</v>
      </c>
      <c r="DU59" s="7">
        <v>52724</v>
      </c>
      <c r="DV59" s="14">
        <v>1296968</v>
      </c>
      <c r="DW59" s="7">
        <v>990775</v>
      </c>
      <c r="DX59" s="7">
        <v>181539</v>
      </c>
      <c r="DY59" s="7">
        <v>127762</v>
      </c>
      <c r="DZ59" s="7">
        <v>124654</v>
      </c>
      <c r="EA59" s="14">
        <v>1385747</v>
      </c>
      <c r="EB59" s="7">
        <v>1016366</v>
      </c>
      <c r="EC59" s="7">
        <v>221142</v>
      </c>
      <c r="ED59" s="7">
        <v>189525</v>
      </c>
      <c r="EE59" s="7">
        <v>148239</v>
      </c>
      <c r="EF59" s="14">
        <v>1390470.838</v>
      </c>
      <c r="EG59" s="7">
        <v>1015697.2720000001</v>
      </c>
      <c r="EH59" s="7">
        <v>222669.785</v>
      </c>
      <c r="EI59" s="7">
        <v>198979.23499999999</v>
      </c>
      <c r="EJ59" s="7">
        <v>152103.78099999987</v>
      </c>
      <c r="EK59" s="7">
        <v>1398073</v>
      </c>
      <c r="EL59" s="7">
        <v>1011039</v>
      </c>
      <c r="EM59" s="7">
        <v>227175</v>
      </c>
      <c r="EN59" s="7">
        <v>208116</v>
      </c>
      <c r="EO59" s="661">
        <v>159859</v>
      </c>
      <c r="EP59" s="661">
        <v>1405458</v>
      </c>
      <c r="EQ59" s="661">
        <v>876180</v>
      </c>
      <c r="ER59" s="661">
        <v>230376</v>
      </c>
      <c r="ES59" s="661">
        <v>218004</v>
      </c>
      <c r="ET59" s="661">
        <v>164053</v>
      </c>
      <c r="EU59" s="14">
        <v>268664</v>
      </c>
      <c r="EV59" s="7">
        <v>222278</v>
      </c>
      <c r="EW59" s="7">
        <v>29205</v>
      </c>
      <c r="EX59" s="7">
        <v>17119</v>
      </c>
      <c r="EY59" s="7">
        <v>17181</v>
      </c>
      <c r="EZ59" s="14">
        <v>298096</v>
      </c>
      <c r="FA59" s="7">
        <v>231568</v>
      </c>
      <c r="FB59" s="7">
        <v>35672</v>
      </c>
      <c r="FC59" s="7">
        <v>24523</v>
      </c>
      <c r="FD59" s="7">
        <v>30856</v>
      </c>
      <c r="FE59" s="14">
        <v>367653</v>
      </c>
      <c r="FF59" s="7">
        <v>271945</v>
      </c>
      <c r="FG59" s="7">
        <v>51072</v>
      </c>
      <c r="FH59" s="7">
        <v>46471</v>
      </c>
      <c r="FI59" s="7">
        <v>44636</v>
      </c>
      <c r="FJ59" s="14"/>
      <c r="FK59" s="7"/>
      <c r="FL59" s="7"/>
      <c r="FM59" s="7"/>
      <c r="FN59" s="12"/>
      <c r="FO59" s="7">
        <v>370481</v>
      </c>
      <c r="FP59" s="7">
        <v>273436</v>
      </c>
      <c r="FQ59" s="7">
        <v>51525</v>
      </c>
      <c r="FR59" s="7">
        <v>50127</v>
      </c>
      <c r="FS59" s="7">
        <v>45520</v>
      </c>
      <c r="FT59" s="7">
        <v>377352</v>
      </c>
      <c r="FU59" s="7">
        <v>244962</v>
      </c>
      <c r="FV59" s="7">
        <v>52624</v>
      </c>
      <c r="FW59" s="7">
        <v>52075</v>
      </c>
      <c r="FX59" s="7">
        <v>46324</v>
      </c>
      <c r="FY59" s="609">
        <f t="shared" si="592"/>
        <v>1552681</v>
      </c>
      <c r="FZ59" s="584">
        <f t="shared" si="593"/>
        <v>1317403</v>
      </c>
      <c r="GA59" s="584">
        <f t="shared" si="594"/>
        <v>110895</v>
      </c>
      <c r="GB59" s="584">
        <f t="shared" si="595"/>
        <v>61102</v>
      </c>
      <c r="GC59" s="584">
        <f t="shared" si="596"/>
        <v>124383</v>
      </c>
      <c r="GD59" s="609">
        <f t="shared" si="597"/>
        <v>1982957</v>
      </c>
      <c r="GE59" s="584">
        <f t="shared" si="598"/>
        <v>1559049</v>
      </c>
      <c r="GF59" s="584">
        <f t="shared" si="599"/>
        <v>145175</v>
      </c>
      <c r="GG59" s="584">
        <f t="shared" si="600"/>
        <v>104491</v>
      </c>
      <c r="GH59" s="584">
        <f t="shared" si="601"/>
        <v>278733</v>
      </c>
      <c r="GI59" s="14">
        <v>2061122</v>
      </c>
      <c r="GJ59" s="7">
        <v>1525739</v>
      </c>
      <c r="GK59" s="7">
        <v>172558</v>
      </c>
      <c r="GL59" s="7">
        <v>164269</v>
      </c>
      <c r="GM59" s="7">
        <v>362825</v>
      </c>
      <c r="GN59" s="605"/>
      <c r="GO59" s="9"/>
      <c r="GP59" s="9"/>
      <c r="GQ59" s="9"/>
      <c r="GR59" s="9"/>
      <c r="GS59" s="9">
        <v>2520298</v>
      </c>
      <c r="GT59" s="9">
        <v>1848005</v>
      </c>
      <c r="GU59" s="9">
        <v>210903</v>
      </c>
      <c r="GV59" s="9">
        <v>199092</v>
      </c>
      <c r="GW59" s="617">
        <v>461390</v>
      </c>
      <c r="GX59" s="9">
        <v>7080807</v>
      </c>
      <c r="GY59" s="9">
        <v>1723625</v>
      </c>
      <c r="GZ59" s="9">
        <v>214821</v>
      </c>
      <c r="HA59" s="9">
        <v>208724</v>
      </c>
      <c r="HB59" s="9">
        <v>251909</v>
      </c>
      <c r="HC59" s="14">
        <v>826887</v>
      </c>
      <c r="HD59" s="7">
        <v>707817</v>
      </c>
      <c r="HE59" s="7">
        <v>55334</v>
      </c>
      <c r="HF59" s="7">
        <v>28510</v>
      </c>
      <c r="HG59" s="7">
        <v>63736</v>
      </c>
      <c r="HH59" s="14">
        <v>1063665</v>
      </c>
      <c r="HI59" s="7">
        <v>841431</v>
      </c>
      <c r="HJ59" s="7">
        <v>73219</v>
      </c>
      <c r="HK59" s="7">
        <v>51395</v>
      </c>
      <c r="HL59" s="7">
        <v>149015</v>
      </c>
      <c r="HM59" s="14">
        <v>1293271</v>
      </c>
      <c r="HN59" s="7">
        <v>960869</v>
      </c>
      <c r="HO59" s="7">
        <v>101358</v>
      </c>
      <c r="HP59" s="7">
        <v>98979</v>
      </c>
      <c r="HQ59" s="7">
        <v>231044</v>
      </c>
      <c r="HR59" s="14">
        <v>1312890.92</v>
      </c>
      <c r="HS59" s="7">
        <v>972659.25199999998</v>
      </c>
      <c r="HT59" s="7">
        <v>102770.67000000001</v>
      </c>
      <c r="HU59" s="7">
        <v>100865.05</v>
      </c>
      <c r="HV59" s="7">
        <v>237460.99799999993</v>
      </c>
      <c r="HW59" s="7">
        <v>1356074</v>
      </c>
      <c r="HX59" s="7">
        <v>921409</v>
      </c>
      <c r="HY59" s="7">
        <v>105133</v>
      </c>
      <c r="HZ59" s="7">
        <v>109433</v>
      </c>
      <c r="IA59" s="7">
        <v>255516</v>
      </c>
      <c r="IB59" s="281" t="s">
        <v>186</v>
      </c>
      <c r="IC59" s="282" t="s">
        <v>186</v>
      </c>
      <c r="ID59" s="14">
        <v>302876</v>
      </c>
      <c r="IE59" s="355">
        <f t="shared" si="548"/>
        <v>200977</v>
      </c>
      <c r="IF59" s="355">
        <f t="shared" si="549"/>
        <v>101899</v>
      </c>
      <c r="IG59" s="355">
        <f t="shared" si="550"/>
        <v>294295</v>
      </c>
      <c r="IH59" s="341">
        <v>196585</v>
      </c>
      <c r="II59" s="341">
        <v>97710</v>
      </c>
      <c r="IJ59" s="355">
        <f t="shared" si="551"/>
        <v>8581</v>
      </c>
      <c r="IK59" s="341">
        <v>4392</v>
      </c>
      <c r="IL59" s="341">
        <v>4189</v>
      </c>
      <c r="IM59" s="14">
        <v>474964</v>
      </c>
      <c r="IN59" s="355">
        <f t="shared" si="552"/>
        <v>305630</v>
      </c>
      <c r="IO59" s="355">
        <f t="shared" si="553"/>
        <v>169334</v>
      </c>
      <c r="IP59" s="355">
        <f t="shared" si="554"/>
        <v>459274</v>
      </c>
      <c r="IQ59" s="341">
        <v>297986</v>
      </c>
      <c r="IR59" s="341">
        <v>161288</v>
      </c>
      <c r="IS59" s="355">
        <f t="shared" si="555"/>
        <v>14647</v>
      </c>
      <c r="IT59" s="341">
        <v>7021</v>
      </c>
      <c r="IU59" s="341">
        <v>7626</v>
      </c>
      <c r="IV59" s="355">
        <f t="shared" si="556"/>
        <v>1043</v>
      </c>
      <c r="IW59" s="341">
        <v>623</v>
      </c>
      <c r="IX59" s="341">
        <v>420</v>
      </c>
      <c r="IY59" s="14">
        <v>826040</v>
      </c>
      <c r="IZ59" s="355">
        <f t="shared" si="557"/>
        <v>495716</v>
      </c>
      <c r="JA59" s="355">
        <f t="shared" si="558"/>
        <v>330324</v>
      </c>
      <c r="JB59" s="365">
        <f t="shared" si="559"/>
        <v>729566</v>
      </c>
      <c r="JC59" s="341">
        <v>445854</v>
      </c>
      <c r="JD59" s="341">
        <v>283712</v>
      </c>
      <c r="JE59" s="341">
        <v>49862</v>
      </c>
      <c r="JF59" s="341">
        <v>46612</v>
      </c>
      <c r="JG59" s="365">
        <f t="shared" si="560"/>
        <v>39724</v>
      </c>
      <c r="JH59" s="341">
        <v>18416</v>
      </c>
      <c r="JI59" s="341">
        <v>21308</v>
      </c>
      <c r="JJ59" s="365">
        <f t="shared" si="561"/>
        <v>19774</v>
      </c>
      <c r="JK59" s="341">
        <v>10915</v>
      </c>
      <c r="JL59" s="341">
        <v>8859</v>
      </c>
      <c r="JM59" s="356">
        <f t="shared" si="562"/>
        <v>36976</v>
      </c>
      <c r="JN59" s="356">
        <f t="shared" si="563"/>
        <v>20531</v>
      </c>
      <c r="JO59" s="356">
        <f t="shared" si="564"/>
        <v>16445</v>
      </c>
      <c r="JP59" s="357">
        <f t="shared" si="565"/>
        <v>579</v>
      </c>
      <c r="JQ59" s="357">
        <f t="shared" si="566"/>
        <v>394</v>
      </c>
      <c r="JR59" s="357">
        <f t="shared" si="567"/>
        <v>185</v>
      </c>
      <c r="JS59" s="341">
        <v>36397</v>
      </c>
      <c r="JT59" s="341">
        <v>20137</v>
      </c>
      <c r="JU59" s="341">
        <v>16260</v>
      </c>
      <c r="JV59" s="16">
        <f t="shared" si="568"/>
        <v>1284017</v>
      </c>
      <c r="JW59" s="355">
        <f t="shared" si="569"/>
        <v>707222</v>
      </c>
      <c r="JX59" s="355">
        <f t="shared" si="570"/>
        <v>576795</v>
      </c>
      <c r="JY59" s="15">
        <f t="shared" si="571"/>
        <v>1095125</v>
      </c>
      <c r="JZ59" s="151">
        <f t="shared" si="572"/>
        <v>1064716</v>
      </c>
      <c r="KA59" s="341">
        <v>596851</v>
      </c>
      <c r="KB59" s="341">
        <v>467865</v>
      </c>
      <c r="KC59" s="341">
        <v>110371</v>
      </c>
      <c r="KD59" s="341">
        <v>108930</v>
      </c>
      <c r="KE59" s="15">
        <f t="shared" si="573"/>
        <v>81690</v>
      </c>
      <c r="KF59" s="151">
        <f t="shared" si="574"/>
        <v>79492</v>
      </c>
      <c r="KG59" s="341">
        <v>35680</v>
      </c>
      <c r="KH59" s="341">
        <v>43812</v>
      </c>
      <c r="KI59" s="15">
        <f t="shared" si="575"/>
        <v>43983</v>
      </c>
      <c r="KJ59" s="341">
        <v>22218</v>
      </c>
      <c r="KK59" s="341">
        <v>21765</v>
      </c>
      <c r="KL59" s="15">
        <f t="shared" si="576"/>
        <v>107202</v>
      </c>
      <c r="KM59" s="391">
        <f t="shared" si="577"/>
        <v>52473</v>
      </c>
      <c r="KN59" s="358">
        <f t="shared" si="578"/>
        <v>43353</v>
      </c>
      <c r="KO59" s="359">
        <f t="shared" si="579"/>
        <v>713</v>
      </c>
      <c r="KP59" s="359">
        <f t="shared" si="580"/>
        <v>361</v>
      </c>
      <c r="KQ59" s="359">
        <f t="shared" si="581"/>
        <v>352</v>
      </c>
      <c r="KR59" s="360">
        <f t="shared" si="582"/>
        <v>95113</v>
      </c>
      <c r="KS59" s="360">
        <f t="shared" si="583"/>
        <v>52112</v>
      </c>
      <c r="KT59" s="360">
        <f t="shared" si="584"/>
        <v>43001</v>
      </c>
      <c r="KU59" s="341">
        <v>635</v>
      </c>
      <c r="KV59" s="341">
        <v>682</v>
      </c>
      <c r="KW59" s="341">
        <v>51477</v>
      </c>
      <c r="KX59" s="341">
        <v>42319</v>
      </c>
      <c r="KY59" s="361">
        <v>1684861</v>
      </c>
      <c r="KZ59" s="341">
        <v>864039</v>
      </c>
      <c r="LA59" s="341">
        <v>820822</v>
      </c>
      <c r="LB59" s="9">
        <f t="shared" si="585"/>
        <v>1327481</v>
      </c>
      <c r="LC59" s="9">
        <v>689755</v>
      </c>
      <c r="LD59" s="9">
        <v>637726</v>
      </c>
      <c r="LE59" s="140">
        <f t="shared" si="586"/>
        <v>1277101</v>
      </c>
      <c r="LF59" s="341">
        <v>666396</v>
      </c>
      <c r="LG59" s="341">
        <v>610705</v>
      </c>
      <c r="LH59" s="9">
        <f t="shared" si="587"/>
        <v>109503</v>
      </c>
      <c r="LI59" s="341">
        <v>46557</v>
      </c>
      <c r="LJ59" s="341">
        <v>62946</v>
      </c>
      <c r="LK59" s="9">
        <f t="shared" si="588"/>
        <v>79968</v>
      </c>
      <c r="LL59" s="341">
        <v>36721</v>
      </c>
      <c r="LM59" s="341">
        <v>43247</v>
      </c>
      <c r="LN59" s="140">
        <f t="shared" si="589"/>
        <v>247877</v>
      </c>
      <c r="LO59" s="140">
        <f t="shared" si="590"/>
        <v>127727</v>
      </c>
      <c r="LP59" s="140">
        <f t="shared" si="591"/>
        <v>120150</v>
      </c>
      <c r="LQ59" s="349">
        <v>1963896</v>
      </c>
      <c r="LR59" s="341">
        <v>1464418</v>
      </c>
      <c r="LS59" s="341">
        <v>145970</v>
      </c>
      <c r="LT59" s="341">
        <v>353508</v>
      </c>
      <c r="LU59" s="9">
        <v>122526</v>
      </c>
      <c r="LV59" s="361">
        <v>1982528</v>
      </c>
      <c r="LW59" s="7">
        <v>1476646</v>
      </c>
      <c r="LX59" s="7">
        <v>146464</v>
      </c>
      <c r="LY59" s="7">
        <v>359418</v>
      </c>
      <c r="LZ59" s="7">
        <v>127186</v>
      </c>
      <c r="MA59" s="361">
        <v>2014596</v>
      </c>
      <c r="MB59" s="7">
        <v>1506565</v>
      </c>
      <c r="MC59" s="7">
        <v>148170</v>
      </c>
      <c r="MD59" s="7">
        <v>359861</v>
      </c>
      <c r="ME59" s="7">
        <v>129692</v>
      </c>
      <c r="MF59" s="14">
        <v>2069190</v>
      </c>
      <c r="MG59" s="7">
        <v>1527640</v>
      </c>
      <c r="MH59" s="7">
        <v>150987</v>
      </c>
      <c r="MI59" s="7">
        <v>390563</v>
      </c>
      <c r="MJ59" s="7">
        <v>141175</v>
      </c>
      <c r="MK59" s="14">
        <v>2100625.4720000001</v>
      </c>
      <c r="ML59" s="7">
        <v>1545064.9180000001</v>
      </c>
      <c r="MM59" s="7">
        <v>155645.435</v>
      </c>
      <c r="MN59" s="7">
        <v>143044.98000000001</v>
      </c>
      <c r="MO59" s="7">
        <v>399915.11900000001</v>
      </c>
      <c r="MP59" s="7">
        <v>2149817</v>
      </c>
      <c r="MQ59" s="7">
        <v>1574569</v>
      </c>
      <c r="MR59" s="7">
        <v>159378</v>
      </c>
      <c r="MS59" s="7">
        <v>148965</v>
      </c>
      <c r="MT59" s="2">
        <v>415870</v>
      </c>
      <c r="MU59" s="2">
        <v>2184849</v>
      </c>
      <c r="MV59" s="2">
        <v>1478663</v>
      </c>
      <c r="MW59" s="2">
        <v>162197</v>
      </c>
      <c r="MX59" s="2">
        <v>156649</v>
      </c>
      <c r="MY59" s="2">
        <v>227953</v>
      </c>
      <c r="MZ59" s="14">
        <v>457130</v>
      </c>
      <c r="NA59" s="7">
        <v>387308</v>
      </c>
      <c r="NB59" s="7">
        <v>26356</v>
      </c>
      <c r="NC59" s="7">
        <v>15473</v>
      </c>
      <c r="ND59" s="7">
        <v>43466</v>
      </c>
      <c r="NE59" s="14">
        <v>621196</v>
      </c>
      <c r="NF59" s="7">
        <v>486050</v>
      </c>
      <c r="NG59" s="7">
        <v>36284</v>
      </c>
      <c r="NH59" s="7">
        <v>28573</v>
      </c>
      <c r="NI59" s="7">
        <v>98862</v>
      </c>
      <c r="NJ59" s="14">
        <v>775919</v>
      </c>
      <c r="NK59" s="7">
        <v>566771</v>
      </c>
      <c r="NL59" s="7">
        <v>49629</v>
      </c>
      <c r="NM59" s="7">
        <v>42196</v>
      </c>
      <c r="NN59" s="7">
        <v>159519</v>
      </c>
      <c r="NO59" s="14">
        <v>787734.55200000003</v>
      </c>
      <c r="NP59" s="7">
        <v>572405.66600000008</v>
      </c>
      <c r="NQ59" s="7">
        <v>52874.764999999992</v>
      </c>
      <c r="NR59" s="7">
        <v>42179.93</v>
      </c>
      <c r="NS59" s="12">
        <v>162454.12099999996</v>
      </c>
      <c r="NT59" s="1">
        <v>811397</v>
      </c>
      <c r="NU59" s="2">
        <v>586221</v>
      </c>
      <c r="NV59" s="2">
        <v>55289</v>
      </c>
      <c r="NW59" s="2">
        <v>44327</v>
      </c>
      <c r="NX59" s="79">
        <v>169887</v>
      </c>
      <c r="NY59" s="2">
        <v>828775</v>
      </c>
      <c r="NZ59" s="2">
        <v>557254</v>
      </c>
      <c r="OA59" s="2">
        <v>57064</v>
      </c>
      <c r="OB59" s="2">
        <v>47216</v>
      </c>
      <c r="OC59" s="2">
        <v>180540</v>
      </c>
    </row>
    <row r="60" spans="1:393" ht="12.75" customHeight="1" x14ac:dyDescent="0.2">
      <c r="A60" s="241" t="s">
        <v>39</v>
      </c>
      <c r="B60" s="282" t="s">
        <v>186</v>
      </c>
      <c r="C60" s="282" t="s">
        <v>186</v>
      </c>
      <c r="D60" s="282" t="s">
        <v>186</v>
      </c>
      <c r="E60" s="282" t="s">
        <v>186</v>
      </c>
      <c r="F60" s="282" t="s">
        <v>186</v>
      </c>
      <c r="G60" s="14">
        <v>1200827</v>
      </c>
      <c r="H60" s="7">
        <v>778242</v>
      </c>
      <c r="I60" s="7">
        <v>197324</v>
      </c>
      <c r="J60" s="7">
        <v>313968</v>
      </c>
      <c r="K60" s="7">
        <v>225261</v>
      </c>
      <c r="L60" s="14">
        <v>1005805</v>
      </c>
      <c r="M60" s="7">
        <v>515028</v>
      </c>
      <c r="N60" s="7">
        <v>140771</v>
      </c>
      <c r="O60" s="7">
        <v>377392</v>
      </c>
      <c r="P60" s="7">
        <v>350006</v>
      </c>
      <c r="Q60" s="605">
        <v>917406</v>
      </c>
      <c r="R60" s="9">
        <v>416853</v>
      </c>
      <c r="S60" s="9">
        <v>132004</v>
      </c>
      <c r="T60" s="9">
        <v>406049</v>
      </c>
      <c r="U60" s="9">
        <v>368549</v>
      </c>
      <c r="V60" s="9">
        <v>903906</v>
      </c>
      <c r="W60" s="9">
        <v>386093</v>
      </c>
      <c r="X60" s="9">
        <v>128107</v>
      </c>
      <c r="Y60" s="9">
        <v>411911</v>
      </c>
      <c r="Z60" s="9">
        <v>389706</v>
      </c>
      <c r="AA60" s="9">
        <v>899229</v>
      </c>
      <c r="AB60" s="9">
        <v>219557</v>
      </c>
      <c r="AC60" s="9">
        <v>132077</v>
      </c>
      <c r="AD60" s="9">
        <v>411876</v>
      </c>
      <c r="AE60" s="726">
        <v>389345</v>
      </c>
      <c r="AF60" s="14">
        <v>1776777</v>
      </c>
      <c r="AG60" s="7">
        <v>1188067</v>
      </c>
      <c r="AH60" s="7">
        <v>397368</v>
      </c>
      <c r="AI60" s="7">
        <v>289309</v>
      </c>
      <c r="AJ60" s="7">
        <v>191342</v>
      </c>
      <c r="AK60" s="14">
        <v>1620519</v>
      </c>
      <c r="AL60" s="7">
        <v>915826</v>
      </c>
      <c r="AM60" s="7">
        <v>383322</v>
      </c>
      <c r="AN60" s="7">
        <v>354354</v>
      </c>
      <c r="AO60" s="7">
        <v>321371</v>
      </c>
      <c r="AP60" s="14">
        <v>1089877</v>
      </c>
      <c r="AQ60" s="7">
        <v>592345</v>
      </c>
      <c r="AR60" s="7">
        <v>246335</v>
      </c>
      <c r="AS60" s="7">
        <v>301060</v>
      </c>
      <c r="AT60" s="7">
        <v>251197</v>
      </c>
      <c r="AU60" s="7">
        <v>1067250</v>
      </c>
      <c r="AV60" s="7">
        <v>551367</v>
      </c>
      <c r="AW60" s="7">
        <v>237630</v>
      </c>
      <c r="AX60" s="7">
        <v>311120</v>
      </c>
      <c r="AY60" s="7">
        <v>278253</v>
      </c>
      <c r="AZ60" s="7">
        <v>1055220</v>
      </c>
      <c r="BA60" s="7">
        <v>415015</v>
      </c>
      <c r="BB60" s="7">
        <v>232910</v>
      </c>
      <c r="BC60" s="7">
        <v>309241</v>
      </c>
      <c r="BD60" s="63">
        <v>285817</v>
      </c>
      <c r="BE60" s="14">
        <v>1990516</v>
      </c>
      <c r="BF60" s="7">
        <v>970896</v>
      </c>
      <c r="BG60" s="7">
        <v>369229</v>
      </c>
      <c r="BH60" s="7">
        <v>713765</v>
      </c>
      <c r="BI60" s="313">
        <f t="shared" si="536"/>
        <v>650391</v>
      </c>
      <c r="BJ60" s="281" t="s">
        <v>186</v>
      </c>
      <c r="BK60" s="282" t="s">
        <v>186</v>
      </c>
      <c r="BL60" s="282" t="s">
        <v>186</v>
      </c>
      <c r="BM60" s="282" t="s">
        <v>186</v>
      </c>
      <c r="BN60" s="281" t="s">
        <v>186</v>
      </c>
      <c r="BO60" s="282" t="s">
        <v>186</v>
      </c>
      <c r="BP60" s="282" t="s">
        <v>186</v>
      </c>
      <c r="BQ60" s="282" t="s">
        <v>186</v>
      </c>
      <c r="BR60" s="282" t="s">
        <v>186</v>
      </c>
      <c r="BS60" s="14">
        <v>8840965</v>
      </c>
      <c r="BT60" s="7">
        <v>7175569</v>
      </c>
      <c r="BU60" s="7">
        <v>1088842</v>
      </c>
      <c r="BV60" s="7">
        <v>613378</v>
      </c>
      <c r="BW60" s="7">
        <v>576554</v>
      </c>
      <c r="BX60" s="14">
        <v>9916212</v>
      </c>
      <c r="BY60" s="7">
        <v>7506789</v>
      </c>
      <c r="BZ60" s="7">
        <v>1260693</v>
      </c>
      <c r="CA60" s="7">
        <v>895367</v>
      </c>
      <c r="CB60" s="7">
        <v>1148730</v>
      </c>
      <c r="CC60" s="214">
        <v>10790327</v>
      </c>
      <c r="CD60" s="7">
        <v>7833508</v>
      </c>
      <c r="CE60" s="7">
        <v>1452447</v>
      </c>
      <c r="CF60" s="7">
        <v>1504372</v>
      </c>
      <c r="CG60" s="7">
        <v>1189901</v>
      </c>
      <c r="CH60" s="14">
        <v>10928747</v>
      </c>
      <c r="CI60" s="7">
        <v>7950198</v>
      </c>
      <c r="CJ60" s="7">
        <v>1478222</v>
      </c>
      <c r="CK60" s="7">
        <v>1500327</v>
      </c>
      <c r="CL60" s="7">
        <v>1214544</v>
      </c>
      <c r="CM60" s="14">
        <v>11066646</v>
      </c>
      <c r="CN60" s="64">
        <v>8109185</v>
      </c>
      <c r="CO60" s="64">
        <v>1512441</v>
      </c>
      <c r="CP60" s="64">
        <v>1445020</v>
      </c>
      <c r="CQ60" s="64">
        <v>1209695</v>
      </c>
      <c r="CR60" s="14">
        <v>10986178</v>
      </c>
      <c r="CS60" s="7">
        <v>7979460</v>
      </c>
      <c r="CT60" s="7">
        <v>1519578</v>
      </c>
      <c r="CU60" s="7">
        <v>1274227</v>
      </c>
      <c r="CV60" s="7">
        <v>1332141</v>
      </c>
      <c r="CW60" s="14">
        <v>11118080.349000001</v>
      </c>
      <c r="CX60" s="7">
        <v>8027870.8610000005</v>
      </c>
      <c r="CY60" s="7">
        <v>1545788.84</v>
      </c>
      <c r="CZ60" s="7">
        <v>1317720.3120000002</v>
      </c>
      <c r="DA60" s="567">
        <f t="shared" si="537"/>
        <v>1544420.6480000007</v>
      </c>
      <c r="DB60" s="7">
        <v>11234085</v>
      </c>
      <c r="DC60" s="7">
        <v>8061215</v>
      </c>
      <c r="DD60" s="7">
        <v>1562098</v>
      </c>
      <c r="DE60" s="7">
        <v>1358427</v>
      </c>
      <c r="DF60" s="7">
        <v>1610772</v>
      </c>
      <c r="DG60" s="7">
        <v>11365266</v>
      </c>
      <c r="DH60" s="7">
        <v>7453651</v>
      </c>
      <c r="DI60" s="7">
        <v>1588460</v>
      </c>
      <c r="DJ60" s="7">
        <v>1404392</v>
      </c>
      <c r="DK60" s="7">
        <v>892516</v>
      </c>
      <c r="DL60" s="281" t="s">
        <v>186</v>
      </c>
      <c r="DM60" s="282" t="s">
        <v>186</v>
      </c>
      <c r="DN60" s="282" t="s">
        <v>186</v>
      </c>
      <c r="DO60" s="282" t="s">
        <v>186</v>
      </c>
      <c r="DP60" s="282" t="s">
        <v>186</v>
      </c>
      <c r="DQ60" s="14">
        <v>2621450</v>
      </c>
      <c r="DR60" s="7">
        <v>2058145</v>
      </c>
      <c r="DS60" s="7">
        <v>398977</v>
      </c>
      <c r="DT60" s="7">
        <v>214944</v>
      </c>
      <c r="DU60" s="7">
        <v>164328</v>
      </c>
      <c r="DV60" s="14">
        <v>3002232</v>
      </c>
      <c r="DW60" s="7">
        <v>2197137</v>
      </c>
      <c r="DX60" s="7">
        <v>475192</v>
      </c>
      <c r="DY60" s="7">
        <v>323856</v>
      </c>
      <c r="DZ60" s="7">
        <v>329903</v>
      </c>
      <c r="EA60" s="14">
        <v>3203816</v>
      </c>
      <c r="EB60" s="7">
        <v>2266326</v>
      </c>
      <c r="EC60" s="7">
        <v>553615</v>
      </c>
      <c r="ED60" s="7">
        <v>430291</v>
      </c>
      <c r="EE60" s="7">
        <v>383875</v>
      </c>
      <c r="EF60" s="14">
        <v>3234588.747</v>
      </c>
      <c r="EG60" s="7">
        <v>2274413.5810000002</v>
      </c>
      <c r="EH60" s="7">
        <v>558626.65999999992</v>
      </c>
      <c r="EI60" s="7">
        <v>447374.18</v>
      </c>
      <c r="EJ60" s="7">
        <v>401548.50599999982</v>
      </c>
      <c r="EK60" s="7">
        <v>3266374</v>
      </c>
      <c r="EL60" s="7">
        <v>2279678</v>
      </c>
      <c r="EM60" s="7">
        <v>565400</v>
      </c>
      <c r="EN60" s="7">
        <v>459741</v>
      </c>
      <c r="EO60" s="661">
        <v>421296</v>
      </c>
      <c r="EP60" s="661">
        <v>3299008</v>
      </c>
      <c r="EQ60" s="661">
        <v>2072639</v>
      </c>
      <c r="ER60" s="661">
        <v>573483</v>
      </c>
      <c r="ES60" s="661">
        <v>471584</v>
      </c>
      <c r="ET60" s="661">
        <v>439799</v>
      </c>
      <c r="EU60" s="14">
        <v>770268</v>
      </c>
      <c r="EV60" s="7">
        <v>620777</v>
      </c>
      <c r="EW60" s="7">
        <v>100055</v>
      </c>
      <c r="EX60" s="7">
        <v>53348</v>
      </c>
      <c r="EY60" s="7">
        <v>49436</v>
      </c>
      <c r="EZ60" s="14">
        <v>898828</v>
      </c>
      <c r="FA60" s="7">
        <v>680557</v>
      </c>
      <c r="FB60" s="7">
        <v>124679</v>
      </c>
      <c r="FC60" s="7">
        <v>78684</v>
      </c>
      <c r="FD60" s="7">
        <v>93592</v>
      </c>
      <c r="FE60" s="14">
        <v>1071501</v>
      </c>
      <c r="FF60" s="7">
        <v>787948</v>
      </c>
      <c r="FG60" s="7">
        <v>161900</v>
      </c>
      <c r="FH60" s="7">
        <v>119592</v>
      </c>
      <c r="FI60" s="7">
        <v>121653</v>
      </c>
      <c r="FJ60" s="14"/>
      <c r="FK60" s="7"/>
      <c r="FL60" s="7"/>
      <c r="FM60" s="7"/>
      <c r="FN60" s="12"/>
      <c r="FO60" s="7">
        <v>1098932</v>
      </c>
      <c r="FP60" s="7">
        <v>806419</v>
      </c>
      <c r="FQ60" s="7">
        <v>157729</v>
      </c>
      <c r="FR60" s="7">
        <v>129768</v>
      </c>
      <c r="FS60" s="7">
        <v>134784</v>
      </c>
      <c r="FT60" s="7">
        <v>1128760</v>
      </c>
      <c r="FU60" s="7">
        <v>755809</v>
      </c>
      <c r="FV60" s="7">
        <v>160904</v>
      </c>
      <c r="FW60" s="7">
        <v>134598</v>
      </c>
      <c r="FX60" s="7">
        <v>148522</v>
      </c>
      <c r="FY60" s="609">
        <f t="shared" si="592"/>
        <v>3504097</v>
      </c>
      <c r="FZ60" s="584">
        <f t="shared" si="593"/>
        <v>2934511</v>
      </c>
      <c r="GA60" s="584">
        <f t="shared" si="594"/>
        <v>311950</v>
      </c>
      <c r="GB60" s="584">
        <f t="shared" si="595"/>
        <v>166230</v>
      </c>
      <c r="GC60" s="584">
        <f t="shared" si="596"/>
        <v>257636</v>
      </c>
      <c r="GD60" s="609">
        <f t="shared" si="597"/>
        <v>4332040</v>
      </c>
      <c r="GE60" s="584">
        <f t="shared" si="598"/>
        <v>3402761</v>
      </c>
      <c r="GF60" s="584">
        <f t="shared" si="599"/>
        <v>407394</v>
      </c>
      <c r="GG60" s="584">
        <f t="shared" si="600"/>
        <v>265567</v>
      </c>
      <c r="GH60" s="584">
        <f t="shared" si="601"/>
        <v>521885</v>
      </c>
      <c r="GI60" s="14">
        <v>4292256</v>
      </c>
      <c r="GJ60" s="7">
        <v>3201977</v>
      </c>
      <c r="GK60" s="7">
        <v>462527</v>
      </c>
      <c r="GL60" s="7">
        <v>368969</v>
      </c>
      <c r="GM60" s="7">
        <v>627752</v>
      </c>
      <c r="GN60" s="605"/>
      <c r="GO60" s="9"/>
      <c r="GP60" s="9"/>
      <c r="GQ60" s="9"/>
      <c r="GR60" s="9"/>
      <c r="GS60" s="9">
        <v>5455007</v>
      </c>
      <c r="GT60" s="9">
        <v>4103782</v>
      </c>
      <c r="GU60" s="9">
        <v>557627</v>
      </c>
      <c r="GV60" s="9">
        <v>460177</v>
      </c>
      <c r="GW60" s="617">
        <v>793598</v>
      </c>
      <c r="GX60" s="9">
        <v>15229234</v>
      </c>
      <c r="GY60" s="9">
        <v>3933178</v>
      </c>
      <c r="GZ60" s="9">
        <v>574560</v>
      </c>
      <c r="HA60" s="9">
        <v>484967</v>
      </c>
      <c r="HB60" s="9">
        <v>430877</v>
      </c>
      <c r="HC60" s="14">
        <v>1561719</v>
      </c>
      <c r="HD60" s="7">
        <v>1302724</v>
      </c>
      <c r="HE60" s="7">
        <v>135719</v>
      </c>
      <c r="HF60" s="7">
        <v>68196</v>
      </c>
      <c r="HG60" s="7">
        <v>123276</v>
      </c>
      <c r="HH60" s="14">
        <v>1954242</v>
      </c>
      <c r="HI60" s="7">
        <v>1513361</v>
      </c>
      <c r="HJ60" s="7">
        <v>179782</v>
      </c>
      <c r="HK60" s="7">
        <v>113026</v>
      </c>
      <c r="HL60" s="7">
        <v>261099</v>
      </c>
      <c r="HM60" s="14">
        <v>2393968</v>
      </c>
      <c r="HN60" s="7">
        <v>1751253</v>
      </c>
      <c r="HO60" s="7">
        <v>251625</v>
      </c>
      <c r="HP60" s="7">
        <v>206466</v>
      </c>
      <c r="HQ60" s="7">
        <v>391090</v>
      </c>
      <c r="HR60" s="14">
        <v>2435763.1860000002</v>
      </c>
      <c r="HS60" s="7">
        <v>1779975.8460000001</v>
      </c>
      <c r="HT60" s="7">
        <v>256356.07</v>
      </c>
      <c r="HU60" s="7">
        <v>209452.45700000002</v>
      </c>
      <c r="HV60" s="7">
        <v>399431.27000000008</v>
      </c>
      <c r="HW60" s="7">
        <v>2536442</v>
      </c>
      <c r="HX60" s="7">
        <v>1728819</v>
      </c>
      <c r="HY60" s="7">
        <v>264895</v>
      </c>
      <c r="HZ60" s="7">
        <v>229592</v>
      </c>
      <c r="IA60" s="7">
        <v>426392</v>
      </c>
      <c r="IB60" s="281" t="s">
        <v>186</v>
      </c>
      <c r="IC60" s="282" t="s">
        <v>186</v>
      </c>
      <c r="ID60" s="14">
        <v>902100</v>
      </c>
      <c r="IE60" s="355">
        <f t="shared" si="548"/>
        <v>557843</v>
      </c>
      <c r="IF60" s="355">
        <f t="shared" si="549"/>
        <v>344257</v>
      </c>
      <c r="IG60" s="355">
        <f t="shared" si="550"/>
        <v>868995</v>
      </c>
      <c r="IH60" s="341">
        <v>540607</v>
      </c>
      <c r="II60" s="341">
        <v>328388</v>
      </c>
      <c r="IJ60" s="355">
        <f t="shared" si="551"/>
        <v>33105</v>
      </c>
      <c r="IK60" s="341">
        <v>17236</v>
      </c>
      <c r="IL60" s="341">
        <v>15869</v>
      </c>
      <c r="IM60" s="14">
        <v>1219088</v>
      </c>
      <c r="IN60" s="355">
        <f t="shared" si="552"/>
        <v>727600</v>
      </c>
      <c r="IO60" s="355">
        <f t="shared" si="553"/>
        <v>491488</v>
      </c>
      <c r="IP60" s="355">
        <f t="shared" si="554"/>
        <v>1168895</v>
      </c>
      <c r="IQ60" s="341">
        <v>702555</v>
      </c>
      <c r="IR60" s="341">
        <v>466340</v>
      </c>
      <c r="IS60" s="355">
        <f t="shared" si="555"/>
        <v>45698</v>
      </c>
      <c r="IT60" s="341">
        <v>22550</v>
      </c>
      <c r="IU60" s="341">
        <v>23148</v>
      </c>
      <c r="IV60" s="355">
        <f t="shared" si="556"/>
        <v>4495</v>
      </c>
      <c r="IW60" s="341">
        <v>2495</v>
      </c>
      <c r="IX60" s="341">
        <v>2000</v>
      </c>
      <c r="IY60" s="14">
        <v>1923547</v>
      </c>
      <c r="IZ60" s="355">
        <f t="shared" si="557"/>
        <v>1086569</v>
      </c>
      <c r="JA60" s="355">
        <f t="shared" si="558"/>
        <v>836978</v>
      </c>
      <c r="JB60" s="365">
        <f t="shared" si="559"/>
        <v>1678463</v>
      </c>
      <c r="JC60" s="341">
        <v>959057</v>
      </c>
      <c r="JD60" s="341">
        <v>719406</v>
      </c>
      <c r="JE60" s="341">
        <v>127512</v>
      </c>
      <c r="JF60" s="341">
        <v>117572</v>
      </c>
      <c r="JG60" s="365">
        <f t="shared" si="560"/>
        <v>108632</v>
      </c>
      <c r="JH60" s="341">
        <v>50731</v>
      </c>
      <c r="JI60" s="341">
        <v>57901</v>
      </c>
      <c r="JJ60" s="365">
        <f t="shared" si="561"/>
        <v>56488</v>
      </c>
      <c r="JK60" s="341">
        <v>30947</v>
      </c>
      <c r="JL60" s="341">
        <v>25541</v>
      </c>
      <c r="JM60" s="356">
        <f t="shared" si="562"/>
        <v>79964</v>
      </c>
      <c r="JN60" s="356">
        <f t="shared" si="563"/>
        <v>45834</v>
      </c>
      <c r="JO60" s="356">
        <f t="shared" si="564"/>
        <v>34130</v>
      </c>
      <c r="JP60" s="357">
        <f t="shared" si="565"/>
        <v>2237</v>
      </c>
      <c r="JQ60" s="357">
        <f t="shared" si="566"/>
        <v>1386</v>
      </c>
      <c r="JR60" s="357">
        <f t="shared" si="567"/>
        <v>851</v>
      </c>
      <c r="JS60" s="341">
        <v>77727</v>
      </c>
      <c r="JT60" s="341">
        <v>44448</v>
      </c>
      <c r="JU60" s="341">
        <v>33279</v>
      </c>
      <c r="JV60" s="16">
        <f t="shared" si="568"/>
        <v>2733829</v>
      </c>
      <c r="JW60" s="355">
        <f t="shared" si="569"/>
        <v>1431718</v>
      </c>
      <c r="JX60" s="355">
        <f t="shared" si="570"/>
        <v>1302111</v>
      </c>
      <c r="JY60" s="15">
        <f t="shared" si="571"/>
        <v>2313734</v>
      </c>
      <c r="JZ60" s="151">
        <f t="shared" si="572"/>
        <v>2247189</v>
      </c>
      <c r="KA60" s="341">
        <v>1197907</v>
      </c>
      <c r="KB60" s="341">
        <v>1049282</v>
      </c>
      <c r="KC60" s="341">
        <v>233811</v>
      </c>
      <c r="KD60" s="341">
        <v>252829</v>
      </c>
      <c r="KE60" s="15">
        <f t="shared" si="573"/>
        <v>211895</v>
      </c>
      <c r="KF60" s="151">
        <f t="shared" si="574"/>
        <v>199679</v>
      </c>
      <c r="KG60" s="341">
        <v>83552</v>
      </c>
      <c r="KH60" s="341">
        <v>116127</v>
      </c>
      <c r="KI60" s="15">
        <f t="shared" si="575"/>
        <v>112882</v>
      </c>
      <c r="KJ60" s="341">
        <v>55935</v>
      </c>
      <c r="KK60" s="341">
        <v>56947</v>
      </c>
      <c r="KL60" s="15">
        <f t="shared" si="576"/>
        <v>208200</v>
      </c>
      <c r="KM60" s="391">
        <f t="shared" si="577"/>
        <v>94324</v>
      </c>
      <c r="KN60" s="358">
        <f t="shared" si="578"/>
        <v>79755</v>
      </c>
      <c r="KO60" s="359">
        <f t="shared" si="579"/>
        <v>1838</v>
      </c>
      <c r="KP60" s="359">
        <f t="shared" si="580"/>
        <v>925</v>
      </c>
      <c r="KQ60" s="359">
        <f t="shared" si="581"/>
        <v>913</v>
      </c>
      <c r="KR60" s="360">
        <f t="shared" si="582"/>
        <v>172241</v>
      </c>
      <c r="KS60" s="360">
        <f t="shared" si="583"/>
        <v>93399</v>
      </c>
      <c r="KT60" s="360">
        <f t="shared" si="584"/>
        <v>78842</v>
      </c>
      <c r="KU60" s="341">
        <v>1891</v>
      </c>
      <c r="KV60" s="341">
        <v>2226</v>
      </c>
      <c r="KW60" s="341">
        <v>91508</v>
      </c>
      <c r="KX60" s="341">
        <v>76616</v>
      </c>
      <c r="KY60" s="361">
        <v>3433212</v>
      </c>
      <c r="KZ60" s="341">
        <v>1685798</v>
      </c>
      <c r="LA60" s="341">
        <v>1747414</v>
      </c>
      <c r="LB60" s="9">
        <f t="shared" si="585"/>
        <v>2722204</v>
      </c>
      <c r="LC60" s="9">
        <v>1361909</v>
      </c>
      <c r="LD60" s="9">
        <v>1360295</v>
      </c>
      <c r="LE60" s="140">
        <f t="shared" si="586"/>
        <v>2622785</v>
      </c>
      <c r="LF60" s="341">
        <v>1316187</v>
      </c>
      <c r="LG60" s="341">
        <v>1306598</v>
      </c>
      <c r="LH60" s="9">
        <f t="shared" si="587"/>
        <v>282715</v>
      </c>
      <c r="LI60" s="341">
        <v>112351</v>
      </c>
      <c r="LJ60" s="341">
        <v>170364</v>
      </c>
      <c r="LK60" s="9">
        <f t="shared" si="588"/>
        <v>186883</v>
      </c>
      <c r="LL60" s="341">
        <v>82522</v>
      </c>
      <c r="LM60" s="341">
        <v>104361</v>
      </c>
      <c r="LN60" s="140">
        <f t="shared" si="589"/>
        <v>428293</v>
      </c>
      <c r="LO60" s="140">
        <f t="shared" si="590"/>
        <v>211538</v>
      </c>
      <c r="LP60" s="140">
        <f t="shared" si="591"/>
        <v>216755</v>
      </c>
      <c r="LQ60" s="349">
        <v>4009270</v>
      </c>
      <c r="LR60" s="341">
        <v>3067120</v>
      </c>
      <c r="LS60" s="341">
        <v>358483</v>
      </c>
      <c r="LT60" s="341">
        <v>583667</v>
      </c>
      <c r="LU60" s="9">
        <v>277187</v>
      </c>
      <c r="LV60" s="361">
        <v>4109649</v>
      </c>
      <c r="LW60" s="7">
        <v>3145923</v>
      </c>
      <c r="LX60" s="7">
        <v>369093</v>
      </c>
      <c r="LY60" s="7">
        <v>594633</v>
      </c>
      <c r="LZ60" s="7">
        <v>289000</v>
      </c>
      <c r="MA60" s="361">
        <v>4228298</v>
      </c>
      <c r="MB60" s="7">
        <v>3249577</v>
      </c>
      <c r="MC60" s="7">
        <v>386231</v>
      </c>
      <c r="MD60" s="7">
        <v>592490</v>
      </c>
      <c r="ME60" s="7">
        <v>292714</v>
      </c>
      <c r="MF60" s="14">
        <v>4200035</v>
      </c>
      <c r="MG60" s="7">
        <v>3187956</v>
      </c>
      <c r="MH60" s="7">
        <v>386477</v>
      </c>
      <c r="MI60" s="7">
        <v>625602</v>
      </c>
      <c r="MJ60" s="7">
        <v>312803</v>
      </c>
      <c r="MK60" s="14">
        <v>4269133.3260000004</v>
      </c>
      <c r="ML60" s="7">
        <v>3236319.72</v>
      </c>
      <c r="MM60" s="7">
        <v>396012.73499999999</v>
      </c>
      <c r="MN60" s="7">
        <v>319262.48300000001</v>
      </c>
      <c r="MO60" s="7">
        <v>636800.87100000016</v>
      </c>
      <c r="MP60" s="7">
        <v>4356075</v>
      </c>
      <c r="MQ60" s="7">
        <v>3297363</v>
      </c>
      <c r="MR60" s="7">
        <v>399898</v>
      </c>
      <c r="MS60" s="7">
        <v>330409</v>
      </c>
      <c r="MT60" s="2">
        <v>658814</v>
      </c>
      <c r="MU60" s="2">
        <v>4467676</v>
      </c>
      <c r="MV60" s="2">
        <v>3177369</v>
      </c>
      <c r="MW60" s="2">
        <v>413656</v>
      </c>
      <c r="MX60" s="2">
        <v>350369</v>
      </c>
      <c r="MY60" s="2">
        <v>357998</v>
      </c>
      <c r="MZ60" s="14">
        <v>1172110</v>
      </c>
      <c r="NA60" s="7">
        <v>1011010</v>
      </c>
      <c r="NB60" s="7">
        <v>76176</v>
      </c>
      <c r="NC60" s="7">
        <v>44686</v>
      </c>
      <c r="ND60" s="7">
        <v>84924</v>
      </c>
      <c r="NE60" s="14">
        <v>1478970</v>
      </c>
      <c r="NF60" s="7">
        <v>1208843</v>
      </c>
      <c r="NG60" s="7">
        <v>102933</v>
      </c>
      <c r="NH60" s="7">
        <v>73857</v>
      </c>
      <c r="NI60" s="7">
        <v>167194</v>
      </c>
      <c r="NJ60" s="14">
        <v>1806067</v>
      </c>
      <c r="NK60" s="7">
        <v>1436703</v>
      </c>
      <c r="NL60" s="7">
        <v>134852</v>
      </c>
      <c r="NM60" s="7">
        <v>106337</v>
      </c>
      <c r="NN60" s="7">
        <v>234512</v>
      </c>
      <c r="NO60" s="14">
        <v>1833370.1400000001</v>
      </c>
      <c r="NP60" s="7">
        <v>1456343.8740000001</v>
      </c>
      <c r="NQ60" s="7">
        <v>139656.66499999998</v>
      </c>
      <c r="NR60" s="7">
        <v>109810.02600000001</v>
      </c>
      <c r="NS60" s="12">
        <v>237369.60100000008</v>
      </c>
      <c r="NT60" s="1">
        <v>1876289</v>
      </c>
      <c r="NU60" s="2">
        <v>1485303</v>
      </c>
      <c r="NV60" s="2">
        <v>141953</v>
      </c>
      <c r="NW60" s="2">
        <v>114774</v>
      </c>
      <c r="NX60" s="79">
        <v>249033</v>
      </c>
      <c r="NY60" s="2">
        <v>1931234</v>
      </c>
      <c r="NZ60" s="2">
        <v>1448550</v>
      </c>
      <c r="OA60" s="2">
        <v>148761</v>
      </c>
      <c r="OB60" s="2">
        <v>120777</v>
      </c>
      <c r="OC60" s="2">
        <v>261592</v>
      </c>
    </row>
    <row r="61" spans="1:393" ht="12.75" customHeight="1" x14ac:dyDescent="0.2">
      <c r="A61" s="241" t="s">
        <v>43</v>
      </c>
      <c r="B61" s="282" t="s">
        <v>186</v>
      </c>
      <c r="C61" s="282" t="s">
        <v>186</v>
      </c>
      <c r="D61" s="282" t="s">
        <v>186</v>
      </c>
      <c r="E61" s="282" t="s">
        <v>186</v>
      </c>
      <c r="F61" s="282" t="s">
        <v>186</v>
      </c>
      <c r="G61" s="14">
        <v>741167</v>
      </c>
      <c r="H61" s="7">
        <v>650161</v>
      </c>
      <c r="I61" s="7">
        <v>64272</v>
      </c>
      <c r="J61" s="7">
        <v>25274</v>
      </c>
      <c r="K61" s="7">
        <v>26734</v>
      </c>
      <c r="L61" s="14">
        <v>452069</v>
      </c>
      <c r="M61" s="7">
        <v>369595</v>
      </c>
      <c r="N61" s="7">
        <v>40132</v>
      </c>
      <c r="O61" s="7">
        <v>37353</v>
      </c>
      <c r="P61" s="7">
        <v>42342</v>
      </c>
      <c r="Q61" s="605">
        <v>337073</v>
      </c>
      <c r="R61" s="9">
        <v>253837</v>
      </c>
      <c r="S61" s="9">
        <v>32361</v>
      </c>
      <c r="T61" s="9">
        <v>59888</v>
      </c>
      <c r="U61" s="9">
        <v>50875</v>
      </c>
      <c r="V61" s="9">
        <v>319189</v>
      </c>
      <c r="W61" s="9">
        <v>232102</v>
      </c>
      <c r="X61" s="9">
        <v>31137</v>
      </c>
      <c r="Y61" s="9">
        <v>61446</v>
      </c>
      <c r="Z61" s="9">
        <v>55861</v>
      </c>
      <c r="AA61" s="9">
        <v>315630</v>
      </c>
      <c r="AB61" s="9">
        <v>196714</v>
      </c>
      <c r="AC61" s="9">
        <v>30122</v>
      </c>
      <c r="AD61" s="9">
        <v>61206</v>
      </c>
      <c r="AE61" s="726">
        <v>57447</v>
      </c>
      <c r="AF61" s="14">
        <v>1253111</v>
      </c>
      <c r="AG61" s="7">
        <v>1059225</v>
      </c>
      <c r="AH61" s="7">
        <v>169968</v>
      </c>
      <c r="AI61" s="7">
        <v>25290</v>
      </c>
      <c r="AJ61" s="7">
        <v>23918</v>
      </c>
      <c r="AK61" s="14">
        <v>1044036</v>
      </c>
      <c r="AL61" s="7">
        <v>833641</v>
      </c>
      <c r="AM61" s="7">
        <v>160494</v>
      </c>
      <c r="AN61" s="7">
        <v>44975</v>
      </c>
      <c r="AO61" s="7">
        <v>49901</v>
      </c>
      <c r="AP61" s="14">
        <v>703766</v>
      </c>
      <c r="AQ61" s="7">
        <v>540424</v>
      </c>
      <c r="AR61" s="7">
        <v>109877</v>
      </c>
      <c r="AS61" s="7">
        <v>58110</v>
      </c>
      <c r="AT61" s="7">
        <v>53465</v>
      </c>
      <c r="AU61" s="7">
        <v>669882</v>
      </c>
      <c r="AV61" s="7">
        <v>504199</v>
      </c>
      <c r="AW61" s="7">
        <v>111268</v>
      </c>
      <c r="AX61" s="7">
        <v>63649</v>
      </c>
      <c r="AY61" s="7">
        <v>54052</v>
      </c>
      <c r="AZ61" s="7">
        <v>657606</v>
      </c>
      <c r="BA61" s="7">
        <v>462930</v>
      </c>
      <c r="BB61" s="7">
        <v>107014</v>
      </c>
      <c r="BC61" s="7">
        <v>66733</v>
      </c>
      <c r="BD61" s="63">
        <v>56137</v>
      </c>
      <c r="BE61" s="14">
        <v>1013512</v>
      </c>
      <c r="BF61" s="7">
        <v>761506</v>
      </c>
      <c r="BG61" s="7">
        <v>143313</v>
      </c>
      <c r="BH61" s="7">
        <v>122590</v>
      </c>
      <c r="BI61" s="313">
        <f t="shared" si="536"/>
        <v>108693</v>
      </c>
      <c r="BJ61" s="281" t="s">
        <v>186</v>
      </c>
      <c r="BK61" s="282" t="s">
        <v>186</v>
      </c>
      <c r="BL61" s="282" t="s">
        <v>186</v>
      </c>
      <c r="BM61" s="282" t="s">
        <v>186</v>
      </c>
      <c r="BN61" s="281" t="s">
        <v>186</v>
      </c>
      <c r="BO61" s="282" t="s">
        <v>186</v>
      </c>
      <c r="BP61" s="282" t="s">
        <v>186</v>
      </c>
      <c r="BQ61" s="282" t="s">
        <v>186</v>
      </c>
      <c r="BR61" s="282" t="s">
        <v>186</v>
      </c>
      <c r="BS61" s="14">
        <v>5878654</v>
      </c>
      <c r="BT61" s="7">
        <v>5384435</v>
      </c>
      <c r="BU61" s="7">
        <v>407861</v>
      </c>
      <c r="BV61" s="7">
        <v>55159</v>
      </c>
      <c r="BW61" s="7">
        <v>86358</v>
      </c>
      <c r="BX61" s="14">
        <v>6770179</v>
      </c>
      <c r="BY61" s="7">
        <v>6048662</v>
      </c>
      <c r="BZ61" s="7">
        <v>511896</v>
      </c>
      <c r="CA61" s="7">
        <v>108578</v>
      </c>
      <c r="CB61" s="7">
        <v>209621</v>
      </c>
      <c r="CC61" s="214">
        <v>7257181</v>
      </c>
      <c r="CD61" s="7">
        <v>6363826</v>
      </c>
      <c r="CE61" s="7">
        <v>603509</v>
      </c>
      <c r="CF61" s="7">
        <v>289846</v>
      </c>
      <c r="CG61" s="7">
        <v>175504</v>
      </c>
      <c r="CH61" s="14">
        <v>7329388</v>
      </c>
      <c r="CI61" s="7">
        <v>6415974</v>
      </c>
      <c r="CJ61" s="7">
        <v>617903</v>
      </c>
      <c r="CK61" s="7">
        <v>295511</v>
      </c>
      <c r="CL61" s="7">
        <v>185648</v>
      </c>
      <c r="CM61" s="14">
        <v>7479483</v>
      </c>
      <c r="CN61" s="64">
        <v>6542287</v>
      </c>
      <c r="CO61" s="64">
        <v>638248</v>
      </c>
      <c r="CP61" s="64">
        <v>298948</v>
      </c>
      <c r="CQ61" s="64">
        <v>200517</v>
      </c>
      <c r="CR61" s="14">
        <v>7563268</v>
      </c>
      <c r="CS61" s="7">
        <v>6570871</v>
      </c>
      <c r="CT61" s="7">
        <v>667056</v>
      </c>
      <c r="CU61" s="7">
        <v>227694</v>
      </c>
      <c r="CV61" s="7">
        <v>263677</v>
      </c>
      <c r="CW61" s="14">
        <v>7657642.9279999994</v>
      </c>
      <c r="CX61" s="7">
        <v>6639152.8680000007</v>
      </c>
      <c r="CY61" s="7">
        <v>680325.81400000001</v>
      </c>
      <c r="CZ61" s="7">
        <v>242260.4</v>
      </c>
      <c r="DA61" s="567">
        <f t="shared" si="537"/>
        <v>338164.24599999865</v>
      </c>
      <c r="DB61" s="7">
        <v>7719911</v>
      </c>
      <c r="DC61" s="7">
        <v>6674420</v>
      </c>
      <c r="DD61" s="7">
        <v>692370</v>
      </c>
      <c r="DE61" s="7">
        <v>257045</v>
      </c>
      <c r="DF61" s="7">
        <v>351571</v>
      </c>
      <c r="DG61" s="7">
        <v>7790896</v>
      </c>
      <c r="DH61" s="7">
        <v>6551086</v>
      </c>
      <c r="DI61" s="7">
        <v>708260</v>
      </c>
      <c r="DJ61" s="7">
        <v>273076</v>
      </c>
      <c r="DK61" s="7">
        <v>219909</v>
      </c>
      <c r="DL61" s="281" t="s">
        <v>186</v>
      </c>
      <c r="DM61" s="282" t="s">
        <v>186</v>
      </c>
      <c r="DN61" s="282" t="s">
        <v>186</v>
      </c>
      <c r="DO61" s="282" t="s">
        <v>186</v>
      </c>
      <c r="DP61" s="282" t="s">
        <v>186</v>
      </c>
      <c r="DQ61" s="14">
        <v>1430828</v>
      </c>
      <c r="DR61" s="7">
        <v>1284555</v>
      </c>
      <c r="DS61" s="7">
        <v>126761</v>
      </c>
      <c r="DT61" s="7">
        <v>16297</v>
      </c>
      <c r="DU61" s="7">
        <v>19512</v>
      </c>
      <c r="DV61" s="14">
        <v>1772535</v>
      </c>
      <c r="DW61" s="7">
        <v>1543822</v>
      </c>
      <c r="DX61" s="7">
        <v>175659</v>
      </c>
      <c r="DY61" s="7">
        <v>34118</v>
      </c>
      <c r="DZ61" s="7">
        <v>53054</v>
      </c>
      <c r="EA61" s="14">
        <v>2048500</v>
      </c>
      <c r="EB61" s="7">
        <v>1738316</v>
      </c>
      <c r="EC61" s="7">
        <v>231875</v>
      </c>
      <c r="ED61" s="7">
        <v>71571</v>
      </c>
      <c r="EE61" s="7">
        <v>78309</v>
      </c>
      <c r="EF61" s="14">
        <v>2078998.0799999998</v>
      </c>
      <c r="EG61" s="7">
        <v>1759597.3080000002</v>
      </c>
      <c r="EH61" s="7">
        <v>238855.31</v>
      </c>
      <c r="EI61" s="7">
        <v>78077.899999999994</v>
      </c>
      <c r="EJ61" s="7">
        <v>80545.46199999965</v>
      </c>
      <c r="EK61" s="7">
        <v>2099060</v>
      </c>
      <c r="EL61" s="7">
        <v>1766659</v>
      </c>
      <c r="EM61" s="7">
        <v>245186</v>
      </c>
      <c r="EN61" s="7">
        <v>84112</v>
      </c>
      <c r="EO61" s="661">
        <v>86444</v>
      </c>
      <c r="EP61" s="661">
        <v>2116594</v>
      </c>
      <c r="EQ61" s="661">
        <v>1723271</v>
      </c>
      <c r="ER61" s="661">
        <v>251803</v>
      </c>
      <c r="ES61" s="661">
        <v>87380</v>
      </c>
      <c r="ET61" s="661">
        <v>90947</v>
      </c>
      <c r="EU61" s="14">
        <v>412931</v>
      </c>
      <c r="EV61" s="7">
        <v>377828</v>
      </c>
      <c r="EW61" s="7">
        <v>29044</v>
      </c>
      <c r="EX61" s="7">
        <v>3956</v>
      </c>
      <c r="EY61" s="7">
        <v>6059</v>
      </c>
      <c r="EZ61" s="14">
        <v>487804</v>
      </c>
      <c r="FA61" s="7">
        <v>434445</v>
      </c>
      <c r="FB61" s="7">
        <v>39642</v>
      </c>
      <c r="FC61" s="7">
        <v>7753</v>
      </c>
      <c r="FD61" s="7">
        <v>13717</v>
      </c>
      <c r="FE61" s="14">
        <v>629749</v>
      </c>
      <c r="FF61" s="7">
        <v>553319</v>
      </c>
      <c r="FG61" s="7">
        <v>54299</v>
      </c>
      <c r="FH61" s="7">
        <v>16847</v>
      </c>
      <c r="FI61" s="7">
        <v>22131</v>
      </c>
      <c r="FJ61" s="14"/>
      <c r="FK61" s="7"/>
      <c r="FL61" s="7"/>
      <c r="FM61" s="7"/>
      <c r="FN61" s="12"/>
      <c r="FO61" s="7">
        <v>662053</v>
      </c>
      <c r="FP61" s="7">
        <v>581781</v>
      </c>
      <c r="FQ61" s="7">
        <v>57205</v>
      </c>
      <c r="FR61" s="7">
        <v>20101</v>
      </c>
      <c r="FS61" s="7">
        <v>22954</v>
      </c>
      <c r="FT61" s="7">
        <v>679921</v>
      </c>
      <c r="FU61" s="7">
        <v>583465</v>
      </c>
      <c r="FV61" s="7">
        <v>59684</v>
      </c>
      <c r="FW61" s="7">
        <v>19898</v>
      </c>
      <c r="FX61" s="7">
        <v>24915</v>
      </c>
      <c r="FY61" s="609">
        <f t="shared" si="592"/>
        <v>1825677</v>
      </c>
      <c r="FZ61" s="584">
        <f t="shared" si="593"/>
        <v>1688290</v>
      </c>
      <c r="GA61" s="584">
        <f t="shared" si="594"/>
        <v>93102</v>
      </c>
      <c r="GB61" s="584">
        <f t="shared" si="595"/>
        <v>16413</v>
      </c>
      <c r="GC61" s="584">
        <f t="shared" si="596"/>
        <v>44285</v>
      </c>
      <c r="GD61" s="609">
        <f t="shared" si="597"/>
        <v>2335435</v>
      </c>
      <c r="GE61" s="584">
        <f t="shared" si="598"/>
        <v>2109537</v>
      </c>
      <c r="GF61" s="584">
        <f t="shared" si="599"/>
        <v>124804</v>
      </c>
      <c r="GG61" s="584">
        <f t="shared" si="600"/>
        <v>30675</v>
      </c>
      <c r="GH61" s="584">
        <f t="shared" si="601"/>
        <v>101094</v>
      </c>
      <c r="GI61" s="14">
        <v>2486175</v>
      </c>
      <c r="GJ61" s="7">
        <v>2202351</v>
      </c>
      <c r="GK61" s="7">
        <v>147411</v>
      </c>
      <c r="GL61" s="7">
        <v>54318</v>
      </c>
      <c r="GM61" s="7">
        <v>136413</v>
      </c>
      <c r="GN61" s="605"/>
      <c r="GO61" s="9"/>
      <c r="GP61" s="9"/>
      <c r="GQ61" s="9"/>
      <c r="GR61" s="9"/>
      <c r="GS61" s="9">
        <v>3043251</v>
      </c>
      <c r="GT61" s="9">
        <v>2678831</v>
      </c>
      <c r="GU61" s="9">
        <v>183418</v>
      </c>
      <c r="GV61" s="9">
        <v>71100</v>
      </c>
      <c r="GW61" s="617">
        <v>180603</v>
      </c>
      <c r="GX61" s="9">
        <v>9360586</v>
      </c>
      <c r="GY61" s="9">
        <v>2684429</v>
      </c>
      <c r="GZ61" s="9">
        <v>194951</v>
      </c>
      <c r="HA61" s="9">
        <v>76821</v>
      </c>
      <c r="HB61" s="9">
        <v>108956</v>
      </c>
      <c r="HC61" s="14">
        <v>890660</v>
      </c>
      <c r="HD61" s="7">
        <v>830823</v>
      </c>
      <c r="HE61" s="7">
        <v>41541</v>
      </c>
      <c r="HF61" s="7">
        <v>7018</v>
      </c>
      <c r="HG61" s="7">
        <v>18296</v>
      </c>
      <c r="HH61" s="14">
        <v>1153383</v>
      </c>
      <c r="HI61" s="7">
        <v>1055399</v>
      </c>
      <c r="HJ61" s="7">
        <v>54596</v>
      </c>
      <c r="HK61" s="7">
        <v>13106</v>
      </c>
      <c r="HL61" s="7">
        <v>43388</v>
      </c>
      <c r="HM61" s="14">
        <v>1415386</v>
      </c>
      <c r="HN61" s="7">
        <v>1264594</v>
      </c>
      <c r="HO61" s="7">
        <v>75172</v>
      </c>
      <c r="HP61" s="7">
        <v>28889</v>
      </c>
      <c r="HQ61" s="7">
        <v>75620</v>
      </c>
      <c r="HR61" s="14">
        <v>1429311.1800000002</v>
      </c>
      <c r="HS61" s="7">
        <v>1279035.0180000002</v>
      </c>
      <c r="HT61" s="7">
        <v>77422.066000000006</v>
      </c>
      <c r="HU61" s="7">
        <v>29917.699999999997</v>
      </c>
      <c r="HV61" s="7">
        <v>72854.096000000005</v>
      </c>
      <c r="HW61" s="7">
        <v>1492526</v>
      </c>
      <c r="HX61" s="7">
        <v>1297060</v>
      </c>
      <c r="HY61" s="7">
        <v>86243</v>
      </c>
      <c r="HZ61" s="7">
        <v>35095</v>
      </c>
      <c r="IA61" s="7">
        <v>85467</v>
      </c>
      <c r="IB61" s="281" t="s">
        <v>186</v>
      </c>
      <c r="IC61" s="282" t="s">
        <v>186</v>
      </c>
      <c r="ID61" s="14">
        <v>424865</v>
      </c>
      <c r="IE61" s="355">
        <f t="shared" si="548"/>
        <v>271235</v>
      </c>
      <c r="IF61" s="355">
        <f t="shared" si="549"/>
        <v>153630</v>
      </c>
      <c r="IG61" s="355">
        <f t="shared" si="550"/>
        <v>412222</v>
      </c>
      <c r="IH61" s="341">
        <v>264594</v>
      </c>
      <c r="II61" s="341">
        <v>147628</v>
      </c>
      <c r="IJ61" s="355">
        <f t="shared" si="551"/>
        <v>12643</v>
      </c>
      <c r="IK61" s="341">
        <v>6641</v>
      </c>
      <c r="IL61" s="341">
        <v>6002</v>
      </c>
      <c r="IM61" s="14">
        <v>580375</v>
      </c>
      <c r="IN61" s="355">
        <f t="shared" si="552"/>
        <v>359527</v>
      </c>
      <c r="IO61" s="355">
        <f t="shared" si="553"/>
        <v>220848</v>
      </c>
      <c r="IP61" s="355">
        <f t="shared" si="554"/>
        <v>562575</v>
      </c>
      <c r="IQ61" s="341">
        <v>351046</v>
      </c>
      <c r="IR61" s="341">
        <v>211529</v>
      </c>
      <c r="IS61" s="355">
        <f t="shared" si="555"/>
        <v>17421</v>
      </c>
      <c r="IT61" s="341">
        <v>8256</v>
      </c>
      <c r="IU61" s="341">
        <v>9165</v>
      </c>
      <c r="IV61" s="355">
        <f t="shared" si="556"/>
        <v>379</v>
      </c>
      <c r="IW61" s="341">
        <v>225</v>
      </c>
      <c r="IX61" s="341">
        <v>154</v>
      </c>
      <c r="IY61" s="14">
        <v>981416</v>
      </c>
      <c r="IZ61" s="355">
        <f t="shared" si="557"/>
        <v>582062</v>
      </c>
      <c r="JA61" s="355">
        <f t="shared" si="558"/>
        <v>399354</v>
      </c>
      <c r="JB61" s="365">
        <f t="shared" si="559"/>
        <v>920052</v>
      </c>
      <c r="JC61" s="341">
        <v>549678</v>
      </c>
      <c r="JD61" s="341">
        <v>370374</v>
      </c>
      <c r="JE61" s="341">
        <v>32384</v>
      </c>
      <c r="JF61" s="341">
        <v>28980</v>
      </c>
      <c r="JG61" s="365">
        <f t="shared" si="560"/>
        <v>36037</v>
      </c>
      <c r="JH61" s="341">
        <v>17246</v>
      </c>
      <c r="JI61" s="341">
        <v>18791</v>
      </c>
      <c r="JJ61" s="365">
        <f t="shared" si="561"/>
        <v>7346</v>
      </c>
      <c r="JK61" s="341">
        <v>4430</v>
      </c>
      <c r="JL61" s="341">
        <v>2916</v>
      </c>
      <c r="JM61" s="356">
        <f t="shared" si="562"/>
        <v>17981</v>
      </c>
      <c r="JN61" s="356">
        <f t="shared" si="563"/>
        <v>10708</v>
      </c>
      <c r="JO61" s="356">
        <f t="shared" si="564"/>
        <v>7273</v>
      </c>
      <c r="JP61" s="357">
        <f t="shared" si="565"/>
        <v>525</v>
      </c>
      <c r="JQ61" s="357">
        <f t="shared" si="566"/>
        <v>314</v>
      </c>
      <c r="JR61" s="357">
        <f t="shared" si="567"/>
        <v>211</v>
      </c>
      <c r="JS61" s="341">
        <v>17456</v>
      </c>
      <c r="JT61" s="341">
        <v>10394</v>
      </c>
      <c r="JU61" s="341">
        <v>7062</v>
      </c>
      <c r="JV61" s="16">
        <f t="shared" si="568"/>
        <v>1412746</v>
      </c>
      <c r="JW61" s="355">
        <f t="shared" si="569"/>
        <v>768715</v>
      </c>
      <c r="JX61" s="355">
        <f t="shared" si="570"/>
        <v>644031</v>
      </c>
      <c r="JY61" s="15">
        <f t="shared" si="571"/>
        <v>1310462</v>
      </c>
      <c r="JZ61" s="151">
        <f t="shared" si="572"/>
        <v>1301673</v>
      </c>
      <c r="KA61" s="341">
        <v>714098</v>
      </c>
      <c r="KB61" s="341">
        <v>587575</v>
      </c>
      <c r="KC61" s="341">
        <v>54617</v>
      </c>
      <c r="KD61" s="341">
        <v>56456</v>
      </c>
      <c r="KE61" s="15">
        <f t="shared" si="573"/>
        <v>64058</v>
      </c>
      <c r="KF61" s="151">
        <f t="shared" si="574"/>
        <v>63540</v>
      </c>
      <c r="KG61" s="341">
        <v>27673</v>
      </c>
      <c r="KH61" s="341">
        <v>35867</v>
      </c>
      <c r="KI61" s="15">
        <f t="shared" si="575"/>
        <v>12457</v>
      </c>
      <c r="KJ61" s="341">
        <v>6716</v>
      </c>
      <c r="KK61" s="341">
        <v>5741</v>
      </c>
      <c r="KL61" s="15">
        <f t="shared" si="576"/>
        <v>38226</v>
      </c>
      <c r="KM61" s="391">
        <f t="shared" si="577"/>
        <v>20228</v>
      </c>
      <c r="KN61" s="358">
        <f t="shared" si="578"/>
        <v>14848</v>
      </c>
      <c r="KO61" s="359">
        <f t="shared" si="579"/>
        <v>470</v>
      </c>
      <c r="KP61" s="359">
        <f t="shared" si="580"/>
        <v>237</v>
      </c>
      <c r="KQ61" s="359">
        <f t="shared" si="581"/>
        <v>233</v>
      </c>
      <c r="KR61" s="360">
        <f t="shared" si="582"/>
        <v>34606</v>
      </c>
      <c r="KS61" s="360">
        <f t="shared" si="583"/>
        <v>19991</v>
      </c>
      <c r="KT61" s="360">
        <f t="shared" si="584"/>
        <v>14615</v>
      </c>
      <c r="KU61" s="341">
        <v>551</v>
      </c>
      <c r="KV61" s="341">
        <v>501</v>
      </c>
      <c r="KW61" s="341">
        <v>19440</v>
      </c>
      <c r="KX61" s="341">
        <v>14114</v>
      </c>
      <c r="KY61" s="361">
        <v>1847631</v>
      </c>
      <c r="KZ61" s="341">
        <v>943074</v>
      </c>
      <c r="LA61" s="341">
        <v>904557</v>
      </c>
      <c r="LB61" s="9">
        <f t="shared" si="585"/>
        <v>1675092</v>
      </c>
      <c r="LC61" s="9">
        <v>860992</v>
      </c>
      <c r="LD61" s="9">
        <v>814100</v>
      </c>
      <c r="LE61" s="140">
        <f t="shared" si="586"/>
        <v>1660683</v>
      </c>
      <c r="LF61" s="341">
        <v>854075</v>
      </c>
      <c r="LG61" s="341">
        <v>806608</v>
      </c>
      <c r="LH61" s="9">
        <f t="shared" si="587"/>
        <v>85162</v>
      </c>
      <c r="LI61" s="341">
        <v>35846</v>
      </c>
      <c r="LJ61" s="341">
        <v>49316</v>
      </c>
      <c r="LK61" s="9">
        <f t="shared" si="588"/>
        <v>22922</v>
      </c>
      <c r="LL61" s="341">
        <v>10949</v>
      </c>
      <c r="LM61" s="341">
        <v>11973</v>
      </c>
      <c r="LN61" s="140">
        <f t="shared" si="589"/>
        <v>87377</v>
      </c>
      <c r="LO61" s="140">
        <f t="shared" si="590"/>
        <v>46236</v>
      </c>
      <c r="LP61" s="140">
        <f t="shared" si="591"/>
        <v>41141</v>
      </c>
      <c r="LQ61" s="349">
        <v>2148875</v>
      </c>
      <c r="LR61" s="341">
        <v>1912691</v>
      </c>
      <c r="LS61" s="341">
        <v>109862</v>
      </c>
      <c r="LT61" s="341">
        <v>126322</v>
      </c>
      <c r="LU61" s="9">
        <v>35970</v>
      </c>
      <c r="LV61" s="361">
        <v>2190012</v>
      </c>
      <c r="LW61" s="7">
        <v>1945098</v>
      </c>
      <c r="LX61" s="7">
        <v>113955</v>
      </c>
      <c r="LY61" s="7">
        <v>130959</v>
      </c>
      <c r="LZ61" s="7">
        <v>38690</v>
      </c>
      <c r="MA61" s="361">
        <v>2251760</v>
      </c>
      <c r="MB61" s="7">
        <v>2005186</v>
      </c>
      <c r="MC61" s="7">
        <v>115961</v>
      </c>
      <c r="MD61" s="7">
        <v>130613</v>
      </c>
      <c r="ME61" s="7">
        <v>42035</v>
      </c>
      <c r="MF61" s="14">
        <v>2295019</v>
      </c>
      <c r="MG61" s="7">
        <v>2027781</v>
      </c>
      <c r="MH61" s="7">
        <v>120297</v>
      </c>
      <c r="MI61" s="7">
        <v>146941</v>
      </c>
      <c r="MJ61" s="7">
        <v>47033</v>
      </c>
      <c r="MK61" s="14">
        <v>2330210.3480000002</v>
      </c>
      <c r="ML61" s="7">
        <v>2062721.2140000002</v>
      </c>
      <c r="MM61" s="7">
        <v>121898.57200000001</v>
      </c>
      <c r="MN61" s="7">
        <v>48525.049999999996</v>
      </c>
      <c r="MO61" s="7">
        <v>145590.56200000006</v>
      </c>
      <c r="MP61" s="7">
        <v>2381198</v>
      </c>
      <c r="MQ61" s="7">
        <v>2097050</v>
      </c>
      <c r="MR61" s="7">
        <v>126213</v>
      </c>
      <c r="MS61" s="7">
        <v>50999</v>
      </c>
      <c r="MT61" s="2">
        <v>157649</v>
      </c>
      <c r="MU61" s="2">
        <v>2444071</v>
      </c>
      <c r="MV61" s="2">
        <v>2100964</v>
      </c>
      <c r="MW61" s="2">
        <v>135267</v>
      </c>
      <c r="MX61" s="2">
        <v>56923</v>
      </c>
      <c r="MY61" s="2">
        <v>94315</v>
      </c>
      <c r="MZ61" s="14">
        <v>522086</v>
      </c>
      <c r="NA61" s="7">
        <v>479639</v>
      </c>
      <c r="NB61" s="7">
        <v>22517</v>
      </c>
      <c r="NC61" s="7">
        <v>5439</v>
      </c>
      <c r="ND61" s="7">
        <v>19930</v>
      </c>
      <c r="NE61" s="14">
        <v>694248</v>
      </c>
      <c r="NF61" s="7">
        <v>619693</v>
      </c>
      <c r="NG61" s="7">
        <v>30566</v>
      </c>
      <c r="NH61" s="7">
        <v>9816</v>
      </c>
      <c r="NI61" s="7">
        <v>43989</v>
      </c>
      <c r="NJ61" s="14">
        <v>879633</v>
      </c>
      <c r="NK61" s="7">
        <v>763187</v>
      </c>
      <c r="NL61" s="7">
        <v>45125</v>
      </c>
      <c r="NM61" s="7">
        <v>18144</v>
      </c>
      <c r="NN61" s="7">
        <v>71321</v>
      </c>
      <c r="NO61" s="14">
        <v>900899.16800000006</v>
      </c>
      <c r="NP61" s="7">
        <v>783686.196</v>
      </c>
      <c r="NQ61" s="7">
        <v>44476.506000000008</v>
      </c>
      <c r="NR61" s="7">
        <v>18607.349999999999</v>
      </c>
      <c r="NS61" s="12">
        <v>72736.466000000059</v>
      </c>
      <c r="NT61" s="1">
        <v>921968</v>
      </c>
      <c r="NU61" s="2">
        <v>797256</v>
      </c>
      <c r="NV61" s="2">
        <v>46802</v>
      </c>
      <c r="NW61" s="2">
        <v>19311</v>
      </c>
      <c r="NX61" s="79">
        <v>77851</v>
      </c>
      <c r="NY61" s="2">
        <v>951545</v>
      </c>
      <c r="NZ61" s="2">
        <v>803904</v>
      </c>
      <c r="OA61" s="2">
        <v>49024</v>
      </c>
      <c r="OB61" s="2">
        <v>21828</v>
      </c>
      <c r="OC61" s="2">
        <v>82086</v>
      </c>
    </row>
    <row r="62" spans="1:393" ht="12.75" customHeight="1" x14ac:dyDescent="0.2">
      <c r="A62" s="241" t="s">
        <v>44</v>
      </c>
      <c r="B62" s="282" t="s">
        <v>186</v>
      </c>
      <c r="C62" s="282" t="s">
        <v>186</v>
      </c>
      <c r="D62" s="282" t="s">
        <v>186</v>
      </c>
      <c r="E62" s="282" t="s">
        <v>186</v>
      </c>
      <c r="F62" s="282" t="s">
        <v>186</v>
      </c>
      <c r="G62" s="14">
        <v>72842</v>
      </c>
      <c r="H62" s="7">
        <v>63998</v>
      </c>
      <c r="I62" s="7">
        <v>2457</v>
      </c>
      <c r="J62" s="7">
        <v>6057</v>
      </c>
      <c r="K62" s="7">
        <v>6387</v>
      </c>
      <c r="L62" s="14">
        <v>56312</v>
      </c>
      <c r="M62" s="7">
        <v>42082</v>
      </c>
      <c r="N62" s="7">
        <v>2265</v>
      </c>
      <c r="O62" s="7">
        <v>10963</v>
      </c>
      <c r="P62" s="7">
        <v>11965</v>
      </c>
      <c r="Q62" s="605">
        <v>49131</v>
      </c>
      <c r="R62" s="9">
        <v>32790</v>
      </c>
      <c r="S62" s="9">
        <v>4599</v>
      </c>
      <c r="T62" s="9">
        <v>15269</v>
      </c>
      <c r="U62" s="9">
        <v>11742</v>
      </c>
      <c r="V62" s="9">
        <v>48116</v>
      </c>
      <c r="W62" s="9">
        <v>29885</v>
      </c>
      <c r="X62" s="9">
        <v>4577</v>
      </c>
      <c r="Y62" s="9">
        <v>17078</v>
      </c>
      <c r="Z62" s="9">
        <v>13654</v>
      </c>
      <c r="AA62" s="9">
        <v>44940</v>
      </c>
      <c r="AB62" s="9">
        <v>21761</v>
      </c>
      <c r="AC62" s="9">
        <v>4294</v>
      </c>
      <c r="AD62" s="9">
        <v>16074</v>
      </c>
      <c r="AE62" s="726">
        <v>13206</v>
      </c>
      <c r="AF62" s="14">
        <v>111502</v>
      </c>
      <c r="AG62" s="7">
        <v>102243</v>
      </c>
      <c r="AH62" s="7">
        <v>4378</v>
      </c>
      <c r="AI62" s="7">
        <v>5353</v>
      </c>
      <c r="AJ62" s="7">
        <v>4881</v>
      </c>
      <c r="AK62" s="14">
        <v>96774</v>
      </c>
      <c r="AL62" s="7">
        <v>80251</v>
      </c>
      <c r="AM62" s="7">
        <v>4810</v>
      </c>
      <c r="AN62" s="7">
        <v>10267</v>
      </c>
      <c r="AO62" s="7">
        <v>11713</v>
      </c>
      <c r="AP62" s="14">
        <v>63910</v>
      </c>
      <c r="AQ62" s="7">
        <v>51239</v>
      </c>
      <c r="AR62" s="7">
        <v>4141</v>
      </c>
      <c r="AS62" s="7">
        <v>11055</v>
      </c>
      <c r="AT62" s="7">
        <v>8530</v>
      </c>
      <c r="AU62" s="7">
        <v>59903</v>
      </c>
      <c r="AV62" s="7">
        <v>47443</v>
      </c>
      <c r="AW62" s="7">
        <v>4345</v>
      </c>
      <c r="AX62" s="7">
        <v>10096</v>
      </c>
      <c r="AY62" s="7">
        <v>8115</v>
      </c>
      <c r="AZ62" s="7">
        <v>57673</v>
      </c>
      <c r="BA62" s="7">
        <v>40452</v>
      </c>
      <c r="BB62" s="7">
        <v>4812</v>
      </c>
      <c r="BC62" s="7">
        <v>10111</v>
      </c>
      <c r="BD62" s="63">
        <v>7998</v>
      </c>
      <c r="BE62" s="14">
        <v>109957</v>
      </c>
      <c r="BF62" s="7">
        <v>80037</v>
      </c>
      <c r="BG62" s="7">
        <v>8236</v>
      </c>
      <c r="BH62" s="7">
        <v>26614</v>
      </c>
      <c r="BI62" s="313">
        <f t="shared" si="536"/>
        <v>21684</v>
      </c>
      <c r="BJ62" s="281" t="s">
        <v>186</v>
      </c>
      <c r="BK62" s="282" t="s">
        <v>186</v>
      </c>
      <c r="BL62" s="282" t="s">
        <v>186</v>
      </c>
      <c r="BM62" s="282" t="s">
        <v>186</v>
      </c>
      <c r="BN62" s="281" t="s">
        <v>186</v>
      </c>
      <c r="BO62" s="282" t="s">
        <v>186</v>
      </c>
      <c r="BP62" s="282" t="s">
        <v>186</v>
      </c>
      <c r="BQ62" s="282" t="s">
        <v>186</v>
      </c>
      <c r="BR62" s="282" t="s">
        <v>186</v>
      </c>
      <c r="BS62" s="14">
        <v>474612</v>
      </c>
      <c r="BT62" s="7">
        <v>449581</v>
      </c>
      <c r="BU62" s="7">
        <v>13207</v>
      </c>
      <c r="BV62" s="7">
        <v>10022</v>
      </c>
      <c r="BW62" s="7">
        <v>11824</v>
      </c>
      <c r="BX62" s="14">
        <v>541487</v>
      </c>
      <c r="BY62" s="7">
        <v>492690</v>
      </c>
      <c r="BZ62" s="7">
        <v>17283</v>
      </c>
      <c r="CA62" s="7">
        <v>21560</v>
      </c>
      <c r="CB62" s="7">
        <v>31514</v>
      </c>
      <c r="CC62" s="214">
        <v>588344</v>
      </c>
      <c r="CD62" s="7">
        <v>519743</v>
      </c>
      <c r="CE62" s="7">
        <v>24154</v>
      </c>
      <c r="CF62" s="7">
        <v>44447</v>
      </c>
      <c r="CG62" s="7">
        <v>36247</v>
      </c>
      <c r="CH62" s="14">
        <v>588200</v>
      </c>
      <c r="CI62" s="7">
        <v>519666</v>
      </c>
      <c r="CJ62" s="7">
        <v>24144</v>
      </c>
      <c r="CK62" s="7">
        <v>44390</v>
      </c>
      <c r="CL62" s="7">
        <v>37041</v>
      </c>
      <c r="CM62" s="14">
        <v>598629</v>
      </c>
      <c r="CN62" s="64">
        <v>528229</v>
      </c>
      <c r="CO62" s="64">
        <v>25067</v>
      </c>
      <c r="CP62" s="64">
        <v>45333</v>
      </c>
      <c r="CQ62" s="64">
        <v>39170</v>
      </c>
      <c r="CR62" s="14">
        <v>595609</v>
      </c>
      <c r="CS62" s="7">
        <v>523015</v>
      </c>
      <c r="CT62" s="7">
        <v>26021</v>
      </c>
      <c r="CU62" s="7">
        <v>38690</v>
      </c>
      <c r="CV62" s="7">
        <v>38448</v>
      </c>
      <c r="CW62" s="14">
        <v>600151.554</v>
      </c>
      <c r="CX62" s="7">
        <v>525700.24800000002</v>
      </c>
      <c r="CY62" s="7">
        <v>26369.01</v>
      </c>
      <c r="CZ62" s="7">
        <v>40659.629999999997</v>
      </c>
      <c r="DA62" s="567">
        <f t="shared" si="537"/>
        <v>48082.295999999988</v>
      </c>
      <c r="DB62" s="7">
        <v>602883</v>
      </c>
      <c r="DC62" s="7">
        <v>528328</v>
      </c>
      <c r="DD62" s="7">
        <v>27924</v>
      </c>
      <c r="DE62" s="7">
        <v>41858</v>
      </c>
      <c r="DF62" s="7">
        <v>46451</v>
      </c>
      <c r="DG62" s="7">
        <v>611912</v>
      </c>
      <c r="DH62" s="7">
        <v>512428</v>
      </c>
      <c r="DI62" s="7">
        <v>29343</v>
      </c>
      <c r="DJ62" s="7">
        <v>45242</v>
      </c>
      <c r="DK62" s="7">
        <v>28467</v>
      </c>
      <c r="DL62" s="281" t="s">
        <v>186</v>
      </c>
      <c r="DM62" s="282" t="s">
        <v>186</v>
      </c>
      <c r="DN62" s="282" t="s">
        <v>186</v>
      </c>
      <c r="DO62" s="282" t="s">
        <v>186</v>
      </c>
      <c r="DP62" s="282" t="s">
        <v>186</v>
      </c>
      <c r="DQ62" s="14">
        <v>140388</v>
      </c>
      <c r="DR62" s="7">
        <v>132358</v>
      </c>
      <c r="DS62" s="7">
        <v>4370</v>
      </c>
      <c r="DT62" s="7">
        <v>3262</v>
      </c>
      <c r="DU62" s="7">
        <v>3660</v>
      </c>
      <c r="DV62" s="14">
        <v>170756</v>
      </c>
      <c r="DW62" s="7">
        <v>154490</v>
      </c>
      <c r="DX62" s="7">
        <v>6205</v>
      </c>
      <c r="DY62" s="7">
        <v>7387</v>
      </c>
      <c r="DZ62" s="7">
        <v>10061</v>
      </c>
      <c r="EA62" s="14">
        <v>184085</v>
      </c>
      <c r="EB62" s="7">
        <v>159927</v>
      </c>
      <c r="EC62" s="7">
        <v>9160</v>
      </c>
      <c r="ED62" s="7">
        <v>14592</v>
      </c>
      <c r="EE62" s="7">
        <v>14998</v>
      </c>
      <c r="EF62" s="14">
        <v>188700.13400000002</v>
      </c>
      <c r="EG62" s="7">
        <v>162500.19200000001</v>
      </c>
      <c r="EH62" s="7">
        <v>10935.18</v>
      </c>
      <c r="EI62" s="7">
        <v>15591.791999999999</v>
      </c>
      <c r="EJ62" s="7">
        <v>15264.76200000001</v>
      </c>
      <c r="EK62" s="7">
        <v>189559</v>
      </c>
      <c r="EL62" s="7">
        <v>163084</v>
      </c>
      <c r="EM62" s="7">
        <v>12381</v>
      </c>
      <c r="EN62" s="7">
        <v>15107</v>
      </c>
      <c r="EO62" s="661">
        <v>14094</v>
      </c>
      <c r="EP62" s="661">
        <v>192272</v>
      </c>
      <c r="EQ62" s="661">
        <v>156933</v>
      </c>
      <c r="ER62" s="661">
        <v>12645</v>
      </c>
      <c r="ES62" s="661">
        <v>16409</v>
      </c>
      <c r="ET62" s="661">
        <v>15380</v>
      </c>
      <c r="EU62" s="14">
        <v>41296</v>
      </c>
      <c r="EV62" s="7">
        <v>39126</v>
      </c>
      <c r="EW62" s="7">
        <v>1172</v>
      </c>
      <c r="EX62" s="7">
        <v>889</v>
      </c>
      <c r="EY62" s="7">
        <v>998</v>
      </c>
      <c r="EZ62" s="14">
        <v>48495</v>
      </c>
      <c r="FA62" s="7">
        <v>44009</v>
      </c>
      <c r="FB62" s="7">
        <v>1688</v>
      </c>
      <c r="FC62" s="7">
        <v>1739</v>
      </c>
      <c r="FD62" s="7">
        <v>2798</v>
      </c>
      <c r="FE62" s="14">
        <v>55046</v>
      </c>
      <c r="FF62" s="7">
        <v>49055</v>
      </c>
      <c r="FG62" s="7">
        <v>2685</v>
      </c>
      <c r="FH62" s="7">
        <v>3018</v>
      </c>
      <c r="FI62" s="7">
        <v>3306</v>
      </c>
      <c r="FJ62" s="14"/>
      <c r="FK62" s="7"/>
      <c r="FL62" s="7"/>
      <c r="FM62" s="7"/>
      <c r="FN62" s="12"/>
      <c r="FO62" s="7">
        <v>58548</v>
      </c>
      <c r="FP62" s="7">
        <v>51653</v>
      </c>
      <c r="FQ62" s="7">
        <v>3445</v>
      </c>
      <c r="FR62" s="7">
        <v>3236</v>
      </c>
      <c r="FS62" s="7">
        <v>3450</v>
      </c>
      <c r="FT62" s="7">
        <v>60792</v>
      </c>
      <c r="FU62" s="7">
        <v>52015</v>
      </c>
      <c r="FV62" s="7">
        <v>3337</v>
      </c>
      <c r="FW62" s="7">
        <v>3650</v>
      </c>
      <c r="FX62" s="7">
        <v>3765</v>
      </c>
      <c r="FY62" s="609">
        <f t="shared" si="592"/>
        <v>181456</v>
      </c>
      <c r="FZ62" s="584">
        <f t="shared" si="593"/>
        <v>173396</v>
      </c>
      <c r="GA62" s="584">
        <f t="shared" si="594"/>
        <v>3709</v>
      </c>
      <c r="GB62" s="584">
        <f t="shared" si="595"/>
        <v>2804</v>
      </c>
      <c r="GC62" s="584">
        <f t="shared" si="596"/>
        <v>4351</v>
      </c>
      <c r="GD62" s="609">
        <f t="shared" si="597"/>
        <v>226312</v>
      </c>
      <c r="GE62" s="584">
        <f t="shared" si="598"/>
        <v>209074</v>
      </c>
      <c r="GF62" s="584">
        <f t="shared" si="599"/>
        <v>5754</v>
      </c>
      <c r="GG62" s="584">
        <f t="shared" si="600"/>
        <v>5412</v>
      </c>
      <c r="GH62" s="584">
        <f t="shared" si="601"/>
        <v>11484</v>
      </c>
      <c r="GI62" s="14">
        <v>226067</v>
      </c>
      <c r="GJ62" s="7">
        <v>203878</v>
      </c>
      <c r="GK62" s="7">
        <v>7990</v>
      </c>
      <c r="GL62" s="7">
        <v>9622</v>
      </c>
      <c r="GM62" s="7">
        <v>14199</v>
      </c>
      <c r="GN62" s="605"/>
      <c r="GO62" s="9"/>
      <c r="GP62" s="9"/>
      <c r="GQ62" s="9"/>
      <c r="GR62" s="9"/>
      <c r="GS62" s="9">
        <v>278974</v>
      </c>
      <c r="GT62" s="9">
        <v>251785</v>
      </c>
      <c r="GU62" s="9">
        <v>9661</v>
      </c>
      <c r="GV62" s="9">
        <v>10973</v>
      </c>
      <c r="GW62" s="617">
        <v>17505</v>
      </c>
      <c r="GX62" s="9">
        <v>806673</v>
      </c>
      <c r="GY62" s="9">
        <v>251414</v>
      </c>
      <c r="GZ62" s="9">
        <v>10342</v>
      </c>
      <c r="HA62" s="9">
        <v>12334</v>
      </c>
      <c r="HB62" s="9">
        <v>10966</v>
      </c>
      <c r="HC62" s="14">
        <v>88634</v>
      </c>
      <c r="HD62" s="7">
        <v>85174</v>
      </c>
      <c r="HE62" s="7">
        <v>1695</v>
      </c>
      <c r="HF62" s="7">
        <v>1194</v>
      </c>
      <c r="HG62" s="7">
        <v>1765</v>
      </c>
      <c r="HH62" s="14">
        <v>110175</v>
      </c>
      <c r="HI62" s="7">
        <v>102440</v>
      </c>
      <c r="HJ62" s="7">
        <v>2705</v>
      </c>
      <c r="HK62" s="7">
        <v>2131</v>
      </c>
      <c r="HL62" s="7">
        <v>5030</v>
      </c>
      <c r="HM62" s="14">
        <v>131268</v>
      </c>
      <c r="HN62" s="7">
        <v>118834</v>
      </c>
      <c r="HO62" s="7">
        <v>4349</v>
      </c>
      <c r="HP62" s="7">
        <v>5596</v>
      </c>
      <c r="HQ62" s="7">
        <v>8085</v>
      </c>
      <c r="HR62" s="14">
        <v>131948.21400000001</v>
      </c>
      <c r="HS62" s="7">
        <v>119449.76799999998</v>
      </c>
      <c r="HT62" s="7">
        <v>4117.9949999999999</v>
      </c>
      <c r="HU62" s="7">
        <v>5443.6860000000006</v>
      </c>
      <c r="HV62" s="7">
        <v>8380.4510000000264</v>
      </c>
      <c r="HW62" s="7">
        <v>137086</v>
      </c>
      <c r="HX62" s="7">
        <v>119910</v>
      </c>
      <c r="HY62" s="7">
        <v>4454</v>
      </c>
      <c r="HZ62" s="7">
        <v>6090</v>
      </c>
      <c r="IA62" s="7">
        <v>9165</v>
      </c>
      <c r="IB62" s="281" t="s">
        <v>186</v>
      </c>
      <c r="IC62" s="282" t="s">
        <v>186</v>
      </c>
      <c r="ID62" s="14">
        <v>32783</v>
      </c>
      <c r="IE62" s="355">
        <f t="shared" si="548"/>
        <v>20204</v>
      </c>
      <c r="IF62" s="355">
        <f t="shared" si="549"/>
        <v>12579</v>
      </c>
      <c r="IG62" s="355">
        <f t="shared" si="550"/>
        <v>32420</v>
      </c>
      <c r="IH62" s="341">
        <v>19966</v>
      </c>
      <c r="II62" s="341">
        <v>12454</v>
      </c>
      <c r="IJ62" s="355">
        <f t="shared" si="551"/>
        <v>363</v>
      </c>
      <c r="IK62" s="341">
        <v>238</v>
      </c>
      <c r="IL62" s="341">
        <v>125</v>
      </c>
      <c r="IM62" s="14">
        <v>49003</v>
      </c>
      <c r="IN62" s="355">
        <f t="shared" si="552"/>
        <v>30109</v>
      </c>
      <c r="IO62" s="355">
        <f t="shared" si="553"/>
        <v>18894</v>
      </c>
      <c r="IP62" s="355">
        <f t="shared" si="554"/>
        <v>48237</v>
      </c>
      <c r="IQ62" s="341">
        <v>29641</v>
      </c>
      <c r="IR62" s="341">
        <v>18596</v>
      </c>
      <c r="IS62" s="355">
        <f t="shared" si="555"/>
        <v>389</v>
      </c>
      <c r="IT62" s="341">
        <v>215</v>
      </c>
      <c r="IU62" s="341">
        <v>174</v>
      </c>
      <c r="IV62" s="355">
        <f t="shared" si="556"/>
        <v>377</v>
      </c>
      <c r="IW62" s="341">
        <v>253</v>
      </c>
      <c r="IX62" s="341">
        <v>124</v>
      </c>
      <c r="IY62" s="14">
        <v>88768</v>
      </c>
      <c r="IZ62" s="355">
        <f t="shared" si="557"/>
        <v>52274</v>
      </c>
      <c r="JA62" s="355">
        <f t="shared" si="558"/>
        <v>36494</v>
      </c>
      <c r="JB62" s="365">
        <f t="shared" si="559"/>
        <v>85876</v>
      </c>
      <c r="JC62" s="341">
        <v>50479</v>
      </c>
      <c r="JD62" s="341">
        <v>35397</v>
      </c>
      <c r="JE62" s="341">
        <v>1795</v>
      </c>
      <c r="JF62" s="341">
        <v>1097</v>
      </c>
      <c r="JG62" s="365">
        <f t="shared" si="560"/>
        <v>1044</v>
      </c>
      <c r="JH62" s="341">
        <v>580</v>
      </c>
      <c r="JI62" s="341">
        <v>464</v>
      </c>
      <c r="JJ62" s="365">
        <f t="shared" si="561"/>
        <v>667</v>
      </c>
      <c r="JK62" s="341">
        <v>471</v>
      </c>
      <c r="JL62" s="341">
        <v>196</v>
      </c>
      <c r="JM62" s="356">
        <f t="shared" si="562"/>
        <v>1181</v>
      </c>
      <c r="JN62" s="356">
        <f t="shared" si="563"/>
        <v>744</v>
      </c>
      <c r="JO62" s="356">
        <f t="shared" si="564"/>
        <v>437</v>
      </c>
      <c r="JP62" s="357">
        <f t="shared" si="565"/>
        <v>95</v>
      </c>
      <c r="JQ62" s="357">
        <f t="shared" si="566"/>
        <v>37</v>
      </c>
      <c r="JR62" s="357">
        <f t="shared" si="567"/>
        <v>58</v>
      </c>
      <c r="JS62" s="341">
        <v>1086</v>
      </c>
      <c r="JT62" s="341">
        <v>707</v>
      </c>
      <c r="JU62" s="341">
        <v>379</v>
      </c>
      <c r="JV62" s="16">
        <f t="shared" si="568"/>
        <v>140160</v>
      </c>
      <c r="JW62" s="355">
        <f t="shared" si="569"/>
        <v>76182</v>
      </c>
      <c r="JX62" s="355">
        <f t="shared" si="570"/>
        <v>63978</v>
      </c>
      <c r="JY62" s="15">
        <f t="shared" si="571"/>
        <v>134270</v>
      </c>
      <c r="JZ62" s="151">
        <f t="shared" si="572"/>
        <v>132893</v>
      </c>
      <c r="KA62" s="341">
        <v>72117</v>
      </c>
      <c r="KB62" s="341">
        <v>60776</v>
      </c>
      <c r="KC62" s="341">
        <v>4065</v>
      </c>
      <c r="KD62" s="341">
        <v>3202</v>
      </c>
      <c r="KE62" s="15">
        <f t="shared" si="573"/>
        <v>2537</v>
      </c>
      <c r="KF62" s="151">
        <f t="shared" si="574"/>
        <v>2442</v>
      </c>
      <c r="KG62" s="341">
        <v>1439</v>
      </c>
      <c r="KH62" s="341">
        <v>1003</v>
      </c>
      <c r="KI62" s="15">
        <f t="shared" si="575"/>
        <v>1915</v>
      </c>
      <c r="KJ62" s="341">
        <v>1006</v>
      </c>
      <c r="KK62" s="341">
        <v>909</v>
      </c>
      <c r="KL62" s="15">
        <f t="shared" si="576"/>
        <v>3353</v>
      </c>
      <c r="KM62" s="391">
        <f t="shared" si="577"/>
        <v>1620</v>
      </c>
      <c r="KN62" s="358">
        <f t="shared" si="578"/>
        <v>1290</v>
      </c>
      <c r="KO62" s="359">
        <f t="shared" si="579"/>
        <v>98</v>
      </c>
      <c r="KP62" s="359">
        <f t="shared" si="580"/>
        <v>63</v>
      </c>
      <c r="KQ62" s="359">
        <f t="shared" si="581"/>
        <v>35</v>
      </c>
      <c r="KR62" s="360">
        <f t="shared" si="582"/>
        <v>2812</v>
      </c>
      <c r="KS62" s="360">
        <f t="shared" si="583"/>
        <v>1557</v>
      </c>
      <c r="KT62" s="360">
        <f t="shared" si="584"/>
        <v>1255</v>
      </c>
      <c r="KU62" s="341">
        <v>96</v>
      </c>
      <c r="KV62" s="341">
        <v>88</v>
      </c>
      <c r="KW62" s="341">
        <v>1461</v>
      </c>
      <c r="KX62" s="341">
        <v>1167</v>
      </c>
      <c r="KY62" s="361">
        <v>177817</v>
      </c>
      <c r="KZ62" s="341">
        <v>89775</v>
      </c>
      <c r="LA62" s="341">
        <v>88042</v>
      </c>
      <c r="LB62" s="9">
        <f t="shared" si="585"/>
        <v>165065</v>
      </c>
      <c r="LC62" s="9">
        <v>83061</v>
      </c>
      <c r="LD62" s="9">
        <v>82004</v>
      </c>
      <c r="LE62" s="140">
        <f t="shared" si="586"/>
        <v>163274</v>
      </c>
      <c r="LF62" s="341">
        <v>82270</v>
      </c>
      <c r="LG62" s="341">
        <v>81004</v>
      </c>
      <c r="LH62" s="9">
        <f t="shared" si="587"/>
        <v>4066</v>
      </c>
      <c r="LI62" s="341">
        <v>2305</v>
      </c>
      <c r="LJ62" s="341">
        <v>1761</v>
      </c>
      <c r="LK62" s="9">
        <f t="shared" si="588"/>
        <v>3673</v>
      </c>
      <c r="LL62" s="341">
        <v>1734</v>
      </c>
      <c r="LM62" s="341">
        <v>1939</v>
      </c>
      <c r="LN62" s="140">
        <f t="shared" si="589"/>
        <v>8686</v>
      </c>
      <c r="LO62" s="140">
        <f t="shared" si="590"/>
        <v>4409</v>
      </c>
      <c r="LP62" s="140">
        <f t="shared" si="591"/>
        <v>4277</v>
      </c>
      <c r="LQ62" s="349">
        <v>209264</v>
      </c>
      <c r="LR62" s="341">
        <v>189244</v>
      </c>
      <c r="LS62" s="341">
        <v>6007</v>
      </c>
      <c r="LT62" s="341">
        <v>14013</v>
      </c>
      <c r="LU62" s="9">
        <v>8320</v>
      </c>
      <c r="LV62" s="361">
        <v>211070</v>
      </c>
      <c r="LW62" s="7">
        <v>192076</v>
      </c>
      <c r="LX62" s="7">
        <v>6063</v>
      </c>
      <c r="LY62" s="7">
        <v>12931</v>
      </c>
      <c r="LZ62" s="7">
        <v>7922</v>
      </c>
      <c r="MA62" s="361">
        <v>214728</v>
      </c>
      <c r="MB62" s="7">
        <v>194895</v>
      </c>
      <c r="MC62" s="7">
        <v>6408</v>
      </c>
      <c r="MD62" s="7">
        <v>13425</v>
      </c>
      <c r="ME62" s="7">
        <v>7904</v>
      </c>
      <c r="MF62" s="14">
        <v>215204</v>
      </c>
      <c r="MG62" s="7">
        <v>195026</v>
      </c>
      <c r="MH62" s="7">
        <v>6413</v>
      </c>
      <c r="MI62" s="7">
        <v>13765</v>
      </c>
      <c r="MJ62" s="7">
        <v>7546</v>
      </c>
      <c r="MK62" s="14">
        <v>218494.89199999999</v>
      </c>
      <c r="ML62" s="7">
        <v>198274.48799999998</v>
      </c>
      <c r="MM62" s="7">
        <v>6228.9</v>
      </c>
      <c r="MN62" s="7">
        <v>7527.0720000000001</v>
      </c>
      <c r="MO62" s="7">
        <v>13991.50400000001</v>
      </c>
      <c r="MP62" s="7">
        <v>220426</v>
      </c>
      <c r="MQ62" s="7">
        <v>200132</v>
      </c>
      <c r="MR62" s="7">
        <v>6216</v>
      </c>
      <c r="MS62" s="7">
        <v>7737</v>
      </c>
      <c r="MT62" s="2">
        <v>14055</v>
      </c>
      <c r="MU62" s="2">
        <v>227079</v>
      </c>
      <c r="MV62" s="2">
        <v>199399</v>
      </c>
      <c r="MW62" s="2">
        <v>7005</v>
      </c>
      <c r="MX62" s="2">
        <v>8684</v>
      </c>
      <c r="MY62" s="2">
        <v>9075</v>
      </c>
      <c r="MZ62" s="14">
        <v>51526</v>
      </c>
      <c r="NA62" s="7">
        <v>49096</v>
      </c>
      <c r="NB62" s="7">
        <v>842</v>
      </c>
      <c r="NC62" s="7">
        <v>721</v>
      </c>
      <c r="ND62" s="7">
        <v>1588</v>
      </c>
      <c r="NE62" s="14">
        <v>67642</v>
      </c>
      <c r="NF62" s="7">
        <v>62625</v>
      </c>
      <c r="NG62" s="7">
        <v>1361</v>
      </c>
      <c r="NH62" s="7">
        <v>1542</v>
      </c>
      <c r="NI62" s="7">
        <v>3656</v>
      </c>
      <c r="NJ62" s="14">
        <v>83936</v>
      </c>
      <c r="NK62" s="7">
        <v>76192</v>
      </c>
      <c r="NL62" s="7">
        <v>2064</v>
      </c>
      <c r="NM62" s="7">
        <v>1950</v>
      </c>
      <c r="NN62" s="7">
        <v>5680</v>
      </c>
      <c r="NO62" s="14">
        <v>86546.678</v>
      </c>
      <c r="NP62" s="7">
        <v>78824.72</v>
      </c>
      <c r="NQ62" s="7">
        <v>2110.9049999999997</v>
      </c>
      <c r="NR62" s="7">
        <v>2083.386</v>
      </c>
      <c r="NS62" s="12">
        <v>5611.052999999999</v>
      </c>
      <c r="NT62" s="1">
        <v>88450</v>
      </c>
      <c r="NU62" s="2">
        <v>80217</v>
      </c>
      <c r="NV62" s="2">
        <v>2052</v>
      </c>
      <c r="NW62" s="2">
        <v>2228</v>
      </c>
      <c r="NX62" s="79">
        <v>6158</v>
      </c>
      <c r="NY62" s="2">
        <v>89993</v>
      </c>
      <c r="NZ62" s="2">
        <v>79489</v>
      </c>
      <c r="OA62" s="2">
        <v>2551</v>
      </c>
      <c r="OB62" s="2">
        <v>2594</v>
      </c>
      <c r="OC62" s="2">
        <v>5849</v>
      </c>
    </row>
    <row r="63" spans="1:393" ht="12.75" customHeight="1" x14ac:dyDescent="0.2">
      <c r="A63" s="241" t="s">
        <v>47</v>
      </c>
      <c r="B63" s="282" t="s">
        <v>186</v>
      </c>
      <c r="C63" s="282" t="s">
        <v>186</v>
      </c>
      <c r="D63" s="282" t="s">
        <v>186</v>
      </c>
      <c r="E63" s="282" t="s">
        <v>186</v>
      </c>
      <c r="F63" s="282" t="s">
        <v>186</v>
      </c>
      <c r="G63" s="14">
        <v>30945</v>
      </c>
      <c r="H63" s="7">
        <v>30631</v>
      </c>
      <c r="I63" s="7">
        <v>36</v>
      </c>
      <c r="J63" s="7">
        <v>131</v>
      </c>
      <c r="K63" s="7">
        <v>278</v>
      </c>
      <c r="L63" s="14">
        <v>20769</v>
      </c>
      <c r="M63" s="7">
        <v>19878</v>
      </c>
      <c r="N63" s="7">
        <v>66</v>
      </c>
      <c r="O63" s="7">
        <v>144</v>
      </c>
      <c r="P63" s="7">
        <v>825</v>
      </c>
      <c r="Q63" s="605">
        <v>13447</v>
      </c>
      <c r="R63" s="9">
        <v>12330</v>
      </c>
      <c r="S63" s="9">
        <v>126</v>
      </c>
      <c r="T63" s="9">
        <v>269</v>
      </c>
      <c r="U63" s="9">
        <v>991</v>
      </c>
      <c r="V63" s="9">
        <v>12444</v>
      </c>
      <c r="W63" s="9">
        <v>11101</v>
      </c>
      <c r="X63" s="9">
        <v>157</v>
      </c>
      <c r="Y63" s="9">
        <v>242</v>
      </c>
      <c r="Z63" s="9">
        <v>1186</v>
      </c>
      <c r="AA63" s="9">
        <v>12828</v>
      </c>
      <c r="AB63" s="9">
        <v>11059</v>
      </c>
      <c r="AC63" s="9">
        <v>320</v>
      </c>
      <c r="AD63" s="9">
        <v>325</v>
      </c>
      <c r="AE63" s="483">
        <v>4725</v>
      </c>
      <c r="AF63" s="14">
        <v>37692</v>
      </c>
      <c r="AG63" s="7">
        <v>37261</v>
      </c>
      <c r="AH63" s="7">
        <v>96</v>
      </c>
      <c r="AI63" s="7">
        <v>157</v>
      </c>
      <c r="AJ63" s="7">
        <v>335</v>
      </c>
      <c r="AK63" s="14">
        <v>34127</v>
      </c>
      <c r="AL63" s="7">
        <v>33005</v>
      </c>
      <c r="AM63" s="7">
        <v>136</v>
      </c>
      <c r="AN63" s="7">
        <v>226</v>
      </c>
      <c r="AO63" s="7">
        <v>986</v>
      </c>
      <c r="AP63" s="14">
        <v>25441</v>
      </c>
      <c r="AQ63" s="7">
        <v>24365</v>
      </c>
      <c r="AR63" s="7">
        <v>257</v>
      </c>
      <c r="AS63" s="7">
        <v>123</v>
      </c>
      <c r="AT63" s="7">
        <v>819</v>
      </c>
      <c r="AU63" s="7">
        <v>24539</v>
      </c>
      <c r="AV63" s="7">
        <v>23415</v>
      </c>
      <c r="AW63" s="7">
        <v>240</v>
      </c>
      <c r="AX63" s="7">
        <v>206</v>
      </c>
      <c r="AY63" s="7">
        <v>884</v>
      </c>
      <c r="AZ63" s="7">
        <v>23584</v>
      </c>
      <c r="BA63" s="7">
        <v>22240</v>
      </c>
      <c r="BB63" s="7">
        <v>234</v>
      </c>
      <c r="BC63" s="7">
        <v>293</v>
      </c>
      <c r="BD63" s="63">
        <v>2949</v>
      </c>
      <c r="BE63" s="14">
        <v>37571</v>
      </c>
      <c r="BF63" s="7">
        <v>35030</v>
      </c>
      <c r="BG63" s="7"/>
      <c r="BH63" s="7"/>
      <c r="BI63" s="313">
        <f t="shared" si="536"/>
        <v>2541</v>
      </c>
      <c r="BJ63" s="281" t="s">
        <v>186</v>
      </c>
      <c r="BK63" s="282" t="s">
        <v>186</v>
      </c>
      <c r="BL63" s="282" t="s">
        <v>186</v>
      </c>
      <c r="BM63" s="282" t="s">
        <v>186</v>
      </c>
      <c r="BN63" s="281" t="s">
        <v>186</v>
      </c>
      <c r="BO63" s="282" t="s">
        <v>186</v>
      </c>
      <c r="BP63" s="282" t="s">
        <v>186</v>
      </c>
      <c r="BQ63" s="282" t="s">
        <v>186</v>
      </c>
      <c r="BR63" s="282" t="s">
        <v>186</v>
      </c>
      <c r="BS63" s="14">
        <v>288608</v>
      </c>
      <c r="BT63" s="7">
        <v>285579</v>
      </c>
      <c r="BU63" s="7">
        <v>805</v>
      </c>
      <c r="BV63" s="7">
        <v>1598</v>
      </c>
      <c r="BW63" s="7">
        <v>2224</v>
      </c>
      <c r="BX63" s="14">
        <v>349327</v>
      </c>
      <c r="BY63" s="7">
        <v>341304</v>
      </c>
      <c r="BZ63" s="7">
        <v>1073</v>
      </c>
      <c r="CA63" s="7">
        <v>2202</v>
      </c>
      <c r="CB63" s="7">
        <v>6950</v>
      </c>
      <c r="CC63" s="214">
        <v>380913</v>
      </c>
      <c r="CD63" s="7">
        <v>370761</v>
      </c>
      <c r="CE63" s="7">
        <v>1557</v>
      </c>
      <c r="CF63" s="7">
        <v>8595</v>
      </c>
      <c r="CG63" s="7">
        <v>3912</v>
      </c>
      <c r="CH63" s="14">
        <v>386361</v>
      </c>
      <c r="CI63" s="7">
        <v>375587</v>
      </c>
      <c r="CJ63" s="7">
        <v>2058</v>
      </c>
      <c r="CK63" s="7">
        <v>8716</v>
      </c>
      <c r="CL63" s="7">
        <v>4117</v>
      </c>
      <c r="CM63" s="14">
        <v>383747</v>
      </c>
      <c r="CN63" s="64">
        <v>372931</v>
      </c>
      <c r="CO63" s="64">
        <v>2060</v>
      </c>
      <c r="CP63" s="64">
        <v>8756</v>
      </c>
      <c r="CQ63" s="64">
        <v>4432</v>
      </c>
      <c r="CR63" s="14">
        <v>390122</v>
      </c>
      <c r="CS63" s="7">
        <v>378158</v>
      </c>
      <c r="CT63" s="7">
        <v>2431</v>
      </c>
      <c r="CU63" s="7">
        <v>4447</v>
      </c>
      <c r="CV63" s="7">
        <v>4358</v>
      </c>
      <c r="CW63" s="14">
        <v>394279.05000000005</v>
      </c>
      <c r="CX63" s="7">
        <v>381993.984</v>
      </c>
      <c r="CY63" s="7"/>
      <c r="CZ63" s="7"/>
      <c r="DA63" s="567">
        <f t="shared" si="537"/>
        <v>12285.06600000005</v>
      </c>
      <c r="DB63" s="7">
        <v>396852</v>
      </c>
      <c r="DC63" s="7">
        <v>384220</v>
      </c>
      <c r="DD63" s="7">
        <v>2502</v>
      </c>
      <c r="DE63" s="7">
        <v>4222</v>
      </c>
      <c r="DF63" s="7">
        <v>10016</v>
      </c>
      <c r="DG63" s="7">
        <v>398732</v>
      </c>
      <c r="DH63" s="7">
        <v>382237</v>
      </c>
      <c r="DI63" s="7">
        <v>2658</v>
      </c>
      <c r="DJ63" s="7">
        <v>4622</v>
      </c>
      <c r="DK63" s="7">
        <v>11535</v>
      </c>
      <c r="DL63" s="281" t="s">
        <v>186</v>
      </c>
      <c r="DM63" s="282" t="s">
        <v>186</v>
      </c>
      <c r="DN63" s="282" t="s">
        <v>186</v>
      </c>
      <c r="DO63" s="282" t="s">
        <v>186</v>
      </c>
      <c r="DP63" s="282" t="s">
        <v>186</v>
      </c>
      <c r="DQ63" s="14">
        <v>78324</v>
      </c>
      <c r="DR63" s="7">
        <v>77486</v>
      </c>
      <c r="DS63" s="7">
        <v>286</v>
      </c>
      <c r="DT63" s="7">
        <v>441</v>
      </c>
      <c r="DU63" s="7">
        <v>552</v>
      </c>
      <c r="DV63" s="14">
        <v>99498</v>
      </c>
      <c r="DW63" s="7">
        <v>96988</v>
      </c>
      <c r="DX63" s="7">
        <v>389</v>
      </c>
      <c r="DY63" s="7">
        <v>678</v>
      </c>
      <c r="DZ63" s="7">
        <v>2121</v>
      </c>
      <c r="EA63" s="14">
        <v>110335</v>
      </c>
      <c r="EB63" s="7">
        <v>106267</v>
      </c>
      <c r="EC63" s="7">
        <v>913</v>
      </c>
      <c r="ED63" s="7">
        <v>1375</v>
      </c>
      <c r="EE63" s="7">
        <v>3155</v>
      </c>
      <c r="EF63" s="14">
        <v>112712.85</v>
      </c>
      <c r="EG63" s="7">
        <v>108843.26400000001</v>
      </c>
      <c r="EH63" s="7"/>
      <c r="EI63" s="7"/>
      <c r="EJ63" s="7">
        <v>3869.5859999999957</v>
      </c>
      <c r="EK63" s="7">
        <v>112405</v>
      </c>
      <c r="EL63" s="7">
        <v>108486</v>
      </c>
      <c r="EM63" s="7">
        <v>849</v>
      </c>
      <c r="EN63" s="7">
        <v>1287</v>
      </c>
      <c r="EO63" s="662">
        <v>3036</v>
      </c>
      <c r="EP63" s="720">
        <v>111496</v>
      </c>
      <c r="EQ63" s="719">
        <v>106346</v>
      </c>
      <c r="ER63" s="719">
        <v>918</v>
      </c>
      <c r="ES63" s="719">
        <v>1537</v>
      </c>
      <c r="ET63" s="2">
        <v>5243</v>
      </c>
      <c r="EU63" s="14">
        <v>25730</v>
      </c>
      <c r="EV63" s="7">
        <v>25532</v>
      </c>
      <c r="EW63" s="7">
        <v>76</v>
      </c>
      <c r="EX63" s="7">
        <v>151</v>
      </c>
      <c r="EY63" s="7">
        <v>122</v>
      </c>
      <c r="EZ63" s="14">
        <v>31058</v>
      </c>
      <c r="FA63" s="7">
        <v>30411</v>
      </c>
      <c r="FB63" s="7">
        <v>115</v>
      </c>
      <c r="FC63" s="7">
        <v>196</v>
      </c>
      <c r="FD63" s="7">
        <v>532</v>
      </c>
      <c r="FE63" s="14">
        <v>36017</v>
      </c>
      <c r="FF63" s="7">
        <v>35076</v>
      </c>
      <c r="FG63" s="7">
        <v>108</v>
      </c>
      <c r="FH63" s="7">
        <v>365</v>
      </c>
      <c r="FI63" s="7">
        <v>833</v>
      </c>
      <c r="FJ63" s="14"/>
      <c r="FK63" s="7"/>
      <c r="FL63" s="7"/>
      <c r="FM63" s="7"/>
      <c r="FN63" s="12"/>
      <c r="FO63" s="7">
        <v>37574</v>
      </c>
      <c r="FP63" s="7">
        <v>36401</v>
      </c>
      <c r="FQ63" s="7">
        <v>201</v>
      </c>
      <c r="FR63" s="7">
        <v>359</v>
      </c>
      <c r="FS63" s="7">
        <v>972</v>
      </c>
      <c r="FT63" s="7">
        <v>37455</v>
      </c>
      <c r="FU63" s="7">
        <v>35741</v>
      </c>
      <c r="FV63" s="7">
        <v>343</v>
      </c>
      <c r="FW63" s="7">
        <v>526</v>
      </c>
      <c r="FX63" s="7">
        <v>1416</v>
      </c>
      <c r="FY63" s="609">
        <f t="shared" si="592"/>
        <v>112584</v>
      </c>
      <c r="FZ63" s="584">
        <f t="shared" si="593"/>
        <v>111161</v>
      </c>
      <c r="GA63" s="584">
        <f t="shared" si="594"/>
        <v>362</v>
      </c>
      <c r="GB63" s="584">
        <f t="shared" si="595"/>
        <v>683</v>
      </c>
      <c r="GC63" s="584">
        <f t="shared" si="596"/>
        <v>1061</v>
      </c>
      <c r="GD63" s="609">
        <f t="shared" si="597"/>
        <v>150083</v>
      </c>
      <c r="GE63" s="584">
        <f t="shared" si="598"/>
        <v>146523</v>
      </c>
      <c r="GF63" s="584">
        <f t="shared" si="599"/>
        <v>559</v>
      </c>
      <c r="GG63" s="584">
        <f t="shared" si="600"/>
        <v>1143</v>
      </c>
      <c r="GH63" s="584">
        <f t="shared" si="601"/>
        <v>3001</v>
      </c>
      <c r="GI63" s="14">
        <v>148451</v>
      </c>
      <c r="GJ63" s="7">
        <v>144123</v>
      </c>
      <c r="GK63" s="7">
        <v>771</v>
      </c>
      <c r="GL63" s="7">
        <v>1738</v>
      </c>
      <c r="GM63" s="7">
        <v>3557</v>
      </c>
      <c r="GN63" s="605"/>
      <c r="GO63" s="9"/>
      <c r="GP63" s="9"/>
      <c r="GQ63" s="9"/>
      <c r="GR63" s="9"/>
      <c r="GS63" s="9">
        <v>188569</v>
      </c>
      <c r="GT63" s="9">
        <v>181869</v>
      </c>
      <c r="GU63" s="9">
        <v>1307</v>
      </c>
      <c r="GV63" s="9">
        <v>2374</v>
      </c>
      <c r="GW63" s="617">
        <v>5362</v>
      </c>
      <c r="GX63" s="9">
        <v>521653</v>
      </c>
      <c r="GY63" s="9">
        <v>183516</v>
      </c>
      <c r="GZ63" s="9">
        <v>1518</v>
      </c>
      <c r="HA63" s="9">
        <v>2687</v>
      </c>
      <c r="HB63" s="9">
        <v>5948</v>
      </c>
      <c r="HC63" s="14">
        <v>55120</v>
      </c>
      <c r="HD63" s="7">
        <v>54448</v>
      </c>
      <c r="HE63" s="7">
        <v>191</v>
      </c>
      <c r="HF63" s="7">
        <v>266</v>
      </c>
      <c r="HG63" s="7">
        <v>481</v>
      </c>
      <c r="HH63" s="14">
        <v>74124</v>
      </c>
      <c r="HI63" s="7">
        <v>72516</v>
      </c>
      <c r="HJ63" s="7">
        <v>243</v>
      </c>
      <c r="HK63" s="7">
        <v>418</v>
      </c>
      <c r="HL63" s="7">
        <v>1365</v>
      </c>
      <c r="HM63" s="14">
        <v>86025</v>
      </c>
      <c r="HN63" s="7">
        <v>83638</v>
      </c>
      <c r="HO63" s="7">
        <v>339</v>
      </c>
      <c r="HP63" s="7">
        <v>982</v>
      </c>
      <c r="HQ63" s="7">
        <v>2048</v>
      </c>
      <c r="HR63" s="14">
        <v>88097.4</v>
      </c>
      <c r="HS63" s="7">
        <v>85489.919999999998</v>
      </c>
      <c r="HT63" s="7"/>
      <c r="HU63" s="7"/>
      <c r="HV63" s="7">
        <v>2607.4799999999959</v>
      </c>
      <c r="HW63" s="7">
        <v>94279</v>
      </c>
      <c r="HX63" s="7">
        <v>89788</v>
      </c>
      <c r="HY63" s="7">
        <v>697</v>
      </c>
      <c r="HZ63" s="7">
        <v>1159</v>
      </c>
      <c r="IA63" s="7">
        <v>4605</v>
      </c>
      <c r="IB63" s="281" t="s">
        <v>186</v>
      </c>
      <c r="IC63" s="282" t="s">
        <v>186</v>
      </c>
      <c r="ID63" s="14">
        <v>15614</v>
      </c>
      <c r="IE63" s="355">
        <f t="shared" si="548"/>
        <v>8700</v>
      </c>
      <c r="IF63" s="355">
        <f t="shared" si="549"/>
        <v>6914</v>
      </c>
      <c r="IG63" s="355">
        <f t="shared" si="550"/>
        <v>15565</v>
      </c>
      <c r="IH63" s="341">
        <v>8654</v>
      </c>
      <c r="II63" s="341">
        <v>6911</v>
      </c>
      <c r="IJ63" s="355">
        <f t="shared" si="551"/>
        <v>49</v>
      </c>
      <c r="IK63" s="341">
        <v>46</v>
      </c>
      <c r="IL63" s="341">
        <v>3</v>
      </c>
      <c r="IM63" s="14">
        <v>26823</v>
      </c>
      <c r="IN63" s="355">
        <f t="shared" si="552"/>
        <v>15185</v>
      </c>
      <c r="IO63" s="355">
        <f t="shared" si="553"/>
        <v>11638</v>
      </c>
      <c r="IP63" s="355">
        <f t="shared" si="554"/>
        <v>26467</v>
      </c>
      <c r="IQ63" s="341">
        <v>14972</v>
      </c>
      <c r="IR63" s="341">
        <v>11495</v>
      </c>
      <c r="IS63" s="355">
        <f t="shared" si="555"/>
        <v>88</v>
      </c>
      <c r="IT63" s="341">
        <v>52</v>
      </c>
      <c r="IU63" s="341">
        <v>36</v>
      </c>
      <c r="IV63" s="355">
        <f t="shared" si="556"/>
        <v>268</v>
      </c>
      <c r="IW63" s="341">
        <v>161</v>
      </c>
      <c r="IX63" s="341">
        <v>107</v>
      </c>
      <c r="IY63" s="14">
        <v>56184</v>
      </c>
      <c r="IZ63" s="355">
        <f t="shared" si="557"/>
        <v>30283</v>
      </c>
      <c r="JA63" s="355">
        <f t="shared" si="558"/>
        <v>25901</v>
      </c>
      <c r="JB63" s="365">
        <f t="shared" si="559"/>
        <v>55214</v>
      </c>
      <c r="JC63" s="341">
        <v>29723</v>
      </c>
      <c r="JD63" s="341">
        <v>25491</v>
      </c>
      <c r="JE63" s="341">
        <v>560</v>
      </c>
      <c r="JF63" s="341">
        <v>410</v>
      </c>
      <c r="JG63" s="365">
        <f t="shared" si="560"/>
        <v>146</v>
      </c>
      <c r="JH63" s="341">
        <v>95</v>
      </c>
      <c r="JI63" s="341">
        <v>51</v>
      </c>
      <c r="JJ63" s="365">
        <f t="shared" si="561"/>
        <v>351</v>
      </c>
      <c r="JK63" s="341">
        <v>193</v>
      </c>
      <c r="JL63" s="341">
        <v>158</v>
      </c>
      <c r="JM63" s="356">
        <f t="shared" si="562"/>
        <v>473</v>
      </c>
      <c r="JN63" s="356">
        <f t="shared" si="563"/>
        <v>272</v>
      </c>
      <c r="JO63" s="356">
        <f t="shared" si="564"/>
        <v>201</v>
      </c>
      <c r="JP63" s="357">
        <f t="shared" si="565"/>
        <v>19</v>
      </c>
      <c r="JQ63" s="357">
        <f t="shared" si="566"/>
        <v>12</v>
      </c>
      <c r="JR63" s="357">
        <f t="shared" si="567"/>
        <v>7</v>
      </c>
      <c r="JS63" s="341">
        <v>454</v>
      </c>
      <c r="JT63" s="341">
        <v>260</v>
      </c>
      <c r="JU63" s="341">
        <v>194</v>
      </c>
      <c r="JV63" s="16">
        <f t="shared" si="568"/>
        <v>86854</v>
      </c>
      <c r="JW63" s="355">
        <f t="shared" si="569"/>
        <v>43571</v>
      </c>
      <c r="JX63" s="355">
        <f t="shared" si="570"/>
        <v>43283</v>
      </c>
      <c r="JY63" s="15">
        <f t="shared" si="571"/>
        <v>85629</v>
      </c>
      <c r="JZ63" s="151">
        <f t="shared" si="572"/>
        <v>85170</v>
      </c>
      <c r="KA63" s="341">
        <v>42674</v>
      </c>
      <c r="KB63" s="341">
        <v>42496</v>
      </c>
      <c r="KC63" s="341">
        <v>897</v>
      </c>
      <c r="KD63" s="341">
        <v>787</v>
      </c>
      <c r="KE63" s="15">
        <f t="shared" si="573"/>
        <v>286</v>
      </c>
      <c r="KF63" s="151">
        <f t="shared" si="574"/>
        <v>279</v>
      </c>
      <c r="KG63" s="341">
        <v>170</v>
      </c>
      <c r="KH63" s="341">
        <v>109</v>
      </c>
      <c r="KI63" s="15">
        <f t="shared" si="575"/>
        <v>532</v>
      </c>
      <c r="KJ63" s="341">
        <v>274</v>
      </c>
      <c r="KK63" s="341">
        <v>258</v>
      </c>
      <c r="KL63" s="15">
        <f t="shared" si="576"/>
        <v>939</v>
      </c>
      <c r="KM63" s="391">
        <f t="shared" si="577"/>
        <v>453</v>
      </c>
      <c r="KN63" s="358">
        <f t="shared" si="578"/>
        <v>420</v>
      </c>
      <c r="KO63" s="359">
        <f t="shared" si="579"/>
        <v>21</v>
      </c>
      <c r="KP63" s="359">
        <f t="shared" si="580"/>
        <v>21</v>
      </c>
      <c r="KQ63" s="359">
        <f t="shared" si="581"/>
        <v>0</v>
      </c>
      <c r="KR63" s="360">
        <f t="shared" si="582"/>
        <v>852</v>
      </c>
      <c r="KS63" s="360">
        <f t="shared" si="583"/>
        <v>432</v>
      </c>
      <c r="KT63" s="360">
        <f t="shared" si="584"/>
        <v>420</v>
      </c>
      <c r="KU63" s="341">
        <v>77</v>
      </c>
      <c r="KV63" s="341">
        <v>53</v>
      </c>
      <c r="KW63" s="341">
        <v>355</v>
      </c>
      <c r="KX63" s="341">
        <v>367</v>
      </c>
      <c r="KY63" s="361">
        <v>119025</v>
      </c>
      <c r="KZ63" s="341">
        <v>56718</v>
      </c>
      <c r="LA63" s="341">
        <v>62307</v>
      </c>
      <c r="LB63" s="9">
        <f t="shared" si="585"/>
        <v>116112</v>
      </c>
      <c r="LC63" s="9">
        <v>55302</v>
      </c>
      <c r="LD63" s="9">
        <v>60810</v>
      </c>
      <c r="LE63" s="140">
        <f t="shared" si="586"/>
        <v>115364</v>
      </c>
      <c r="LF63" s="341">
        <v>54910</v>
      </c>
      <c r="LG63" s="341">
        <v>60454</v>
      </c>
      <c r="LH63" s="9">
        <f t="shared" si="587"/>
        <v>444</v>
      </c>
      <c r="LI63" s="341">
        <v>266</v>
      </c>
      <c r="LJ63" s="341">
        <v>178</v>
      </c>
      <c r="LK63" s="9">
        <f t="shared" si="588"/>
        <v>947</v>
      </c>
      <c r="LL63" s="341">
        <v>498</v>
      </c>
      <c r="LM63" s="341">
        <v>449</v>
      </c>
      <c r="LN63" s="140">
        <f t="shared" si="589"/>
        <v>2469</v>
      </c>
      <c r="LO63" s="140">
        <f t="shared" si="590"/>
        <v>1150</v>
      </c>
      <c r="LP63" s="140">
        <f t="shared" si="591"/>
        <v>1319</v>
      </c>
      <c r="LQ63" s="349">
        <v>139002</v>
      </c>
      <c r="LR63" s="341">
        <v>134541</v>
      </c>
      <c r="LS63" s="341">
        <v>609</v>
      </c>
      <c r="LT63" s="341">
        <v>3852</v>
      </c>
      <c r="LU63" s="9">
        <v>1623</v>
      </c>
      <c r="LV63" s="361">
        <v>141376</v>
      </c>
      <c r="LW63" s="7">
        <v>136574</v>
      </c>
      <c r="LX63" s="7">
        <v>1001</v>
      </c>
      <c r="LY63" s="7">
        <v>3801</v>
      </c>
      <c r="LZ63" s="7">
        <v>1648</v>
      </c>
      <c r="MA63" s="361">
        <v>140668</v>
      </c>
      <c r="MB63" s="7">
        <v>136553</v>
      </c>
      <c r="MC63" s="7">
        <v>854</v>
      </c>
      <c r="MD63" s="7">
        <v>3261</v>
      </c>
      <c r="ME63" s="7">
        <v>1898</v>
      </c>
      <c r="MF63" s="14">
        <v>142310</v>
      </c>
      <c r="MG63" s="7">
        <v>137773</v>
      </c>
      <c r="MH63" s="7">
        <v>992</v>
      </c>
      <c r="MI63" s="7">
        <v>3545</v>
      </c>
      <c r="MJ63" s="7">
        <v>1895</v>
      </c>
      <c r="MK63" s="14">
        <v>146829</v>
      </c>
      <c r="ML63" s="7">
        <v>141788.16</v>
      </c>
      <c r="MM63" s="7"/>
      <c r="MN63" s="7"/>
      <c r="MO63" s="7">
        <v>5040.8399999999965</v>
      </c>
      <c r="MP63" s="7">
        <v>150995</v>
      </c>
      <c r="MQ63" s="7">
        <v>145468</v>
      </c>
      <c r="MR63" s="7">
        <v>1106</v>
      </c>
      <c r="MS63" s="7">
        <v>2015</v>
      </c>
      <c r="MT63" s="2">
        <v>4390</v>
      </c>
      <c r="MU63" s="2">
        <v>155342</v>
      </c>
      <c r="MV63" s="2">
        <v>147775</v>
      </c>
      <c r="MW63" s="2">
        <v>1175</v>
      </c>
      <c r="MX63" s="2">
        <v>2161</v>
      </c>
      <c r="MY63" s="2">
        <v>4963</v>
      </c>
      <c r="MZ63" s="14">
        <v>31734</v>
      </c>
      <c r="NA63" s="7">
        <v>31181</v>
      </c>
      <c r="NB63" s="7">
        <v>95</v>
      </c>
      <c r="NC63" s="7">
        <v>266</v>
      </c>
      <c r="ND63" s="7">
        <v>458</v>
      </c>
      <c r="NE63" s="14">
        <v>44901</v>
      </c>
      <c r="NF63" s="7">
        <v>43596</v>
      </c>
      <c r="NG63" s="7">
        <v>201</v>
      </c>
      <c r="NH63" s="7">
        <v>529</v>
      </c>
      <c r="NI63" s="7">
        <v>1104</v>
      </c>
      <c r="NJ63" s="14">
        <v>56285</v>
      </c>
      <c r="NK63" s="7">
        <v>54135</v>
      </c>
      <c r="NL63" s="7">
        <v>653</v>
      </c>
      <c r="NM63" s="7">
        <v>913</v>
      </c>
      <c r="NN63" s="7">
        <v>1497</v>
      </c>
      <c r="NO63" s="14">
        <v>58731.600000000006</v>
      </c>
      <c r="NP63" s="7">
        <v>56298.240000000005</v>
      </c>
      <c r="NQ63" s="7"/>
      <c r="NR63" s="7"/>
      <c r="NS63" s="12">
        <v>2433.3600000000006</v>
      </c>
      <c r="NT63" s="4">
        <v>58959</v>
      </c>
      <c r="NU63" s="4">
        <v>56679</v>
      </c>
      <c r="NV63" s="4">
        <v>559</v>
      </c>
      <c r="NW63" s="4">
        <v>1046</v>
      </c>
      <c r="NX63" s="233">
        <v>1721</v>
      </c>
      <c r="NY63" s="2">
        <v>61063</v>
      </c>
      <c r="NZ63" s="2">
        <v>57987</v>
      </c>
      <c r="OA63" s="2">
        <v>478</v>
      </c>
      <c r="OB63" s="2">
        <v>1002</v>
      </c>
      <c r="OC63" s="2">
        <v>3809</v>
      </c>
    </row>
    <row r="64" spans="1:393" ht="12.75" customHeight="1" x14ac:dyDescent="0.2">
      <c r="A64" s="145" t="s">
        <v>62</v>
      </c>
      <c r="B64" s="287" t="s">
        <v>186</v>
      </c>
      <c r="C64" s="287" t="s">
        <v>186</v>
      </c>
      <c r="D64" s="287" t="s">
        <v>186</v>
      </c>
      <c r="E64" s="287" t="s">
        <v>186</v>
      </c>
      <c r="F64" s="287" t="s">
        <v>186</v>
      </c>
      <c r="G64" s="259">
        <v>39107</v>
      </c>
      <c r="H64" s="257">
        <v>4687</v>
      </c>
      <c r="I64" s="257">
        <v>29960</v>
      </c>
      <c r="J64" s="257">
        <v>6288</v>
      </c>
      <c r="K64" s="257">
        <v>4460</v>
      </c>
      <c r="L64" s="259">
        <v>29803</v>
      </c>
      <c r="M64" s="257">
        <v>4032</v>
      </c>
      <c r="N64" s="257">
        <v>17822</v>
      </c>
      <c r="O64" s="257">
        <v>9633</v>
      </c>
      <c r="P64" s="257">
        <v>7949</v>
      </c>
      <c r="Q64" s="607">
        <v>19671</v>
      </c>
      <c r="R64" s="262">
        <v>6669</v>
      </c>
      <c r="S64" s="262">
        <v>9483</v>
      </c>
      <c r="T64" s="262">
        <v>9586</v>
      </c>
      <c r="U64" s="262">
        <v>3519</v>
      </c>
      <c r="V64" s="262">
        <v>20315</v>
      </c>
      <c r="W64" s="262">
        <v>5899</v>
      </c>
      <c r="X64" s="262">
        <v>9846</v>
      </c>
      <c r="Y64" s="262">
        <v>9347</v>
      </c>
      <c r="Z64" s="262">
        <v>4570</v>
      </c>
      <c r="AA64" s="262">
        <v>19690</v>
      </c>
      <c r="AB64" s="262">
        <v>391</v>
      </c>
      <c r="AC64" s="262">
        <v>10196</v>
      </c>
      <c r="AD64" s="262">
        <v>8066</v>
      </c>
      <c r="AE64" s="483">
        <v>1260</v>
      </c>
      <c r="AF64" s="259">
        <v>70759</v>
      </c>
      <c r="AG64" s="257">
        <v>4449</v>
      </c>
      <c r="AH64" s="257">
        <v>64046</v>
      </c>
      <c r="AI64" s="257">
        <v>2643</v>
      </c>
      <c r="AJ64" s="257">
        <v>2264</v>
      </c>
      <c r="AK64" s="259">
        <v>55446</v>
      </c>
      <c r="AL64" s="257">
        <v>3147</v>
      </c>
      <c r="AM64" s="257">
        <v>48346</v>
      </c>
      <c r="AN64" s="257">
        <v>4154</v>
      </c>
      <c r="AO64" s="257">
        <v>3953</v>
      </c>
      <c r="AP64" s="259">
        <v>32673</v>
      </c>
      <c r="AQ64" s="257">
        <v>3339</v>
      </c>
      <c r="AR64" s="257">
        <v>27601</v>
      </c>
      <c r="AS64" s="257">
        <v>3668</v>
      </c>
      <c r="AT64" s="257">
        <v>1733</v>
      </c>
      <c r="AU64" s="257">
        <v>32206</v>
      </c>
      <c r="AV64" s="257">
        <v>2347</v>
      </c>
      <c r="AW64" s="257">
        <v>27524</v>
      </c>
      <c r="AX64" s="257">
        <v>3800</v>
      </c>
      <c r="AY64" s="257">
        <v>2335</v>
      </c>
      <c r="AZ64" s="257">
        <v>30794</v>
      </c>
      <c r="BA64" s="257">
        <v>348</v>
      </c>
      <c r="BB64" s="257">
        <v>25948</v>
      </c>
      <c r="BC64" s="257">
        <v>3931</v>
      </c>
      <c r="BD64" s="63">
        <v>873</v>
      </c>
      <c r="BE64" s="259">
        <v>52503</v>
      </c>
      <c r="BF64" s="257">
        <v>9014</v>
      </c>
      <c r="BG64" s="257">
        <v>37504</v>
      </c>
      <c r="BH64" s="257">
        <v>13136</v>
      </c>
      <c r="BI64" s="295">
        <f t="shared" si="536"/>
        <v>5985</v>
      </c>
      <c r="BJ64" s="299" t="s">
        <v>186</v>
      </c>
      <c r="BK64" s="287" t="s">
        <v>186</v>
      </c>
      <c r="BL64" s="287" t="s">
        <v>186</v>
      </c>
      <c r="BM64" s="287" t="s">
        <v>186</v>
      </c>
      <c r="BN64" s="299" t="s">
        <v>186</v>
      </c>
      <c r="BO64" s="287" t="s">
        <v>186</v>
      </c>
      <c r="BP64" s="287" t="s">
        <v>186</v>
      </c>
      <c r="BQ64" s="287" t="s">
        <v>186</v>
      </c>
      <c r="BR64" s="287" t="s">
        <v>186</v>
      </c>
      <c r="BS64" s="259">
        <v>299265</v>
      </c>
      <c r="BT64" s="257">
        <v>122841</v>
      </c>
      <c r="BU64" s="257">
        <v>165922</v>
      </c>
      <c r="BV64" s="257">
        <v>9905</v>
      </c>
      <c r="BW64" s="257">
        <v>10502</v>
      </c>
      <c r="BX64" s="259">
        <v>299286</v>
      </c>
      <c r="BY64" s="257">
        <v>121675</v>
      </c>
      <c r="BZ64" s="257">
        <v>157124</v>
      </c>
      <c r="CA64" s="257">
        <v>12636</v>
      </c>
      <c r="CB64" s="257">
        <v>20487</v>
      </c>
      <c r="CC64" s="277">
        <v>334661</v>
      </c>
      <c r="CD64" s="257">
        <v>139780</v>
      </c>
      <c r="CE64" s="257">
        <v>167214</v>
      </c>
      <c r="CF64" s="257">
        <v>27667</v>
      </c>
      <c r="CG64" s="257">
        <v>17663</v>
      </c>
      <c r="CH64" s="259">
        <v>342095</v>
      </c>
      <c r="CI64" s="257">
        <v>145538</v>
      </c>
      <c r="CJ64" s="257">
        <v>169257</v>
      </c>
      <c r="CK64" s="258">
        <v>27300</v>
      </c>
      <c r="CL64" s="257">
        <v>18027</v>
      </c>
      <c r="CM64" s="259">
        <v>352495</v>
      </c>
      <c r="CN64" s="258">
        <v>153882</v>
      </c>
      <c r="CO64" s="258">
        <v>173306</v>
      </c>
      <c r="CP64" s="258">
        <v>25307</v>
      </c>
      <c r="CQ64" s="258">
        <v>18375</v>
      </c>
      <c r="CR64" s="259">
        <v>353389</v>
      </c>
      <c r="CS64" s="257">
        <v>159051</v>
      </c>
      <c r="CT64" s="257">
        <v>166401</v>
      </c>
      <c r="CU64" s="257">
        <v>20155</v>
      </c>
      <c r="CV64" s="257">
        <v>19960</v>
      </c>
      <c r="CW64" s="259">
        <v>363771.24300000002</v>
      </c>
      <c r="CX64" s="257">
        <v>167901.1</v>
      </c>
      <c r="CY64" s="257">
        <v>167436.79700000002</v>
      </c>
      <c r="CZ64" s="257">
        <v>22270.374000000003</v>
      </c>
      <c r="DA64" s="624">
        <f t="shared" si="537"/>
        <v>28433.34599999999</v>
      </c>
      <c r="DB64" s="257">
        <v>376076</v>
      </c>
      <c r="DC64" s="257">
        <v>174167</v>
      </c>
      <c r="DD64" s="257">
        <v>169763</v>
      </c>
      <c r="DE64" s="257">
        <v>24324</v>
      </c>
      <c r="DF64" s="257">
        <v>32041</v>
      </c>
      <c r="DG64" s="257">
        <v>392468</v>
      </c>
      <c r="DH64" s="257">
        <v>170136</v>
      </c>
      <c r="DI64" s="257">
        <v>172522</v>
      </c>
      <c r="DJ64" s="257">
        <v>28036</v>
      </c>
      <c r="DK64" s="257">
        <v>14985</v>
      </c>
      <c r="DL64" s="299" t="s">
        <v>186</v>
      </c>
      <c r="DM64" s="287" t="s">
        <v>186</v>
      </c>
      <c r="DN64" s="287" t="s">
        <v>186</v>
      </c>
      <c r="DO64" s="287" t="s">
        <v>186</v>
      </c>
      <c r="DP64" s="287" t="s">
        <v>186</v>
      </c>
      <c r="DQ64" s="259">
        <v>76224</v>
      </c>
      <c r="DR64" s="257">
        <v>20114</v>
      </c>
      <c r="DS64" s="257">
        <v>53514</v>
      </c>
      <c r="DT64" s="257">
        <v>2650</v>
      </c>
      <c r="DU64" s="257">
        <v>2596</v>
      </c>
      <c r="DV64" s="259">
        <v>69880</v>
      </c>
      <c r="DW64" s="257">
        <v>14673</v>
      </c>
      <c r="DX64" s="257">
        <v>50924</v>
      </c>
      <c r="DY64" s="257">
        <v>2844</v>
      </c>
      <c r="DZ64" s="257">
        <v>4283</v>
      </c>
      <c r="EA64" s="259">
        <v>71139</v>
      </c>
      <c r="EB64" s="257">
        <v>15052</v>
      </c>
      <c r="EC64" s="257">
        <v>52340</v>
      </c>
      <c r="ED64" s="257">
        <v>4352</v>
      </c>
      <c r="EE64" s="257">
        <v>3747</v>
      </c>
      <c r="EF64" s="259">
        <v>72504.233999999997</v>
      </c>
      <c r="EG64" s="257">
        <v>15199.467999999999</v>
      </c>
      <c r="EH64" s="257">
        <v>53489.601000000002</v>
      </c>
      <c r="EI64" s="257">
        <v>4531.9679999999998</v>
      </c>
      <c r="EJ64" s="257">
        <v>3815.1649999999936</v>
      </c>
      <c r="EK64" s="257">
        <v>73143</v>
      </c>
      <c r="EL64" s="257">
        <v>14750</v>
      </c>
      <c r="EM64" s="257">
        <v>53191</v>
      </c>
      <c r="EN64" s="257">
        <v>5154</v>
      </c>
      <c r="EO64" s="662">
        <v>5202</v>
      </c>
      <c r="EP64" s="718">
        <v>74771</v>
      </c>
      <c r="EQ64" s="718">
        <v>11682</v>
      </c>
      <c r="ER64" s="718">
        <v>55145</v>
      </c>
      <c r="ES64" s="718">
        <v>5487</v>
      </c>
      <c r="ET64" s="719">
        <v>2710</v>
      </c>
      <c r="EU64" s="259">
        <v>12547</v>
      </c>
      <c r="EV64" s="257">
        <v>3941</v>
      </c>
      <c r="EW64" s="257">
        <v>8011</v>
      </c>
      <c r="EX64" s="257">
        <v>533</v>
      </c>
      <c r="EY64" s="257">
        <v>595</v>
      </c>
      <c r="EZ64" s="259">
        <v>10599</v>
      </c>
      <c r="FA64" s="257">
        <v>2916</v>
      </c>
      <c r="FB64" s="257">
        <v>6898</v>
      </c>
      <c r="FC64" s="257">
        <v>543</v>
      </c>
      <c r="FD64" s="257">
        <v>785</v>
      </c>
      <c r="FE64" s="259">
        <v>11758</v>
      </c>
      <c r="FF64" s="257">
        <v>2955</v>
      </c>
      <c r="FG64" s="257">
        <v>8146</v>
      </c>
      <c r="FH64" s="257">
        <v>898</v>
      </c>
      <c r="FI64" s="257">
        <v>657</v>
      </c>
      <c r="FJ64" s="259"/>
      <c r="FK64" s="257"/>
      <c r="FL64" s="257"/>
      <c r="FM64" s="257"/>
      <c r="FN64" s="628"/>
      <c r="FO64" s="257">
        <v>13048</v>
      </c>
      <c r="FP64" s="257">
        <v>3549</v>
      </c>
      <c r="FQ64" s="257">
        <v>8443</v>
      </c>
      <c r="FR64" s="257">
        <v>1018</v>
      </c>
      <c r="FS64" s="257">
        <v>1056</v>
      </c>
      <c r="FT64" s="257">
        <v>13366</v>
      </c>
      <c r="FU64" s="257">
        <v>2633</v>
      </c>
      <c r="FV64" s="257">
        <v>8895</v>
      </c>
      <c r="FW64" s="257">
        <v>1245</v>
      </c>
      <c r="FX64" s="257">
        <v>746</v>
      </c>
      <c r="FY64" s="610">
        <f t="shared" si="592"/>
        <v>148832</v>
      </c>
      <c r="FZ64" s="328">
        <f t="shared" si="593"/>
        <v>94947</v>
      </c>
      <c r="GA64" s="328">
        <f t="shared" si="594"/>
        <v>47814</v>
      </c>
      <c r="GB64" s="328">
        <f t="shared" si="595"/>
        <v>5045</v>
      </c>
      <c r="GC64" s="328">
        <f t="shared" si="596"/>
        <v>6071</v>
      </c>
      <c r="GD64" s="610">
        <f t="shared" si="597"/>
        <v>160836</v>
      </c>
      <c r="GE64" s="328">
        <f t="shared" si="598"/>
        <v>102525</v>
      </c>
      <c r="GF64" s="328">
        <f t="shared" si="599"/>
        <v>45968</v>
      </c>
      <c r="GG64" s="328">
        <f t="shared" si="600"/>
        <v>7084</v>
      </c>
      <c r="GH64" s="611">
        <f t="shared" si="601"/>
        <v>12343</v>
      </c>
      <c r="GI64" s="259">
        <v>155948</v>
      </c>
      <c r="GJ64" s="257">
        <v>101775</v>
      </c>
      <c r="GK64" s="257">
        <v>40167</v>
      </c>
      <c r="GL64" s="257">
        <v>9468</v>
      </c>
      <c r="GM64" s="257">
        <v>14006</v>
      </c>
      <c r="GN64" s="607"/>
      <c r="GO64" s="262"/>
      <c r="GP64" s="262"/>
      <c r="GQ64" s="262"/>
      <c r="GR64" s="262"/>
      <c r="GS64" s="262">
        <v>234699</v>
      </c>
      <c r="GT64" s="262">
        <v>156076</v>
      </c>
      <c r="GU64" s="262">
        <v>55895</v>
      </c>
      <c r="GV64" s="262">
        <v>14410</v>
      </c>
      <c r="GW64" s="723">
        <v>22653</v>
      </c>
      <c r="GX64" s="262">
        <v>605854</v>
      </c>
      <c r="GY64" s="262">
        <v>156649</v>
      </c>
      <c r="GZ64" s="262">
        <v>57909</v>
      </c>
      <c r="HA64" s="262">
        <v>17310</v>
      </c>
      <c r="HB64" s="262">
        <v>11873</v>
      </c>
      <c r="HC64" s="259">
        <v>65892</v>
      </c>
      <c r="HD64" s="257">
        <v>40251</v>
      </c>
      <c r="HE64" s="257">
        <v>22937</v>
      </c>
      <c r="HF64" s="257">
        <v>2118</v>
      </c>
      <c r="HG64" s="257">
        <v>2704</v>
      </c>
      <c r="HH64" s="259">
        <v>69496</v>
      </c>
      <c r="HI64" s="257">
        <v>41360</v>
      </c>
      <c r="HJ64" s="257">
        <v>22591</v>
      </c>
      <c r="HK64" s="257">
        <v>2838</v>
      </c>
      <c r="HL64" s="257">
        <v>5545</v>
      </c>
      <c r="HM64" s="259">
        <v>90088</v>
      </c>
      <c r="HN64" s="257">
        <v>57747</v>
      </c>
      <c r="HO64" s="257">
        <v>24457</v>
      </c>
      <c r="HP64" s="257">
        <v>5267</v>
      </c>
      <c r="HQ64" s="257">
        <v>7884</v>
      </c>
      <c r="HR64" s="259">
        <v>93755.475000000006</v>
      </c>
      <c r="HS64" s="257">
        <v>60621.133999999998</v>
      </c>
      <c r="HT64" s="257">
        <v>24797.861000000001</v>
      </c>
      <c r="HU64" s="257">
        <v>5487.93</v>
      </c>
      <c r="HV64" s="257">
        <v>8336.4800000000068</v>
      </c>
      <c r="HW64" s="257">
        <v>101725</v>
      </c>
      <c r="HX64" s="257">
        <v>61455</v>
      </c>
      <c r="HY64" s="257">
        <v>27087</v>
      </c>
      <c r="HZ64" s="257">
        <v>6301</v>
      </c>
      <c r="IA64" s="257">
        <v>7454</v>
      </c>
      <c r="IB64" s="299" t="s">
        <v>186</v>
      </c>
      <c r="IC64" s="287" t="s">
        <v>186</v>
      </c>
      <c r="ID64" s="259">
        <v>65761</v>
      </c>
      <c r="IE64" s="392">
        <f t="shared" si="548"/>
        <v>37458</v>
      </c>
      <c r="IF64" s="392">
        <f t="shared" si="549"/>
        <v>28303</v>
      </c>
      <c r="IG64" s="392">
        <f t="shared" si="550"/>
        <v>49863</v>
      </c>
      <c r="IH64" s="393">
        <v>29717</v>
      </c>
      <c r="II64" s="393">
        <v>20146</v>
      </c>
      <c r="IJ64" s="392">
        <f t="shared" si="551"/>
        <v>15898</v>
      </c>
      <c r="IK64" s="393">
        <v>7741</v>
      </c>
      <c r="IL64" s="393">
        <v>8157</v>
      </c>
      <c r="IM64" s="259">
        <v>75495</v>
      </c>
      <c r="IN64" s="392">
        <f t="shared" si="552"/>
        <v>41045</v>
      </c>
      <c r="IO64" s="392">
        <f t="shared" si="553"/>
        <v>34450</v>
      </c>
      <c r="IP64" s="392">
        <f t="shared" si="554"/>
        <v>52752</v>
      </c>
      <c r="IQ64" s="393">
        <v>30314</v>
      </c>
      <c r="IR64" s="393">
        <v>22438</v>
      </c>
      <c r="IS64" s="392">
        <f t="shared" si="555"/>
        <v>20880</v>
      </c>
      <c r="IT64" s="393">
        <v>9591</v>
      </c>
      <c r="IU64" s="393">
        <v>11289</v>
      </c>
      <c r="IV64" s="392">
        <f t="shared" si="556"/>
        <v>1863</v>
      </c>
      <c r="IW64" s="393">
        <v>1140</v>
      </c>
      <c r="IX64" s="393">
        <v>723</v>
      </c>
      <c r="IY64" s="259">
        <v>109478</v>
      </c>
      <c r="IZ64" s="392">
        <f t="shared" si="557"/>
        <v>56556</v>
      </c>
      <c r="JA64" s="392">
        <f t="shared" si="558"/>
        <v>52922</v>
      </c>
      <c r="JB64" s="394">
        <f t="shared" si="559"/>
        <v>72628</v>
      </c>
      <c r="JC64" s="393">
        <v>39374</v>
      </c>
      <c r="JD64" s="393">
        <v>33254</v>
      </c>
      <c r="JE64" s="393">
        <v>17182</v>
      </c>
      <c r="JF64" s="393">
        <v>19668</v>
      </c>
      <c r="JG64" s="394">
        <f t="shared" si="560"/>
        <v>31456</v>
      </c>
      <c r="JH64" s="393">
        <v>14165</v>
      </c>
      <c r="JI64" s="393">
        <v>17291</v>
      </c>
      <c r="JJ64" s="394">
        <f t="shared" si="561"/>
        <v>2754</v>
      </c>
      <c r="JK64" s="393">
        <v>1586</v>
      </c>
      <c r="JL64" s="393">
        <v>1168</v>
      </c>
      <c r="JM64" s="395">
        <f t="shared" si="562"/>
        <v>2640</v>
      </c>
      <c r="JN64" s="395">
        <f t="shared" si="563"/>
        <v>1431</v>
      </c>
      <c r="JO64" s="395">
        <f t="shared" si="564"/>
        <v>1209</v>
      </c>
      <c r="JP64" s="396">
        <f t="shared" si="565"/>
        <v>368</v>
      </c>
      <c r="JQ64" s="396">
        <f t="shared" si="566"/>
        <v>221</v>
      </c>
      <c r="JR64" s="396">
        <f t="shared" si="567"/>
        <v>147</v>
      </c>
      <c r="JS64" s="397">
        <v>2272</v>
      </c>
      <c r="JT64" s="397">
        <v>1210</v>
      </c>
      <c r="JU64" s="397">
        <v>1062</v>
      </c>
      <c r="JV64" s="278">
        <f t="shared" si="568"/>
        <v>136285</v>
      </c>
      <c r="JW64" s="392">
        <f t="shared" si="569"/>
        <v>67382</v>
      </c>
      <c r="JX64" s="392">
        <f t="shared" si="570"/>
        <v>68903</v>
      </c>
      <c r="JY64" s="260">
        <f t="shared" si="571"/>
        <v>91006</v>
      </c>
      <c r="JZ64" s="261">
        <f t="shared" si="572"/>
        <v>88176</v>
      </c>
      <c r="KA64" s="393">
        <v>46081</v>
      </c>
      <c r="KB64" s="393">
        <v>42095</v>
      </c>
      <c r="KC64" s="393">
        <v>21301</v>
      </c>
      <c r="KD64" s="393">
        <v>26808</v>
      </c>
      <c r="KE64" s="260">
        <f t="shared" si="573"/>
        <v>39803</v>
      </c>
      <c r="KF64" s="261">
        <f t="shared" si="574"/>
        <v>39448</v>
      </c>
      <c r="KG64" s="393">
        <v>17094</v>
      </c>
      <c r="KH64" s="393">
        <v>22354</v>
      </c>
      <c r="KI64" s="260">
        <f t="shared" si="575"/>
        <v>4512</v>
      </c>
      <c r="KJ64" s="393">
        <v>2199</v>
      </c>
      <c r="KK64" s="393">
        <v>2313</v>
      </c>
      <c r="KL64" s="260">
        <f t="shared" si="576"/>
        <v>5476</v>
      </c>
      <c r="KM64" s="398">
        <f t="shared" si="577"/>
        <v>2008</v>
      </c>
      <c r="KN64" s="399">
        <f t="shared" si="578"/>
        <v>2141</v>
      </c>
      <c r="KO64" s="400">
        <f t="shared" si="579"/>
        <v>151</v>
      </c>
      <c r="KP64" s="400">
        <f t="shared" si="580"/>
        <v>67</v>
      </c>
      <c r="KQ64" s="400">
        <f t="shared" si="581"/>
        <v>84</v>
      </c>
      <c r="KR64" s="401">
        <f t="shared" si="582"/>
        <v>3998</v>
      </c>
      <c r="KS64" s="401">
        <f t="shared" si="583"/>
        <v>1941</v>
      </c>
      <c r="KT64" s="401">
        <f t="shared" si="584"/>
        <v>2057</v>
      </c>
      <c r="KU64" s="393">
        <v>95</v>
      </c>
      <c r="KV64" s="393">
        <v>75</v>
      </c>
      <c r="KW64" s="393">
        <v>1846</v>
      </c>
      <c r="KX64" s="393">
        <v>1982</v>
      </c>
      <c r="KY64" s="402">
        <v>150237</v>
      </c>
      <c r="KZ64" s="397">
        <v>74203</v>
      </c>
      <c r="LA64" s="393">
        <v>76034</v>
      </c>
      <c r="LB64" s="262">
        <f t="shared" si="585"/>
        <v>99609</v>
      </c>
      <c r="LC64" s="262">
        <v>52181</v>
      </c>
      <c r="LD64" s="262">
        <v>47428</v>
      </c>
      <c r="LE64" s="263">
        <f t="shared" si="586"/>
        <v>95247</v>
      </c>
      <c r="LF64" s="393">
        <v>49794</v>
      </c>
      <c r="LG64" s="393">
        <v>45453</v>
      </c>
      <c r="LH64" s="262">
        <f t="shared" si="587"/>
        <v>39070</v>
      </c>
      <c r="LI64" s="393">
        <v>16676</v>
      </c>
      <c r="LJ64" s="393">
        <v>22394</v>
      </c>
      <c r="LK64" s="262">
        <f t="shared" si="588"/>
        <v>6541</v>
      </c>
      <c r="LL64" s="393">
        <v>3387</v>
      </c>
      <c r="LM64" s="393">
        <v>3154</v>
      </c>
      <c r="LN64" s="263">
        <f t="shared" si="589"/>
        <v>11558</v>
      </c>
      <c r="LO64" s="263">
        <f t="shared" si="590"/>
        <v>5346</v>
      </c>
      <c r="LP64" s="263">
        <f t="shared" si="591"/>
        <v>6212</v>
      </c>
      <c r="LQ64" s="403">
        <v>180612</v>
      </c>
      <c r="LR64" s="397">
        <v>119750</v>
      </c>
      <c r="LS64" s="393">
        <v>44211</v>
      </c>
      <c r="LT64" s="393">
        <v>16651</v>
      </c>
      <c r="LU64" s="262">
        <v>9620</v>
      </c>
      <c r="LV64" s="402">
        <v>189395</v>
      </c>
      <c r="LW64" s="257">
        <v>126038</v>
      </c>
      <c r="LX64" s="257">
        <v>45186</v>
      </c>
      <c r="LY64" s="258">
        <v>18171</v>
      </c>
      <c r="LZ64" s="257">
        <v>10390</v>
      </c>
      <c r="MA64" s="402">
        <v>196824</v>
      </c>
      <c r="MB64" s="257">
        <v>133069</v>
      </c>
      <c r="MC64" s="257">
        <v>46357</v>
      </c>
      <c r="MD64" s="258">
        <v>17398</v>
      </c>
      <c r="ME64" s="257">
        <v>10642</v>
      </c>
      <c r="MF64" s="259">
        <v>201887</v>
      </c>
      <c r="MG64" s="257">
        <v>137253</v>
      </c>
      <c r="MH64" s="257">
        <v>44663</v>
      </c>
      <c r="MI64" s="257">
        <v>19971</v>
      </c>
      <c r="MJ64" s="257">
        <v>11743</v>
      </c>
      <c r="MK64" s="259">
        <v>211262.337</v>
      </c>
      <c r="ML64" s="257">
        <v>145632.11199999999</v>
      </c>
      <c r="MM64" s="257">
        <v>45291.961000000003</v>
      </c>
      <c r="MN64" s="257">
        <v>13064.814</v>
      </c>
      <c r="MO64" s="257">
        <v>20338.264000000003</v>
      </c>
      <c r="MP64" s="257">
        <v>221651</v>
      </c>
      <c r="MQ64" s="257">
        <v>152527</v>
      </c>
      <c r="MR64" s="257">
        <v>47452</v>
      </c>
      <c r="MS64" s="257">
        <v>13392</v>
      </c>
      <c r="MT64" s="2">
        <v>21597</v>
      </c>
      <c r="MU64" s="2">
        <v>236924</v>
      </c>
      <c r="MV64" s="2">
        <v>154016</v>
      </c>
      <c r="MW64" s="2">
        <v>49014</v>
      </c>
      <c r="MX64" s="2">
        <v>16065</v>
      </c>
      <c r="MY64" s="2">
        <v>11318</v>
      </c>
      <c r="MZ64" s="259">
        <v>70393</v>
      </c>
      <c r="NA64" s="257">
        <v>50755</v>
      </c>
      <c r="NB64" s="257">
        <v>16866</v>
      </c>
      <c r="NC64" s="257">
        <v>2394</v>
      </c>
      <c r="ND64" s="257">
        <v>2772</v>
      </c>
      <c r="NE64" s="259">
        <v>80741</v>
      </c>
      <c r="NF64" s="257">
        <v>58249</v>
      </c>
      <c r="NG64" s="257">
        <v>16479</v>
      </c>
      <c r="NH64" s="257">
        <v>3703</v>
      </c>
      <c r="NI64" s="257">
        <v>6013</v>
      </c>
      <c r="NJ64" s="259">
        <v>111799</v>
      </c>
      <c r="NK64" s="257">
        <v>79506</v>
      </c>
      <c r="NL64" s="257">
        <v>20206</v>
      </c>
      <c r="NM64" s="257">
        <v>6476</v>
      </c>
      <c r="NN64" s="257">
        <v>12087</v>
      </c>
      <c r="NO64" s="259">
        <v>117506.86199999999</v>
      </c>
      <c r="NP64" s="257">
        <v>85010.978000000003</v>
      </c>
      <c r="NQ64" s="257">
        <v>20494.100000000002</v>
      </c>
      <c r="NR64" s="257">
        <v>7576.884</v>
      </c>
      <c r="NS64" s="628">
        <v>12001.783999999989</v>
      </c>
      <c r="NT64" s="4">
        <v>122548</v>
      </c>
      <c r="NU64" s="4">
        <v>88643</v>
      </c>
      <c r="NV64" s="4">
        <v>21225</v>
      </c>
      <c r="NW64" s="4">
        <v>8154</v>
      </c>
      <c r="NX64" s="233">
        <v>12662</v>
      </c>
      <c r="NY64" s="2">
        <v>135199</v>
      </c>
      <c r="NZ64" s="2">
        <v>92561</v>
      </c>
      <c r="OA64" s="2">
        <v>21927</v>
      </c>
      <c r="OB64" s="2">
        <v>9764</v>
      </c>
      <c r="OC64" s="2">
        <v>11495</v>
      </c>
    </row>
    <row r="65" spans="2:384" ht="12.75" customHeight="1" x14ac:dyDescent="0.2">
      <c r="B65" s="236"/>
      <c r="C65" s="236"/>
      <c r="D65" s="236"/>
      <c r="E65" s="236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236"/>
      <c r="AG65" s="236"/>
      <c r="AH65" s="236"/>
      <c r="AI65" s="236"/>
      <c r="AJ65" s="236"/>
      <c r="AK65" s="236"/>
      <c r="AL65" s="236"/>
      <c r="AM65" s="236"/>
      <c r="AN65" s="236"/>
      <c r="AO65" s="236"/>
      <c r="AP65" s="549"/>
      <c r="AQ65" s="549"/>
      <c r="AR65" s="549"/>
      <c r="AS65" s="549"/>
      <c r="AT65" s="549"/>
      <c r="AU65" s="612"/>
      <c r="AV65" s="612"/>
      <c r="AW65" s="612"/>
      <c r="AX65" s="612"/>
      <c r="AY65" s="612"/>
      <c r="AZ65" s="664"/>
      <c r="BA65" s="664"/>
      <c r="BB65" s="664"/>
      <c r="BC65" s="664"/>
      <c r="BD65" s="664"/>
      <c r="BE65" s="577"/>
      <c r="BF65" s="577"/>
      <c r="BG65" s="577"/>
      <c r="BH65" s="577"/>
      <c r="BI65" s="577"/>
      <c r="BJ65" s="236"/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  <c r="BX65" s="236"/>
      <c r="BY65" s="236"/>
      <c r="BZ65" s="236"/>
      <c r="CA65" s="236"/>
      <c r="CB65" s="236"/>
      <c r="CC65" s="236"/>
      <c r="CD65" s="236"/>
      <c r="CE65" s="236"/>
      <c r="CF65" s="236"/>
      <c r="CG65" s="236"/>
      <c r="CH65" s="236"/>
      <c r="CI65" s="236"/>
      <c r="CJ65" s="236"/>
      <c r="CK65" s="236"/>
      <c r="CL65" s="236"/>
      <c r="CM65" s="207"/>
      <c r="CN65" s="250"/>
      <c r="CO65" s="250"/>
      <c r="CP65" s="250"/>
      <c r="CQ65" s="250"/>
      <c r="CR65" s="549"/>
      <c r="CS65" s="549"/>
      <c r="CT65" s="549"/>
      <c r="CU65" s="549"/>
      <c r="CV65" s="549"/>
      <c r="CW65" s="578"/>
      <c r="CX65" s="578"/>
      <c r="CY65" s="578"/>
      <c r="CZ65" s="578"/>
      <c r="DA65" s="587"/>
      <c r="DB65" s="587"/>
      <c r="DC65" s="587"/>
      <c r="DD65" s="587"/>
      <c r="DE65" s="587"/>
      <c r="DF65" s="587"/>
      <c r="DG65" s="587"/>
      <c r="DH65" s="587"/>
      <c r="DI65" s="587"/>
      <c r="DJ65" s="587"/>
      <c r="DK65" s="587"/>
      <c r="DL65" s="236"/>
      <c r="DM65" s="236"/>
      <c r="DN65" s="236"/>
      <c r="DO65" s="236"/>
      <c r="DP65" s="236"/>
      <c r="DQ65" s="236"/>
      <c r="DR65" s="236"/>
      <c r="DS65" s="236"/>
      <c r="DT65" s="236"/>
      <c r="DU65" s="236"/>
      <c r="DV65" s="236"/>
      <c r="DW65" s="236"/>
      <c r="DX65" s="236"/>
      <c r="DY65" s="236"/>
      <c r="DZ65" s="236"/>
      <c r="EA65" s="578"/>
      <c r="EB65" s="578"/>
      <c r="EC65" s="578"/>
      <c r="ED65" s="578"/>
      <c r="EE65" s="578"/>
      <c r="EF65" s="578"/>
      <c r="EG65" s="578"/>
      <c r="EH65" s="578"/>
      <c r="EI65" s="578"/>
      <c r="EJ65" s="578"/>
      <c r="EK65" s="644"/>
      <c r="EL65" s="644"/>
      <c r="EM65" s="644"/>
      <c r="EN65" s="644"/>
      <c r="EO65" s="644"/>
      <c r="EP65" s="664"/>
      <c r="EQ65" s="664"/>
      <c r="ER65" s="664"/>
      <c r="ES65" s="664"/>
      <c r="ET65" s="664"/>
      <c r="EU65" s="236"/>
      <c r="EV65" s="236"/>
      <c r="EW65" s="236"/>
      <c r="EX65" s="236"/>
      <c r="EY65" s="236"/>
      <c r="EZ65" s="236"/>
      <c r="FA65" s="236"/>
      <c r="FB65" s="236"/>
      <c r="FC65" s="236"/>
      <c r="FD65" s="236"/>
      <c r="HC65" s="236"/>
      <c r="HD65" s="236"/>
      <c r="HE65" s="236"/>
      <c r="HF65" s="236"/>
      <c r="HG65" s="236"/>
      <c r="HH65" s="236"/>
      <c r="HI65" s="236"/>
      <c r="HJ65" s="236"/>
      <c r="HK65" s="236"/>
      <c r="HL65" s="236"/>
      <c r="IB65" s="236"/>
      <c r="IC65" s="236"/>
      <c r="JB65" s="236"/>
      <c r="JG65" s="236"/>
      <c r="JJ65" s="236"/>
      <c r="JV65" s="236"/>
      <c r="JY65" s="236"/>
      <c r="JZ65" s="236"/>
      <c r="KE65" s="236"/>
      <c r="KF65" s="236"/>
      <c r="KI65" s="236"/>
      <c r="KL65" s="236"/>
      <c r="LB65" s="136"/>
      <c r="LC65" s="136"/>
      <c r="LD65" s="136"/>
      <c r="LE65" s="256"/>
      <c r="LH65" s="136"/>
      <c r="LK65" s="136"/>
      <c r="LN65" s="136"/>
      <c r="LU65" s="136"/>
      <c r="LV65" s="236"/>
      <c r="LW65" s="236"/>
      <c r="LX65" s="236"/>
      <c r="LY65" s="236"/>
      <c r="LZ65" s="236"/>
      <c r="MA65" s="207"/>
      <c r="MZ65" s="236"/>
      <c r="NA65" s="236"/>
      <c r="NB65" s="236"/>
      <c r="NC65" s="236"/>
      <c r="ND65" s="236"/>
      <c r="NE65" s="236"/>
      <c r="NF65" s="236"/>
      <c r="NG65" s="236"/>
      <c r="NH65" s="236"/>
      <c r="NI65" s="236"/>
      <c r="NJ65" s="549"/>
      <c r="NK65" s="549"/>
      <c r="NL65" s="549"/>
      <c r="NM65" s="549"/>
      <c r="NN65" s="549"/>
      <c r="NO65" s="578"/>
      <c r="NP65" s="578"/>
      <c r="NQ65" s="578"/>
      <c r="NR65" s="578"/>
      <c r="NS65" s="578"/>
    </row>
    <row r="66" spans="2:384" ht="12.75" customHeight="1" x14ac:dyDescent="0.2">
      <c r="B66" s="571"/>
      <c r="C66" s="571"/>
      <c r="D66" s="571"/>
      <c r="E66" s="571"/>
      <c r="F66" s="571"/>
      <c r="G66" s="571"/>
      <c r="H66" s="571"/>
      <c r="I66" s="571"/>
      <c r="J66" s="571"/>
      <c r="K66" s="571"/>
      <c r="L66" s="571"/>
      <c r="M66" s="571"/>
      <c r="N66" s="571"/>
      <c r="O66" s="571"/>
      <c r="P66" s="571"/>
      <c r="Q66" s="619" t="s">
        <v>209</v>
      </c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571"/>
      <c r="AG66" s="571"/>
      <c r="AH66" s="571"/>
      <c r="AI66" s="571"/>
      <c r="AJ66" s="571"/>
      <c r="AK66" s="571"/>
      <c r="AL66" s="571"/>
      <c r="AM66" s="571"/>
      <c r="AN66" s="571"/>
      <c r="AO66" s="571"/>
      <c r="AP66" s="228" t="s">
        <v>209</v>
      </c>
      <c r="AQ66" s="571"/>
      <c r="AR66" s="571"/>
      <c r="AS66" s="571"/>
      <c r="AT66" s="571"/>
      <c r="AU66" s="612"/>
      <c r="AV66" s="612"/>
      <c r="AW66" s="612"/>
      <c r="AX66" s="612"/>
      <c r="AY66" s="612"/>
      <c r="AZ66" s="664"/>
      <c r="BA66" s="664"/>
      <c r="BB66" s="664"/>
      <c r="BC66" s="664"/>
      <c r="BD66" s="664"/>
      <c r="BE66" s="228"/>
      <c r="BF66" s="577"/>
      <c r="BG66" s="577"/>
      <c r="BH66" s="577"/>
      <c r="BI66" s="577"/>
      <c r="BJ66" s="571"/>
      <c r="BK66" s="571"/>
      <c r="BL66" s="571"/>
      <c r="BM66" s="571"/>
      <c r="BN66" s="571"/>
      <c r="BO66" s="571"/>
      <c r="BP66" s="571"/>
      <c r="BQ66" s="571"/>
      <c r="BR66" s="571"/>
      <c r="BS66" s="571"/>
      <c r="BT66" s="571"/>
      <c r="BU66" s="571"/>
      <c r="BV66" s="571"/>
      <c r="BW66" s="571"/>
      <c r="BX66" s="571"/>
      <c r="BY66" s="571"/>
      <c r="BZ66" s="571"/>
      <c r="CA66" s="571"/>
      <c r="CB66" s="571"/>
      <c r="CC66" s="571"/>
      <c r="CD66" s="571"/>
      <c r="CE66" s="571"/>
      <c r="CF66" s="571"/>
      <c r="CG66" s="571"/>
      <c r="CH66" s="571"/>
      <c r="CI66" s="571"/>
      <c r="CJ66" s="571"/>
      <c r="CK66" s="571"/>
      <c r="CL66" s="571"/>
      <c r="CM66" s="250"/>
      <c r="CN66" s="250"/>
      <c r="CO66" s="250"/>
      <c r="CP66" s="250"/>
      <c r="CQ66" s="250"/>
      <c r="CR66" s="228" t="s">
        <v>209</v>
      </c>
      <c r="CS66" s="571"/>
      <c r="CT66" s="571"/>
      <c r="CU66" s="571"/>
      <c r="CV66" s="571"/>
      <c r="CW66" s="228"/>
      <c r="CX66" s="578"/>
      <c r="CY66" s="578"/>
      <c r="CZ66" s="578"/>
      <c r="DA66" s="587"/>
      <c r="DB66" s="587"/>
      <c r="DC66" s="587"/>
      <c r="DD66" s="587"/>
      <c r="DE66" s="587"/>
      <c r="DF66" s="587"/>
      <c r="DG66" s="587"/>
      <c r="DH66" s="587"/>
      <c r="DI66" s="587"/>
      <c r="DJ66" s="587"/>
      <c r="DK66" s="587"/>
      <c r="DL66" s="571"/>
      <c r="DM66" s="571"/>
      <c r="DN66" s="571"/>
      <c r="DO66" s="571"/>
      <c r="DP66" s="571"/>
      <c r="DQ66" s="571"/>
      <c r="DR66" s="571"/>
      <c r="DS66" s="571"/>
      <c r="DT66" s="571"/>
      <c r="DU66" s="571"/>
      <c r="DV66" s="571"/>
      <c r="DW66" s="571"/>
      <c r="DX66" s="571"/>
      <c r="DY66" s="571"/>
      <c r="DZ66" s="571"/>
      <c r="EA66" s="578" t="s">
        <v>209</v>
      </c>
      <c r="EB66" s="578"/>
      <c r="EC66" s="578"/>
      <c r="ED66" s="578"/>
      <c r="EE66" s="578"/>
      <c r="EF66" s="578"/>
      <c r="EG66" s="578"/>
      <c r="EH66" s="578"/>
      <c r="EI66" s="578"/>
      <c r="EJ66" s="578"/>
      <c r="EK66" s="644"/>
      <c r="EL66" s="644"/>
      <c r="EM66" s="644"/>
      <c r="EN66" s="644"/>
      <c r="EO66" s="644"/>
      <c r="EP66" s="664"/>
      <c r="EQ66" s="664"/>
      <c r="ER66" s="664"/>
      <c r="ES66" s="664"/>
      <c r="ET66" s="664"/>
      <c r="EU66" s="571"/>
      <c r="EV66" s="571"/>
      <c r="EW66" s="571"/>
      <c r="EX66" s="571"/>
      <c r="EY66" s="571"/>
      <c r="EZ66" s="571"/>
      <c r="FA66" s="571"/>
      <c r="FB66" s="571"/>
      <c r="FC66" s="571"/>
      <c r="FD66" s="571"/>
      <c r="FE66" s="228" t="s">
        <v>209</v>
      </c>
      <c r="GI66" s="228" t="s">
        <v>209</v>
      </c>
      <c r="GN66" s="228"/>
      <c r="HC66" s="571"/>
      <c r="HD66" s="571"/>
      <c r="HE66" s="571"/>
      <c r="HF66" s="571"/>
      <c r="HG66" s="571"/>
      <c r="HH66" s="571"/>
      <c r="HI66" s="571"/>
      <c r="HJ66" s="571"/>
      <c r="HK66" s="571"/>
      <c r="HL66" s="571"/>
      <c r="HM66" s="228" t="s">
        <v>209</v>
      </c>
      <c r="HR66" s="228"/>
      <c r="IB66" s="571"/>
      <c r="IC66" s="571"/>
      <c r="JB66" s="571"/>
      <c r="JG66" s="571"/>
      <c r="JJ66" s="571"/>
      <c r="JV66" s="571"/>
      <c r="JY66" s="571"/>
      <c r="JZ66" s="571"/>
      <c r="KE66" s="571"/>
      <c r="KF66" s="571"/>
      <c r="KI66" s="571"/>
      <c r="KL66" s="571"/>
      <c r="LB66" s="136"/>
      <c r="LC66" s="136"/>
      <c r="LD66" s="136"/>
      <c r="LE66" s="256"/>
      <c r="LH66" s="136"/>
      <c r="LK66" s="136"/>
      <c r="LN66" s="136"/>
      <c r="LU66" s="136"/>
      <c r="LV66" s="571"/>
      <c r="LW66" s="571"/>
      <c r="LX66" s="571"/>
      <c r="LY66" s="571"/>
      <c r="LZ66" s="571"/>
      <c r="MA66" s="250"/>
      <c r="MF66" s="228" t="s">
        <v>209</v>
      </c>
      <c r="MK66" s="228"/>
      <c r="MZ66" s="571"/>
      <c r="NA66" s="571"/>
      <c r="NB66" s="571"/>
      <c r="NC66" s="571"/>
      <c r="ND66" s="571"/>
      <c r="NE66" s="571"/>
      <c r="NF66" s="571"/>
      <c r="NG66" s="571"/>
      <c r="NH66" s="571"/>
      <c r="NI66" s="571"/>
      <c r="NJ66" s="228" t="s">
        <v>209</v>
      </c>
      <c r="NK66" s="571"/>
      <c r="NL66" s="571"/>
      <c r="NM66" s="571"/>
      <c r="NN66" s="571"/>
      <c r="NO66" s="228"/>
      <c r="NP66" s="578"/>
      <c r="NQ66" s="578"/>
      <c r="NR66" s="578"/>
      <c r="NS66" s="578"/>
      <c r="NT66" s="228" t="s">
        <v>209</v>
      </c>
    </row>
    <row r="67" spans="2:384" s="228" customFormat="1" ht="319.5" customHeight="1" x14ac:dyDescent="0.2">
      <c r="B67" s="8" t="s">
        <v>155</v>
      </c>
      <c r="C67" s="236"/>
      <c r="D67" s="236"/>
      <c r="E67" s="236"/>
      <c r="F67" s="236"/>
      <c r="G67" s="236" t="s">
        <v>154</v>
      </c>
      <c r="H67" s="236" t="s">
        <v>152</v>
      </c>
      <c r="I67" s="236" t="s">
        <v>152</v>
      </c>
      <c r="J67" s="236" t="s">
        <v>153</v>
      </c>
      <c r="K67" s="236" t="s">
        <v>152</v>
      </c>
      <c r="L67" s="236" t="s">
        <v>75</v>
      </c>
      <c r="M67" s="236" t="s">
        <v>156</v>
      </c>
      <c r="N67" s="236" t="s">
        <v>157</v>
      </c>
      <c r="O67" s="236" t="s">
        <v>158</v>
      </c>
      <c r="P67" s="236" t="s">
        <v>159</v>
      </c>
      <c r="Q67" s="136" t="s">
        <v>208</v>
      </c>
      <c r="R67" s="136"/>
      <c r="S67" s="136"/>
      <c r="T67" s="136"/>
      <c r="U67" s="136"/>
      <c r="V67" s="200" t="s">
        <v>220</v>
      </c>
      <c r="W67" s="136"/>
      <c r="X67" s="136"/>
      <c r="Y67" s="136"/>
      <c r="Z67" s="136"/>
      <c r="AA67" s="136"/>
      <c r="AB67" s="136"/>
      <c r="AC67" s="136"/>
      <c r="AD67" s="136"/>
      <c r="AE67" s="136"/>
      <c r="AF67" s="236" t="s">
        <v>154</v>
      </c>
      <c r="AG67" s="236" t="s">
        <v>152</v>
      </c>
      <c r="AH67" s="236" t="s">
        <v>152</v>
      </c>
      <c r="AI67" s="236" t="s">
        <v>153</v>
      </c>
      <c r="AJ67" s="236" t="s">
        <v>152</v>
      </c>
      <c r="AK67" s="236" t="s">
        <v>160</v>
      </c>
      <c r="AL67" s="236" t="s">
        <v>161</v>
      </c>
      <c r="AM67" s="236" t="s">
        <v>157</v>
      </c>
      <c r="AN67" s="236" t="s">
        <v>162</v>
      </c>
      <c r="AO67" s="236" t="s">
        <v>159</v>
      </c>
      <c r="AP67" s="571" t="s">
        <v>208</v>
      </c>
      <c r="AQ67" s="549"/>
      <c r="AR67" s="549"/>
      <c r="AS67" s="549"/>
      <c r="AT67" s="549"/>
      <c r="AU67" s="200" t="s">
        <v>220</v>
      </c>
      <c r="AV67" s="612"/>
      <c r="AW67" s="612"/>
      <c r="AX67" s="612"/>
      <c r="AY67" s="612"/>
      <c r="AZ67" s="664"/>
      <c r="BA67" s="664"/>
      <c r="BB67" s="664"/>
      <c r="BC67" s="664"/>
      <c r="BD67" s="664"/>
      <c r="BE67" s="577"/>
      <c r="BF67" s="577"/>
      <c r="BG67" s="577"/>
      <c r="BH67" s="577"/>
      <c r="BI67" s="577"/>
      <c r="BJ67" s="236"/>
      <c r="BK67" s="236"/>
      <c r="BL67" s="236"/>
      <c r="BM67" s="236"/>
      <c r="BN67" s="8" t="s">
        <v>155</v>
      </c>
      <c r="BO67" s="236"/>
      <c r="BP67" s="236"/>
      <c r="BQ67" s="236"/>
      <c r="BR67" s="236"/>
      <c r="BS67" s="236" t="s">
        <v>154</v>
      </c>
      <c r="BT67" s="236" t="s">
        <v>152</v>
      </c>
      <c r="BU67" s="236" t="s">
        <v>152</v>
      </c>
      <c r="BV67" s="236" t="s">
        <v>153</v>
      </c>
      <c r="BW67" s="236" t="s">
        <v>152</v>
      </c>
      <c r="BX67" s="236" t="s">
        <v>160</v>
      </c>
      <c r="BY67" s="236" t="s">
        <v>156</v>
      </c>
      <c r="BZ67" s="236" t="s">
        <v>157</v>
      </c>
      <c r="CA67" s="236" t="s">
        <v>162</v>
      </c>
      <c r="CB67" s="236" t="s">
        <v>159</v>
      </c>
      <c r="CC67" s="290" t="s">
        <v>149</v>
      </c>
      <c r="CD67" s="236"/>
      <c r="CE67" s="236"/>
      <c r="CF67" s="236"/>
      <c r="CG67" s="236"/>
      <c r="CH67" s="290" t="s">
        <v>168</v>
      </c>
      <c r="CI67" s="236"/>
      <c r="CJ67" s="236"/>
      <c r="CK67" s="236"/>
      <c r="CL67" s="236"/>
      <c r="CM67" s="200" t="s">
        <v>192</v>
      </c>
      <c r="CN67" s="250"/>
      <c r="CO67" s="250"/>
      <c r="CP67" s="250"/>
      <c r="CQ67" s="250"/>
      <c r="CR67" s="571" t="s">
        <v>208</v>
      </c>
      <c r="CS67" s="549"/>
      <c r="CT67" s="549"/>
      <c r="CU67" s="549"/>
      <c r="CV67" s="549"/>
      <c r="CW67" s="578"/>
      <c r="CX67" s="578"/>
      <c r="CY67" s="578"/>
      <c r="CZ67" s="578"/>
      <c r="DA67" s="587"/>
      <c r="DB67" s="200" t="s">
        <v>220</v>
      </c>
      <c r="DC67" s="587"/>
      <c r="DD67" s="587"/>
      <c r="DE67" s="587"/>
      <c r="DF67" s="587"/>
      <c r="DG67" s="587"/>
      <c r="DH67" s="587"/>
      <c r="DI67" s="587"/>
      <c r="DJ67" s="587"/>
      <c r="DK67" s="587"/>
      <c r="DL67" s="8" t="s">
        <v>155</v>
      </c>
      <c r="DM67" s="236"/>
      <c r="DN67" s="236"/>
      <c r="DO67" s="236"/>
      <c r="DP67" s="236"/>
      <c r="DQ67" s="236" t="s">
        <v>154</v>
      </c>
      <c r="DR67" s="236" t="s">
        <v>152</v>
      </c>
      <c r="DS67" s="236" t="s">
        <v>152</v>
      </c>
      <c r="DT67" s="236" t="s">
        <v>153</v>
      </c>
      <c r="DU67" s="236" t="s">
        <v>152</v>
      </c>
      <c r="DV67" s="236" t="s">
        <v>160</v>
      </c>
      <c r="DW67" s="236" t="s">
        <v>156</v>
      </c>
      <c r="DX67" s="236" t="s">
        <v>163</v>
      </c>
      <c r="DY67" s="236" t="s">
        <v>162</v>
      </c>
      <c r="DZ67" s="236" t="s">
        <v>159</v>
      </c>
      <c r="EA67" s="578" t="s">
        <v>208</v>
      </c>
      <c r="EB67" s="578"/>
      <c r="EC67" s="578"/>
      <c r="ED67" s="578"/>
      <c r="EE67" s="578"/>
      <c r="EF67" s="578"/>
      <c r="EG67" s="578"/>
      <c r="EH67" s="578"/>
      <c r="EI67" s="578"/>
      <c r="EJ67" s="578"/>
      <c r="EK67" s="644"/>
      <c r="EL67" s="644"/>
      <c r="EM67" s="644"/>
      <c r="EN67" s="644"/>
      <c r="EO67" s="644"/>
      <c r="EP67" s="664"/>
      <c r="EQ67" s="664"/>
      <c r="ER67" s="664"/>
      <c r="ES67" s="664"/>
      <c r="ET67" s="664"/>
      <c r="EU67" s="236" t="s">
        <v>154</v>
      </c>
      <c r="EV67" s="236" t="s">
        <v>152</v>
      </c>
      <c r="EW67" s="236" t="s">
        <v>152</v>
      </c>
      <c r="EX67" s="236" t="s">
        <v>153</v>
      </c>
      <c r="EY67" s="236" t="s">
        <v>152</v>
      </c>
      <c r="EZ67" s="236" t="s">
        <v>164</v>
      </c>
      <c r="FA67" s="236" t="s">
        <v>156</v>
      </c>
      <c r="FB67" s="236" t="s">
        <v>163</v>
      </c>
      <c r="FC67" s="236" t="s">
        <v>162</v>
      </c>
      <c r="FD67" s="236" t="s">
        <v>165</v>
      </c>
      <c r="FE67" s="571" t="s">
        <v>208</v>
      </c>
      <c r="FF67" s="549"/>
      <c r="FG67" s="549"/>
      <c r="FH67" s="549"/>
      <c r="FI67" s="549"/>
      <c r="FJ67" s="578"/>
      <c r="FK67" s="578"/>
      <c r="FL67" s="578"/>
      <c r="FM67" s="578"/>
      <c r="FN67" s="578"/>
      <c r="FO67" s="644"/>
      <c r="FP67" s="644"/>
      <c r="FQ67" s="644"/>
      <c r="FR67" s="644"/>
      <c r="FS67" s="644"/>
      <c r="FT67" s="664"/>
      <c r="FU67" s="664"/>
      <c r="FV67" s="664"/>
      <c r="FW67" s="664"/>
      <c r="FX67" s="664"/>
      <c r="FY67" s="578"/>
      <c r="FZ67" s="578"/>
      <c r="GA67" s="578"/>
      <c r="GB67" s="578"/>
      <c r="GC67" s="578"/>
      <c r="GD67" s="578"/>
      <c r="GE67" s="578"/>
      <c r="GF67" s="578"/>
      <c r="GG67" s="578"/>
      <c r="GH67" s="578"/>
      <c r="GI67" s="571" t="s">
        <v>208</v>
      </c>
      <c r="GJ67" s="549"/>
      <c r="GK67" s="549"/>
      <c r="GL67" s="549"/>
      <c r="GM67" s="549"/>
      <c r="GN67" s="578"/>
      <c r="GO67" s="578"/>
      <c r="GP67" s="578"/>
      <c r="GQ67" s="578"/>
      <c r="GR67" s="578"/>
      <c r="GS67" s="644"/>
      <c r="GT67" s="644"/>
      <c r="GU67" s="644"/>
      <c r="GV67" s="644"/>
      <c r="GW67" s="644"/>
      <c r="GX67" s="664"/>
      <c r="GY67" s="664"/>
      <c r="GZ67" s="664"/>
      <c r="HA67" s="664"/>
      <c r="HB67" s="664"/>
      <c r="HC67" s="236" t="s">
        <v>154</v>
      </c>
      <c r="HD67" s="236" t="s">
        <v>152</v>
      </c>
      <c r="HE67" s="236" t="s">
        <v>152</v>
      </c>
      <c r="HF67" s="236" t="s">
        <v>153</v>
      </c>
      <c r="HG67" s="236" t="s">
        <v>152</v>
      </c>
      <c r="HH67" s="236" t="s">
        <v>164</v>
      </c>
      <c r="HI67" s="236" t="s">
        <v>156</v>
      </c>
      <c r="HJ67" s="236" t="s">
        <v>163</v>
      </c>
      <c r="HK67" s="236" t="s">
        <v>162</v>
      </c>
      <c r="HL67" s="236" t="s">
        <v>165</v>
      </c>
      <c r="HM67" s="571" t="s">
        <v>208</v>
      </c>
      <c r="HN67" s="549"/>
      <c r="HO67" s="549"/>
      <c r="HP67" s="549"/>
      <c r="HQ67" s="549"/>
      <c r="HR67" s="578"/>
      <c r="HS67" s="578"/>
      <c r="HT67" s="578"/>
      <c r="HU67" s="578"/>
      <c r="HV67" s="578"/>
      <c r="HW67" s="664"/>
      <c r="HX67" s="664"/>
      <c r="HY67" s="664"/>
      <c r="HZ67" s="664"/>
      <c r="IA67" s="664"/>
      <c r="IB67" s="236" t="s">
        <v>151</v>
      </c>
      <c r="IC67" s="236"/>
      <c r="ID67" s="236" t="s">
        <v>83</v>
      </c>
      <c r="IE67" s="236"/>
      <c r="IF67" s="236"/>
      <c r="IG67" s="236"/>
      <c r="IH67" s="203"/>
      <c r="II67" s="203"/>
      <c r="IJ67" s="236"/>
      <c r="IK67" s="203"/>
      <c r="IL67" s="203"/>
      <c r="IM67" s="203"/>
      <c r="IN67" s="203"/>
      <c r="IO67" s="203"/>
      <c r="IP67" s="203"/>
      <c r="IQ67" s="203"/>
      <c r="IR67" s="203"/>
      <c r="IS67" s="203"/>
      <c r="IT67" s="203"/>
      <c r="IU67" s="203"/>
      <c r="IV67" s="203"/>
      <c r="IW67" s="203"/>
      <c r="IX67" s="203"/>
      <c r="IY67" s="8" t="s">
        <v>150</v>
      </c>
      <c r="IZ67" s="203"/>
      <c r="JA67" s="203"/>
      <c r="JC67" s="203"/>
      <c r="JD67" s="203"/>
      <c r="JE67" s="203"/>
      <c r="JF67" s="203"/>
      <c r="JG67" s="8"/>
      <c r="JH67" s="203"/>
      <c r="JI67" s="203"/>
      <c r="JJ67" s="8"/>
      <c r="JK67" s="203"/>
      <c r="JL67" s="203"/>
      <c r="JM67" s="203"/>
      <c r="JN67" s="203"/>
      <c r="JO67" s="203"/>
      <c r="JP67" s="291"/>
      <c r="JQ67" s="291"/>
      <c r="JR67" s="291"/>
      <c r="JS67" s="203"/>
      <c r="JT67" s="203"/>
      <c r="JU67" s="203"/>
      <c r="JV67" s="236"/>
      <c r="JW67" s="203"/>
      <c r="JX67" s="203"/>
      <c r="JY67" s="236"/>
      <c r="JZ67" s="236"/>
      <c r="KA67" s="203"/>
      <c r="KB67" s="203"/>
      <c r="KC67" s="203"/>
      <c r="KD67" s="203"/>
      <c r="KE67" s="236"/>
      <c r="KF67" s="236"/>
      <c r="KG67" s="203"/>
      <c r="KH67" s="203"/>
      <c r="KI67" s="236"/>
      <c r="KJ67" s="203"/>
      <c r="KK67" s="203"/>
      <c r="KL67" s="236"/>
      <c r="KM67" s="292"/>
      <c r="KN67" s="292"/>
      <c r="KO67" s="293"/>
      <c r="KP67" s="293"/>
      <c r="KQ67" s="293"/>
      <c r="KR67" s="292"/>
      <c r="KS67" s="292"/>
      <c r="KT67" s="292"/>
      <c r="KU67" s="203"/>
      <c r="KV67" s="203"/>
      <c r="KW67" s="203"/>
      <c r="KX67" s="203"/>
      <c r="KY67" s="294"/>
      <c r="KZ67" s="203"/>
      <c r="LA67" s="203"/>
      <c r="LB67" s="136"/>
      <c r="LC67" s="136"/>
      <c r="LD67" s="136"/>
      <c r="LE67" s="256"/>
      <c r="LF67" s="203"/>
      <c r="LG67" s="203"/>
      <c r="LH67" s="136"/>
      <c r="LI67" s="203"/>
      <c r="LJ67" s="203"/>
      <c r="LK67" s="136"/>
      <c r="LL67" s="203"/>
      <c r="LM67" s="203"/>
      <c r="LN67" s="136"/>
      <c r="LQ67" s="290" t="s">
        <v>149</v>
      </c>
      <c r="LR67" s="203"/>
      <c r="LS67" s="203"/>
      <c r="LT67" s="203"/>
      <c r="LU67" s="136"/>
      <c r="LV67" s="290" t="s">
        <v>168</v>
      </c>
      <c r="LW67" s="236"/>
      <c r="LX67" s="236"/>
      <c r="LY67" s="236"/>
      <c r="LZ67" s="236"/>
      <c r="MA67" s="200" t="s">
        <v>192</v>
      </c>
      <c r="MB67" s="208"/>
      <c r="MC67" s="208"/>
      <c r="MD67" s="208"/>
      <c r="ME67" s="208"/>
      <c r="MF67" s="571" t="s">
        <v>208</v>
      </c>
      <c r="MG67" s="541"/>
      <c r="MH67" s="541"/>
      <c r="MI67" s="541"/>
      <c r="MJ67" s="541"/>
      <c r="MK67" s="578"/>
      <c r="ML67" s="578"/>
      <c r="MM67" s="578"/>
      <c r="MN67" s="578"/>
      <c r="MO67" s="578"/>
      <c r="MP67" s="200" t="s">
        <v>220</v>
      </c>
      <c r="MQ67" s="612"/>
      <c r="MR67" s="612"/>
      <c r="MS67" s="612"/>
      <c r="MT67" s="612"/>
      <c r="MU67" s="664"/>
      <c r="MV67" s="664"/>
      <c r="MW67" s="664"/>
      <c r="MX67" s="664"/>
      <c r="MY67" s="664"/>
      <c r="MZ67" s="236" t="s">
        <v>154</v>
      </c>
      <c r="NA67" s="236" t="s">
        <v>152</v>
      </c>
      <c r="NB67" s="236" t="s">
        <v>152</v>
      </c>
      <c r="NC67" s="236" t="s">
        <v>153</v>
      </c>
      <c r="ND67" s="236" t="s">
        <v>152</v>
      </c>
      <c r="NE67" s="236" t="s">
        <v>164</v>
      </c>
      <c r="NF67" s="236" t="s">
        <v>156</v>
      </c>
      <c r="NG67" s="236" t="s">
        <v>163</v>
      </c>
      <c r="NH67" s="236" t="s">
        <v>162</v>
      </c>
      <c r="NI67" s="236" t="s">
        <v>165</v>
      </c>
      <c r="NJ67" s="571" t="s">
        <v>208</v>
      </c>
      <c r="NK67" s="549"/>
      <c r="NL67" s="549"/>
      <c r="NM67" s="549"/>
      <c r="NN67" s="549"/>
      <c r="NO67" s="578"/>
      <c r="NP67" s="578"/>
      <c r="NQ67" s="578"/>
      <c r="NR67" s="578"/>
      <c r="NS67" s="578"/>
      <c r="NT67" s="200" t="s">
        <v>220</v>
      </c>
    </row>
    <row r="68" spans="2:384" ht="48" customHeight="1" x14ac:dyDescent="0.2">
      <c r="B68" s="72"/>
      <c r="C68" s="72"/>
      <c r="D68" s="72"/>
      <c r="E68" s="72"/>
      <c r="F68" s="72"/>
      <c r="L68" s="72"/>
      <c r="M68" s="72"/>
      <c r="N68" s="72"/>
      <c r="O68" s="72"/>
      <c r="P68" s="72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64"/>
      <c r="BK68" s="64"/>
      <c r="BL68" s="64"/>
      <c r="BM68" s="64"/>
      <c r="BN68" s="72"/>
      <c r="BO68" s="72"/>
      <c r="BP68" s="72"/>
      <c r="BQ68" s="72"/>
      <c r="BR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252"/>
      <c r="CN68" s="252"/>
      <c r="CO68" s="252"/>
      <c r="CP68" s="252"/>
      <c r="CQ68" s="252"/>
      <c r="CR68" s="72"/>
      <c r="CS68" s="72"/>
      <c r="CT68" s="72"/>
      <c r="CU68" s="72"/>
      <c r="CV68" s="72"/>
      <c r="CW68" s="72"/>
      <c r="CX68" s="72"/>
      <c r="CY68" s="72"/>
      <c r="CZ68" s="72"/>
      <c r="DA68" s="588"/>
      <c r="DB68" s="588"/>
      <c r="DC68" s="588"/>
      <c r="DD68" s="588"/>
      <c r="DE68" s="588"/>
      <c r="DF68" s="588"/>
      <c r="DG68" s="588"/>
      <c r="DH68" s="588"/>
      <c r="DI68" s="588"/>
      <c r="DJ68" s="588"/>
      <c r="DK68" s="588"/>
      <c r="DL68" s="72"/>
      <c r="DM68" s="72"/>
      <c r="DN68" s="72"/>
      <c r="DO68" s="72"/>
      <c r="DP68" s="72"/>
      <c r="DV68" s="75"/>
      <c r="DW68" s="72"/>
      <c r="DX68" s="72"/>
      <c r="DY68" s="72"/>
      <c r="DZ68" s="72"/>
      <c r="EA68" s="75"/>
      <c r="EB68" s="72"/>
      <c r="EC68" s="72"/>
      <c r="ED68" s="72"/>
      <c r="EE68" s="72"/>
      <c r="EF68" s="75"/>
      <c r="EG68" s="72"/>
      <c r="EH68" s="72"/>
      <c r="EI68" s="72"/>
      <c r="EJ68" s="72"/>
      <c r="EK68" s="72"/>
      <c r="EL68" s="72"/>
      <c r="EM68" s="72"/>
      <c r="EN68" s="72"/>
      <c r="EO68" s="72"/>
      <c r="EP68" s="72"/>
      <c r="EQ68" s="72"/>
      <c r="ER68" s="72"/>
      <c r="ES68" s="72"/>
      <c r="ET68" s="72"/>
      <c r="EZ68" s="72"/>
      <c r="FA68" s="64"/>
      <c r="FB68" s="64"/>
      <c r="FC68" s="64"/>
      <c r="FD68" s="64"/>
      <c r="HH68" s="72"/>
      <c r="HI68" s="64"/>
      <c r="HJ68" s="64"/>
      <c r="HK68" s="64"/>
      <c r="HL68" s="64"/>
      <c r="JB68" s="72"/>
      <c r="JG68" s="72"/>
      <c r="JV68" s="64"/>
      <c r="JY68" s="72"/>
      <c r="JZ68" s="72"/>
      <c r="KE68" s="72"/>
      <c r="KF68" s="72"/>
      <c r="KI68" s="72"/>
      <c r="KL68" s="72"/>
      <c r="LB68" s="135"/>
      <c r="LC68" s="135"/>
      <c r="LD68" s="135"/>
      <c r="LE68" s="141"/>
      <c r="LH68" s="135"/>
      <c r="LK68" s="135"/>
      <c r="LN68" s="135"/>
      <c r="LU68" s="135"/>
      <c r="LV68" s="72"/>
      <c r="LW68" s="72"/>
      <c r="LX68" s="72"/>
      <c r="LY68" s="72"/>
      <c r="LZ68" s="72"/>
      <c r="MA68" s="252"/>
      <c r="MF68" s="205" t="s">
        <v>200</v>
      </c>
      <c r="NG68" s="64"/>
      <c r="NH68" s="64"/>
      <c r="NI68" s="64"/>
      <c r="NL68" s="64"/>
      <c r="NM68" s="64"/>
      <c r="NN68" s="64"/>
      <c r="NQ68" s="64"/>
      <c r="NR68" s="64"/>
      <c r="NS68" s="64"/>
    </row>
    <row r="69" spans="2:384" x14ac:dyDescent="0.2">
      <c r="B69" s="72"/>
      <c r="C69" s="72"/>
      <c r="D69" s="72"/>
      <c r="E69" s="72"/>
      <c r="F69" s="72"/>
      <c r="L69" s="72"/>
      <c r="M69" s="72"/>
      <c r="N69" s="72"/>
      <c r="O69" s="72"/>
      <c r="P69" s="72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64"/>
      <c r="BK69" s="64"/>
      <c r="BL69" s="64"/>
      <c r="BM69" s="64"/>
      <c r="BN69" s="72"/>
      <c r="BO69" s="72"/>
      <c r="BP69" s="72"/>
      <c r="BQ69" s="72"/>
      <c r="BR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72"/>
      <c r="CJ69" s="72"/>
      <c r="CK69" s="72"/>
      <c r="CL69" s="72"/>
      <c r="CM69" s="252"/>
      <c r="CN69" s="252"/>
      <c r="CO69" s="252"/>
      <c r="CP69" s="252"/>
      <c r="CQ69" s="252"/>
      <c r="CR69" s="72"/>
      <c r="CS69" s="72"/>
      <c r="CT69" s="72"/>
      <c r="CU69" s="72"/>
      <c r="CV69" s="72"/>
      <c r="CW69" s="72"/>
      <c r="CX69" s="72"/>
      <c r="CY69" s="72"/>
      <c r="CZ69" s="72"/>
      <c r="DA69" s="588"/>
      <c r="DB69" s="588"/>
      <c r="DC69" s="588"/>
      <c r="DD69" s="588"/>
      <c r="DE69" s="588"/>
      <c r="DF69" s="588"/>
      <c r="DG69" s="588"/>
      <c r="DH69" s="588"/>
      <c r="DI69" s="588"/>
      <c r="DJ69" s="588"/>
      <c r="DK69" s="588"/>
      <c r="DL69" s="72"/>
      <c r="DM69" s="72"/>
      <c r="DN69" s="72"/>
      <c r="DO69" s="72"/>
      <c r="DP69" s="72"/>
      <c r="DV69" s="72"/>
      <c r="DW69" s="72"/>
      <c r="DX69" s="72"/>
      <c r="DY69" s="72"/>
      <c r="DZ69" s="72"/>
      <c r="EA69" s="72"/>
      <c r="EB69" s="72"/>
      <c r="EC69" s="72"/>
      <c r="ED69" s="72"/>
      <c r="EE69" s="72"/>
      <c r="EF69" s="72"/>
      <c r="EG69" s="72"/>
      <c r="EH69" s="72"/>
      <c r="EI69" s="72"/>
      <c r="EJ69" s="72"/>
      <c r="EK69" s="72"/>
      <c r="EL69" s="72"/>
      <c r="EM69" s="72"/>
      <c r="EN69" s="72"/>
      <c r="EO69" s="72"/>
      <c r="EP69" s="72"/>
      <c r="EQ69" s="72"/>
      <c r="ER69" s="72"/>
      <c r="ES69" s="72"/>
      <c r="ET69" s="72"/>
      <c r="EZ69" s="72"/>
      <c r="FA69" s="64"/>
      <c r="FB69" s="64"/>
      <c r="FC69" s="64"/>
      <c r="FD69" s="64"/>
      <c r="HH69" s="72"/>
      <c r="HI69" s="64"/>
      <c r="HJ69" s="64"/>
      <c r="HK69" s="64"/>
      <c r="HL69" s="64"/>
      <c r="JB69" s="72"/>
      <c r="JG69" s="72"/>
      <c r="JJ69" s="72"/>
      <c r="JV69" s="64"/>
      <c r="JY69" s="72"/>
      <c r="JZ69" s="72"/>
      <c r="KE69" s="72"/>
      <c r="KF69" s="72"/>
      <c r="KI69" s="72"/>
      <c r="KL69" s="72"/>
      <c r="LB69" s="135"/>
      <c r="LC69" s="135"/>
      <c r="LD69" s="135"/>
      <c r="LE69" s="141"/>
      <c r="LH69" s="135"/>
      <c r="LK69" s="135"/>
      <c r="LN69" s="135"/>
      <c r="LU69" s="135"/>
      <c r="LV69" s="72"/>
      <c r="LW69" s="72"/>
      <c r="LX69" s="72"/>
      <c r="LY69" s="72"/>
      <c r="LZ69" s="72"/>
      <c r="MA69" s="252"/>
      <c r="NG69" s="64"/>
      <c r="NH69" s="64"/>
      <c r="NI69" s="64"/>
      <c r="NL69" s="64"/>
      <c r="NM69" s="64"/>
      <c r="NN69" s="64"/>
      <c r="NQ69" s="64"/>
      <c r="NR69" s="64"/>
      <c r="NS69" s="64"/>
    </row>
    <row r="70" spans="2:384" x14ac:dyDescent="0.2">
      <c r="B70" s="72"/>
      <c r="C70" s="72"/>
      <c r="D70" s="72"/>
      <c r="E70" s="72"/>
      <c r="F70" s="72"/>
      <c r="L70" s="72"/>
      <c r="M70" s="72"/>
      <c r="N70" s="72"/>
      <c r="O70" s="72"/>
      <c r="P70" s="72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64"/>
      <c r="BK70" s="64"/>
      <c r="BL70" s="64"/>
      <c r="BM70" s="64"/>
      <c r="BN70" s="72"/>
      <c r="BO70" s="72"/>
      <c r="BP70" s="72"/>
      <c r="BQ70" s="72"/>
      <c r="BR70" s="72"/>
      <c r="BX70" s="72"/>
      <c r="BY70" s="72"/>
      <c r="BZ70" s="72"/>
      <c r="CA70" s="72"/>
      <c r="CB70" s="72"/>
      <c r="CC70" s="72"/>
      <c r="CD70" s="72"/>
      <c r="CE70" s="72"/>
      <c r="CF70" s="72"/>
      <c r="CG70" s="72"/>
      <c r="CH70" s="72"/>
      <c r="CI70" s="72"/>
      <c r="CJ70" s="72"/>
      <c r="CK70" s="72"/>
      <c r="CL70" s="72"/>
      <c r="CM70" s="252"/>
      <c r="CN70" s="252"/>
      <c r="CO70" s="252"/>
      <c r="CP70" s="252"/>
      <c r="CQ70" s="252"/>
      <c r="CR70" s="72"/>
      <c r="CS70" s="72"/>
      <c r="CT70" s="72"/>
      <c r="CU70" s="72"/>
      <c r="CV70" s="72"/>
      <c r="CW70" s="72"/>
      <c r="CX70" s="72"/>
      <c r="CY70" s="72"/>
      <c r="CZ70" s="72"/>
      <c r="DA70" s="588"/>
      <c r="DB70" s="588"/>
      <c r="DC70" s="588"/>
      <c r="DD70" s="588"/>
      <c r="DE70" s="588"/>
      <c r="DF70" s="588"/>
      <c r="DG70" s="588"/>
      <c r="DH70" s="588"/>
      <c r="DI70" s="588"/>
      <c r="DJ70" s="588"/>
      <c r="DK70" s="588"/>
      <c r="DL70" s="72"/>
      <c r="DM70" s="72"/>
      <c r="DN70" s="72"/>
      <c r="DO70" s="72"/>
      <c r="DP70" s="72"/>
      <c r="DV70" s="72"/>
      <c r="DW70" s="72"/>
      <c r="DX70" s="72"/>
      <c r="DY70" s="72"/>
      <c r="DZ70" s="72"/>
      <c r="EA70" s="72"/>
      <c r="EB70" s="72"/>
      <c r="EC70" s="72"/>
      <c r="ED70" s="72"/>
      <c r="EE70" s="72"/>
      <c r="EF70" s="72"/>
      <c r="EG70" s="72"/>
      <c r="EH70" s="72"/>
      <c r="EI70" s="72"/>
      <c r="EJ70" s="72"/>
      <c r="EK70" s="72"/>
      <c r="EL70" s="72"/>
      <c r="EM70" s="72"/>
      <c r="EN70" s="72"/>
      <c r="EO70" s="72"/>
      <c r="EP70" s="72"/>
      <c r="EQ70" s="72"/>
      <c r="ER70" s="72"/>
      <c r="ES70" s="72"/>
      <c r="ET70" s="72"/>
      <c r="EZ70" s="72"/>
      <c r="FA70" s="64"/>
      <c r="FB70" s="64"/>
      <c r="FC70" s="64"/>
      <c r="FD70" s="64"/>
      <c r="HH70" s="72"/>
      <c r="HI70" s="64"/>
      <c r="HJ70" s="64"/>
      <c r="HK70" s="64"/>
      <c r="HL70" s="64"/>
      <c r="IB70" s="26"/>
      <c r="IC70" s="26"/>
      <c r="JB70" s="72"/>
      <c r="JG70" s="72"/>
      <c r="JJ70" s="72"/>
      <c r="JV70" s="64"/>
      <c r="JY70" s="72"/>
      <c r="JZ70" s="72"/>
      <c r="KE70" s="72"/>
      <c r="KF70" s="72"/>
      <c r="KI70" s="72"/>
      <c r="KL70" s="72"/>
      <c r="LB70" s="135"/>
      <c r="LC70" s="135"/>
      <c r="LD70" s="135"/>
      <c r="LE70" s="141"/>
      <c r="LH70" s="135"/>
      <c r="LK70" s="135"/>
      <c r="LN70" s="135"/>
      <c r="LU70" s="135"/>
      <c r="LV70" s="72"/>
      <c r="LW70" s="72"/>
      <c r="LX70" s="72"/>
      <c r="LY70" s="72"/>
      <c r="LZ70" s="72"/>
      <c r="MA70" s="252"/>
      <c r="NG70" s="64"/>
      <c r="NH70" s="64"/>
      <c r="NI70" s="64"/>
      <c r="NL70" s="64"/>
      <c r="NM70" s="64"/>
      <c r="NN70" s="64"/>
      <c r="NQ70" s="64"/>
      <c r="NR70" s="64"/>
      <c r="NS70" s="64"/>
    </row>
    <row r="71" spans="2:384" x14ac:dyDescent="0.2">
      <c r="B71" s="72"/>
      <c r="C71" s="72"/>
      <c r="D71" s="72"/>
      <c r="E71" s="72"/>
      <c r="F71" s="72"/>
      <c r="L71" s="72"/>
      <c r="M71" s="72"/>
      <c r="N71" s="72"/>
      <c r="O71" s="72"/>
      <c r="P71" s="72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64"/>
      <c r="BK71" s="64"/>
      <c r="BL71" s="64"/>
      <c r="BM71" s="64"/>
      <c r="BN71" s="72"/>
      <c r="BO71" s="72"/>
      <c r="BP71" s="72"/>
      <c r="BQ71" s="72"/>
      <c r="BR71" s="72"/>
      <c r="BX71" s="72"/>
      <c r="BY71" s="72"/>
      <c r="BZ71" s="72"/>
      <c r="CA71" s="72"/>
      <c r="CB71" s="72"/>
      <c r="CC71" s="72"/>
      <c r="CD71" s="72"/>
      <c r="CE71" s="72"/>
      <c r="CF71" s="72"/>
      <c r="CG71" s="72"/>
      <c r="CH71" s="72"/>
      <c r="CI71" s="72"/>
      <c r="CJ71" s="72"/>
      <c r="CK71" s="72"/>
      <c r="CL71" s="72"/>
      <c r="CM71" s="252"/>
      <c r="CN71" s="252"/>
      <c r="CO71" s="252"/>
      <c r="CP71" s="252"/>
      <c r="CQ71" s="252"/>
      <c r="CR71" s="72"/>
      <c r="CS71" s="72"/>
      <c r="CT71" s="72"/>
      <c r="CU71" s="72"/>
      <c r="CV71" s="72"/>
      <c r="CW71" s="72"/>
      <c r="CX71" s="72"/>
      <c r="CY71" s="72"/>
      <c r="CZ71" s="72"/>
      <c r="DA71" s="588"/>
      <c r="DB71" s="588"/>
      <c r="DC71" s="588"/>
      <c r="DD71" s="588"/>
      <c r="DE71" s="588"/>
      <c r="DF71" s="588"/>
      <c r="DG71" s="588"/>
      <c r="DH71" s="588"/>
      <c r="DI71" s="588"/>
      <c r="DJ71" s="588"/>
      <c r="DK71" s="588"/>
      <c r="DL71" s="72"/>
      <c r="DM71" s="72"/>
      <c r="DN71" s="72"/>
      <c r="DO71" s="72"/>
      <c r="DP71" s="72"/>
      <c r="DV71" s="72"/>
      <c r="DW71" s="72"/>
      <c r="DX71" s="72"/>
      <c r="DY71" s="72"/>
      <c r="DZ71" s="72"/>
      <c r="EA71" s="72"/>
      <c r="EB71" s="72"/>
      <c r="EC71" s="72"/>
      <c r="ED71" s="72"/>
      <c r="EE71" s="72"/>
      <c r="EF71" s="72"/>
      <c r="EG71" s="72"/>
      <c r="EH71" s="72"/>
      <c r="EI71" s="72"/>
      <c r="EJ71" s="72"/>
      <c r="EK71" s="72"/>
      <c r="EL71" s="72"/>
      <c r="EM71" s="72"/>
      <c r="EN71" s="72"/>
      <c r="EO71" s="72"/>
      <c r="EP71" s="72"/>
      <c r="EQ71" s="72"/>
      <c r="ER71" s="72"/>
      <c r="ES71" s="72"/>
      <c r="ET71" s="72"/>
      <c r="EZ71" s="72"/>
      <c r="FA71" s="64"/>
      <c r="FB71" s="64"/>
      <c r="FC71" s="64"/>
      <c r="FD71" s="64"/>
      <c r="HH71" s="72"/>
      <c r="HI71" s="64"/>
      <c r="HJ71" s="64"/>
      <c r="HK71" s="64"/>
      <c r="HL71" s="64"/>
      <c r="IB71" s="26"/>
      <c r="IC71" s="26"/>
      <c r="JB71" s="72"/>
      <c r="JG71" s="72"/>
      <c r="JJ71" s="72"/>
      <c r="JV71" s="64"/>
      <c r="JY71" s="72"/>
      <c r="JZ71" s="72"/>
      <c r="KE71" s="72"/>
      <c r="KF71" s="72"/>
      <c r="KI71" s="72"/>
      <c r="KL71" s="72"/>
      <c r="LB71" s="135"/>
      <c r="LC71" s="135"/>
      <c r="LD71" s="135"/>
      <c r="LE71" s="141"/>
      <c r="LH71" s="135"/>
      <c r="LK71" s="135"/>
      <c r="LN71" s="135"/>
      <c r="LU71" s="135"/>
      <c r="LV71" s="72"/>
      <c r="LW71" s="72"/>
      <c r="LX71" s="72"/>
      <c r="LY71" s="72"/>
      <c r="LZ71" s="72"/>
      <c r="MA71" s="252"/>
      <c r="NG71" s="64"/>
      <c r="NH71" s="64"/>
      <c r="NI71" s="64"/>
      <c r="NL71" s="64"/>
      <c r="NM71" s="64"/>
      <c r="NN71" s="64"/>
      <c r="NQ71" s="64"/>
      <c r="NR71" s="64"/>
      <c r="NS71" s="64"/>
    </row>
    <row r="72" spans="2:384" x14ac:dyDescent="0.2">
      <c r="B72" s="72"/>
      <c r="C72" s="72"/>
      <c r="D72" s="72"/>
      <c r="E72" s="72"/>
      <c r="F72" s="72"/>
      <c r="L72" s="72"/>
      <c r="M72" s="72"/>
      <c r="N72" s="72"/>
      <c r="O72" s="72"/>
      <c r="P72" s="72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64"/>
      <c r="BK72" s="64"/>
      <c r="BL72" s="64"/>
      <c r="BM72" s="64"/>
      <c r="BN72" s="72"/>
      <c r="BO72" s="72"/>
      <c r="BP72" s="72"/>
      <c r="BQ72" s="72"/>
      <c r="BR72" s="72"/>
      <c r="BX72" s="72"/>
      <c r="BY72" s="72"/>
      <c r="BZ72" s="72"/>
      <c r="CA72" s="72"/>
      <c r="CB72" s="72"/>
      <c r="CC72" s="72"/>
      <c r="CD72" s="72"/>
      <c r="CE72" s="72"/>
      <c r="CF72" s="72"/>
      <c r="CG72" s="72"/>
      <c r="CH72" s="72"/>
      <c r="CI72" s="72"/>
      <c r="CJ72" s="72"/>
      <c r="CK72" s="72"/>
      <c r="CL72" s="72"/>
      <c r="CM72" s="252"/>
      <c r="CN72" s="252"/>
      <c r="CO72" s="252"/>
      <c r="CP72" s="252"/>
      <c r="CQ72" s="252"/>
      <c r="CR72" s="72"/>
      <c r="CS72" s="72"/>
      <c r="CT72" s="72"/>
      <c r="CU72" s="72"/>
      <c r="CV72" s="72"/>
      <c r="CW72" s="72"/>
      <c r="CX72" s="72"/>
      <c r="CY72" s="72"/>
      <c r="CZ72" s="72"/>
      <c r="DA72" s="588"/>
      <c r="DB72" s="588"/>
      <c r="DC72" s="588"/>
      <c r="DD72" s="588"/>
      <c r="DE72" s="588"/>
      <c r="DF72" s="588"/>
      <c r="DG72" s="588"/>
      <c r="DH72" s="588"/>
      <c r="DI72" s="588"/>
      <c r="DJ72" s="588"/>
      <c r="DK72" s="588"/>
      <c r="DL72" s="72"/>
      <c r="DM72" s="72"/>
      <c r="DN72" s="72"/>
      <c r="DO72" s="72"/>
      <c r="DP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Z72" s="72"/>
      <c r="FA72" s="64"/>
      <c r="FB72" s="64"/>
      <c r="FC72" s="64"/>
      <c r="FD72" s="64"/>
      <c r="HH72" s="72"/>
      <c r="HI72" s="64"/>
      <c r="HJ72" s="64"/>
      <c r="HK72" s="64"/>
      <c r="HL72" s="64"/>
      <c r="IB72" s="147"/>
      <c r="IC72" s="147"/>
      <c r="JB72" s="72"/>
      <c r="JG72" s="72"/>
      <c r="JJ72" s="72"/>
      <c r="JV72" s="64"/>
      <c r="JY72" s="72"/>
      <c r="JZ72" s="72"/>
      <c r="KE72" s="72"/>
      <c r="KF72" s="72"/>
      <c r="KI72" s="72"/>
      <c r="KL72" s="72"/>
      <c r="LB72" s="135"/>
      <c r="LC72" s="135"/>
      <c r="LD72" s="135"/>
      <c r="LE72" s="141"/>
      <c r="LH72" s="135"/>
      <c r="LK72" s="135"/>
      <c r="LN72" s="135"/>
      <c r="LU72" s="135"/>
      <c r="LV72" s="72"/>
      <c r="LW72" s="72"/>
      <c r="LX72" s="72"/>
      <c r="LY72" s="72"/>
      <c r="LZ72" s="72"/>
      <c r="MA72" s="252"/>
      <c r="NG72" s="64"/>
      <c r="NH72" s="64"/>
      <c r="NI72" s="64"/>
      <c r="NL72" s="64"/>
      <c r="NM72" s="64"/>
      <c r="NN72" s="64"/>
      <c r="NQ72" s="64"/>
      <c r="NR72" s="64"/>
      <c r="NS72" s="64"/>
    </row>
    <row r="73" spans="2:384" x14ac:dyDescent="0.2">
      <c r="B73" s="72"/>
      <c r="C73" s="72"/>
      <c r="D73" s="72"/>
      <c r="E73" s="72"/>
      <c r="F73" s="72"/>
      <c r="L73" s="72"/>
      <c r="M73" s="72"/>
      <c r="N73" s="72"/>
      <c r="O73" s="72"/>
      <c r="P73" s="72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64"/>
      <c r="BK73" s="64"/>
      <c r="BL73" s="64"/>
      <c r="BM73" s="64"/>
      <c r="BN73" s="72"/>
      <c r="BO73" s="72"/>
      <c r="BP73" s="72"/>
      <c r="BQ73" s="72"/>
      <c r="BR73" s="72"/>
      <c r="BX73" s="72"/>
      <c r="BY73" s="72"/>
      <c r="BZ73" s="72"/>
      <c r="CA73" s="72"/>
      <c r="CB73" s="72"/>
      <c r="CC73" s="72"/>
      <c r="CD73" s="72"/>
      <c r="CE73" s="72"/>
      <c r="CF73" s="72"/>
      <c r="CG73" s="72"/>
      <c r="CH73" s="72"/>
      <c r="CI73" s="72"/>
      <c r="CJ73" s="72"/>
      <c r="CK73" s="72"/>
      <c r="CL73" s="72"/>
      <c r="CM73" s="252"/>
      <c r="CN73" s="252"/>
      <c r="CO73" s="252"/>
      <c r="CP73" s="252"/>
      <c r="CQ73" s="252"/>
      <c r="CR73" s="72"/>
      <c r="CS73" s="72"/>
      <c r="CT73" s="72"/>
      <c r="CU73" s="72"/>
      <c r="CV73" s="72"/>
      <c r="CW73" s="72"/>
      <c r="CX73" s="72"/>
      <c r="CY73" s="72"/>
      <c r="CZ73" s="72"/>
      <c r="DA73" s="588"/>
      <c r="DB73" s="588"/>
      <c r="DC73" s="588"/>
      <c r="DD73" s="588"/>
      <c r="DE73" s="588"/>
      <c r="DF73" s="588"/>
      <c r="DG73" s="588"/>
      <c r="DH73" s="588"/>
      <c r="DI73" s="588"/>
      <c r="DJ73" s="588"/>
      <c r="DK73" s="588"/>
      <c r="DL73" s="72"/>
      <c r="DM73" s="72"/>
      <c r="DN73" s="72"/>
      <c r="DO73" s="72"/>
      <c r="DP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Z73" s="72"/>
      <c r="HH73" s="72"/>
      <c r="JB73" s="72"/>
      <c r="JG73" s="72"/>
      <c r="JJ73" s="72"/>
      <c r="JV73" s="64"/>
      <c r="JY73" s="72"/>
      <c r="JZ73" s="72"/>
      <c r="KE73" s="72"/>
      <c r="KF73" s="72"/>
      <c r="KI73" s="72"/>
      <c r="KL73" s="72"/>
      <c r="LB73" s="135"/>
      <c r="LC73" s="135"/>
      <c r="LD73" s="135"/>
      <c r="LE73" s="141"/>
      <c r="LH73" s="135"/>
      <c r="LK73" s="135"/>
      <c r="LN73" s="135"/>
      <c r="LU73" s="135"/>
      <c r="LV73" s="72"/>
      <c r="LW73" s="72"/>
      <c r="LX73" s="72"/>
      <c r="LY73" s="72"/>
      <c r="LZ73" s="72"/>
      <c r="MA73" s="252"/>
    </row>
    <row r="74" spans="2:384" x14ac:dyDescent="0.2">
      <c r="B74" s="72"/>
      <c r="C74" s="72"/>
      <c r="D74" s="72"/>
      <c r="E74" s="72"/>
      <c r="F74" s="72"/>
      <c r="L74" s="72"/>
      <c r="M74" s="72"/>
      <c r="N74" s="72"/>
      <c r="O74" s="72"/>
      <c r="P74" s="72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64"/>
      <c r="BK74" s="64"/>
      <c r="BL74" s="64"/>
      <c r="BM74" s="64"/>
      <c r="BN74" s="72"/>
      <c r="BO74" s="72"/>
      <c r="BP74" s="72"/>
      <c r="BQ74" s="72"/>
      <c r="BR74" s="72"/>
      <c r="BX74" s="72"/>
      <c r="BY74" s="72"/>
      <c r="BZ74" s="72"/>
      <c r="CA74" s="72"/>
      <c r="CB74" s="72"/>
      <c r="CC74" s="72"/>
      <c r="CD74" s="72"/>
      <c r="CE74" s="72"/>
      <c r="CF74" s="72"/>
      <c r="CG74" s="72"/>
      <c r="CH74" s="72"/>
      <c r="CI74" s="72"/>
      <c r="CJ74" s="72"/>
      <c r="CK74" s="72"/>
      <c r="CL74" s="72"/>
      <c r="CM74" s="252"/>
      <c r="CN74" s="252"/>
      <c r="CO74" s="252"/>
      <c r="CP74" s="252"/>
      <c r="CQ74" s="252"/>
      <c r="CR74" s="72"/>
      <c r="CS74" s="72"/>
      <c r="CT74" s="72"/>
      <c r="CU74" s="72"/>
      <c r="CV74" s="72"/>
      <c r="CW74" s="72"/>
      <c r="CX74" s="72"/>
      <c r="CY74" s="72"/>
      <c r="CZ74" s="72"/>
      <c r="DA74" s="588"/>
      <c r="DB74" s="588"/>
      <c r="DC74" s="588"/>
      <c r="DD74" s="588"/>
      <c r="DE74" s="588"/>
      <c r="DF74" s="588"/>
      <c r="DG74" s="588"/>
      <c r="DH74" s="588"/>
      <c r="DI74" s="588"/>
      <c r="DJ74" s="588"/>
      <c r="DK74" s="588"/>
      <c r="DL74" s="72"/>
      <c r="DM74" s="72"/>
      <c r="DN74" s="72"/>
      <c r="DO74" s="72"/>
      <c r="DP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Z74" s="72"/>
      <c r="HH74" s="72"/>
      <c r="JB74" s="72"/>
      <c r="JG74" s="72"/>
      <c r="JJ74" s="72"/>
      <c r="JV74" s="64"/>
      <c r="JY74" s="72"/>
      <c r="JZ74" s="72"/>
      <c r="KE74" s="72"/>
      <c r="KF74" s="72"/>
      <c r="KI74" s="72"/>
      <c r="KL74" s="72"/>
      <c r="LB74" s="135"/>
      <c r="LC74" s="135"/>
      <c r="LD74" s="135"/>
      <c r="LE74" s="141"/>
      <c r="LH74" s="135"/>
      <c r="LK74" s="135"/>
      <c r="LN74" s="135"/>
      <c r="LU74" s="135"/>
      <c r="LV74" s="72"/>
      <c r="LW74" s="72"/>
      <c r="LX74" s="72"/>
      <c r="LY74" s="72"/>
      <c r="LZ74" s="72"/>
      <c r="MA74" s="252"/>
    </row>
    <row r="75" spans="2:384" x14ac:dyDescent="0.2">
      <c r="B75" s="72"/>
      <c r="C75" s="72"/>
      <c r="D75" s="72"/>
      <c r="E75" s="72"/>
      <c r="F75" s="72"/>
      <c r="L75" s="72"/>
      <c r="M75" s="72"/>
      <c r="N75" s="72"/>
      <c r="O75" s="72"/>
      <c r="P75" s="72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64"/>
      <c r="BK75" s="64"/>
      <c r="BL75" s="64"/>
      <c r="BM75" s="64"/>
      <c r="BN75" s="72"/>
      <c r="BO75" s="72"/>
      <c r="BP75" s="72"/>
      <c r="BQ75" s="72"/>
      <c r="BR75" s="72"/>
      <c r="BX75" s="72"/>
      <c r="BY75" s="72"/>
      <c r="BZ75" s="72"/>
      <c r="CA75" s="72"/>
      <c r="CB75" s="72"/>
      <c r="CC75" s="72"/>
      <c r="CD75" s="72"/>
      <c r="CE75" s="72"/>
      <c r="CF75" s="72"/>
      <c r="CG75" s="72"/>
      <c r="CH75" s="72"/>
      <c r="CI75" s="72"/>
      <c r="CJ75" s="72"/>
      <c r="CK75" s="72"/>
      <c r="CL75" s="72"/>
      <c r="CM75" s="252"/>
      <c r="CN75" s="252"/>
      <c r="CO75" s="252"/>
      <c r="CP75" s="252"/>
      <c r="CQ75" s="252"/>
      <c r="CR75" s="72"/>
      <c r="CS75" s="72"/>
      <c r="CT75" s="72"/>
      <c r="CU75" s="72"/>
      <c r="CV75" s="72"/>
      <c r="CW75" s="72"/>
      <c r="CX75" s="72"/>
      <c r="CY75" s="72"/>
      <c r="CZ75" s="72"/>
      <c r="DA75" s="588"/>
      <c r="DB75" s="588"/>
      <c r="DC75" s="588"/>
      <c r="DD75" s="588"/>
      <c r="DE75" s="588"/>
      <c r="DF75" s="588"/>
      <c r="DG75" s="588"/>
      <c r="DH75" s="588"/>
      <c r="DI75" s="588"/>
      <c r="DJ75" s="588"/>
      <c r="DK75" s="588"/>
      <c r="DL75" s="72"/>
      <c r="DM75" s="72"/>
      <c r="DN75" s="72"/>
      <c r="DO75" s="72"/>
      <c r="DP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Z75" s="72"/>
      <c r="HH75" s="72"/>
      <c r="JB75" s="72"/>
      <c r="JG75" s="72"/>
      <c r="JJ75" s="72"/>
      <c r="JV75" s="64"/>
      <c r="JY75" s="72"/>
      <c r="JZ75" s="72"/>
      <c r="KE75" s="72"/>
      <c r="KF75" s="72"/>
      <c r="KI75" s="72"/>
      <c r="KL75" s="72"/>
      <c r="LB75" s="135"/>
      <c r="LC75" s="135"/>
      <c r="LD75" s="135"/>
      <c r="LE75" s="141"/>
      <c r="LH75" s="135"/>
      <c r="LK75" s="135"/>
      <c r="LN75" s="135"/>
      <c r="LU75" s="135"/>
      <c r="LV75" s="72"/>
      <c r="LW75" s="72"/>
      <c r="LX75" s="72"/>
      <c r="LY75" s="72"/>
      <c r="LZ75" s="72"/>
      <c r="MA75" s="252"/>
    </row>
    <row r="76" spans="2:384" x14ac:dyDescent="0.2">
      <c r="B76" s="72"/>
      <c r="C76" s="72"/>
      <c r="D76" s="72"/>
      <c r="E76" s="72"/>
      <c r="F76" s="72"/>
      <c r="L76" s="72"/>
      <c r="M76" s="72"/>
      <c r="N76" s="72"/>
      <c r="O76" s="72"/>
      <c r="P76" s="72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64"/>
      <c r="BK76" s="64"/>
      <c r="BL76" s="64"/>
      <c r="BM76" s="64"/>
      <c r="BN76" s="72"/>
      <c r="BO76" s="72"/>
      <c r="BP76" s="72"/>
      <c r="BQ76" s="72"/>
      <c r="BR76" s="72"/>
      <c r="BX76" s="72"/>
      <c r="BY76" s="72"/>
      <c r="BZ76" s="72"/>
      <c r="CA76" s="72"/>
      <c r="CB76" s="72"/>
      <c r="CC76" s="72"/>
      <c r="CD76" s="72"/>
      <c r="CE76" s="72"/>
      <c r="CF76" s="72"/>
      <c r="CG76" s="72"/>
      <c r="CH76" s="72"/>
      <c r="CI76" s="72"/>
      <c r="CJ76" s="72"/>
      <c r="CK76" s="72"/>
      <c r="CL76" s="72"/>
      <c r="CM76" s="252"/>
      <c r="CN76" s="252"/>
      <c r="CO76" s="252"/>
      <c r="CP76" s="252"/>
      <c r="CQ76" s="252"/>
      <c r="CR76" s="72"/>
      <c r="CS76" s="72"/>
      <c r="CT76" s="72"/>
      <c r="CU76" s="72"/>
      <c r="CV76" s="72"/>
      <c r="CW76" s="72"/>
      <c r="CX76" s="72"/>
      <c r="CY76" s="72"/>
      <c r="CZ76" s="72"/>
      <c r="DA76" s="588"/>
      <c r="DB76" s="588"/>
      <c r="DC76" s="588"/>
      <c r="DD76" s="588"/>
      <c r="DE76" s="588"/>
      <c r="DF76" s="588"/>
      <c r="DG76" s="588"/>
      <c r="DH76" s="588"/>
      <c r="DI76" s="588"/>
      <c r="DJ76" s="588"/>
      <c r="DK76" s="588"/>
      <c r="DL76" s="72"/>
      <c r="DM76" s="72"/>
      <c r="DN76" s="72"/>
      <c r="DO76" s="72"/>
      <c r="DP76" s="72"/>
      <c r="DV76" s="72"/>
      <c r="DW76" s="72"/>
      <c r="DX76" s="72"/>
      <c r="DY76" s="72"/>
      <c r="DZ76" s="72"/>
      <c r="EA76" s="72"/>
      <c r="EB76" s="72"/>
      <c r="EC76" s="72"/>
      <c r="ED76" s="72"/>
      <c r="EE76" s="72"/>
      <c r="EF76" s="72"/>
      <c r="EG76" s="72"/>
      <c r="EH76" s="72"/>
      <c r="EI76" s="72"/>
      <c r="EJ76" s="72"/>
      <c r="EK76" s="72"/>
      <c r="EL76" s="72"/>
      <c r="EM76" s="72"/>
      <c r="EN76" s="72"/>
      <c r="EO76" s="72"/>
      <c r="EP76" s="72"/>
      <c r="EQ76" s="72"/>
      <c r="ER76" s="72"/>
      <c r="ES76" s="72"/>
      <c r="ET76" s="72"/>
      <c r="EZ76" s="72"/>
      <c r="HH76" s="72"/>
      <c r="JB76" s="72"/>
      <c r="JG76" s="72"/>
      <c r="JJ76" s="72"/>
      <c r="JV76" s="64"/>
      <c r="JY76" s="72"/>
      <c r="JZ76" s="72"/>
      <c r="KE76" s="72"/>
      <c r="KF76" s="72"/>
      <c r="KI76" s="72"/>
      <c r="KL76" s="72"/>
      <c r="LB76" s="135"/>
      <c r="LC76" s="135"/>
      <c r="LD76" s="135"/>
      <c r="LE76" s="141"/>
      <c r="LH76" s="135"/>
      <c r="LK76" s="135"/>
      <c r="LN76" s="135"/>
      <c r="LU76" s="135"/>
      <c r="LV76" s="72"/>
      <c r="LW76" s="72"/>
      <c r="LX76" s="72"/>
      <c r="LY76" s="72"/>
      <c r="LZ76" s="72"/>
      <c r="MA76" s="252"/>
      <c r="NE76" s="72"/>
      <c r="NJ76" s="72"/>
      <c r="NO76" s="72"/>
    </row>
    <row r="77" spans="2:384" x14ac:dyDescent="0.2">
      <c r="B77" s="72"/>
      <c r="C77" s="72"/>
      <c r="D77" s="72"/>
      <c r="E77" s="72"/>
      <c r="F77" s="72"/>
      <c r="L77" s="72"/>
      <c r="M77" s="72"/>
      <c r="N77" s="72"/>
      <c r="O77" s="72"/>
      <c r="P77" s="72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64"/>
      <c r="BK77" s="64"/>
      <c r="BL77" s="64"/>
      <c r="BM77" s="64"/>
      <c r="BN77" s="72"/>
      <c r="BO77" s="72"/>
      <c r="BP77" s="72"/>
      <c r="BQ77" s="72"/>
      <c r="BR77" s="72"/>
      <c r="BX77" s="72"/>
      <c r="BY77" s="72"/>
      <c r="BZ77" s="72"/>
      <c r="CA77" s="72"/>
      <c r="CB77" s="72"/>
      <c r="CC77" s="72"/>
      <c r="CD77" s="72"/>
      <c r="CE77" s="72"/>
      <c r="CF77" s="72"/>
      <c r="CG77" s="72"/>
      <c r="CH77" s="72"/>
      <c r="CI77" s="72"/>
      <c r="CJ77" s="72"/>
      <c r="CK77" s="72"/>
      <c r="CL77" s="72"/>
      <c r="CM77" s="252"/>
      <c r="CN77" s="252"/>
      <c r="CO77" s="252"/>
      <c r="CP77" s="252"/>
      <c r="CQ77" s="252"/>
      <c r="CR77" s="72"/>
      <c r="CS77" s="72"/>
      <c r="CT77" s="72"/>
      <c r="CU77" s="72"/>
      <c r="CV77" s="72"/>
      <c r="CW77" s="72"/>
      <c r="CX77" s="72"/>
      <c r="CY77" s="72"/>
      <c r="CZ77" s="72"/>
      <c r="DA77" s="588"/>
      <c r="DB77" s="588"/>
      <c r="DC77" s="588"/>
      <c r="DD77" s="588"/>
      <c r="DE77" s="588"/>
      <c r="DF77" s="588"/>
      <c r="DG77" s="588"/>
      <c r="DH77" s="588"/>
      <c r="DI77" s="588"/>
      <c r="DJ77" s="588"/>
      <c r="DK77" s="588"/>
      <c r="DL77" s="72"/>
      <c r="DM77" s="72"/>
      <c r="DN77" s="72"/>
      <c r="DO77" s="72"/>
      <c r="DP77" s="72"/>
      <c r="DV77" s="72"/>
      <c r="DW77" s="72"/>
      <c r="DX77" s="72"/>
      <c r="DY77" s="72"/>
      <c r="DZ77" s="72"/>
      <c r="EA77" s="72"/>
      <c r="EB77" s="72"/>
      <c r="EC77" s="72"/>
      <c r="ED77" s="72"/>
      <c r="EE77" s="72"/>
      <c r="EF77" s="72"/>
      <c r="EG77" s="72"/>
      <c r="EH77" s="72"/>
      <c r="EI77" s="72"/>
      <c r="EJ77" s="72"/>
      <c r="EK77" s="72"/>
      <c r="EL77" s="72"/>
      <c r="EM77" s="72"/>
      <c r="EN77" s="72"/>
      <c r="EO77" s="72"/>
      <c r="EP77" s="72"/>
      <c r="EQ77" s="72"/>
      <c r="ER77" s="72"/>
      <c r="ES77" s="72"/>
      <c r="ET77" s="72"/>
      <c r="EZ77" s="72"/>
      <c r="HH77" s="72"/>
      <c r="JB77" s="72"/>
      <c r="JG77" s="72"/>
      <c r="JJ77" s="72"/>
      <c r="JV77" s="64"/>
      <c r="JY77" s="72"/>
      <c r="JZ77" s="72"/>
      <c r="KE77" s="72"/>
      <c r="KF77" s="72"/>
      <c r="KI77" s="72"/>
      <c r="KL77" s="72"/>
      <c r="LB77" s="135"/>
      <c r="LC77" s="135"/>
      <c r="LD77" s="135"/>
      <c r="LE77" s="141"/>
      <c r="LH77" s="135"/>
      <c r="LK77" s="135"/>
      <c r="LN77" s="135"/>
      <c r="LU77" s="135"/>
      <c r="LV77" s="72"/>
      <c r="LW77" s="72"/>
      <c r="LX77" s="72"/>
      <c r="LY77" s="72"/>
      <c r="LZ77" s="72"/>
      <c r="MA77" s="252"/>
      <c r="NE77" s="72"/>
      <c r="NJ77" s="72"/>
      <c r="NO77" s="72"/>
    </row>
    <row r="78" spans="2:384" x14ac:dyDescent="0.2">
      <c r="B78" s="72"/>
      <c r="C78" s="72"/>
      <c r="D78" s="72"/>
      <c r="E78" s="72"/>
      <c r="F78" s="72"/>
      <c r="L78" s="72"/>
      <c r="M78" s="72"/>
      <c r="N78" s="72"/>
      <c r="O78" s="72"/>
      <c r="P78" s="72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64"/>
      <c r="BK78" s="64"/>
      <c r="BL78" s="64"/>
      <c r="BM78" s="64"/>
      <c r="BN78" s="72"/>
      <c r="BO78" s="72"/>
      <c r="BP78" s="72"/>
      <c r="BQ78" s="72"/>
      <c r="BR78" s="72"/>
      <c r="BX78" s="72"/>
      <c r="BY78" s="72"/>
      <c r="BZ78" s="72"/>
      <c r="CA78" s="72"/>
      <c r="CB78" s="72"/>
      <c r="CC78" s="72"/>
      <c r="CD78" s="72"/>
      <c r="CE78" s="72"/>
      <c r="CF78" s="72"/>
      <c r="CG78" s="72"/>
      <c r="CH78" s="72"/>
      <c r="CI78" s="72"/>
      <c r="CJ78" s="72"/>
      <c r="CK78" s="72"/>
      <c r="CL78" s="72"/>
      <c r="CM78" s="252"/>
      <c r="CN78" s="252"/>
      <c r="CO78" s="252"/>
      <c r="CP78" s="252"/>
      <c r="CQ78" s="252"/>
      <c r="CR78" s="72"/>
      <c r="CS78" s="72"/>
      <c r="CT78" s="72"/>
      <c r="CU78" s="72"/>
      <c r="CV78" s="72"/>
      <c r="CW78" s="72"/>
      <c r="CX78" s="72"/>
      <c r="CY78" s="72"/>
      <c r="CZ78" s="72"/>
      <c r="DA78" s="588"/>
      <c r="DB78" s="588"/>
      <c r="DC78" s="588"/>
      <c r="DD78" s="588"/>
      <c r="DE78" s="588"/>
      <c r="DF78" s="588"/>
      <c r="DG78" s="588"/>
      <c r="DH78" s="588"/>
      <c r="DI78" s="588"/>
      <c r="DJ78" s="588"/>
      <c r="DK78" s="588"/>
      <c r="DL78" s="72"/>
      <c r="DM78" s="72"/>
      <c r="DN78" s="72"/>
      <c r="DO78" s="72"/>
      <c r="DP78" s="72"/>
      <c r="DV78" s="72"/>
      <c r="DW78" s="72"/>
      <c r="DX78" s="72"/>
      <c r="DY78" s="72"/>
      <c r="DZ78" s="72"/>
      <c r="EA78" s="72"/>
      <c r="EB78" s="72"/>
      <c r="EC78" s="72"/>
      <c r="ED78" s="72"/>
      <c r="EE78" s="72"/>
      <c r="EF78" s="72"/>
      <c r="EG78" s="72"/>
      <c r="EH78" s="72"/>
      <c r="EI78" s="72"/>
      <c r="EJ78" s="72"/>
      <c r="EK78" s="72"/>
      <c r="EL78" s="72"/>
      <c r="EM78" s="72"/>
      <c r="EN78" s="72"/>
      <c r="EO78" s="72"/>
      <c r="EP78" s="72"/>
      <c r="EQ78" s="72"/>
      <c r="ER78" s="72"/>
      <c r="ES78" s="72"/>
      <c r="ET78" s="72"/>
      <c r="EZ78" s="72"/>
      <c r="HH78" s="72"/>
      <c r="JB78" s="72"/>
      <c r="JG78" s="72"/>
      <c r="JJ78" s="72"/>
      <c r="JV78" s="64"/>
      <c r="JY78" s="72"/>
      <c r="JZ78" s="72"/>
      <c r="KE78" s="72"/>
      <c r="KF78" s="72"/>
      <c r="KI78" s="72"/>
      <c r="KL78" s="72"/>
      <c r="LB78" s="135"/>
      <c r="LC78" s="135"/>
      <c r="LD78" s="135"/>
      <c r="LE78" s="141"/>
      <c r="LH78" s="135"/>
      <c r="LK78" s="135"/>
      <c r="LN78" s="135"/>
      <c r="LU78" s="135"/>
      <c r="LV78" s="72"/>
      <c r="LW78" s="72"/>
      <c r="LX78" s="72"/>
      <c r="LY78" s="72"/>
      <c r="LZ78" s="72"/>
      <c r="MA78" s="252"/>
      <c r="NE78" s="72"/>
      <c r="NJ78" s="72"/>
      <c r="NO78" s="72"/>
    </row>
    <row r="79" spans="2:384" x14ac:dyDescent="0.2">
      <c r="B79" s="72"/>
      <c r="C79" s="72"/>
      <c r="D79" s="72"/>
      <c r="E79" s="72"/>
      <c r="F79" s="72"/>
      <c r="L79" s="72"/>
      <c r="M79" s="72"/>
      <c r="N79" s="72"/>
      <c r="O79" s="72"/>
      <c r="P79" s="72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64"/>
      <c r="BK79" s="64"/>
      <c r="BL79" s="64"/>
      <c r="BM79" s="64"/>
      <c r="BN79" s="72"/>
      <c r="BO79" s="72"/>
      <c r="BP79" s="72"/>
      <c r="BQ79" s="72"/>
      <c r="BR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2"/>
      <c r="CM79" s="252"/>
      <c r="CN79" s="252"/>
      <c r="CO79" s="252"/>
      <c r="CP79" s="252"/>
      <c r="CQ79" s="252"/>
      <c r="CR79" s="72"/>
      <c r="CS79" s="72"/>
      <c r="CT79" s="72"/>
      <c r="CU79" s="72"/>
      <c r="CV79" s="72"/>
      <c r="CW79" s="72"/>
      <c r="CX79" s="72"/>
      <c r="CY79" s="72"/>
      <c r="CZ79" s="72"/>
      <c r="DA79" s="588"/>
      <c r="DB79" s="588"/>
      <c r="DC79" s="588"/>
      <c r="DD79" s="588"/>
      <c r="DE79" s="588"/>
      <c r="DF79" s="588"/>
      <c r="DG79" s="588"/>
      <c r="DH79" s="588"/>
      <c r="DI79" s="588"/>
      <c r="DJ79" s="588"/>
      <c r="DK79" s="588"/>
      <c r="DL79" s="72"/>
      <c r="DM79" s="72"/>
      <c r="DN79" s="72"/>
      <c r="DO79" s="72"/>
      <c r="DP79" s="72"/>
      <c r="DV79" s="72"/>
      <c r="DW79" s="72"/>
      <c r="DX79" s="72"/>
      <c r="DY79" s="72"/>
      <c r="DZ79" s="72"/>
      <c r="EA79" s="72"/>
      <c r="EB79" s="72"/>
      <c r="EC79" s="72"/>
      <c r="ED79" s="72"/>
      <c r="EE79" s="72"/>
      <c r="EF79" s="72"/>
      <c r="EG79" s="72"/>
      <c r="EH79" s="72"/>
      <c r="EI79" s="72"/>
      <c r="EJ79" s="72"/>
      <c r="EK79" s="72"/>
      <c r="EL79" s="72"/>
      <c r="EM79" s="72"/>
      <c r="EN79" s="72"/>
      <c r="EO79" s="72"/>
      <c r="EP79" s="72"/>
      <c r="EQ79" s="72"/>
      <c r="ER79" s="72"/>
      <c r="ES79" s="72"/>
      <c r="ET79" s="72"/>
      <c r="EZ79" s="72"/>
      <c r="HH79" s="72"/>
      <c r="JB79" s="72"/>
      <c r="JG79" s="72"/>
      <c r="JJ79" s="72"/>
      <c r="JV79" s="64"/>
      <c r="JY79" s="72"/>
      <c r="JZ79" s="72"/>
      <c r="KE79" s="72"/>
      <c r="KF79" s="72"/>
      <c r="KI79" s="72"/>
      <c r="KL79" s="72"/>
      <c r="LB79" s="135"/>
      <c r="LC79" s="135"/>
      <c r="LD79" s="135"/>
      <c r="LE79" s="141"/>
      <c r="LH79" s="135"/>
      <c r="LK79" s="135"/>
      <c r="LN79" s="135"/>
      <c r="LU79" s="135"/>
      <c r="LV79" s="72"/>
      <c r="LW79" s="72"/>
      <c r="LX79" s="72"/>
      <c r="LY79" s="72"/>
      <c r="LZ79" s="72"/>
      <c r="MA79" s="252"/>
      <c r="NE79" s="72"/>
      <c r="NJ79" s="72"/>
      <c r="NO79" s="72"/>
    </row>
    <row r="80" spans="2:384" x14ac:dyDescent="0.2">
      <c r="B80" s="72"/>
      <c r="C80" s="72"/>
      <c r="D80" s="72"/>
      <c r="E80" s="72"/>
      <c r="F80" s="72"/>
      <c r="L80" s="72"/>
      <c r="M80" s="72"/>
      <c r="N80" s="72"/>
      <c r="O80" s="72"/>
      <c r="P80" s="72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64"/>
      <c r="BK80" s="64"/>
      <c r="BL80" s="64"/>
      <c r="BM80" s="64"/>
      <c r="BN80" s="72"/>
      <c r="BO80" s="72"/>
      <c r="BP80" s="72"/>
      <c r="BQ80" s="72"/>
      <c r="BR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252"/>
      <c r="CN80" s="252"/>
      <c r="CO80" s="252"/>
      <c r="CP80" s="252"/>
      <c r="CQ80" s="252"/>
      <c r="CR80" s="72"/>
      <c r="CS80" s="72"/>
      <c r="CT80" s="72"/>
      <c r="CU80" s="72"/>
      <c r="CV80" s="72"/>
      <c r="CW80" s="72"/>
      <c r="CX80" s="72"/>
      <c r="CY80" s="72"/>
      <c r="CZ80" s="72"/>
      <c r="DA80" s="588"/>
      <c r="DB80" s="588"/>
      <c r="DC80" s="588"/>
      <c r="DD80" s="588"/>
      <c r="DE80" s="588"/>
      <c r="DF80" s="588"/>
      <c r="DG80" s="588"/>
      <c r="DH80" s="588"/>
      <c r="DI80" s="588"/>
      <c r="DJ80" s="588"/>
      <c r="DK80" s="588"/>
      <c r="DL80" s="72"/>
      <c r="DM80" s="72"/>
      <c r="DN80" s="72"/>
      <c r="DO80" s="72"/>
      <c r="DP80" s="72"/>
      <c r="DV80" s="72"/>
      <c r="DW80" s="72"/>
      <c r="DX80" s="72"/>
      <c r="DY80" s="72"/>
      <c r="DZ80" s="72"/>
      <c r="EA80" s="72"/>
      <c r="EB80" s="72"/>
      <c r="EC80" s="72"/>
      <c r="ED80" s="72"/>
      <c r="EE80" s="72"/>
      <c r="EF80" s="72"/>
      <c r="EG80" s="72"/>
      <c r="EH80" s="72"/>
      <c r="EI80" s="72"/>
      <c r="EJ80" s="72"/>
      <c r="EK80" s="72"/>
      <c r="EL80" s="72"/>
      <c r="EM80" s="72"/>
      <c r="EN80" s="72"/>
      <c r="EO80" s="72"/>
      <c r="EP80" s="72"/>
      <c r="EQ80" s="72"/>
      <c r="ER80" s="72"/>
      <c r="ES80" s="72"/>
      <c r="ET80" s="72"/>
      <c r="EZ80" s="72"/>
      <c r="HH80" s="72"/>
      <c r="JB80" s="72"/>
      <c r="JG80" s="72"/>
      <c r="JJ80" s="72"/>
      <c r="JV80" s="64"/>
      <c r="JY80" s="72"/>
      <c r="JZ80" s="72"/>
      <c r="KE80" s="72"/>
      <c r="KF80" s="72"/>
      <c r="KI80" s="72"/>
      <c r="KL80" s="72"/>
      <c r="LB80" s="135"/>
      <c r="LC80" s="135"/>
      <c r="LD80" s="135"/>
      <c r="LE80" s="141"/>
      <c r="LH80" s="135"/>
      <c r="LK80" s="135"/>
      <c r="LN80" s="135"/>
      <c r="LU80" s="135"/>
      <c r="LV80" s="72"/>
      <c r="LW80" s="72"/>
      <c r="LX80" s="72"/>
      <c r="LY80" s="72"/>
      <c r="LZ80" s="72"/>
      <c r="MA80" s="252"/>
      <c r="NE80" s="72"/>
      <c r="NJ80" s="72"/>
      <c r="NO80" s="72"/>
    </row>
    <row r="81" spans="2:379" x14ac:dyDescent="0.2">
      <c r="B81" s="72"/>
      <c r="C81" s="72"/>
      <c r="D81" s="72"/>
      <c r="E81" s="72"/>
      <c r="F81" s="72"/>
      <c r="L81" s="72"/>
      <c r="M81" s="72"/>
      <c r="N81" s="72"/>
      <c r="O81" s="72"/>
      <c r="P81" s="72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64"/>
      <c r="BK81" s="64"/>
      <c r="BL81" s="64"/>
      <c r="BM81" s="64"/>
      <c r="BN81" s="72"/>
      <c r="BO81" s="72"/>
      <c r="BP81" s="72"/>
      <c r="BQ81" s="72"/>
      <c r="BR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252"/>
      <c r="CN81" s="252"/>
      <c r="CO81" s="252"/>
      <c r="CP81" s="252"/>
      <c r="CQ81" s="252"/>
      <c r="CR81" s="72"/>
      <c r="CS81" s="72"/>
      <c r="CT81" s="72"/>
      <c r="CU81" s="72"/>
      <c r="CV81" s="72"/>
      <c r="CW81" s="72"/>
      <c r="CX81" s="72"/>
      <c r="CY81" s="72"/>
      <c r="CZ81" s="72"/>
      <c r="DA81" s="588"/>
      <c r="DB81" s="588"/>
      <c r="DC81" s="588"/>
      <c r="DD81" s="588"/>
      <c r="DE81" s="588"/>
      <c r="DF81" s="588"/>
      <c r="DG81" s="588"/>
      <c r="DH81" s="588"/>
      <c r="DI81" s="588"/>
      <c r="DJ81" s="588"/>
      <c r="DK81" s="588"/>
      <c r="DL81" s="72"/>
      <c r="DM81" s="72"/>
      <c r="DN81" s="72"/>
      <c r="DO81" s="72"/>
      <c r="DP81" s="72"/>
      <c r="DV81" s="72"/>
      <c r="DW81" s="72"/>
      <c r="DX81" s="72"/>
      <c r="DY81" s="72"/>
      <c r="DZ81" s="72"/>
      <c r="EA81" s="72"/>
      <c r="EB81" s="72"/>
      <c r="EC81" s="72"/>
      <c r="ED81" s="72"/>
      <c r="EE81" s="72"/>
      <c r="EF81" s="72"/>
      <c r="EG81" s="72"/>
      <c r="EH81" s="72"/>
      <c r="EI81" s="72"/>
      <c r="EJ81" s="72"/>
      <c r="EK81" s="72"/>
      <c r="EL81" s="72"/>
      <c r="EM81" s="72"/>
      <c r="EN81" s="72"/>
      <c r="EO81" s="72"/>
      <c r="EP81" s="72"/>
      <c r="EQ81" s="72"/>
      <c r="ER81" s="72"/>
      <c r="ES81" s="72"/>
      <c r="ET81" s="72"/>
      <c r="EZ81" s="72"/>
      <c r="HH81" s="72"/>
      <c r="JB81" s="72"/>
      <c r="JG81" s="72"/>
      <c r="JJ81" s="72"/>
      <c r="JV81" s="64"/>
      <c r="JY81" s="72"/>
      <c r="JZ81" s="72"/>
      <c r="KE81" s="72"/>
      <c r="KF81" s="72"/>
      <c r="KI81" s="72"/>
      <c r="KL81" s="72"/>
      <c r="LB81" s="135"/>
      <c r="LC81" s="135"/>
      <c r="LD81" s="135"/>
      <c r="LE81" s="141"/>
      <c r="LH81" s="135"/>
      <c r="LK81" s="135"/>
      <c r="LN81" s="135"/>
      <c r="LU81" s="135"/>
      <c r="LV81" s="72"/>
      <c r="LW81" s="72"/>
      <c r="LX81" s="72"/>
      <c r="LY81" s="72"/>
      <c r="LZ81" s="72"/>
      <c r="MA81" s="252"/>
      <c r="NE81" s="72"/>
      <c r="NJ81" s="72"/>
      <c r="NO81" s="72"/>
    </row>
    <row r="82" spans="2:379" x14ac:dyDescent="0.2"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2"/>
      <c r="CM82" s="252"/>
      <c r="CN82" s="252"/>
      <c r="CO82" s="252"/>
      <c r="CP82" s="252"/>
      <c r="CQ82" s="252"/>
      <c r="CR82" s="72"/>
      <c r="CS82" s="72"/>
      <c r="CT82" s="72"/>
      <c r="CU82" s="72"/>
      <c r="CV82" s="72"/>
      <c r="CW82" s="72"/>
      <c r="CX82" s="72"/>
      <c r="CY82" s="72"/>
      <c r="CZ82" s="72"/>
      <c r="DA82" s="588"/>
      <c r="DB82" s="588"/>
      <c r="DC82" s="588"/>
      <c r="DD82" s="588"/>
      <c r="DE82" s="588"/>
      <c r="DF82" s="588"/>
      <c r="DG82" s="588"/>
      <c r="DH82" s="588"/>
      <c r="DI82" s="588"/>
      <c r="DJ82" s="588"/>
      <c r="DK82" s="588"/>
      <c r="DL82" s="72"/>
      <c r="DM82" s="72"/>
      <c r="DN82" s="72"/>
      <c r="DO82" s="72"/>
      <c r="DP82" s="72"/>
      <c r="DQ82" s="72"/>
      <c r="DR82" s="72"/>
      <c r="DS82" s="72"/>
      <c r="DT82" s="72"/>
      <c r="DU82" s="72"/>
      <c r="DV82" s="72"/>
      <c r="DW82" s="72"/>
      <c r="DX82" s="72"/>
      <c r="DY82" s="72"/>
      <c r="DZ82" s="72"/>
      <c r="EA82" s="72"/>
      <c r="EB82" s="72"/>
      <c r="EC82" s="72"/>
      <c r="ED82" s="72"/>
      <c r="EE82" s="72"/>
      <c r="EF82" s="72"/>
      <c r="EG82" s="72"/>
      <c r="EH82" s="72"/>
      <c r="EI82" s="72"/>
      <c r="EJ82" s="72"/>
      <c r="EK82" s="72"/>
      <c r="EL82" s="72"/>
      <c r="EM82" s="72"/>
      <c r="EN82" s="72"/>
      <c r="EO82" s="72"/>
      <c r="EP82" s="72"/>
      <c r="EQ82" s="72"/>
      <c r="ER82" s="72"/>
      <c r="ES82" s="72"/>
      <c r="ET82" s="72"/>
      <c r="EU82" s="72"/>
      <c r="EZ82" s="72"/>
      <c r="HH82" s="72"/>
      <c r="JB82" s="72"/>
      <c r="JG82" s="72"/>
      <c r="JJ82" s="72"/>
      <c r="JY82" s="72"/>
      <c r="JZ82" s="72"/>
      <c r="KE82" s="72"/>
      <c r="KF82" s="72"/>
      <c r="KI82" s="72"/>
      <c r="KL82" s="72"/>
      <c r="LV82" s="72"/>
      <c r="LW82" s="72"/>
      <c r="LX82" s="72"/>
      <c r="LY82" s="72"/>
      <c r="LZ82" s="72"/>
      <c r="MA82" s="252"/>
      <c r="NE82" s="72"/>
      <c r="NJ82" s="72"/>
      <c r="NO82" s="72"/>
    </row>
    <row r="83" spans="2:379" x14ac:dyDescent="0.2"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N83" s="72"/>
      <c r="BO83" s="72"/>
      <c r="BP83" s="72"/>
      <c r="BQ83" s="72"/>
      <c r="BR83" s="72"/>
      <c r="BS83" s="72"/>
      <c r="BT83" s="72"/>
      <c r="BU83" s="72"/>
      <c r="BV83" s="72"/>
      <c r="BW83" s="72"/>
      <c r="BX83" s="72"/>
      <c r="BY83" s="72"/>
      <c r="BZ83" s="72"/>
      <c r="CA83" s="72"/>
      <c r="CB83" s="72"/>
      <c r="CC83" s="72"/>
      <c r="CD83" s="72"/>
      <c r="CE83" s="72"/>
      <c r="CF83" s="72"/>
      <c r="CG83" s="72"/>
      <c r="CH83" s="72"/>
      <c r="CI83" s="72"/>
      <c r="CJ83" s="72"/>
      <c r="CK83" s="72"/>
      <c r="CL83" s="72"/>
      <c r="CM83" s="252"/>
      <c r="CN83" s="252"/>
      <c r="CO83" s="252"/>
      <c r="CP83" s="252"/>
      <c r="CQ83" s="252"/>
      <c r="CR83" s="72"/>
      <c r="CS83" s="72"/>
      <c r="CT83" s="72"/>
      <c r="CU83" s="72"/>
      <c r="CV83" s="72"/>
      <c r="CW83" s="72"/>
      <c r="CX83" s="72"/>
      <c r="CY83" s="72"/>
      <c r="CZ83" s="72"/>
      <c r="DA83" s="588"/>
      <c r="DB83" s="588"/>
      <c r="DC83" s="588"/>
      <c r="DD83" s="588"/>
      <c r="DE83" s="588"/>
      <c r="DF83" s="588"/>
      <c r="DG83" s="588"/>
      <c r="DH83" s="588"/>
      <c r="DI83" s="588"/>
      <c r="DJ83" s="588"/>
      <c r="DK83" s="588"/>
      <c r="DL83" s="72"/>
      <c r="DM83" s="72"/>
      <c r="DN83" s="72"/>
      <c r="DO83" s="72"/>
      <c r="DP83" s="72"/>
      <c r="DQ83" s="72"/>
      <c r="DR83" s="72"/>
      <c r="DS83" s="72"/>
      <c r="DT83" s="72"/>
      <c r="DU83" s="72"/>
      <c r="DV83" s="72"/>
      <c r="DW83" s="72"/>
      <c r="DX83" s="72"/>
      <c r="DY83" s="72"/>
      <c r="DZ83" s="72"/>
      <c r="EA83" s="72"/>
      <c r="EB83" s="72"/>
      <c r="EC83" s="72"/>
      <c r="ED83" s="72"/>
      <c r="EE83" s="72"/>
      <c r="EF83" s="72"/>
      <c r="EG83" s="72"/>
      <c r="EH83" s="72"/>
      <c r="EI83" s="72"/>
      <c r="EJ83" s="72"/>
      <c r="EK83" s="72"/>
      <c r="EL83" s="72"/>
      <c r="EM83" s="72"/>
      <c r="EN83" s="72"/>
      <c r="EO83" s="72"/>
      <c r="EP83" s="72"/>
      <c r="EQ83" s="72"/>
      <c r="ER83" s="72"/>
      <c r="ES83" s="72"/>
      <c r="ET83" s="72"/>
      <c r="EU83" s="72"/>
      <c r="EZ83" s="72"/>
      <c r="HH83" s="72"/>
      <c r="JB83" s="72"/>
      <c r="JG83" s="72"/>
      <c r="JJ83" s="72"/>
      <c r="JY83" s="72"/>
      <c r="JZ83" s="72"/>
      <c r="KE83" s="72"/>
      <c r="KF83" s="72"/>
      <c r="KI83" s="72"/>
      <c r="KL83" s="72"/>
      <c r="LV83" s="72"/>
      <c r="LW83" s="72"/>
      <c r="LX83" s="72"/>
      <c r="LY83" s="72"/>
      <c r="LZ83" s="72"/>
      <c r="MA83" s="252"/>
      <c r="NE83" s="72"/>
      <c r="NJ83" s="72"/>
      <c r="NO83" s="72"/>
    </row>
    <row r="84" spans="2:379" x14ac:dyDescent="0.2"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N84" s="72"/>
      <c r="BO84" s="72"/>
      <c r="BP84" s="72"/>
      <c r="BQ84" s="72"/>
      <c r="BR84" s="72"/>
      <c r="BS84" s="72"/>
      <c r="BT84" s="72"/>
      <c r="BU84" s="72"/>
      <c r="BV84" s="72"/>
      <c r="BW84" s="72"/>
      <c r="BX84" s="72"/>
      <c r="BY84" s="72"/>
      <c r="BZ84" s="72"/>
      <c r="CA84" s="72"/>
      <c r="CB84" s="72"/>
      <c r="CC84" s="72"/>
      <c r="CD84" s="72"/>
      <c r="CE84" s="72"/>
      <c r="CF84" s="72"/>
      <c r="CG84" s="72"/>
      <c r="CH84" s="72"/>
      <c r="CI84" s="72"/>
      <c r="CJ84" s="72"/>
      <c r="CK84" s="72"/>
      <c r="CL84" s="72"/>
      <c r="CM84" s="252"/>
      <c r="CN84" s="252"/>
      <c r="CO84" s="252"/>
      <c r="CP84" s="252"/>
      <c r="CQ84" s="252"/>
      <c r="CR84" s="72"/>
      <c r="CS84" s="72"/>
      <c r="CT84" s="72"/>
      <c r="CU84" s="72"/>
      <c r="CV84" s="72"/>
      <c r="CW84" s="72"/>
      <c r="CX84" s="72"/>
      <c r="CY84" s="72"/>
      <c r="CZ84" s="72"/>
      <c r="DA84" s="588"/>
      <c r="DB84" s="588"/>
      <c r="DC84" s="588"/>
      <c r="DD84" s="588"/>
      <c r="DE84" s="588"/>
      <c r="DF84" s="588"/>
      <c r="DG84" s="588"/>
      <c r="DH84" s="588"/>
      <c r="DI84" s="588"/>
      <c r="DJ84" s="588"/>
      <c r="DK84" s="588"/>
      <c r="DL84" s="72"/>
      <c r="DM84" s="72"/>
      <c r="DN84" s="72"/>
      <c r="DO84" s="72"/>
      <c r="DP84" s="72"/>
      <c r="DQ84" s="72"/>
      <c r="DR84" s="72"/>
      <c r="DS84" s="72"/>
      <c r="DT84" s="72"/>
      <c r="DU84" s="72"/>
      <c r="DV84" s="72"/>
      <c r="DW84" s="72"/>
      <c r="DX84" s="72"/>
      <c r="DY84" s="72"/>
      <c r="DZ84" s="72"/>
      <c r="EA84" s="72"/>
      <c r="EB84" s="72"/>
      <c r="EC84" s="72"/>
      <c r="ED84" s="72"/>
      <c r="EE84" s="72"/>
      <c r="EF84" s="72"/>
      <c r="EG84" s="72"/>
      <c r="EH84" s="72"/>
      <c r="EI84" s="72"/>
      <c r="EJ84" s="72"/>
      <c r="EK84" s="72"/>
      <c r="EL84" s="72"/>
      <c r="EM84" s="72"/>
      <c r="EN84" s="72"/>
      <c r="EO84" s="72"/>
      <c r="EP84" s="72"/>
      <c r="EQ84" s="72"/>
      <c r="ER84" s="72"/>
      <c r="ES84" s="72"/>
      <c r="ET84" s="72"/>
      <c r="EU84" s="72"/>
      <c r="EZ84" s="72"/>
      <c r="HH84" s="72"/>
      <c r="JB84" s="72"/>
      <c r="JG84" s="72"/>
      <c r="JJ84" s="72"/>
      <c r="JY84" s="72"/>
      <c r="JZ84" s="72"/>
      <c r="KE84" s="72"/>
      <c r="KF84" s="72"/>
      <c r="KI84" s="72"/>
      <c r="KL84" s="72"/>
      <c r="LV84" s="72"/>
      <c r="LW84" s="72"/>
      <c r="LX84" s="72"/>
      <c r="LY84" s="72"/>
      <c r="LZ84" s="72"/>
      <c r="MA84" s="252"/>
      <c r="NE84" s="72"/>
      <c r="NJ84" s="72"/>
      <c r="NO84" s="72"/>
    </row>
    <row r="85" spans="2:379" x14ac:dyDescent="0.2"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/>
      <c r="CI85" s="72"/>
      <c r="CJ85" s="72"/>
      <c r="CK85" s="72"/>
      <c r="CL85" s="72"/>
      <c r="CM85" s="252"/>
      <c r="CN85" s="252"/>
      <c r="CO85" s="252"/>
      <c r="CP85" s="252"/>
      <c r="CQ85" s="252"/>
      <c r="CR85" s="72"/>
      <c r="CS85" s="72"/>
      <c r="CT85" s="72"/>
      <c r="CU85" s="72"/>
      <c r="CV85" s="72"/>
      <c r="CW85" s="72"/>
      <c r="CX85" s="72"/>
      <c r="CY85" s="72"/>
      <c r="CZ85" s="72"/>
      <c r="DA85" s="588"/>
      <c r="DB85" s="588"/>
      <c r="DC85" s="588"/>
      <c r="DD85" s="588"/>
      <c r="DE85" s="588"/>
      <c r="DF85" s="588"/>
      <c r="DG85" s="588"/>
      <c r="DH85" s="588"/>
      <c r="DI85" s="588"/>
      <c r="DJ85" s="588"/>
      <c r="DK85" s="588"/>
      <c r="DL85" s="72"/>
      <c r="DM85" s="72"/>
      <c r="DN85" s="72"/>
      <c r="DO85" s="72"/>
      <c r="DP85" s="72"/>
      <c r="DQ85" s="72"/>
      <c r="DR85" s="72"/>
      <c r="DS85" s="72"/>
      <c r="DT85" s="72"/>
      <c r="DU85" s="72"/>
      <c r="DV85" s="72"/>
      <c r="DW85" s="72"/>
      <c r="DX85" s="72"/>
      <c r="DY85" s="72"/>
      <c r="DZ85" s="72"/>
      <c r="EA85" s="72"/>
      <c r="EB85" s="72"/>
      <c r="EC85" s="72"/>
      <c r="ED85" s="72"/>
      <c r="EE85" s="72"/>
      <c r="EF85" s="72"/>
      <c r="EG85" s="72"/>
      <c r="EH85" s="72"/>
      <c r="EI85" s="72"/>
      <c r="EJ85" s="72"/>
      <c r="EK85" s="72"/>
      <c r="EL85" s="72"/>
      <c r="EM85" s="72"/>
      <c r="EN85" s="72"/>
      <c r="EO85" s="72"/>
      <c r="EP85" s="72"/>
      <c r="EQ85" s="72"/>
      <c r="ER85" s="72"/>
      <c r="ES85" s="72"/>
      <c r="ET85" s="72"/>
      <c r="JJ85" s="2"/>
      <c r="JY85" s="72"/>
      <c r="JZ85" s="72"/>
      <c r="KE85" s="72"/>
      <c r="KF85" s="72"/>
      <c r="KI85" s="72"/>
      <c r="KL85" s="72"/>
      <c r="LV85" s="72"/>
      <c r="LW85" s="72"/>
      <c r="LX85" s="72"/>
      <c r="LY85" s="72"/>
      <c r="LZ85" s="72"/>
      <c r="MA85" s="252"/>
    </row>
    <row r="86" spans="2:379" x14ac:dyDescent="0.2"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620"/>
      <c r="R86" s="620"/>
      <c r="S86" s="620"/>
      <c r="T86" s="620"/>
      <c r="U86" s="620"/>
      <c r="V86" s="620"/>
      <c r="W86" s="620"/>
      <c r="X86" s="620"/>
      <c r="Y86" s="620"/>
      <c r="Z86" s="620"/>
      <c r="AA86" s="620"/>
      <c r="AB86" s="620"/>
      <c r="AC86" s="620"/>
      <c r="AD86" s="620"/>
      <c r="AE86" s="620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253"/>
      <c r="CN86" s="253"/>
      <c r="CO86" s="253"/>
      <c r="CP86" s="253"/>
      <c r="CQ86" s="253"/>
      <c r="CR86" s="75"/>
      <c r="CS86" s="75"/>
      <c r="CT86" s="75"/>
      <c r="CU86" s="75"/>
      <c r="CV86" s="75"/>
      <c r="CW86" s="75"/>
      <c r="CX86" s="75"/>
      <c r="CY86" s="75"/>
      <c r="CZ86" s="75"/>
      <c r="DA86" s="589"/>
      <c r="DB86" s="589"/>
      <c r="DC86" s="589"/>
      <c r="DD86" s="589"/>
      <c r="DE86" s="589"/>
      <c r="DF86" s="589"/>
      <c r="DG86" s="589"/>
      <c r="DH86" s="589"/>
      <c r="DI86" s="589"/>
      <c r="DJ86" s="589"/>
      <c r="DK86" s="589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JY86" s="72"/>
      <c r="JZ86" s="72"/>
      <c r="KE86" s="72"/>
      <c r="KF86" s="72"/>
      <c r="KI86" s="72"/>
      <c r="KL86" s="72"/>
      <c r="LV86" s="75"/>
      <c r="LW86" s="75"/>
      <c r="LX86" s="75"/>
      <c r="LY86" s="75"/>
      <c r="LZ86" s="75"/>
      <c r="MA86" s="253"/>
    </row>
    <row r="87" spans="2:379" x14ac:dyDescent="0.2">
      <c r="JY87" s="72"/>
      <c r="JZ87" s="72"/>
      <c r="KE87" s="72"/>
      <c r="KF87" s="72"/>
      <c r="KI87" s="72"/>
      <c r="KL87" s="72"/>
    </row>
    <row r="88" spans="2:379" x14ac:dyDescent="0.2">
      <c r="JY88" s="72"/>
      <c r="JZ88" s="72"/>
      <c r="KE88" s="72"/>
      <c r="KF88" s="72"/>
      <c r="KI88" s="72"/>
      <c r="KL88" s="72"/>
    </row>
    <row r="89" spans="2:379" x14ac:dyDescent="0.2">
      <c r="JY89" s="72"/>
      <c r="JZ89" s="72"/>
      <c r="KE89" s="72"/>
      <c r="KF89" s="72"/>
      <c r="KI89" s="72"/>
      <c r="KL89" s="72"/>
    </row>
    <row r="90" spans="2:379" x14ac:dyDescent="0.2">
      <c r="JY90" s="72"/>
      <c r="JZ90" s="72"/>
      <c r="KE90" s="72"/>
      <c r="KF90" s="72"/>
      <c r="KI90" s="72"/>
      <c r="KL90" s="72"/>
    </row>
  </sheetData>
  <phoneticPr fontId="8" type="noConversion"/>
  <pageMargins left="0.75" right="0.75" top="1" bottom="1" header="0.5" footer="0.5"/>
  <pageSetup orientation="portrait" r:id="rId1"/>
  <headerFooter alignWithMargins="0"/>
  <ignoredErrors>
    <ignoredError sqref="NJ53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67"/>
  <sheetViews>
    <sheetView topLeftCell="P1" workbookViewId="0">
      <selection activeCell="AJ4" sqref="AJ4"/>
    </sheetView>
  </sheetViews>
  <sheetFormatPr defaultRowHeight="15" x14ac:dyDescent="0.2"/>
  <cols>
    <col min="1" max="1" width="15.88671875" style="2" customWidth="1"/>
    <col min="2" max="2" width="8.21875" style="514" customWidth="1"/>
    <col min="3" max="3" width="8.21875" style="667" customWidth="1"/>
    <col min="4" max="13" width="8.21875" style="514" customWidth="1"/>
    <col min="15" max="15" width="8.88671875" style="665"/>
  </cols>
  <sheetData>
    <row r="1" spans="1:37" x14ac:dyDescent="0.2">
      <c r="A1" s="1"/>
    </row>
    <row r="2" spans="1:37" x14ac:dyDescent="0.2">
      <c r="A2" s="4"/>
      <c r="B2" s="515"/>
      <c r="C2" s="709"/>
      <c r="D2" s="515"/>
      <c r="E2" s="515"/>
      <c r="F2" s="515"/>
      <c r="G2" s="515"/>
      <c r="H2" s="515"/>
      <c r="I2" s="515"/>
      <c r="J2" s="515"/>
      <c r="K2" s="515"/>
      <c r="L2" s="515"/>
      <c r="M2" s="515"/>
      <c r="O2" s="704"/>
    </row>
    <row r="3" spans="1:37" x14ac:dyDescent="0.2">
      <c r="A3" s="1"/>
      <c r="B3" s="516" t="s">
        <v>132</v>
      </c>
      <c r="C3" s="710"/>
      <c r="D3" s="517"/>
      <c r="E3" s="517"/>
      <c r="F3" s="517"/>
      <c r="G3" s="517"/>
      <c r="H3" s="518" t="s">
        <v>65</v>
      </c>
      <c r="I3" s="517"/>
      <c r="J3" s="517"/>
      <c r="K3" s="517"/>
      <c r="L3" s="517"/>
      <c r="M3" s="651"/>
      <c r="N3" s="705" t="s">
        <v>132</v>
      </c>
      <c r="O3" s="706"/>
      <c r="P3" s="707"/>
      <c r="Q3" s="707"/>
      <c r="R3" s="707"/>
      <c r="S3" s="707"/>
      <c r="T3" s="518" t="s">
        <v>65</v>
      </c>
      <c r="U3" s="707"/>
      <c r="V3" s="707"/>
      <c r="W3" s="707"/>
      <c r="X3" s="707"/>
      <c r="Y3" s="708"/>
      <c r="Z3" s="705" t="s">
        <v>132</v>
      </c>
      <c r="AA3" s="706"/>
      <c r="AB3" s="707"/>
      <c r="AC3" s="707"/>
      <c r="AD3" s="707"/>
      <c r="AE3" s="707"/>
      <c r="AF3" s="518" t="s">
        <v>65</v>
      </c>
      <c r="AG3" s="707"/>
      <c r="AH3" s="707"/>
      <c r="AI3" s="707"/>
      <c r="AJ3" s="707"/>
      <c r="AK3" s="708"/>
    </row>
    <row r="4" spans="1:37" x14ac:dyDescent="0.2">
      <c r="A4" s="1"/>
      <c r="B4" s="519" t="s">
        <v>58</v>
      </c>
      <c r="C4" s="666"/>
      <c r="D4" s="521" t="s">
        <v>59</v>
      </c>
      <c r="E4" s="520"/>
      <c r="F4" s="521" t="s">
        <v>60</v>
      </c>
      <c r="G4" s="520"/>
      <c r="H4" s="522" t="s">
        <v>58</v>
      </c>
      <c r="I4" s="520"/>
      <c r="J4" s="521" t="s">
        <v>59</v>
      </c>
      <c r="K4" s="520"/>
      <c r="L4" s="521" t="s">
        <v>60</v>
      </c>
      <c r="M4" s="652"/>
      <c r="N4" s="519" t="s">
        <v>58</v>
      </c>
      <c r="O4" s="666"/>
      <c r="P4" s="521" t="s">
        <v>59</v>
      </c>
      <c r="Q4" s="520"/>
      <c r="R4" s="521" t="s">
        <v>60</v>
      </c>
      <c r="S4" s="520"/>
      <c r="T4" s="522" t="s">
        <v>58</v>
      </c>
      <c r="U4" s="520"/>
      <c r="V4" s="521" t="s">
        <v>59</v>
      </c>
      <c r="W4" s="520"/>
      <c r="X4" s="521" t="s">
        <v>60</v>
      </c>
      <c r="Y4" s="652"/>
      <c r="Z4" s="751" t="s">
        <v>58</v>
      </c>
      <c r="AA4" s="666"/>
      <c r="AB4" s="747" t="s">
        <v>59</v>
      </c>
      <c r="AC4" s="520"/>
      <c r="AD4" s="747" t="s">
        <v>60</v>
      </c>
      <c r="AE4" s="520"/>
      <c r="AF4" s="752" t="s">
        <v>58</v>
      </c>
      <c r="AG4" s="520"/>
      <c r="AH4" s="747" t="s">
        <v>59</v>
      </c>
      <c r="AI4" s="520"/>
      <c r="AJ4" s="747" t="s">
        <v>60</v>
      </c>
      <c r="AK4" s="676"/>
    </row>
    <row r="5" spans="1:37" x14ac:dyDescent="0.2">
      <c r="A5" s="1"/>
      <c r="B5" s="514">
        <v>2000</v>
      </c>
      <c r="C5" s="672">
        <v>2011</v>
      </c>
      <c r="D5" s="523">
        <v>2000</v>
      </c>
      <c r="E5" s="514">
        <v>2011</v>
      </c>
      <c r="F5" s="523">
        <v>2000</v>
      </c>
      <c r="G5" s="514">
        <v>2011</v>
      </c>
      <c r="H5" s="524">
        <v>2000</v>
      </c>
      <c r="I5" s="514">
        <v>2011</v>
      </c>
      <c r="J5" s="523">
        <v>2000</v>
      </c>
      <c r="K5" s="514">
        <v>2011</v>
      </c>
      <c r="L5" s="523">
        <v>2000</v>
      </c>
      <c r="M5" s="653">
        <v>2011</v>
      </c>
      <c r="N5" s="647">
        <v>2000</v>
      </c>
      <c r="O5" s="675">
        <v>2012</v>
      </c>
      <c r="P5" s="646">
        <v>2000</v>
      </c>
      <c r="Q5" s="647">
        <v>2012</v>
      </c>
      <c r="R5" s="646">
        <v>2000</v>
      </c>
      <c r="S5" s="647">
        <v>2012</v>
      </c>
      <c r="T5" s="648">
        <v>2000</v>
      </c>
      <c r="U5" s="647">
        <v>2012</v>
      </c>
      <c r="V5" s="646">
        <v>2000</v>
      </c>
      <c r="W5" s="647">
        <v>2012</v>
      </c>
      <c r="X5" s="646">
        <v>2000</v>
      </c>
      <c r="Y5" s="734">
        <v>2012</v>
      </c>
      <c r="Z5" s="727">
        <v>2000</v>
      </c>
      <c r="AA5" s="728">
        <v>2013</v>
      </c>
      <c r="AB5" s="729">
        <v>2000</v>
      </c>
      <c r="AC5" s="727">
        <v>2013</v>
      </c>
      <c r="AD5" s="729">
        <v>2000</v>
      </c>
      <c r="AE5" s="727">
        <v>2013</v>
      </c>
      <c r="AF5" s="730">
        <v>2000</v>
      </c>
      <c r="AG5" s="727">
        <v>2013</v>
      </c>
      <c r="AH5" s="729">
        <v>2000</v>
      </c>
      <c r="AI5" s="727">
        <v>2013</v>
      </c>
      <c r="AJ5" s="729">
        <v>2000</v>
      </c>
      <c r="AK5" s="731">
        <v>2013</v>
      </c>
    </row>
    <row r="6" spans="1:37" x14ac:dyDescent="0.2">
      <c r="A6" s="499" t="s">
        <v>181</v>
      </c>
      <c r="B6" s="525">
        <f>('Attainment 25+ by race &amp; gender'!BY5/'Pop 25+ by race &amp; gender'!AT4)*100</f>
        <v>83.57750373851232</v>
      </c>
      <c r="C6" s="673">
        <f>('Attainment 25+ by race &amp; gender'!CX5/'Pop 25+ by race &amp; gender'!CV4)*100</f>
        <v>87.767554238362351</v>
      </c>
      <c r="D6" s="526">
        <f>('Attainment 25+ by race &amp; gender'!BZ5/'Pop 25+ by race &amp; gender'!AZ4)*100</f>
        <v>71.929457483207727</v>
      </c>
      <c r="E6" s="525">
        <f>('Attainment 25+ by race &amp; gender'!CY5/'Pop 25+ by race &amp; gender'!CW4)*100</f>
        <v>81.977005415390693</v>
      </c>
      <c r="F6" s="526">
        <f>('Attainment 25+ by race &amp; gender'!CA5/'Pop 25+ by race &amp; gender'!BC4)*100</f>
        <v>51.669497569754583</v>
      </c>
      <c r="G6" s="525">
        <f>('Attainment 25+ by race &amp; gender'!CZ5/'Pop 25+ by race &amp; gender'!CY4)*100</f>
        <v>62.203455602315735</v>
      </c>
      <c r="H6" s="526">
        <f>('Attainment 25+ by race &amp; gender'!LB5/'Pop 25+ by race &amp; gender'!AT4)*100</f>
        <v>26.062404339207745</v>
      </c>
      <c r="I6" s="525">
        <f>('Attainment 25+ by race &amp; gender'!ML5/'Pop 25+ by race &amp; gender'!CV4)*100</f>
        <v>29.578651240610988</v>
      </c>
      <c r="J6" s="526">
        <f>('Attainment 25+ by race &amp; gender'!LH5/'Pop 25+ by race &amp; gender'!AZ4)*100</f>
        <v>14.257505566369785</v>
      </c>
      <c r="K6" s="525">
        <f>('Attainment 25+ by race &amp; gender'!MM5/'Pop 25+ by race &amp; gender'!CW4)*100</f>
        <v>18.037982424270304</v>
      </c>
      <c r="L6" s="526">
        <f>('Attainment 25+ by race &amp; gender'!LK5/'Pop 25+ by race &amp; gender'!BC4)*100</f>
        <v>10.443347720739423</v>
      </c>
      <c r="M6" s="654">
        <f>('Attainment 25+ by race &amp; gender'!MN5/'Pop 25+ by race &amp; gender'!CY4)*100</f>
        <v>13.046310583597251</v>
      </c>
      <c r="N6" s="525">
        <f>('Attainment 25+ by race &amp; gender'!BY5/'Pop 25+ by race &amp; gender'!AT4)*100</f>
        <v>83.57750373851232</v>
      </c>
      <c r="O6" s="673">
        <f>('Attainment 25+ by race &amp; gender'!DC5/'Pop 25+ by race &amp; gender'!DA4)*100</f>
        <v>88.060830251216061</v>
      </c>
      <c r="P6" s="526">
        <f>('Attainment 25+ by race &amp; gender'!BZ5/'Pop 25+ by race &amp; gender'!AZ4)*100</f>
        <v>71.929457483207727</v>
      </c>
      <c r="Q6" s="525">
        <f>('Attainment 25+ by race &amp; gender'!DD5/'Pop 25+ by race &amp; gender'!DB4)*100</f>
        <v>82.517115984848061</v>
      </c>
      <c r="R6" s="526">
        <f>('Attainment 25+ by race &amp; gender'!CA5/'Pop 25+ by race &amp; gender'!BC4)*100</f>
        <v>51.669497569754583</v>
      </c>
      <c r="S6" s="525">
        <f>('Attainment 25+ by race &amp; gender'!DE5/'Pop 25+ by race &amp; gender'!DD4)*100</f>
        <v>63.111017316024231</v>
      </c>
      <c r="T6" s="526">
        <f>('Attainment 25+ by race &amp; gender'!LB5/'Pop 25+ by race &amp; gender'!AT4)*100</f>
        <v>26.062404339207745</v>
      </c>
      <c r="U6" s="525">
        <f>('Attainment 25+ by race &amp; gender'!MQ5/'Pop 25+ by race &amp; gender'!DA4)*100</f>
        <v>29.974099192017196</v>
      </c>
      <c r="V6" s="526">
        <f>('Attainment 25+ by race &amp; gender'!LH5/'Pop 25+ by race &amp; gender'!AZ4)*100</f>
        <v>14.257505566369785</v>
      </c>
      <c r="W6" s="525">
        <f>('Attainment 25+ by race &amp; gender'!MR5/'Pop 25+ by race &amp; gender'!DB4)*100</f>
        <v>18.361975072245734</v>
      </c>
      <c r="X6" s="526">
        <f>('Attainment 25+ by race &amp; gender'!LK5/'Pop 25+ by race &amp; gender'!BC4)*100</f>
        <v>10.443347720739423</v>
      </c>
      <c r="Y6" s="654">
        <f>('Attainment 25+ by race &amp; gender'!MS5/'Pop 25+ by race &amp; gender'!DD4)*100</f>
        <v>13.368569699615554</v>
      </c>
      <c r="Z6" s="739">
        <f>('Attainment 25+ by race &amp; gender'!BY5/'Pop 25+ by race &amp; gender'!AT4)*100</f>
        <v>83.57750373851232</v>
      </c>
      <c r="AA6" s="673">
        <f>('Attainment 25+ by race &amp; gender'!DH5/'Pop 25+ by race &amp; gender'!DF4)*100</f>
        <v>91.414942229378866</v>
      </c>
      <c r="AB6" s="526">
        <f>('Attainment 25+ by race &amp; gender'!BZ5/'Pop 25+ by race &amp; gender'!AZ4)*100</f>
        <v>71.929457483207727</v>
      </c>
      <c r="AC6" s="525">
        <f>('Attainment 25+ by race &amp; gender'!DI5/'Pop 25+ by race &amp; gender'!DG4)*100</f>
        <v>83.099172972670502</v>
      </c>
      <c r="AD6" s="526">
        <f>('Attainment 25+ by race &amp; gender'!CA5/'Pop 25+ by race &amp; gender'!BC4)*100</f>
        <v>51.669497569754583</v>
      </c>
      <c r="AE6" s="525">
        <f>('Attainment 25+ by race &amp; gender'!DJ5/'Pop 25+ by race &amp; gender'!DI4)*100</f>
        <v>63.951114133610368</v>
      </c>
      <c r="AF6" s="526">
        <f>('Attainment 25+ by race &amp; gender'!LB5/'Pop 25+ by race &amp; gender'!AT4)*100</f>
        <v>26.062404339207745</v>
      </c>
      <c r="AG6" s="525">
        <f>('Attainment 25+ by race &amp; gender'!MV5/'Pop 25+ by race &amp; gender'!DF4)*100</f>
        <v>32.505406289937127</v>
      </c>
      <c r="AH6" s="526">
        <f>('Attainment 25+ by race &amp; gender'!LH5/'Pop 25+ by race &amp; gender'!AZ4)*100</f>
        <v>14.257505566369785</v>
      </c>
      <c r="AI6" s="525">
        <f>('Attainment 25+ by race &amp; gender'!MW5/'Pop 25+ by race &amp; gender'!DG4)*100</f>
        <v>18.846162426351494</v>
      </c>
      <c r="AJ6" s="526">
        <f>('Attainment 25+ by race &amp; gender'!LK5/'Pop 25+ by race &amp; gender'!BC4)*100</f>
        <v>10.443347720739423</v>
      </c>
      <c r="AK6" s="677">
        <f>('Attainment 25+ by race &amp; gender'!MX5/'Pop 25+ by race &amp; gender'!DI4)*100</f>
        <v>13.699008840326703</v>
      </c>
    </row>
    <row r="7" spans="1:37" s="568" customFormat="1" x14ac:dyDescent="0.2">
      <c r="A7" s="576" t="s">
        <v>63</v>
      </c>
      <c r="B7" s="529">
        <f>('Attainment 25+ by race &amp; gender'!BY6/'Pop 25+ by race &amp; gender'!AT5)*100</f>
        <v>80.569532699045396</v>
      </c>
      <c r="C7" s="671">
        <f>('Attainment 25+ by race &amp; gender'!CX6/'Pop 25+ by race &amp; gender'!CV5)*100</f>
        <v>85.541802157980413</v>
      </c>
      <c r="D7" s="530">
        <f>('Attainment 25+ by race &amp; gender'!BZ6/'Pop 25+ by race &amp; gender'!AZ5)*100</f>
        <v>70.310366092414213</v>
      </c>
      <c r="E7" s="529">
        <f>('Attainment 25+ by race &amp; gender'!CY6/'Pop 25+ by race &amp; gender'!CW5)*100</f>
        <v>80.977607788446832</v>
      </c>
      <c r="F7" s="530">
        <f>('Attainment 25+ by race &amp; gender'!CA6/'Pop 25+ by race &amp; gender'!BC5)*100</f>
        <v>54.039511193341774</v>
      </c>
      <c r="G7" s="529">
        <f>('Attainment 25+ by race &amp; gender'!CZ6/'Pop 25+ by race &amp; gender'!CY5)*100</f>
        <v>63.295976975880052</v>
      </c>
      <c r="H7" s="530">
        <f>('Attainment 25+ by race &amp; gender'!LB6/'Pop 25+ by race &amp; gender'!AT5)*100</f>
        <v>24.425925658618105</v>
      </c>
      <c r="I7" s="529">
        <f>('Attainment 25+ by race &amp; gender'!ML6/'Pop 25+ by race &amp; gender'!CV5)*100</f>
        <v>27.610705644329158</v>
      </c>
      <c r="J7" s="530">
        <f>('Attainment 25+ by race &amp; gender'!LH6/'Pop 25+ by race &amp; gender'!AZ5)*100</f>
        <v>13.659288013867435</v>
      </c>
      <c r="K7" s="529">
        <f>('Attainment 25+ by race &amp; gender'!MM6/'Pop 25+ by race &amp; gender'!CW5)*100</f>
        <v>17.58214932349556</v>
      </c>
      <c r="L7" s="530">
        <f>('Attainment 25+ by race &amp; gender'!LK6/'Pop 25+ by race &amp; gender'!BC5)*100</f>
        <v>12.339787736816387</v>
      </c>
      <c r="M7" s="655">
        <f>('Attainment 25+ by race &amp; gender'!MN6/'Pop 25+ by race &amp; gender'!CY5)*100</f>
        <v>14.615925884996573</v>
      </c>
      <c r="N7" s="529">
        <f>('Attainment 25+ by race &amp; gender'!BY6/'Pop 25+ by race &amp; gender'!AT5)*100</f>
        <v>80.569532699045396</v>
      </c>
      <c r="O7" s="671">
        <f>('Attainment 25+ by race &amp; gender'!DC6/'Pop 25+ by race &amp; gender'!DA5)*100</f>
        <v>85.884063125500802</v>
      </c>
      <c r="P7" s="530">
        <f>('Attainment 25+ by race &amp; gender'!BZ6/'Pop 25+ by race &amp; gender'!AZ5)*100</f>
        <v>70.310366092414213</v>
      </c>
      <c r="Q7" s="529">
        <f>('Attainment 25+ by race &amp; gender'!DD6/'Pop 25+ by race &amp; gender'!DB5)*100</f>
        <v>81.633115846293663</v>
      </c>
      <c r="R7" s="530">
        <f>('Attainment 25+ by race &amp; gender'!CA6/'Pop 25+ by race &amp; gender'!BC5)*100</f>
        <v>54.039511193341774</v>
      </c>
      <c r="S7" s="529">
        <f>('Attainment 25+ by race &amp; gender'!DE6/'Pop 25+ by race &amp; gender'!DD5)*100</f>
        <v>64.274970652889806</v>
      </c>
      <c r="T7" s="530">
        <f>('Attainment 25+ by race &amp; gender'!LB6/'Pop 25+ by race &amp; gender'!AT5)*100</f>
        <v>24.425925658618105</v>
      </c>
      <c r="U7" s="529">
        <f>('Attainment 25+ by race &amp; gender'!MQ6/'Pop 25+ by race &amp; gender'!DA5)*100</f>
        <v>27.971780154674008</v>
      </c>
      <c r="V7" s="530">
        <f>('Attainment 25+ by race &amp; gender'!LH6/'Pop 25+ by race &amp; gender'!AZ5)*100</f>
        <v>13.659288013867435</v>
      </c>
      <c r="W7" s="529">
        <f>('Attainment 25+ by race &amp; gender'!MR6/'Pop 25+ by race &amp; gender'!DB5)*100</f>
        <v>17.97164004526612</v>
      </c>
      <c r="X7" s="530">
        <f>('Attainment 25+ by race &amp; gender'!LK6/'Pop 25+ by race &amp; gender'!BC5)*100</f>
        <v>12.339787736816387</v>
      </c>
      <c r="Y7" s="656">
        <f>('Attainment 25+ by race &amp; gender'!MS6/'Pop 25+ by race &amp; gender'!DD5)*100</f>
        <v>14.979325366426096</v>
      </c>
      <c r="Z7" s="529">
        <f>('Attainment 25+ by race &amp; gender'!BY6/'Pop 25+ by race &amp; gender'!AT5)*100</f>
        <v>80.569532699045396</v>
      </c>
      <c r="AA7" s="738">
        <f>('Attainment 25+ by race &amp; gender'!DH6/'Pop 25+ by race &amp; gender'!DF5)*100</f>
        <v>89.432906795313315</v>
      </c>
      <c r="AB7" s="530">
        <f>('Attainment 25+ by race &amp; gender'!BZ6/'Pop 25+ by race &amp; gender'!AZ5)*100</f>
        <v>70.310366092414213</v>
      </c>
      <c r="AC7" s="529">
        <f>('Attainment 25+ by race &amp; gender'!DI6/'Pop 25+ by race &amp; gender'!DG5)*100</f>
        <v>82.346952851777885</v>
      </c>
      <c r="AD7" s="530">
        <f>('Attainment 25+ by race &amp; gender'!CA6/'Pop 25+ by race &amp; gender'!BC5)*100</f>
        <v>54.039511193341774</v>
      </c>
      <c r="AE7" s="529">
        <f>('Attainment 25+ by race &amp; gender'!DJ6/'Pop 25+ by race &amp; gender'!DI5)*100</f>
        <v>65.150385358892763</v>
      </c>
      <c r="AF7" s="530">
        <f>('Attainment 25+ by race &amp; gender'!LB6/'Pop 25+ by race &amp; gender'!AT5)*100</f>
        <v>24.425925658618105</v>
      </c>
      <c r="AG7" s="529">
        <f>('Attainment 25+ by race &amp; gender'!MV6/'Pop 25+ by race &amp; gender'!DF5)*100</f>
        <v>30.409869263448808</v>
      </c>
      <c r="AH7" s="530">
        <f>('Attainment 25+ by race &amp; gender'!LH6/'Pop 25+ by race &amp; gender'!AZ5)*100</f>
        <v>13.659288013867435</v>
      </c>
      <c r="AI7" s="529">
        <f>('Attainment 25+ by race &amp; gender'!MW6/'Pop 25+ by race &amp; gender'!DG5)*100</f>
        <v>18.526861306189204</v>
      </c>
      <c r="AJ7" s="530">
        <f>('Attainment 25+ by race &amp; gender'!LK6/'Pop 25+ by race &amp; gender'!BC5)*100</f>
        <v>12.339787736816387</v>
      </c>
      <c r="AK7" s="678">
        <f>('Attainment 25+ by race &amp; gender'!MX6/'Pop 25+ by race &amp; gender'!DI5)*100</f>
        <v>15.326762470760622</v>
      </c>
    </row>
    <row r="8" spans="1:37" x14ac:dyDescent="0.2">
      <c r="A8" s="246"/>
      <c r="B8" s="529"/>
      <c r="C8" s="669"/>
      <c r="D8" s="530"/>
      <c r="E8" s="529"/>
      <c r="F8" s="530"/>
      <c r="G8" s="529"/>
      <c r="H8" s="530"/>
      <c r="I8" s="529"/>
      <c r="J8" s="530"/>
      <c r="K8" s="529"/>
      <c r="L8" s="530"/>
      <c r="M8" s="656"/>
      <c r="N8" s="529"/>
      <c r="O8" s="669"/>
      <c r="P8" s="530"/>
      <c r="Q8" s="529"/>
      <c r="R8" s="530"/>
      <c r="S8" s="529"/>
      <c r="T8" s="530"/>
      <c r="U8" s="529"/>
      <c r="V8" s="530"/>
      <c r="W8" s="529"/>
      <c r="X8" s="530"/>
      <c r="Y8" s="656"/>
      <c r="Z8" s="529"/>
      <c r="AA8" s="669"/>
      <c r="AB8" s="530"/>
      <c r="AC8" s="529"/>
      <c r="AD8" s="530"/>
      <c r="AE8" s="529"/>
      <c r="AF8" s="530"/>
      <c r="AG8" s="529"/>
      <c r="AH8" s="530"/>
      <c r="AI8" s="529"/>
      <c r="AJ8" s="530"/>
      <c r="AK8" s="678"/>
    </row>
    <row r="9" spans="1:37" x14ac:dyDescent="0.2">
      <c r="A9" s="244" t="s">
        <v>0</v>
      </c>
      <c r="B9" s="527">
        <f>('Attainment 25+ by race &amp; gender'!BY8/'Pop 25+ by race &amp; gender'!AT7)*100</f>
        <v>77.954608435661143</v>
      </c>
      <c r="C9" s="669">
        <f>('Attainment 25+ by race &amp; gender'!CX8/'Pop 25+ by race &amp; gender'!CV7)*100</f>
        <v>83.999999999999986</v>
      </c>
      <c r="D9" s="528">
        <f>('Attainment 25+ by race &amp; gender'!BZ8/'Pop 25+ by race &amp; gender'!AZ7)*100</f>
        <v>66.93303592485465</v>
      </c>
      <c r="E9" s="527">
        <f>('Attainment 25+ by race &amp; gender'!CY8/'Pop 25+ by race &amp; gender'!CW7)*100</f>
        <v>78.199999999999989</v>
      </c>
      <c r="F9" s="528">
        <f>('Attainment 25+ by race &amp; gender'!CA8/'Pop 25+ by race &amp; gender'!BC7)*100</f>
        <v>56.931425752343365</v>
      </c>
      <c r="G9" s="527">
        <f>('Attainment 25+ by race &amp; gender'!CZ8/'Pop 25+ by race &amp; gender'!CY7)*100</f>
        <v>53.400000000000006</v>
      </c>
      <c r="H9" s="528">
        <f>('Attainment 25+ by race &amp; gender'!LB8/'Pop 25+ by race &amp; gender'!AT7)*100</f>
        <v>21.190036395923137</v>
      </c>
      <c r="I9" s="527">
        <f>('Attainment 25+ by race &amp; gender'!ML8/'Pop 25+ by race &amp; gender'!CV7)*100</f>
        <v>24.4</v>
      </c>
      <c r="J9" s="528">
        <f>('Attainment 25+ by race &amp; gender'!LH8/'Pop 25+ by race &amp; gender'!AZ7)*100</f>
        <v>11.502161333956147</v>
      </c>
      <c r="K9" s="527">
        <f>('Attainment 25+ by race &amp; gender'!MM8/'Pop 25+ by race &amp; gender'!CW7)*100</f>
        <v>14.500000000000002</v>
      </c>
      <c r="L9" s="528">
        <f>('Attainment 25+ by race &amp; gender'!LK8/'Pop 25+ by race &amp; gender'!BC7)*100</f>
        <v>14.580935153209451</v>
      </c>
      <c r="M9" s="657">
        <f>('Attainment 25+ by race &amp; gender'!MN8/'Pop 25+ by race &amp; gender'!CY7)*100</f>
        <v>11.799999999999999</v>
      </c>
      <c r="N9" s="527">
        <f>('Attainment 25+ by race &amp; gender'!BY8/'Pop 25+ by race &amp; gender'!AT7)*100</f>
        <v>77.954608435661143</v>
      </c>
      <c r="O9" s="669">
        <f>('Attainment 25+ by race &amp; gender'!DC8/'Pop 25+ by race &amp; gender'!DA7)*100</f>
        <v>84.762267308311948</v>
      </c>
      <c r="P9" s="528">
        <f>('Attainment 25+ by race &amp; gender'!BZ8/'Pop 25+ by race &amp; gender'!AZ7)*100</f>
        <v>66.93303592485465</v>
      </c>
      <c r="Q9" s="527">
        <f>('Attainment 25+ by race &amp; gender'!DD8/'Pop 25+ by race &amp; gender'!DB7)*100</f>
        <v>78.82799522425249</v>
      </c>
      <c r="R9" s="528">
        <f>('Attainment 25+ by race &amp; gender'!CA8/'Pop 25+ by race &amp; gender'!BC7)*100</f>
        <v>56.931425752343365</v>
      </c>
      <c r="S9" s="527">
        <f>('Attainment 25+ by race &amp; gender'!DE8/'Pop 25+ by race &amp; gender'!DD7)*100</f>
        <v>55.287991163010886</v>
      </c>
      <c r="T9" s="528">
        <f>('Attainment 25+ by race &amp; gender'!LB8/'Pop 25+ by race &amp; gender'!AT7)*100</f>
        <v>21.190036395923137</v>
      </c>
      <c r="U9" s="527">
        <f>('Attainment 25+ by race &amp; gender'!MQ8/'Pop 25+ by race &amp; gender'!DA7)*100</f>
        <v>24.808883599588405</v>
      </c>
      <c r="V9" s="528">
        <f>('Attainment 25+ by race &amp; gender'!LH8/'Pop 25+ by race &amp; gender'!AZ7)*100</f>
        <v>11.502161333956147</v>
      </c>
      <c r="W9" s="527">
        <f>('Attainment 25+ by race &amp; gender'!MR8/'Pop 25+ by race &amp; gender'!DB7)*100</f>
        <v>14.876193936877078</v>
      </c>
      <c r="X9" s="528">
        <f>('Attainment 25+ by race &amp; gender'!LK8/'Pop 25+ by race &amp; gender'!BC7)*100</f>
        <v>14.580935153209451</v>
      </c>
      <c r="Y9" s="657">
        <f>('Attainment 25+ by race &amp; gender'!MS8/'Pop 25+ by race &amp; gender'!DD7)*100</f>
        <v>11.888906422597444</v>
      </c>
      <c r="Z9" s="527">
        <f>('Attainment 25+ by race &amp; gender'!BY8/'Pop 25+ by race &amp; gender'!AT7)*100</f>
        <v>77.954608435661143</v>
      </c>
      <c r="AA9" s="669">
        <f>('Attainment 25+ by race &amp; gender'!DH8/'Pop 25+ by race &amp; gender'!DF7)*100</f>
        <v>86.107168322342517</v>
      </c>
      <c r="AB9" s="528">
        <f>('Attainment 25+ by race &amp; gender'!BZ8/'Pop 25+ by race &amp; gender'!AZ7)*100</f>
        <v>66.93303592485465</v>
      </c>
      <c r="AC9" s="527">
        <f>('Attainment 25+ by race &amp; gender'!DI8/'Pop 25+ by race &amp; gender'!DG7)*100</f>
        <v>79.728813472261109</v>
      </c>
      <c r="AD9" s="528">
        <f>('Attainment 25+ by race &amp; gender'!CA8/'Pop 25+ by race &amp; gender'!BC7)*100</f>
        <v>56.931425752343365</v>
      </c>
      <c r="AE9" s="527">
        <f>('Attainment 25+ by race &amp; gender'!DJ8/'Pop 25+ by race &amp; gender'!DI7)*100</f>
        <v>59.936941560958232</v>
      </c>
      <c r="AF9" s="528">
        <f>('Attainment 25+ by race &amp; gender'!LB8/'Pop 25+ by race &amp; gender'!AT7)*100</f>
        <v>21.190036395923137</v>
      </c>
      <c r="AG9" s="527">
        <f>('Attainment 25+ by race &amp; gender'!MV8/'Pop 25+ by race &amp; gender'!DF7)*100</f>
        <v>25.586628620909242</v>
      </c>
      <c r="AH9" s="528">
        <f>('Attainment 25+ by race &amp; gender'!LH8/'Pop 25+ by race &amp; gender'!AZ7)*100</f>
        <v>11.502161333956147</v>
      </c>
      <c r="AI9" s="527">
        <f>('Attainment 25+ by race &amp; gender'!MW8/'Pop 25+ by race &amp; gender'!DG7)*100</f>
        <v>15.501986578077526</v>
      </c>
      <c r="AJ9" s="528">
        <f>('Attainment 25+ by race &amp; gender'!LK8/'Pop 25+ by race &amp; gender'!BC7)*100</f>
        <v>14.580935153209451</v>
      </c>
      <c r="AK9" s="679">
        <f>('Attainment 25+ by race &amp; gender'!MX8/'Pop 25+ by race &amp; gender'!DI7)*100</f>
        <v>13.047440476813977</v>
      </c>
    </row>
    <row r="10" spans="1:37" x14ac:dyDescent="0.2">
      <c r="A10" s="244" t="s">
        <v>1</v>
      </c>
      <c r="B10" s="527">
        <f>('Attainment 25+ by race &amp; gender'!BY9/'Pop 25+ by race &amp; gender'!AT8)*100</f>
        <v>77.452166907168575</v>
      </c>
      <c r="C10" s="669">
        <f>('Attainment 25+ by race &amp; gender'!CX9/'Pop 25+ by race &amp; gender'!CV8)*100</f>
        <v>84.7</v>
      </c>
      <c r="D10" s="528">
        <f>('Attainment 25+ by race &amp; gender'!BZ9/'Pop 25+ by race &amp; gender'!AZ8)*100</f>
        <v>65.774719561032811</v>
      </c>
      <c r="E10" s="527">
        <f>('Attainment 25+ by race &amp; gender'!CY9/'Pop 25+ by race &amp; gender'!CW8)*100</f>
        <v>78.799999999999983</v>
      </c>
      <c r="F10" s="528">
        <f>('Attainment 25+ by race &amp; gender'!CA9/'Pop 25+ by race &amp; gender'!BC8)*100</f>
        <v>41.240410804867686</v>
      </c>
      <c r="G10" s="527">
        <f>('Attainment 25+ by race &amp; gender'!CZ9/'Pop 25+ by race &amp; gender'!CY8)*100</f>
        <v>48.9</v>
      </c>
      <c r="H10" s="528">
        <f>('Attainment 25+ by race &amp; gender'!LB9/'Pop 25+ by race &amp; gender'!AT8)*100</f>
        <v>17.771970940257386</v>
      </c>
      <c r="I10" s="527">
        <f>('Attainment 25+ by race &amp; gender'!ML9/'Pop 25+ by race &amp; gender'!CV8)*100</f>
        <v>20.7</v>
      </c>
      <c r="J10" s="528">
        <f>('Attainment 25+ by race &amp; gender'!LH9/'Pop 25+ by race &amp; gender'!AZ8)*100</f>
        <v>10.22103236940505</v>
      </c>
      <c r="K10" s="527">
        <f>('Attainment 25+ by race &amp; gender'!MM9/'Pop 25+ by race &amp; gender'!CW8)*100</f>
        <v>13.100000000000001</v>
      </c>
      <c r="L10" s="528">
        <f>('Attainment 25+ by race &amp; gender'!LK9/'Pop 25+ by race &amp; gender'!BC8)*100</f>
        <v>7.1066243534321201</v>
      </c>
      <c r="M10" s="657">
        <f>('Attainment 25+ by race &amp; gender'!MN9/'Pop 25+ by race &amp; gender'!CY8)*100</f>
        <v>8.7999999999999989</v>
      </c>
      <c r="N10" s="527">
        <f>('Attainment 25+ by race &amp; gender'!BY9/'Pop 25+ by race &amp; gender'!AT8)*100</f>
        <v>77.452166907168575</v>
      </c>
      <c r="O10" s="669">
        <f>('Attainment 25+ by race &amp; gender'!DC9/'Pop 25+ by race &amp; gender'!DA8)*100</f>
        <v>85.29392188917322</v>
      </c>
      <c r="P10" s="528">
        <f>('Attainment 25+ by race &amp; gender'!BZ9/'Pop 25+ by race &amp; gender'!AZ8)*100</f>
        <v>65.774719561032811</v>
      </c>
      <c r="Q10" s="527">
        <f>('Attainment 25+ by race &amp; gender'!DD9/'Pop 25+ by race &amp; gender'!DB8)*100</f>
        <v>79.71247492622075</v>
      </c>
      <c r="R10" s="528">
        <f>('Attainment 25+ by race &amp; gender'!CA9/'Pop 25+ by race &amp; gender'!BC8)*100</f>
        <v>41.240410804867686</v>
      </c>
      <c r="S10" s="527">
        <f>('Attainment 25+ by race &amp; gender'!DE9/'Pop 25+ by race &amp; gender'!DD8)*100</f>
        <v>50.053289090569479</v>
      </c>
      <c r="T10" s="528">
        <f>('Attainment 25+ by race &amp; gender'!LB9/'Pop 25+ by race &amp; gender'!AT8)*100</f>
        <v>17.771970940257386</v>
      </c>
      <c r="U10" s="527">
        <f>('Attainment 25+ by race &amp; gender'!MQ9/'Pop 25+ by race &amp; gender'!DA8)*100</f>
        <v>21.328313827706886</v>
      </c>
      <c r="V10" s="528">
        <f>('Attainment 25+ by race &amp; gender'!LH9/'Pop 25+ by race &amp; gender'!AZ8)*100</f>
        <v>10.22103236940505</v>
      </c>
      <c r="W10" s="527">
        <f>('Attainment 25+ by race &amp; gender'!MR9/'Pop 25+ by race &amp; gender'!DB8)*100</f>
        <v>13.594733296862383</v>
      </c>
      <c r="X10" s="528">
        <f>('Attainment 25+ by race &amp; gender'!LK9/'Pop 25+ by race &amp; gender'!BC8)*100</f>
        <v>7.1066243534321201</v>
      </c>
      <c r="Y10" s="657">
        <f>('Attainment 25+ by race &amp; gender'!MS9/'Pop 25+ by race &amp; gender'!DD8)*100</f>
        <v>8.991023260413348</v>
      </c>
      <c r="Z10" s="527">
        <f>('Attainment 25+ by race &amp; gender'!BY9/'Pop 25+ by race &amp; gender'!AT8)*100</f>
        <v>77.452166907168575</v>
      </c>
      <c r="AA10" s="669">
        <f>('Attainment 25+ by race &amp; gender'!DH9/'Pop 25+ by race &amp; gender'!DF8)*100</f>
        <v>86.949968140724167</v>
      </c>
      <c r="AB10" s="528">
        <f>('Attainment 25+ by race &amp; gender'!BZ9/'Pop 25+ by race &amp; gender'!AZ8)*100</f>
        <v>65.774719561032811</v>
      </c>
      <c r="AC10" s="527">
        <f>('Attainment 25+ by race &amp; gender'!DI9/'Pop 25+ by race &amp; gender'!DG8)*100</f>
        <v>80.159896363468121</v>
      </c>
      <c r="AD10" s="528">
        <f>('Attainment 25+ by race &amp; gender'!CA9/'Pop 25+ by race &amp; gender'!BC8)*100</f>
        <v>41.240410804867686</v>
      </c>
      <c r="AE10" s="527">
        <f>('Attainment 25+ by race &amp; gender'!DJ9/'Pop 25+ by race &amp; gender'!DI8)*100</f>
        <v>52.078371029278472</v>
      </c>
      <c r="AF10" s="528">
        <f>('Attainment 25+ by race &amp; gender'!LB9/'Pop 25+ by race &amp; gender'!AT8)*100</f>
        <v>17.771970940257386</v>
      </c>
      <c r="AG10" s="527">
        <f>('Attainment 25+ by race &amp; gender'!MV9/'Pop 25+ by race &amp; gender'!DF8)*100</f>
        <v>22.299261954118705</v>
      </c>
      <c r="AH10" s="528">
        <f>('Attainment 25+ by race &amp; gender'!LH9/'Pop 25+ by race &amp; gender'!AZ8)*100</f>
        <v>10.22103236940505</v>
      </c>
      <c r="AI10" s="527">
        <f>('Attainment 25+ by race &amp; gender'!MW9/'Pop 25+ by race &amp; gender'!DG8)*100</f>
        <v>13.92949014527621</v>
      </c>
      <c r="AJ10" s="528">
        <f>('Attainment 25+ by race &amp; gender'!LK9/'Pop 25+ by race &amp; gender'!BC8)*100</f>
        <v>7.1066243534321201</v>
      </c>
      <c r="AK10" s="679">
        <f>('Attainment 25+ by race &amp; gender'!MX9/'Pop 25+ by race &amp; gender'!DI8)*100</f>
        <v>8.5558904744840962</v>
      </c>
    </row>
    <row r="11" spans="1:37" x14ac:dyDescent="0.2">
      <c r="A11" s="244" t="s">
        <v>2</v>
      </c>
      <c r="B11" s="527">
        <f>('Attainment 25+ by race &amp; gender'!BY10/'Pop 25+ by race &amp; gender'!AT9)*100</f>
        <v>85.030784602466255</v>
      </c>
      <c r="C11" s="669">
        <f>('Attainment 25+ by race &amp; gender'!CX10/'Pop 25+ by race &amp; gender'!CV9)*100</f>
        <v>88.4</v>
      </c>
      <c r="D11" s="528">
        <f>('Attainment 25+ by race &amp; gender'!BZ10/'Pop 25+ by race &amp; gender'!AZ9)*100</f>
        <v>74.186006334581052</v>
      </c>
      <c r="E11" s="527">
        <f>('Attainment 25+ by race &amp; gender'!CY10/'Pop 25+ by race &amp; gender'!CW9)*100</f>
        <v>84.399999999999991</v>
      </c>
      <c r="F11" s="528">
        <f>('Attainment 25+ by race &amp; gender'!CA10/'Pop 25+ by race &amp; gender'!BC9)*100</f>
        <v>57.138954155510625</v>
      </c>
      <c r="G11" s="527">
        <f>('Attainment 25+ by race &amp; gender'!CZ10/'Pop 25+ by race &amp; gender'!CY9)*100</f>
        <v>59.599999999999994</v>
      </c>
      <c r="H11" s="528">
        <f>('Attainment 25+ by race &amp; gender'!LB10/'Pop 25+ by race &amp; gender'!AT9)*100</f>
        <v>26.746599491200662</v>
      </c>
      <c r="I11" s="527">
        <f>('Attainment 25+ by race &amp; gender'!ML10/'Pop 25+ by race &amp; gender'!CV9)*100</f>
        <v>29.800000000000004</v>
      </c>
      <c r="J11" s="528">
        <f>('Attainment 25+ by race &amp; gender'!LH10/'Pop 25+ by race &amp; gender'!AZ9)*100</f>
        <v>14.44630002879355</v>
      </c>
      <c r="K11" s="527">
        <f>('Attainment 25+ by race &amp; gender'!MM10/'Pop 25+ by race &amp; gender'!CW9)*100</f>
        <v>17.8</v>
      </c>
      <c r="L11" s="528">
        <f>('Attainment 25+ by race &amp; gender'!LK10/'Pop 25+ by race &amp; gender'!BC9)*100</f>
        <v>13.452816785967981</v>
      </c>
      <c r="M11" s="657">
        <f>('Attainment 25+ by race &amp; gender'!MN10/'Pop 25+ by race &amp; gender'!CY9)*100</f>
        <v>13.599999999999998</v>
      </c>
      <c r="N11" s="527">
        <f>('Attainment 25+ by race &amp; gender'!BY10/'Pop 25+ by race &amp; gender'!AT9)*100</f>
        <v>85.030784602466255</v>
      </c>
      <c r="O11" s="669">
        <f>('Attainment 25+ by race &amp; gender'!DC10/'Pop 25+ by race &amp; gender'!DA9)*100</f>
        <v>88.858649882540661</v>
      </c>
      <c r="P11" s="528">
        <f>('Attainment 25+ by race &amp; gender'!BZ10/'Pop 25+ by race &amp; gender'!AZ9)*100</f>
        <v>74.186006334581052</v>
      </c>
      <c r="Q11" s="527">
        <f>('Attainment 25+ by race &amp; gender'!DD10/'Pop 25+ by race &amp; gender'!DB9)*100</f>
        <v>85.26267640232436</v>
      </c>
      <c r="R11" s="528">
        <f>('Attainment 25+ by race &amp; gender'!CA10/'Pop 25+ by race &amp; gender'!BC9)*100</f>
        <v>57.138954155510625</v>
      </c>
      <c r="S11" s="527">
        <f>('Attainment 25+ by race &amp; gender'!DE10/'Pop 25+ by race &amp; gender'!DD9)*100</f>
        <v>63.252304237708557</v>
      </c>
      <c r="T11" s="528">
        <f>('Attainment 25+ by race &amp; gender'!LB10/'Pop 25+ by race &amp; gender'!AT9)*100</f>
        <v>26.746599491200662</v>
      </c>
      <c r="U11" s="527">
        <f>('Attainment 25+ by race &amp; gender'!MQ10/'Pop 25+ by race &amp; gender'!DA9)*100</f>
        <v>29.957891937414121</v>
      </c>
      <c r="V11" s="528">
        <f>('Attainment 25+ by race &amp; gender'!LH10/'Pop 25+ by race &amp; gender'!AZ9)*100</f>
        <v>14.44630002879355</v>
      </c>
      <c r="W11" s="527">
        <f>('Attainment 25+ by race &amp; gender'!MR10/'Pop 25+ by race &amp; gender'!DB9)*100</f>
        <v>19.006556321683295</v>
      </c>
      <c r="X11" s="528">
        <f>('Attainment 25+ by race &amp; gender'!LK10/'Pop 25+ by race &amp; gender'!BC9)*100</f>
        <v>13.452816785967981</v>
      </c>
      <c r="Y11" s="657">
        <f>('Attainment 25+ by race &amp; gender'!MS10/'Pop 25+ by race &amp; gender'!DD9)*100</f>
        <v>14.613958588997104</v>
      </c>
      <c r="Z11" s="527">
        <f>('Attainment 25+ by race &amp; gender'!BY10/'Pop 25+ by race &amp; gender'!AT9)*100</f>
        <v>85.030784602466255</v>
      </c>
      <c r="AA11" s="669">
        <f>('Attainment 25+ by race &amp; gender'!DH10/'Pop 25+ by race &amp; gender'!DF9)*100</f>
        <v>90.646814526818062</v>
      </c>
      <c r="AB11" s="528">
        <f>('Attainment 25+ by race &amp; gender'!BZ10/'Pop 25+ by race &amp; gender'!AZ9)*100</f>
        <v>74.186006334581052</v>
      </c>
      <c r="AC11" s="527">
        <f>('Attainment 25+ by race &amp; gender'!DI10/'Pop 25+ by race &amp; gender'!DG9)*100</f>
        <v>85.518246252376997</v>
      </c>
      <c r="AD11" s="528">
        <f>('Attainment 25+ by race &amp; gender'!CA10/'Pop 25+ by race &amp; gender'!BC9)*100</f>
        <v>57.138954155510625</v>
      </c>
      <c r="AE11" s="527">
        <f>('Attainment 25+ by race &amp; gender'!DJ10/'Pop 25+ by race &amp; gender'!DI9)*100</f>
        <v>63.808955817305304</v>
      </c>
      <c r="AF11" s="528">
        <f>('Attainment 25+ by race &amp; gender'!LB10/'Pop 25+ by race &amp; gender'!AT9)*100</f>
        <v>26.746599491200662</v>
      </c>
      <c r="AG11" s="527">
        <f>('Attainment 25+ by race &amp; gender'!MV10/'Pop 25+ by race &amp; gender'!DF9)*100</f>
        <v>31.629872153211519</v>
      </c>
      <c r="AH11" s="528">
        <f>('Attainment 25+ by race &amp; gender'!LH10/'Pop 25+ by race &amp; gender'!AZ9)*100</f>
        <v>14.44630002879355</v>
      </c>
      <c r="AI11" s="527">
        <f>('Attainment 25+ by race &amp; gender'!MW10/'Pop 25+ by race &amp; gender'!DG9)*100</f>
        <v>19.593832577360324</v>
      </c>
      <c r="AJ11" s="528">
        <f>('Attainment 25+ by race &amp; gender'!LK10/'Pop 25+ by race &amp; gender'!BC9)*100</f>
        <v>13.452816785967981</v>
      </c>
      <c r="AK11" s="679">
        <f>('Attainment 25+ by race &amp; gender'!MX10/'Pop 25+ by race &amp; gender'!DI9)*100</f>
        <v>15.058893693156403</v>
      </c>
    </row>
    <row r="12" spans="1:37" x14ac:dyDescent="0.2">
      <c r="A12" s="244" t="s">
        <v>3</v>
      </c>
      <c r="B12" s="527">
        <f>('Attainment 25+ by race &amp; gender'!BY11/'Pop 25+ by race &amp; gender'!AT10)*100</f>
        <v>82.534915366428791</v>
      </c>
      <c r="C12" s="669">
        <f>('Attainment 25+ by race &amp; gender'!CX11/'Pop 25+ by race &amp; gender'!CV10)*100</f>
        <v>87.499999999999972</v>
      </c>
      <c r="D12" s="528">
        <f>('Attainment 25+ by race &amp; gender'!BZ11/'Pop 25+ by race &amp; gender'!AZ10)*100</f>
        <v>67.047985469419018</v>
      </c>
      <c r="E12" s="527">
        <f>('Attainment 25+ by race &amp; gender'!CY11/'Pop 25+ by race &amp; gender'!CW10)*100</f>
        <v>78.2</v>
      </c>
      <c r="F12" s="528">
        <f>('Attainment 25+ by race &amp; gender'!CA11/'Pop 25+ by race &amp; gender'!BC10)*100</f>
        <v>63.314237654209947</v>
      </c>
      <c r="G12" s="527">
        <f>('Attainment 25+ by race &amp; gender'!CZ11/'Pop 25+ by race &amp; gender'!CY10)*100</f>
        <v>74.200000000000017</v>
      </c>
      <c r="H12" s="528">
        <f>('Attainment 25+ by race &amp; gender'!LB11/'Pop 25+ by race &amp; gender'!AT10)*100</f>
        <v>23.817435490003778</v>
      </c>
      <c r="I12" s="527">
        <f>('Attainment 25+ by race &amp; gender'!ML11/'Pop 25+ by race &amp; gender'!CV10)*100</f>
        <v>27.099999999999998</v>
      </c>
      <c r="J12" s="528">
        <f>('Attainment 25+ by race &amp; gender'!LH11/'Pop 25+ by race &amp; gender'!AZ10)*100</f>
        <v>12.425701198586163</v>
      </c>
      <c r="K12" s="527">
        <f>('Attainment 25+ by race &amp; gender'!MM11/'Pop 25+ by race &amp; gender'!CW10)*100</f>
        <v>16</v>
      </c>
      <c r="L12" s="528">
        <f>('Attainment 25+ by race &amp; gender'!LK11/'Pop 25+ by race &amp; gender'!BC10)*100</f>
        <v>17.484666737835571</v>
      </c>
      <c r="M12" s="657">
        <f>('Attainment 25+ by race &amp; gender'!MN11/'Pop 25+ by race &amp; gender'!CY10)*100</f>
        <v>20.3</v>
      </c>
      <c r="N12" s="527">
        <f>('Attainment 25+ by race &amp; gender'!BY11/'Pop 25+ by race &amp; gender'!AT10)*100</f>
        <v>82.534915366428791</v>
      </c>
      <c r="O12" s="669">
        <f>('Attainment 25+ by race &amp; gender'!DC11/'Pop 25+ by race &amp; gender'!DA10)*100</f>
        <v>87.708349644396122</v>
      </c>
      <c r="P12" s="528">
        <f>('Attainment 25+ by race &amp; gender'!BZ11/'Pop 25+ by race &amp; gender'!AZ10)*100</f>
        <v>67.047985469419018</v>
      </c>
      <c r="Q12" s="527">
        <f>('Attainment 25+ by race &amp; gender'!DD11/'Pop 25+ by race &amp; gender'!DB10)*100</f>
        <v>79.127877818833085</v>
      </c>
      <c r="R12" s="528">
        <f>('Attainment 25+ by race &amp; gender'!CA11/'Pop 25+ by race &amp; gender'!BC10)*100</f>
        <v>63.314237654209947</v>
      </c>
      <c r="S12" s="527">
        <f>('Attainment 25+ by race &amp; gender'!DE11/'Pop 25+ by race &amp; gender'!DD10)*100</f>
        <v>75.020215988267864</v>
      </c>
      <c r="T12" s="528">
        <f>('Attainment 25+ by race &amp; gender'!LB11/'Pop 25+ by race &amp; gender'!AT10)*100</f>
        <v>23.817435490003778</v>
      </c>
      <c r="U12" s="527">
        <f>('Attainment 25+ by race &amp; gender'!MQ11/'Pop 25+ by race &amp; gender'!DA10)*100</f>
        <v>27.621881352209272</v>
      </c>
      <c r="V12" s="528">
        <f>('Attainment 25+ by race &amp; gender'!LH11/'Pop 25+ by race &amp; gender'!AZ10)*100</f>
        <v>12.425701198586163</v>
      </c>
      <c r="W12" s="527">
        <f>('Attainment 25+ by race &amp; gender'!MR11/'Pop 25+ by race &amp; gender'!DB10)*100</f>
        <v>16.135813185812253</v>
      </c>
      <c r="X12" s="528">
        <f>('Attainment 25+ by race &amp; gender'!LK11/'Pop 25+ by race &amp; gender'!BC10)*100</f>
        <v>17.484666737835571</v>
      </c>
      <c r="Y12" s="657">
        <f>('Attainment 25+ by race &amp; gender'!MS11/'Pop 25+ by race &amp; gender'!DD10)*100</f>
        <v>20.760251002864504</v>
      </c>
      <c r="Z12" s="527">
        <f>('Attainment 25+ by race &amp; gender'!BY11/'Pop 25+ by race &amp; gender'!AT10)*100</f>
        <v>82.534915366428791</v>
      </c>
      <c r="AA12" s="669">
        <f>('Attainment 25+ by race &amp; gender'!DH11/'Pop 25+ by race &amp; gender'!DF10)*100</f>
        <v>91.274469236324222</v>
      </c>
      <c r="AB12" s="528">
        <f>('Attainment 25+ by race &amp; gender'!BZ11/'Pop 25+ by race &amp; gender'!AZ10)*100</f>
        <v>67.047985469419018</v>
      </c>
      <c r="AC12" s="527">
        <f>('Attainment 25+ by race &amp; gender'!DI11/'Pop 25+ by race &amp; gender'!DG10)*100</f>
        <v>80.092991060897262</v>
      </c>
      <c r="AD12" s="528">
        <f>('Attainment 25+ by race &amp; gender'!CA11/'Pop 25+ by race &amp; gender'!BC10)*100</f>
        <v>63.314237654209947</v>
      </c>
      <c r="AE12" s="527">
        <f>('Attainment 25+ by race &amp; gender'!DJ11/'Pop 25+ by race &amp; gender'!DI10)*100</f>
        <v>76.091662445180248</v>
      </c>
      <c r="AF12" s="528">
        <f>('Attainment 25+ by race &amp; gender'!LB11/'Pop 25+ by race &amp; gender'!AT10)*100</f>
        <v>23.817435490003778</v>
      </c>
      <c r="AG12" s="527">
        <f>('Attainment 25+ by race &amp; gender'!MV11/'Pop 25+ by race &amp; gender'!DF10)*100</f>
        <v>29.855920563944888</v>
      </c>
      <c r="AH12" s="528">
        <f>('Attainment 25+ by race &amp; gender'!LH11/'Pop 25+ by race &amp; gender'!AZ10)*100</f>
        <v>12.425701198586163</v>
      </c>
      <c r="AI12" s="527">
        <f>('Attainment 25+ by race &amp; gender'!MW11/'Pop 25+ by race &amp; gender'!DG10)*100</f>
        <v>16.628089783660982</v>
      </c>
      <c r="AJ12" s="528">
        <f>('Attainment 25+ by race &amp; gender'!LK11/'Pop 25+ by race &amp; gender'!BC10)*100</f>
        <v>17.484666737835571</v>
      </c>
      <c r="AK12" s="679">
        <f>('Attainment 25+ by race &amp; gender'!MX11/'Pop 25+ by race &amp; gender'!DI10)*100</f>
        <v>21.135091168417958</v>
      </c>
    </row>
    <row r="13" spans="1:37" x14ac:dyDescent="0.2">
      <c r="A13" s="244" t="s">
        <v>4</v>
      </c>
      <c r="B13" s="527">
        <f>('Attainment 25+ by race &amp; gender'!BY12/'Pop 25+ by race &amp; gender'!AT11)*100</f>
        <v>81.816361728828639</v>
      </c>
      <c r="C13" s="669">
        <f>('Attainment 25+ by race &amp; gender'!CX12/'Pop 25+ by race &amp; gender'!CV11)*100</f>
        <v>86.299999999999983</v>
      </c>
      <c r="D13" s="528">
        <f>('Attainment 25+ by race &amp; gender'!BZ12/'Pop 25+ by race &amp; gender'!AZ11)*100</f>
        <v>72.488019076465633</v>
      </c>
      <c r="E13" s="527">
        <f>('Attainment 25+ by race &amp; gender'!CY12/'Pop 25+ by race &amp; gender'!CW11)*100</f>
        <v>82.699999999999989</v>
      </c>
      <c r="F13" s="528">
        <f>('Attainment 25+ by race &amp; gender'!CA12/'Pop 25+ by race &amp; gender'!BC11)*100</f>
        <v>48.526197288803417</v>
      </c>
      <c r="G13" s="527">
        <f>('Attainment 25+ by race &amp; gender'!CZ12/'Pop 25+ by race &amp; gender'!CY11)*100</f>
        <v>56.099999999999994</v>
      </c>
      <c r="H13" s="528">
        <f>('Attainment 25+ by race &amp; gender'!LB12/'Pop 25+ by race &amp; gender'!AT11)*100</f>
        <v>27.394325002069209</v>
      </c>
      <c r="I13" s="527">
        <f>('Attainment 25+ by race &amp; gender'!ML12/'Pop 25+ by race &amp; gender'!CV11)*100</f>
        <v>30.4</v>
      </c>
      <c r="J13" s="528">
        <f>('Attainment 25+ by race &amp; gender'!LH12/'Pop 25+ by race &amp; gender'!AZ11)*100</f>
        <v>15.493927590141027</v>
      </c>
      <c r="K13" s="527">
        <f>('Attainment 25+ by race &amp; gender'!MM12/'Pop 25+ by race &amp; gender'!CW11)*100</f>
        <v>19.8</v>
      </c>
      <c r="L13" s="528">
        <f>('Attainment 25+ by race &amp; gender'!LK12/'Pop 25+ by race &amp; gender'!BC11)*100</f>
        <v>13.600544115577653</v>
      </c>
      <c r="M13" s="657">
        <f>('Attainment 25+ by race &amp; gender'!MN12/'Pop 25+ by race &amp; gender'!CY11)*100</f>
        <v>13.499999999999998</v>
      </c>
      <c r="N13" s="527">
        <f>('Attainment 25+ by race &amp; gender'!BY12/'Pop 25+ by race &amp; gender'!AT11)*100</f>
        <v>81.816361728828639</v>
      </c>
      <c r="O13" s="669">
        <f>('Attainment 25+ by race &amp; gender'!DC12/'Pop 25+ by race &amp; gender'!DA11)*100</f>
        <v>86.386817567044503</v>
      </c>
      <c r="P13" s="528">
        <f>('Attainment 25+ by race &amp; gender'!BZ12/'Pop 25+ by race &amp; gender'!AZ11)*100</f>
        <v>72.488019076465633</v>
      </c>
      <c r="Q13" s="527">
        <f>('Attainment 25+ by race &amp; gender'!DD12/'Pop 25+ by race &amp; gender'!DB11)*100</f>
        <v>83.165738896972044</v>
      </c>
      <c r="R13" s="528">
        <f>('Attainment 25+ by race &amp; gender'!CA12/'Pop 25+ by race &amp; gender'!BC11)*100</f>
        <v>48.526197288803417</v>
      </c>
      <c r="S13" s="527">
        <f>('Attainment 25+ by race &amp; gender'!DE12/'Pop 25+ by race &amp; gender'!DD11)*100</f>
        <v>56.968759886464404</v>
      </c>
      <c r="T13" s="528">
        <f>('Attainment 25+ by race &amp; gender'!LB12/'Pop 25+ by race &amp; gender'!AT11)*100</f>
        <v>27.394325002069209</v>
      </c>
      <c r="U13" s="527">
        <f>('Attainment 25+ by race &amp; gender'!MQ12/'Pop 25+ by race &amp; gender'!DA11)*100</f>
        <v>30.505085319065746</v>
      </c>
      <c r="V13" s="528">
        <f>('Attainment 25+ by race &amp; gender'!LH12/'Pop 25+ by race &amp; gender'!AZ11)*100</f>
        <v>15.493927590141027</v>
      </c>
      <c r="W13" s="527">
        <f>('Attainment 25+ by race &amp; gender'!MR12/'Pop 25+ by race &amp; gender'!DB11)*100</f>
        <v>20.369993340362644</v>
      </c>
      <c r="X13" s="528">
        <f>('Attainment 25+ by race &amp; gender'!LK12/'Pop 25+ by race &amp; gender'!BC11)*100</f>
        <v>13.600544115577653</v>
      </c>
      <c r="Y13" s="657">
        <f>('Attainment 25+ by race &amp; gender'!MS12/'Pop 25+ by race &amp; gender'!DD11)*100</f>
        <v>13.555428810772515</v>
      </c>
      <c r="Z13" s="527">
        <f>('Attainment 25+ by race &amp; gender'!BY12/'Pop 25+ by race &amp; gender'!AT11)*100</f>
        <v>81.816361728828639</v>
      </c>
      <c r="AA13" s="669">
        <f>('Attainment 25+ by race &amp; gender'!DH12/'Pop 25+ by race &amp; gender'!DF11)*100</f>
        <v>88.61380893056193</v>
      </c>
      <c r="AB13" s="528">
        <f>('Attainment 25+ by race &amp; gender'!BZ12/'Pop 25+ by race &amp; gender'!AZ11)*100</f>
        <v>72.488019076465633</v>
      </c>
      <c r="AC13" s="527">
        <f>('Attainment 25+ by race &amp; gender'!DI12/'Pop 25+ by race &amp; gender'!DG11)*100</f>
        <v>83.866146083887287</v>
      </c>
      <c r="AD13" s="528">
        <f>('Attainment 25+ by race &amp; gender'!CA12/'Pop 25+ by race &amp; gender'!BC11)*100</f>
        <v>48.526197288803417</v>
      </c>
      <c r="AE13" s="527">
        <f>('Attainment 25+ by race &amp; gender'!DJ12/'Pop 25+ by race &amp; gender'!DI11)*100</f>
        <v>57.359655230002105</v>
      </c>
      <c r="AF13" s="528">
        <f>('Attainment 25+ by race &amp; gender'!LB12/'Pop 25+ by race &amp; gender'!AT11)*100</f>
        <v>27.394325002069209</v>
      </c>
      <c r="AG13" s="527">
        <f>('Attainment 25+ by race &amp; gender'!MV12/'Pop 25+ by race &amp; gender'!DF11)*100</f>
        <v>31.820470788800737</v>
      </c>
      <c r="AH13" s="528">
        <f>('Attainment 25+ by race &amp; gender'!LH12/'Pop 25+ by race &amp; gender'!AZ11)*100</f>
        <v>15.493927590141027</v>
      </c>
      <c r="AI13" s="527">
        <f>('Attainment 25+ by race &amp; gender'!MW12/'Pop 25+ by race &amp; gender'!DG11)*100</f>
        <v>21.02269676559294</v>
      </c>
      <c r="AJ13" s="528">
        <f>('Attainment 25+ by race &amp; gender'!LK12/'Pop 25+ by race &amp; gender'!BC11)*100</f>
        <v>13.600544115577653</v>
      </c>
      <c r="AK13" s="679">
        <f>('Attainment 25+ by race &amp; gender'!MX12/'Pop 25+ by race &amp; gender'!DI11)*100</f>
        <v>13.438351975118259</v>
      </c>
    </row>
    <row r="14" spans="1:37" x14ac:dyDescent="0.2">
      <c r="A14" s="244" t="s">
        <v>5</v>
      </c>
      <c r="B14" s="527">
        <f>('Attainment 25+ by race &amp; gender'!BY13/'Pop 25+ by race &amp; gender'!AT12)*100</f>
        <v>74.190196769672738</v>
      </c>
      <c r="C14" s="669">
        <f>('Attainment 25+ by race &amp; gender'!CX13/'Pop 25+ by race &amp; gender'!CV12)*100</f>
        <v>82.4</v>
      </c>
      <c r="D14" s="528">
        <f>('Attainment 25+ by race &amp; gender'!BZ13/'Pop 25+ by race &amp; gender'!AZ12)*100</f>
        <v>73.181815513060627</v>
      </c>
      <c r="E14" s="527">
        <f>('Attainment 25+ by race &amp; gender'!CY13/'Pop 25+ by race &amp; gender'!CW12)*100</f>
        <v>82.4</v>
      </c>
      <c r="F14" s="528">
        <f>('Attainment 25+ by race &amp; gender'!CA13/'Pop 25+ by race &amp; gender'!BC12)*100</f>
        <v>59.059400661192271</v>
      </c>
      <c r="G14" s="527">
        <f>('Attainment 25+ by race &amp; gender'!CZ13/'Pop 25+ by race &amp; gender'!CY12)*100</f>
        <v>63.9</v>
      </c>
      <c r="H14" s="528">
        <f>('Attainment 25+ by race &amp; gender'!LB13/'Pop 25+ by race &amp; gender'!AT12)*100</f>
        <v>17.35508430830982</v>
      </c>
      <c r="I14" s="527">
        <f>('Attainment 25+ by race &amp; gender'!ML13/'Pop 25+ by race &amp; gender'!CV12)*100</f>
        <v>21.099999999999998</v>
      </c>
      <c r="J14" s="528">
        <f>('Attainment 25+ by race &amp; gender'!LH13/'Pop 25+ by race &amp; gender'!AZ12)*100</f>
        <v>10.65987165411194</v>
      </c>
      <c r="K14" s="527">
        <f>('Attainment 25+ by race &amp; gender'!MM13/'Pop 25+ by race &amp; gender'!CW12)*100</f>
        <v>14.499999999999998</v>
      </c>
      <c r="L14" s="528">
        <f>('Attainment 25+ by race &amp; gender'!LK13/'Pop 25+ by race &amp; gender'!BC12)*100</f>
        <v>12.960790586897017</v>
      </c>
      <c r="M14" s="657">
        <f>('Attainment 25+ by race &amp; gender'!MN13/'Pop 25+ by race &amp; gender'!CY12)*100</f>
        <v>13.4</v>
      </c>
      <c r="N14" s="527">
        <f>('Attainment 25+ by race &amp; gender'!BY13/'Pop 25+ by race &amp; gender'!AT12)*100</f>
        <v>74.190196769672738</v>
      </c>
      <c r="O14" s="669">
        <f>('Attainment 25+ by race &amp; gender'!DC13/'Pop 25+ by race &amp; gender'!DA12)*100</f>
        <v>83.109838610668874</v>
      </c>
      <c r="P14" s="528">
        <f>('Attainment 25+ by race &amp; gender'!BZ13/'Pop 25+ by race &amp; gender'!AZ12)*100</f>
        <v>73.181815513060627</v>
      </c>
      <c r="Q14" s="527">
        <f>('Attainment 25+ by race &amp; gender'!DD13/'Pop 25+ by race &amp; gender'!DB12)*100</f>
        <v>82.660824345146381</v>
      </c>
      <c r="R14" s="528">
        <f>('Attainment 25+ by race &amp; gender'!CA13/'Pop 25+ by race &amp; gender'!BC12)*100</f>
        <v>59.059400661192271</v>
      </c>
      <c r="S14" s="527">
        <f>('Attainment 25+ by race &amp; gender'!DE13/'Pop 25+ by race &amp; gender'!DD12)*100</f>
        <v>65.70719828172976</v>
      </c>
      <c r="T14" s="528">
        <f>('Attainment 25+ by race &amp; gender'!LB13/'Pop 25+ by race &amp; gender'!AT12)*100</f>
        <v>17.35508430830982</v>
      </c>
      <c r="U14" s="527">
        <f>('Attainment 25+ by race &amp; gender'!MQ13/'Pop 25+ by race &amp; gender'!DA12)*100</f>
        <v>21.327550285361774</v>
      </c>
      <c r="V14" s="528">
        <f>('Attainment 25+ by race &amp; gender'!LH13/'Pop 25+ by race &amp; gender'!AZ12)*100</f>
        <v>10.65987165411194</v>
      </c>
      <c r="W14" s="527">
        <f>('Attainment 25+ by race &amp; gender'!MR13/'Pop 25+ by race &amp; gender'!DB12)*100</f>
        <v>15.17526964560863</v>
      </c>
      <c r="X14" s="528">
        <f>('Attainment 25+ by race &amp; gender'!LK13/'Pop 25+ by race &amp; gender'!BC12)*100</f>
        <v>12.960790586897017</v>
      </c>
      <c r="Y14" s="657">
        <f>('Attainment 25+ by race &amp; gender'!MS13/'Pop 25+ by race &amp; gender'!DD12)*100</f>
        <v>14.248332400586875</v>
      </c>
      <c r="Z14" s="527">
        <f>('Attainment 25+ by race &amp; gender'!BY13/'Pop 25+ by race &amp; gender'!AT12)*100</f>
        <v>74.190196769672738</v>
      </c>
      <c r="AA14" s="669">
        <f>('Attainment 25+ by race &amp; gender'!DH13/'Pop 25+ by race &amp; gender'!DF12)*100</f>
        <v>83.98805679033174</v>
      </c>
      <c r="AB14" s="528">
        <f>('Attainment 25+ by race &amp; gender'!BZ13/'Pop 25+ by race &amp; gender'!AZ12)*100</f>
        <v>73.181815513060627</v>
      </c>
      <c r="AC14" s="527">
        <f>('Attainment 25+ by race &amp; gender'!DI13/'Pop 25+ by race &amp; gender'!DG12)*100</f>
        <v>83.662645788542406</v>
      </c>
      <c r="AD14" s="528">
        <f>('Attainment 25+ by race &amp; gender'!CA13/'Pop 25+ by race &amp; gender'!BC12)*100</f>
        <v>59.059400661192271</v>
      </c>
      <c r="AE14" s="527">
        <f>('Attainment 25+ by race &amp; gender'!DJ13/'Pop 25+ by race &amp; gender'!DI12)*100</f>
        <v>66.795253531249543</v>
      </c>
      <c r="AF14" s="528">
        <f>('Attainment 25+ by race &amp; gender'!LB13/'Pop 25+ by race &amp; gender'!AT12)*100</f>
        <v>17.35508430830982</v>
      </c>
      <c r="AG14" s="527">
        <f>('Attainment 25+ by race &amp; gender'!MV13/'Pop 25+ by race &amp; gender'!DF12)*100</f>
        <v>22.042902036639248</v>
      </c>
      <c r="AH14" s="528">
        <f>('Attainment 25+ by race &amp; gender'!LH13/'Pop 25+ by race &amp; gender'!AZ12)*100</f>
        <v>10.65987165411194</v>
      </c>
      <c r="AI14" s="527">
        <f>('Attainment 25+ by race &amp; gender'!MW13/'Pop 25+ by race &amp; gender'!DG12)*100</f>
        <v>15.444548031735764</v>
      </c>
      <c r="AJ14" s="528">
        <f>('Attainment 25+ by race &amp; gender'!LK13/'Pop 25+ by race &amp; gender'!BC12)*100</f>
        <v>12.960790586897017</v>
      </c>
      <c r="AK14" s="679">
        <f>('Attainment 25+ by race &amp; gender'!MX13/'Pop 25+ by race &amp; gender'!DI12)*100</f>
        <v>15.335083679246667</v>
      </c>
    </row>
    <row r="15" spans="1:37" x14ac:dyDescent="0.2">
      <c r="A15" s="244" t="s">
        <v>6</v>
      </c>
      <c r="B15" s="527">
        <f>('Attainment 25+ by race &amp; gender'!BY14/'Pop 25+ by race &amp; gender'!AT13)*100</f>
        <v>79.988243171285916</v>
      </c>
      <c r="C15" s="669">
        <f>('Attainment 25+ by race &amp; gender'!CX14/'Pop 25+ by race &amp; gender'!CV13)*100</f>
        <v>85.600000000000009</v>
      </c>
      <c r="D15" s="528">
        <f>('Attainment 25+ by race &amp; gender'!BZ14/'Pop 25+ by race &amp; gender'!AZ13)*100</f>
        <v>63.139479025839741</v>
      </c>
      <c r="E15" s="527">
        <f>('Attainment 25+ by race &amp; gender'!CY14/'Pop 25+ by race &amp; gender'!CW13)*100</f>
        <v>75</v>
      </c>
      <c r="F15" s="528">
        <f>('Attainment 25+ by race &amp; gender'!CA14/'Pop 25+ by race &amp; gender'!BC13)*100</f>
        <v>69.04885942063305</v>
      </c>
      <c r="G15" s="527">
        <f>('Attainment 25+ by race &amp; gender'!CZ14/'Pop 25+ by race &amp; gender'!CY13)*100</f>
        <v>70.199999999999989</v>
      </c>
      <c r="H15" s="528">
        <f>('Attainment 25+ by race &amp; gender'!LB14/'Pop 25+ by race &amp; gender'!AT13)*100</f>
        <v>21.768849148816145</v>
      </c>
      <c r="I15" s="527">
        <f>('Attainment 25+ by race &amp; gender'!ML14/'Pop 25+ by race &amp; gender'!CV13)*100</f>
        <v>24.8</v>
      </c>
      <c r="J15" s="528">
        <f>('Attainment 25+ by race &amp; gender'!LH14/'Pop 25+ by race &amp; gender'!AZ13)*100</f>
        <v>10.891323765703065</v>
      </c>
      <c r="K15" s="527">
        <f>('Attainment 25+ by race &amp; gender'!MM14/'Pop 25+ by race &amp; gender'!CW13)*100</f>
        <v>13</v>
      </c>
      <c r="L15" s="528">
        <f>('Attainment 25+ by race &amp; gender'!LK14/'Pop 25+ by race &amp; gender'!BC13)*100</f>
        <v>19.520088404767545</v>
      </c>
      <c r="M15" s="657">
        <f>('Attainment 25+ by race &amp; gender'!MN14/'Pop 25+ by race &amp; gender'!CY13)*100</f>
        <v>17.600000000000001</v>
      </c>
      <c r="N15" s="527">
        <f>('Attainment 25+ by race &amp; gender'!BY14/'Pop 25+ by race &amp; gender'!AT13)*100</f>
        <v>79.988243171285916</v>
      </c>
      <c r="O15" s="669">
        <f>('Attainment 25+ by race &amp; gender'!DC14/'Pop 25+ by race &amp; gender'!DA13)*100</f>
        <v>86.059233403861285</v>
      </c>
      <c r="P15" s="528">
        <f>('Attainment 25+ by race &amp; gender'!BZ14/'Pop 25+ by race &amp; gender'!AZ13)*100</f>
        <v>63.139479025839741</v>
      </c>
      <c r="Q15" s="527">
        <f>('Attainment 25+ by race &amp; gender'!DD14/'Pop 25+ by race &amp; gender'!DB13)*100</f>
        <v>75.489658056756781</v>
      </c>
      <c r="R15" s="528">
        <f>('Attainment 25+ by race &amp; gender'!CA14/'Pop 25+ by race &amp; gender'!BC13)*100</f>
        <v>69.04885942063305</v>
      </c>
      <c r="S15" s="527">
        <f>('Attainment 25+ by race &amp; gender'!DE14/'Pop 25+ by race &amp; gender'!DD13)*100</f>
        <v>69.126755431902481</v>
      </c>
      <c r="T15" s="528">
        <f>('Attainment 25+ by race &amp; gender'!LB14/'Pop 25+ by race &amp; gender'!AT13)*100</f>
        <v>21.768849148816145</v>
      </c>
      <c r="U15" s="527">
        <f>('Attainment 25+ by race &amp; gender'!MQ14/'Pop 25+ by race &amp; gender'!DA13)*100</f>
        <v>25.019159364624109</v>
      </c>
      <c r="V15" s="528">
        <f>('Attainment 25+ by race &amp; gender'!LH14/'Pop 25+ by race &amp; gender'!AZ13)*100</f>
        <v>10.891323765703065</v>
      </c>
      <c r="W15" s="527">
        <f>('Attainment 25+ by race &amp; gender'!MR14/'Pop 25+ by race &amp; gender'!DB13)*100</f>
        <v>13.006598093935324</v>
      </c>
      <c r="X15" s="528">
        <f>('Attainment 25+ by race &amp; gender'!LK14/'Pop 25+ by race &amp; gender'!BC13)*100</f>
        <v>19.520088404767545</v>
      </c>
      <c r="Y15" s="657">
        <f>('Attainment 25+ by race &amp; gender'!MS14/'Pop 25+ by race &amp; gender'!DD13)*100</f>
        <v>17.055842607313195</v>
      </c>
      <c r="Z15" s="527">
        <f>('Attainment 25+ by race &amp; gender'!BY14/'Pop 25+ by race &amp; gender'!AT13)*100</f>
        <v>79.988243171285916</v>
      </c>
      <c r="AA15" s="669">
        <f>('Attainment 25+ by race &amp; gender'!DH14/'Pop 25+ by race &amp; gender'!DF13)*100</f>
        <v>87.087969547939409</v>
      </c>
      <c r="AB15" s="528">
        <f>('Attainment 25+ by race &amp; gender'!BZ14/'Pop 25+ by race &amp; gender'!AZ13)*100</f>
        <v>63.139479025839741</v>
      </c>
      <c r="AC15" s="527">
        <f>('Attainment 25+ by race &amp; gender'!DI14/'Pop 25+ by race &amp; gender'!DG13)*100</f>
        <v>75.954247247418564</v>
      </c>
      <c r="AD15" s="528">
        <f>('Attainment 25+ by race &amp; gender'!CA14/'Pop 25+ by race &amp; gender'!BC13)*100</f>
        <v>69.04885942063305</v>
      </c>
      <c r="AE15" s="527">
        <f>('Attainment 25+ by race &amp; gender'!DJ14/'Pop 25+ by race &amp; gender'!DI13)*100</f>
        <v>70.409921046335427</v>
      </c>
      <c r="AF15" s="528">
        <f>('Attainment 25+ by race &amp; gender'!LB14/'Pop 25+ by race &amp; gender'!AT13)*100</f>
        <v>21.768849148816145</v>
      </c>
      <c r="AG15" s="527">
        <f>('Attainment 25+ by race &amp; gender'!MV14/'Pop 25+ by race &amp; gender'!DF13)*100</f>
        <v>25.696638349963983</v>
      </c>
      <c r="AH15" s="528">
        <f>('Attainment 25+ by race &amp; gender'!LH14/'Pop 25+ by race &amp; gender'!AZ13)*100</f>
        <v>10.891323765703065</v>
      </c>
      <c r="AI15" s="527">
        <f>('Attainment 25+ by race &amp; gender'!MW14/'Pop 25+ by race &amp; gender'!DG13)*100</f>
        <v>13.455644931256774</v>
      </c>
      <c r="AJ15" s="528">
        <f>('Attainment 25+ by race &amp; gender'!LK14/'Pop 25+ by race &amp; gender'!BC13)*100</f>
        <v>19.520088404767545</v>
      </c>
      <c r="AK15" s="679">
        <f>('Attainment 25+ by race &amp; gender'!MX14/'Pop 25+ by race &amp; gender'!DI13)*100</f>
        <v>17.404896722226653</v>
      </c>
    </row>
    <row r="16" spans="1:37" x14ac:dyDescent="0.2">
      <c r="A16" s="244" t="s">
        <v>7</v>
      </c>
      <c r="B16" s="527">
        <f>('Attainment 25+ by race &amp; gender'!BY15/'Pop 25+ by race &amp; gender'!AT14)*100</f>
        <v>86.313228531479979</v>
      </c>
      <c r="C16" s="669">
        <f>('Attainment 25+ by race &amp; gender'!CX15/'Pop 25+ by race &amp; gender'!CV14)*100</f>
        <v>90.4</v>
      </c>
      <c r="D16" s="528">
        <f>('Attainment 25+ by race &amp; gender'!BZ15/'Pop 25+ by race &amp; gender'!AZ14)*100</f>
        <v>78.947180234377086</v>
      </c>
      <c r="E16" s="527">
        <f>('Attainment 25+ by race &amp; gender'!CY15/'Pop 25+ by race &amp; gender'!CW14)*100</f>
        <v>87.4</v>
      </c>
      <c r="F16" s="528">
        <f>('Attainment 25+ by race &amp; gender'!CA15/'Pop 25+ by race &amp; gender'!BC14)*100</f>
        <v>61.911612244733952</v>
      </c>
      <c r="G16" s="527">
        <f>('Attainment 25+ by race &amp; gender'!CZ15/'Pop 25+ by race &amp; gender'!CY14)*100</f>
        <v>60.3</v>
      </c>
      <c r="H16" s="528">
        <f>('Attainment 25+ by race &amp; gender'!LB15/'Pop 25+ by race &amp; gender'!AT14)*100</f>
        <v>34.732528561694068</v>
      </c>
      <c r="I16" s="527">
        <f>('Attainment 25+ by race &amp; gender'!ML15/'Pop 25+ by race &amp; gender'!CV14)*100</f>
        <v>39.70000000000001</v>
      </c>
      <c r="J16" s="528">
        <f>('Attainment 25+ by race &amp; gender'!LH15/'Pop 25+ by race &amp; gender'!AZ14)*100</f>
        <v>20.293909949852956</v>
      </c>
      <c r="K16" s="527">
        <f>('Attainment 25+ by race &amp; gender'!MM15/'Pop 25+ by race &amp; gender'!CW14)*100</f>
        <v>25.7</v>
      </c>
      <c r="L16" s="528">
        <f>('Attainment 25+ by race &amp; gender'!LK15/'Pop 25+ by race &amp; gender'!BC14)*100</f>
        <v>21.429088074323509</v>
      </c>
      <c r="M16" s="657">
        <f>('Attainment 25+ by race &amp; gender'!MN15/'Pop 25+ by race &amp; gender'!CY14)*100</f>
        <v>19.2</v>
      </c>
      <c r="N16" s="527">
        <f>('Attainment 25+ by race &amp; gender'!BY15/'Pop 25+ by race &amp; gender'!AT14)*100</f>
        <v>86.313228531479979</v>
      </c>
      <c r="O16" s="669">
        <f>('Attainment 25+ by race &amp; gender'!DC15/'Pop 25+ by race &amp; gender'!DA14)*100</f>
        <v>90.752241381668355</v>
      </c>
      <c r="P16" s="528">
        <f>('Attainment 25+ by race &amp; gender'!BZ15/'Pop 25+ by race &amp; gender'!AZ14)*100</f>
        <v>78.947180234377086</v>
      </c>
      <c r="Q16" s="527">
        <f>('Attainment 25+ by race &amp; gender'!DD15/'Pop 25+ by race &amp; gender'!DB14)*100</f>
        <v>87.600927405263505</v>
      </c>
      <c r="R16" s="528">
        <f>('Attainment 25+ by race &amp; gender'!CA15/'Pop 25+ by race &amp; gender'!BC14)*100</f>
        <v>61.911612244733952</v>
      </c>
      <c r="S16" s="527">
        <f>('Attainment 25+ by race &amp; gender'!DE15/'Pop 25+ by race &amp; gender'!DD14)*100</f>
        <v>61.282800938458756</v>
      </c>
      <c r="T16" s="528">
        <f>('Attainment 25+ by race &amp; gender'!LB15/'Pop 25+ by race &amp; gender'!AT14)*100</f>
        <v>34.732528561694068</v>
      </c>
      <c r="U16" s="527">
        <f>('Attainment 25+ by race &amp; gender'!MQ15/'Pop 25+ by race &amp; gender'!DA14)*100</f>
        <v>40.211048158053202</v>
      </c>
      <c r="V16" s="528">
        <f>('Attainment 25+ by race &amp; gender'!LH15/'Pop 25+ by race &amp; gender'!AZ14)*100</f>
        <v>20.293909949852956</v>
      </c>
      <c r="W16" s="527">
        <f>('Attainment 25+ by race &amp; gender'!MR15/'Pop 25+ by race &amp; gender'!DB14)*100</f>
        <v>25.915338228276369</v>
      </c>
      <c r="X16" s="528">
        <f>('Attainment 25+ by race &amp; gender'!LK15/'Pop 25+ by race &amp; gender'!BC14)*100</f>
        <v>21.429088074323509</v>
      </c>
      <c r="Y16" s="657">
        <f>('Attainment 25+ by race &amp; gender'!MS15/'Pop 25+ by race &amp; gender'!DD14)*100</f>
        <v>19.670456596282261</v>
      </c>
      <c r="Z16" s="527">
        <f>('Attainment 25+ by race &amp; gender'!BY15/'Pop 25+ by race &amp; gender'!AT14)*100</f>
        <v>86.313228531479979</v>
      </c>
      <c r="AA16" s="669">
        <f>('Attainment 25+ by race &amp; gender'!DH15/'Pop 25+ by race &amp; gender'!DF14)*100</f>
        <v>92.599515826189688</v>
      </c>
      <c r="AB16" s="528">
        <f>('Attainment 25+ by race &amp; gender'!BZ15/'Pop 25+ by race &amp; gender'!AZ14)*100</f>
        <v>78.947180234377086</v>
      </c>
      <c r="AC16" s="527">
        <f>('Attainment 25+ by race &amp; gender'!DI15/'Pop 25+ by race &amp; gender'!DG14)*100</f>
        <v>88.059843540548272</v>
      </c>
      <c r="AD16" s="528">
        <f>('Attainment 25+ by race &amp; gender'!CA15/'Pop 25+ by race &amp; gender'!BC14)*100</f>
        <v>61.911612244733952</v>
      </c>
      <c r="AE16" s="527">
        <f>('Attainment 25+ by race &amp; gender'!DJ15/'Pop 25+ by race &amp; gender'!DI14)*100</f>
        <v>62.919329142489829</v>
      </c>
      <c r="AF16" s="528">
        <f>('Attainment 25+ by race &amp; gender'!LB15/'Pop 25+ by race &amp; gender'!AT14)*100</f>
        <v>34.732528561694068</v>
      </c>
      <c r="AG16" s="527">
        <f>('Attainment 25+ by race &amp; gender'!MV15/'Pop 25+ by race &amp; gender'!DF14)*100</f>
        <v>41.897560495355165</v>
      </c>
      <c r="AH16" s="528">
        <f>('Attainment 25+ by race &amp; gender'!LH15/'Pop 25+ by race &amp; gender'!AZ14)*100</f>
        <v>20.293909949852956</v>
      </c>
      <c r="AI16" s="527">
        <f>('Attainment 25+ by race &amp; gender'!MW15/'Pop 25+ by race &amp; gender'!DG14)*100</f>
        <v>26.285295630789452</v>
      </c>
      <c r="AJ16" s="528">
        <f>('Attainment 25+ by race &amp; gender'!LK15/'Pop 25+ by race &amp; gender'!BC14)*100</f>
        <v>21.429088074323509</v>
      </c>
      <c r="AK16" s="679">
        <f>('Attainment 25+ by race &amp; gender'!MX15/'Pop 25+ by race &amp; gender'!DI14)*100</f>
        <v>20.909521324573802</v>
      </c>
    </row>
    <row r="17" spans="1:37" x14ac:dyDescent="0.2">
      <c r="A17" s="244" t="s">
        <v>8</v>
      </c>
      <c r="B17" s="527">
        <f>('Attainment 25+ by race &amp; gender'!BY16/'Pop 25+ by race &amp; gender'!AT15)*100</f>
        <v>78.895514249843814</v>
      </c>
      <c r="C17" s="669">
        <f>('Attainment 25+ by race &amp; gender'!CX16/'Pop 25+ by race &amp; gender'!CV15)*100</f>
        <v>85</v>
      </c>
      <c r="D17" s="528">
        <f>('Attainment 25+ by race &amp; gender'!BZ16/'Pop 25+ by race &amp; gender'!AZ15)*100</f>
        <v>60.44747085232629</v>
      </c>
      <c r="E17" s="527">
        <f>('Attainment 25+ by race &amp; gender'!CY16/'Pop 25+ by race &amp; gender'!CW15)*100</f>
        <v>73.999999999999986</v>
      </c>
      <c r="F17" s="528">
        <f>('Attainment 25+ by race &amp; gender'!CA16/'Pop 25+ by race &amp; gender'!BC15)*100</f>
        <v>59.148161262582832</v>
      </c>
      <c r="G17" s="527">
        <f>('Attainment 25+ by race &amp; gender'!CZ16/'Pop 25+ by race &amp; gender'!CY15)*100</f>
        <v>56.900000000000006</v>
      </c>
      <c r="H17" s="528">
        <f>('Attainment 25+ by race &amp; gender'!LB16/'Pop 25+ by race &amp; gender'!AT15)*100</f>
        <v>20.025502464355093</v>
      </c>
      <c r="I17" s="527">
        <f>('Attainment 25+ by race &amp; gender'!ML16/'Pop 25+ by race &amp; gender'!CV15)*100</f>
        <v>22.9</v>
      </c>
      <c r="J17" s="528">
        <f>('Attainment 25+ by race &amp; gender'!LH16/'Pop 25+ by race &amp; gender'!AZ15)*100</f>
        <v>10.092342436081408</v>
      </c>
      <c r="K17" s="527">
        <f>('Attainment 25+ by race &amp; gender'!MM16/'Pop 25+ by race &amp; gender'!CW15)*100</f>
        <v>13.200000000000001</v>
      </c>
      <c r="L17" s="528">
        <f>('Attainment 25+ by race &amp; gender'!LK16/'Pop 25+ by race &amp; gender'!BC15)*100</f>
        <v>12.074460013151905</v>
      </c>
      <c r="M17" s="657">
        <f>('Attainment 25+ by race &amp; gender'!MN16/'Pop 25+ by race &amp; gender'!CY15)*100</f>
        <v>12.000000000000002</v>
      </c>
      <c r="N17" s="527">
        <f>('Attainment 25+ by race &amp; gender'!BY16/'Pop 25+ by race &amp; gender'!AT15)*100</f>
        <v>78.895514249843814</v>
      </c>
      <c r="O17" s="669">
        <f>('Attainment 25+ by race &amp; gender'!DC16/'Pop 25+ by race &amp; gender'!DA15)*100</f>
        <v>85.387571237766977</v>
      </c>
      <c r="P17" s="528">
        <f>('Attainment 25+ by race &amp; gender'!BZ16/'Pop 25+ by race &amp; gender'!AZ15)*100</f>
        <v>60.44747085232629</v>
      </c>
      <c r="Q17" s="527">
        <f>('Attainment 25+ by race &amp; gender'!DD16/'Pop 25+ by race &amp; gender'!DB15)*100</f>
        <v>74.714004005641215</v>
      </c>
      <c r="R17" s="528">
        <f>('Attainment 25+ by race &amp; gender'!CA16/'Pop 25+ by race &amp; gender'!BC15)*100</f>
        <v>59.148161262582832</v>
      </c>
      <c r="S17" s="527">
        <f>('Attainment 25+ by race &amp; gender'!DE16/'Pop 25+ by race &amp; gender'!DD15)*100</f>
        <v>59.97012164757772</v>
      </c>
      <c r="T17" s="528">
        <f>('Attainment 25+ by race &amp; gender'!LB16/'Pop 25+ by race &amp; gender'!AT15)*100</f>
        <v>20.025502464355093</v>
      </c>
      <c r="U17" s="527">
        <f>('Attainment 25+ by race &amp; gender'!MQ16/'Pop 25+ by race &amp; gender'!DA15)*100</f>
        <v>23.28285972916095</v>
      </c>
      <c r="V17" s="528">
        <f>('Attainment 25+ by race &amp; gender'!LH16/'Pop 25+ by race &amp; gender'!AZ15)*100</f>
        <v>10.092342436081408</v>
      </c>
      <c r="W17" s="527">
        <f>('Attainment 25+ by race &amp; gender'!MR16/'Pop 25+ by race &amp; gender'!DB15)*100</f>
        <v>13.849705131726346</v>
      </c>
      <c r="X17" s="528">
        <f>('Attainment 25+ by race &amp; gender'!LK16/'Pop 25+ by race &amp; gender'!BC15)*100</f>
        <v>12.074460013151905</v>
      </c>
      <c r="Y17" s="657">
        <f>('Attainment 25+ by race &amp; gender'!MS16/'Pop 25+ by race &amp; gender'!DD15)*100</f>
        <v>12.174242963173745</v>
      </c>
      <c r="Z17" s="527">
        <f>('Attainment 25+ by race &amp; gender'!BY16/'Pop 25+ by race &amp; gender'!AT15)*100</f>
        <v>78.895514249843814</v>
      </c>
      <c r="AA17" s="669">
        <f>('Attainment 25+ by race &amp; gender'!DH16/'Pop 25+ by race &amp; gender'!DF15)*100</f>
        <v>86.130379480437384</v>
      </c>
      <c r="AB17" s="528">
        <f>('Attainment 25+ by race &amp; gender'!BZ16/'Pop 25+ by race &amp; gender'!AZ15)*100</f>
        <v>60.44747085232629</v>
      </c>
      <c r="AC17" s="527">
        <f>('Attainment 25+ by race &amp; gender'!DI16/'Pop 25+ by race &amp; gender'!DG15)*100</f>
        <v>75.579470955589883</v>
      </c>
      <c r="AD17" s="528">
        <f>('Attainment 25+ by race &amp; gender'!CA16/'Pop 25+ by race &amp; gender'!BC15)*100</f>
        <v>59.148161262582832</v>
      </c>
      <c r="AE17" s="527">
        <f>('Attainment 25+ by race &amp; gender'!DJ16/'Pop 25+ by race &amp; gender'!DI15)*100</f>
        <v>61.152794487586128</v>
      </c>
      <c r="AF17" s="528">
        <f>('Attainment 25+ by race &amp; gender'!LB16/'Pop 25+ by race &amp; gender'!AT15)*100</f>
        <v>20.025502464355093</v>
      </c>
      <c r="AG17" s="527">
        <f>('Attainment 25+ by race &amp; gender'!MV16/'Pop 25+ by race &amp; gender'!DF15)*100</f>
        <v>23.781774642667592</v>
      </c>
      <c r="AH17" s="528">
        <f>('Attainment 25+ by race &amp; gender'!LH16/'Pop 25+ by race &amp; gender'!AZ15)*100</f>
        <v>10.092342436081408</v>
      </c>
      <c r="AI17" s="527">
        <f>('Attainment 25+ by race &amp; gender'!MW16/'Pop 25+ by race &amp; gender'!DG15)*100</f>
        <v>13.954849268975103</v>
      </c>
      <c r="AJ17" s="528">
        <f>('Attainment 25+ by race &amp; gender'!LK16/'Pop 25+ by race &amp; gender'!BC15)*100</f>
        <v>12.074460013151905</v>
      </c>
      <c r="AK17" s="679">
        <f>('Attainment 25+ by race &amp; gender'!MX16/'Pop 25+ by race &amp; gender'!DI15)*100</f>
        <v>12.118560647489883</v>
      </c>
    </row>
    <row r="18" spans="1:37" x14ac:dyDescent="0.2">
      <c r="A18" s="244" t="s">
        <v>9</v>
      </c>
      <c r="B18" s="527">
        <f>('Attainment 25+ by race &amp; gender'!BY17/'Pop 25+ by race &amp; gender'!AT16)*100</f>
        <v>81.154747104822576</v>
      </c>
      <c r="C18" s="669">
        <f>('Attainment 25+ by race &amp; gender'!CX17/'Pop 25+ by race &amp; gender'!CV16)*100</f>
        <v>87.1</v>
      </c>
      <c r="D18" s="528">
        <f>('Attainment 25+ by race &amp; gender'!BZ17/'Pop 25+ by race &amp; gender'!AZ16)*100</f>
        <v>70.725541220120235</v>
      </c>
      <c r="E18" s="527">
        <f>('Attainment 25+ by race &amp; gender'!CY17/'Pop 25+ by race &amp; gender'!CW16)*100</f>
        <v>80.7</v>
      </c>
      <c r="F18" s="528">
        <f>('Attainment 25+ by race &amp; gender'!CA17/'Pop 25+ by race &amp; gender'!BC16)*100</f>
        <v>44.506191897362015</v>
      </c>
      <c r="G18" s="527">
        <f>('Attainment 25+ by race &amp; gender'!CZ17/'Pop 25+ by race &amp; gender'!CY16)*100</f>
        <v>53.400000000000006</v>
      </c>
      <c r="H18" s="528">
        <f>('Attainment 25+ by race &amp; gender'!LB17/'Pop 25+ by race &amp; gender'!AT16)*100</f>
        <v>25.021531274724047</v>
      </c>
      <c r="I18" s="527">
        <f>('Attainment 25+ by race &amp; gender'!ML17/'Pop 25+ by race &amp; gender'!CV16)*100</f>
        <v>29.4</v>
      </c>
      <c r="J18" s="528">
        <f>('Attainment 25+ by race &amp; gender'!LH17/'Pop 25+ by race &amp; gender'!AZ16)*100</f>
        <v>13.14524089123319</v>
      </c>
      <c r="K18" s="527">
        <f>('Attainment 25+ by race &amp; gender'!MM17/'Pop 25+ by race &amp; gender'!CW16)*100</f>
        <v>17.100000000000001</v>
      </c>
      <c r="L18" s="528">
        <f>('Attainment 25+ by race &amp; gender'!LK17/'Pop 25+ by race &amp; gender'!BC16)*100</f>
        <v>10.51764948029227</v>
      </c>
      <c r="M18" s="657">
        <f>('Attainment 25+ by race &amp; gender'!MN17/'Pop 25+ by race &amp; gender'!CY16)*100</f>
        <v>11.1</v>
      </c>
      <c r="N18" s="527">
        <f>('Attainment 25+ by race &amp; gender'!BY17/'Pop 25+ by race &amp; gender'!AT16)*100</f>
        <v>81.154747104822576</v>
      </c>
      <c r="O18" s="669">
        <f>('Attainment 25+ by race &amp; gender'!DC17/'Pop 25+ by race &amp; gender'!DA16)*100</f>
        <v>87.148616100805185</v>
      </c>
      <c r="P18" s="528">
        <f>('Attainment 25+ by race &amp; gender'!BZ17/'Pop 25+ by race &amp; gender'!AZ16)*100</f>
        <v>70.725541220120235</v>
      </c>
      <c r="Q18" s="527">
        <f>('Attainment 25+ by race &amp; gender'!DD17/'Pop 25+ by race &amp; gender'!DB16)*100</f>
        <v>81.507945576898706</v>
      </c>
      <c r="R18" s="528">
        <f>('Attainment 25+ by race &amp; gender'!CA17/'Pop 25+ by race &amp; gender'!BC16)*100</f>
        <v>44.506191897362015</v>
      </c>
      <c r="S18" s="527">
        <f>('Attainment 25+ by race &amp; gender'!DE17/'Pop 25+ by race &amp; gender'!DD16)*100</f>
        <v>53.74123110364588</v>
      </c>
      <c r="T18" s="528">
        <f>('Attainment 25+ by race &amp; gender'!LB17/'Pop 25+ by race &amp; gender'!AT16)*100</f>
        <v>25.021531274724047</v>
      </c>
      <c r="U18" s="527">
        <f>('Attainment 25+ by race &amp; gender'!MQ17/'Pop 25+ by race &amp; gender'!DA16)*100</f>
        <v>29.712487142738496</v>
      </c>
      <c r="V18" s="528">
        <f>('Attainment 25+ by race &amp; gender'!LH17/'Pop 25+ by race &amp; gender'!AZ16)*100</f>
        <v>13.14524089123319</v>
      </c>
      <c r="W18" s="527">
        <f>('Attainment 25+ by race &amp; gender'!MR17/'Pop 25+ by race &amp; gender'!DB16)*100</f>
        <v>17.083048632698482</v>
      </c>
      <c r="X18" s="528">
        <f>('Attainment 25+ by race &amp; gender'!LK17/'Pop 25+ by race &amp; gender'!BC16)*100</f>
        <v>10.51764948029227</v>
      </c>
      <c r="Y18" s="657">
        <f>('Attainment 25+ by race &amp; gender'!MS17/'Pop 25+ by race &amp; gender'!DD16)*100</f>
        <v>11.20121529493133</v>
      </c>
      <c r="Z18" s="527">
        <f>('Attainment 25+ by race &amp; gender'!BY17/'Pop 25+ by race &amp; gender'!AT16)*100</f>
        <v>81.154747104822576</v>
      </c>
      <c r="AA18" s="669">
        <f>('Attainment 25+ by race &amp; gender'!DH17/'Pop 25+ by race &amp; gender'!DF16)*100</f>
        <v>89.164551605089514</v>
      </c>
      <c r="AB18" s="528">
        <f>('Attainment 25+ by race &amp; gender'!BZ17/'Pop 25+ by race &amp; gender'!AZ16)*100</f>
        <v>70.725541220120235</v>
      </c>
      <c r="AC18" s="527">
        <f>('Attainment 25+ by race &amp; gender'!DI17/'Pop 25+ by race &amp; gender'!DG16)*100</f>
        <v>82.179773372015347</v>
      </c>
      <c r="AD18" s="528">
        <f>('Attainment 25+ by race &amp; gender'!CA17/'Pop 25+ by race &amp; gender'!BC16)*100</f>
        <v>44.506191897362015</v>
      </c>
      <c r="AE18" s="527">
        <f>('Attainment 25+ by race &amp; gender'!DJ17/'Pop 25+ by race &amp; gender'!DI16)*100</f>
        <v>53.654182104394231</v>
      </c>
      <c r="AF18" s="528">
        <f>('Attainment 25+ by race &amp; gender'!LB17/'Pop 25+ by race &amp; gender'!AT16)*100</f>
        <v>25.021531274724047</v>
      </c>
      <c r="AG18" s="527">
        <f>('Attainment 25+ by race &amp; gender'!MV17/'Pop 25+ by race &amp; gender'!DF16)*100</f>
        <v>31.30101066347412</v>
      </c>
      <c r="AH18" s="528">
        <f>('Attainment 25+ by race &amp; gender'!LH17/'Pop 25+ by race &amp; gender'!AZ16)*100</f>
        <v>13.14524089123319</v>
      </c>
      <c r="AI18" s="527">
        <f>('Attainment 25+ by race &amp; gender'!MW17/'Pop 25+ by race &amp; gender'!DG16)*100</f>
        <v>17.723343049751172</v>
      </c>
      <c r="AJ18" s="528">
        <f>('Attainment 25+ by race &amp; gender'!LK17/'Pop 25+ by race &amp; gender'!BC16)*100</f>
        <v>10.51764948029227</v>
      </c>
      <c r="AK18" s="679">
        <f>('Attainment 25+ by race &amp; gender'!MX17/'Pop 25+ by race &amp; gender'!DI16)*100</f>
        <v>11.75155017181471</v>
      </c>
    </row>
    <row r="19" spans="1:37" x14ac:dyDescent="0.2">
      <c r="A19" s="244" t="s">
        <v>10</v>
      </c>
      <c r="B19" s="527">
        <f>('Attainment 25+ by race &amp; gender'!BY18/'Pop 25+ by race &amp; gender'!AT17)*100</f>
        <v>82.09458086023254</v>
      </c>
      <c r="C19" s="669">
        <f>('Attainment 25+ by race &amp; gender'!CX18/'Pop 25+ by race &amp; gender'!CV17)*100</f>
        <v>87.499999999999986</v>
      </c>
      <c r="D19" s="528">
        <f>('Attainment 25+ by race &amp; gender'!BZ18/'Pop 25+ by race &amp; gender'!AZ17)*100</f>
        <v>78.496203425746074</v>
      </c>
      <c r="E19" s="527">
        <f>('Attainment 25+ by race &amp; gender'!CY18/'Pop 25+ by race &amp; gender'!CW17)*100</f>
        <v>85.2</v>
      </c>
      <c r="F19" s="528">
        <f>('Attainment 25+ by race &amp; gender'!CA18/'Pop 25+ by race &amp; gender'!BC17)*100</f>
        <v>50.888675168304964</v>
      </c>
      <c r="G19" s="527">
        <f>('Attainment 25+ by race &amp; gender'!CZ18/'Pop 25+ by race &amp; gender'!CY17)*100</f>
        <v>57.9</v>
      </c>
      <c r="H19" s="528">
        <f>('Attainment 25+ by race &amp; gender'!LB18/'Pop 25+ by race &amp; gender'!AT17)*100</f>
        <v>21.54697536385072</v>
      </c>
      <c r="I19" s="527">
        <f>('Attainment 25+ by race &amp; gender'!ML18/'Pop 25+ by race &amp; gender'!CV17)*100</f>
        <v>24.5</v>
      </c>
      <c r="J19" s="528">
        <f>('Attainment 25+ by race &amp; gender'!LH18/'Pop 25+ by race &amp; gender'!AZ17)*100</f>
        <v>13.693801871799399</v>
      </c>
      <c r="K19" s="527">
        <f>('Attainment 25+ by race &amp; gender'!MM18/'Pop 25+ by race &amp; gender'!CW17)*100</f>
        <v>17.299999999999997</v>
      </c>
      <c r="L19" s="528">
        <f>('Attainment 25+ by race &amp; gender'!LK18/'Pop 25+ by race &amp; gender'!BC17)*100</f>
        <v>9.5699636536227715</v>
      </c>
      <c r="M19" s="657">
        <f>('Attainment 25+ by race &amp; gender'!MN18/'Pop 25+ by race &amp; gender'!CY17)*100</f>
        <v>9.8999999999999986</v>
      </c>
      <c r="N19" s="527">
        <f>('Attainment 25+ by race &amp; gender'!BY18/'Pop 25+ by race &amp; gender'!AT17)*100</f>
        <v>82.09458086023254</v>
      </c>
      <c r="O19" s="669">
        <f>('Attainment 25+ by race &amp; gender'!DC18/'Pop 25+ by race &amp; gender'!DA17)*100</f>
        <v>87.670743126884375</v>
      </c>
      <c r="P19" s="528">
        <f>('Attainment 25+ by race &amp; gender'!BZ18/'Pop 25+ by race &amp; gender'!AZ17)*100</f>
        <v>78.496203425746074</v>
      </c>
      <c r="Q19" s="527">
        <f>('Attainment 25+ by race &amp; gender'!DD18/'Pop 25+ by race &amp; gender'!DB17)*100</f>
        <v>86.570318817849881</v>
      </c>
      <c r="R19" s="528">
        <f>('Attainment 25+ by race &amp; gender'!CA18/'Pop 25+ by race &amp; gender'!BC17)*100</f>
        <v>50.888675168304964</v>
      </c>
      <c r="S19" s="527">
        <f>('Attainment 25+ by race &amp; gender'!DE18/'Pop 25+ by race &amp; gender'!DD17)*100</f>
        <v>57.431158976869412</v>
      </c>
      <c r="T19" s="528">
        <f>('Attainment 25+ by race &amp; gender'!LB18/'Pop 25+ by race &amp; gender'!AT17)*100</f>
        <v>21.54697536385072</v>
      </c>
      <c r="U19" s="527">
        <f>('Attainment 25+ by race &amp; gender'!MQ18/'Pop 25+ by race &amp; gender'!DA17)*100</f>
        <v>24.963234950233375</v>
      </c>
      <c r="V19" s="528">
        <f>('Attainment 25+ by race &amp; gender'!LH18/'Pop 25+ by race &amp; gender'!AZ17)*100</f>
        <v>13.693801871799399</v>
      </c>
      <c r="W19" s="527">
        <f>('Attainment 25+ by race &amp; gender'!MR18/'Pop 25+ by race &amp; gender'!DB17)*100</f>
        <v>17.688754380375915</v>
      </c>
      <c r="X19" s="528">
        <f>('Attainment 25+ by race &amp; gender'!LK18/'Pop 25+ by race &amp; gender'!BC17)*100</f>
        <v>9.5699636536227715</v>
      </c>
      <c r="Y19" s="657">
        <f>('Attainment 25+ by race &amp; gender'!MS18/'Pop 25+ by race &amp; gender'!DD17)*100</f>
        <v>9.5324929629176349</v>
      </c>
      <c r="Z19" s="527">
        <f>('Attainment 25+ by race &amp; gender'!BY18/'Pop 25+ by race &amp; gender'!AT17)*100</f>
        <v>82.09458086023254</v>
      </c>
      <c r="AA19" s="669">
        <f>('Attainment 25+ by race &amp; gender'!DH18/'Pop 25+ by race &amp; gender'!DF17)*100</f>
        <v>89.438091966432737</v>
      </c>
      <c r="AB19" s="528">
        <f>('Attainment 25+ by race &amp; gender'!BZ18/'Pop 25+ by race &amp; gender'!AZ17)*100</f>
        <v>78.496203425746074</v>
      </c>
      <c r="AC19" s="527">
        <f>('Attainment 25+ by race &amp; gender'!DI18/'Pop 25+ by race &amp; gender'!DG17)*100</f>
        <v>87.651771147136287</v>
      </c>
      <c r="AD19" s="528">
        <f>('Attainment 25+ by race &amp; gender'!CA18/'Pop 25+ by race &amp; gender'!BC17)*100</f>
        <v>50.888675168304964</v>
      </c>
      <c r="AE19" s="527">
        <f>('Attainment 25+ by race &amp; gender'!DJ18/'Pop 25+ by race &amp; gender'!DI17)*100</f>
        <v>56.84209284074749</v>
      </c>
      <c r="AF19" s="528">
        <f>('Attainment 25+ by race &amp; gender'!LB18/'Pop 25+ by race &amp; gender'!AT17)*100</f>
        <v>21.54697536385072</v>
      </c>
      <c r="AG19" s="527">
        <f>('Attainment 25+ by race &amp; gender'!MV18/'Pop 25+ by race &amp; gender'!DF17)*100</f>
        <v>26.116373034957714</v>
      </c>
      <c r="AH19" s="528">
        <f>('Attainment 25+ by race &amp; gender'!LH18/'Pop 25+ by race &amp; gender'!AZ17)*100</f>
        <v>13.693801871799399</v>
      </c>
      <c r="AI19" s="527">
        <f>('Attainment 25+ by race &amp; gender'!MW18/'Pop 25+ by race &amp; gender'!DG17)*100</f>
        <v>17.814128847364209</v>
      </c>
      <c r="AJ19" s="528">
        <f>('Attainment 25+ by race &amp; gender'!LK18/'Pop 25+ by race &amp; gender'!BC17)*100</f>
        <v>9.5699636536227715</v>
      </c>
      <c r="AK19" s="679">
        <f>('Attainment 25+ by race &amp; gender'!MX18/'Pop 25+ by race &amp; gender'!DI17)*100</f>
        <v>9.6516849291627569</v>
      </c>
    </row>
    <row r="20" spans="1:37" x14ac:dyDescent="0.2">
      <c r="A20" s="244" t="s">
        <v>11</v>
      </c>
      <c r="B20" s="527">
        <f>('Attainment 25+ by race &amp; gender'!BY19/'Pop 25+ by race &amp; gender'!AT18)*100</f>
        <v>80.855003876032029</v>
      </c>
      <c r="C20" s="669">
        <f>('Attainment 25+ by race &amp; gender'!CX19/'Pop 25+ by race &amp; gender'!CV18)*100</f>
        <v>87</v>
      </c>
      <c r="D20" s="528">
        <f>('Attainment 25+ by race &amp; gender'!BZ19/'Pop 25+ by race &amp; gender'!AZ18)*100</f>
        <v>64.916946252087712</v>
      </c>
      <c r="E20" s="527">
        <f>('Attainment 25+ by race &amp; gender'!CY19/'Pop 25+ by race &amp; gender'!CW18)*100</f>
        <v>77.199999999999989</v>
      </c>
      <c r="F20" s="528">
        <f>('Attainment 25+ by race &amp; gender'!CA19/'Pop 25+ by race &amp; gender'!BC18)*100</f>
        <v>56.421927567781516</v>
      </c>
      <c r="G20" s="527">
        <f>('Attainment 25+ by race &amp; gender'!CZ19/'Pop 25+ by race &amp; gender'!CY18)*100</f>
        <v>58.599999999999994</v>
      </c>
      <c r="H20" s="528">
        <f>('Attainment 25+ by race &amp; gender'!LB19/'Pop 25+ by race &amp; gender'!AT18)*100</f>
        <v>24.232247502263277</v>
      </c>
      <c r="I20" s="527">
        <f>('Attainment 25+ by race &amp; gender'!ML19/'Pop 25+ by race &amp; gender'!CV18)*100</f>
        <v>28.199999999999996</v>
      </c>
      <c r="J20" s="528">
        <f>('Attainment 25+ by race &amp; gender'!LH19/'Pop 25+ by race &amp; gender'!AZ18)*100</f>
        <v>9.8653293530936388</v>
      </c>
      <c r="K20" s="527">
        <f>('Attainment 25+ by race &amp; gender'!MM19/'Pop 25+ by race &amp; gender'!CW18)*100</f>
        <v>13.499999999999998</v>
      </c>
      <c r="L20" s="528">
        <f>('Attainment 25+ by race &amp; gender'!LK19/'Pop 25+ by race &amp; gender'!BC18)*100</f>
        <v>14.097235965433075</v>
      </c>
      <c r="M20" s="657">
        <f>('Attainment 25+ by race &amp; gender'!MN19/'Pop 25+ by race &amp; gender'!CY18)*100</f>
        <v>12.400000000000002</v>
      </c>
      <c r="N20" s="527">
        <f>('Attainment 25+ by race &amp; gender'!BY19/'Pop 25+ by race &amp; gender'!AT18)*100</f>
        <v>80.855003876032029</v>
      </c>
      <c r="O20" s="669">
        <f>('Attainment 25+ by race &amp; gender'!DC19/'Pop 25+ by race &amp; gender'!DA18)*100</f>
        <v>87.378661574152147</v>
      </c>
      <c r="P20" s="528">
        <f>('Attainment 25+ by race &amp; gender'!BZ19/'Pop 25+ by race &amp; gender'!AZ18)*100</f>
        <v>64.916946252087712</v>
      </c>
      <c r="Q20" s="527">
        <f>('Attainment 25+ by race &amp; gender'!DD19/'Pop 25+ by race &amp; gender'!DB18)*100</f>
        <v>77.891217812381782</v>
      </c>
      <c r="R20" s="528">
        <f>('Attainment 25+ by race &amp; gender'!CA19/'Pop 25+ by race &amp; gender'!BC18)*100</f>
        <v>56.421927567781516</v>
      </c>
      <c r="S20" s="527">
        <f>('Attainment 25+ by race &amp; gender'!DE19/'Pop 25+ by race &amp; gender'!DD18)*100</f>
        <v>61.153004329557618</v>
      </c>
      <c r="T20" s="528">
        <f>('Attainment 25+ by race &amp; gender'!LB19/'Pop 25+ by race &amp; gender'!AT18)*100</f>
        <v>24.232247502263277</v>
      </c>
      <c r="U20" s="527">
        <f>('Attainment 25+ by race &amp; gender'!MQ19/'Pop 25+ by race &amp; gender'!DA18)*100</f>
        <v>28.526346014484499</v>
      </c>
      <c r="V20" s="528">
        <f>('Attainment 25+ by race &amp; gender'!LH19/'Pop 25+ by race &amp; gender'!AZ18)*100</f>
        <v>9.8653293530936388</v>
      </c>
      <c r="W20" s="527">
        <f>('Attainment 25+ by race &amp; gender'!MR19/'Pop 25+ by race &amp; gender'!DB18)*100</f>
        <v>13.785406693170801</v>
      </c>
      <c r="X20" s="528">
        <f>('Attainment 25+ by race &amp; gender'!LK19/'Pop 25+ by race &amp; gender'!BC18)*100</f>
        <v>14.097235965433075</v>
      </c>
      <c r="Y20" s="657">
        <f>('Attainment 25+ by race &amp; gender'!MS19/'Pop 25+ by race &amp; gender'!DD18)*100</f>
        <v>14.214049494352404</v>
      </c>
      <c r="Z20" s="527">
        <f>('Attainment 25+ by race &amp; gender'!BY19/'Pop 25+ by race &amp; gender'!AT18)*100</f>
        <v>80.855003876032029</v>
      </c>
      <c r="AA20" s="669">
        <f>('Attainment 25+ by race &amp; gender'!DH19/'Pop 25+ by race &amp; gender'!DF18)*100</f>
        <v>88.457358699569369</v>
      </c>
      <c r="AB20" s="528">
        <f>('Attainment 25+ by race &amp; gender'!BZ19/'Pop 25+ by race &amp; gender'!AZ18)*100</f>
        <v>64.916946252087712</v>
      </c>
      <c r="AC20" s="527">
        <f>('Attainment 25+ by race &amp; gender'!DI19/'Pop 25+ by race &amp; gender'!DG18)*100</f>
        <v>79.157948525864199</v>
      </c>
      <c r="AD20" s="528">
        <f>('Attainment 25+ by race &amp; gender'!CA19/'Pop 25+ by race &amp; gender'!BC18)*100</f>
        <v>56.421927567781516</v>
      </c>
      <c r="AE20" s="527">
        <f>('Attainment 25+ by race &amp; gender'!DJ19/'Pop 25+ by race &amp; gender'!DI18)*100</f>
        <v>62.790011720781493</v>
      </c>
      <c r="AF20" s="528">
        <f>('Attainment 25+ by race &amp; gender'!LB19/'Pop 25+ by race &amp; gender'!AT18)*100</f>
        <v>24.232247502263277</v>
      </c>
      <c r="AG20" s="527">
        <f>('Attainment 25+ by race &amp; gender'!MV19/'Pop 25+ by race &amp; gender'!DF18)*100</f>
        <v>29.414424851663277</v>
      </c>
      <c r="AH20" s="528">
        <f>('Attainment 25+ by race &amp; gender'!LH19/'Pop 25+ by race &amp; gender'!AZ18)*100</f>
        <v>9.8653293530936388</v>
      </c>
      <c r="AI20" s="527">
        <f>('Attainment 25+ by race &amp; gender'!MW19/'Pop 25+ by race &amp; gender'!DG18)*100</f>
        <v>14.335414111171332</v>
      </c>
      <c r="AJ20" s="528">
        <f>('Attainment 25+ by race &amp; gender'!LK19/'Pop 25+ by race &amp; gender'!BC18)*100</f>
        <v>14.097235965433075</v>
      </c>
      <c r="AK20" s="679">
        <f>('Attainment 25+ by race &amp; gender'!MX19/'Pop 25+ by race &amp; gender'!DI18)*100</f>
        <v>14.356793007894062</v>
      </c>
    </row>
    <row r="21" spans="1:37" x14ac:dyDescent="0.2">
      <c r="A21" s="244" t="s">
        <v>12</v>
      </c>
      <c r="B21" s="527">
        <f>('Attainment 25+ by race &amp; gender'!BY20/'Pop 25+ by race &amp; gender'!AT19)*100</f>
        <v>76.991927685637691</v>
      </c>
      <c r="C21" s="669">
        <f>('Attainment 25+ by race &amp; gender'!CX20/'Pop 25+ by race &amp; gender'!CV19)*100</f>
        <v>84.6</v>
      </c>
      <c r="D21" s="528">
        <f>('Attainment 25+ by race &amp; gender'!BZ20/'Pop 25+ by race &amp; gender'!AZ19)*100</f>
        <v>70.829922381905291</v>
      </c>
      <c r="E21" s="527">
        <f>('Attainment 25+ by race &amp; gender'!CY20/'Pop 25+ by race &amp; gender'!CW19)*100</f>
        <v>80.899999999999991</v>
      </c>
      <c r="F21" s="528">
        <f>('Attainment 25+ by race &amp; gender'!CA20/'Pop 25+ by race &amp; gender'!BC19)*100</f>
        <v>55.393488247325898</v>
      </c>
      <c r="G21" s="527">
        <f>('Attainment 25+ by race &amp; gender'!CZ20/'Pop 25+ by race &amp; gender'!CY19)*100</f>
        <v>60.4</v>
      </c>
      <c r="H21" s="528">
        <f>('Attainment 25+ by race &amp; gender'!LB20/'Pop 25+ by race &amp; gender'!AT19)*100</f>
        <v>20.482031476209343</v>
      </c>
      <c r="I21" s="527">
        <f>('Attainment 25+ by race &amp; gender'!ML20/'Pop 25+ by race &amp; gender'!CV19)*100</f>
        <v>24.2</v>
      </c>
      <c r="J21" s="528">
        <f>('Attainment 25+ by race &amp; gender'!LH20/'Pop 25+ by race &amp; gender'!AZ19)*100</f>
        <v>12.936222788187496</v>
      </c>
      <c r="K21" s="527">
        <f>('Attainment 25+ by race &amp; gender'!MM20/'Pop 25+ by race &amp; gender'!CW19)*100</f>
        <v>16.7</v>
      </c>
      <c r="L21" s="528">
        <f>('Attainment 25+ by race &amp; gender'!LK20/'Pop 25+ by race &amp; gender'!BC19)*100</f>
        <v>14.071354323844012</v>
      </c>
      <c r="M21" s="657">
        <f>('Attainment 25+ by race &amp; gender'!MN20/'Pop 25+ by race &amp; gender'!CY19)*100</f>
        <v>12.5</v>
      </c>
      <c r="N21" s="527">
        <f>('Attainment 25+ by race &amp; gender'!BY20/'Pop 25+ by race &amp; gender'!AT19)*100</f>
        <v>76.991927685637691</v>
      </c>
      <c r="O21" s="669">
        <f>('Attainment 25+ by race &amp; gender'!DC20/'Pop 25+ by race &amp; gender'!DA19)*100</f>
        <v>85.282533260619033</v>
      </c>
      <c r="P21" s="528">
        <f>('Attainment 25+ by race &amp; gender'!BZ20/'Pop 25+ by race &amp; gender'!AZ19)*100</f>
        <v>70.829922381905291</v>
      </c>
      <c r="Q21" s="527">
        <f>('Attainment 25+ by race &amp; gender'!DD20/'Pop 25+ by race &amp; gender'!DB19)*100</f>
        <v>81.998415441337016</v>
      </c>
      <c r="R21" s="528">
        <f>('Attainment 25+ by race &amp; gender'!CA20/'Pop 25+ by race &amp; gender'!BC19)*100</f>
        <v>55.393488247325898</v>
      </c>
      <c r="S21" s="527">
        <f>('Attainment 25+ by race &amp; gender'!DE20/'Pop 25+ by race &amp; gender'!DD19)*100</f>
        <v>61.231254510946563</v>
      </c>
      <c r="T21" s="528">
        <f>('Attainment 25+ by race &amp; gender'!LB20/'Pop 25+ by race &amp; gender'!AT19)*100</f>
        <v>20.482031476209343</v>
      </c>
      <c r="U21" s="527">
        <f>('Attainment 25+ by race &amp; gender'!MQ20/'Pop 25+ by race &amp; gender'!DA19)*100</f>
        <v>24.711117161063616</v>
      </c>
      <c r="V21" s="528">
        <f>('Attainment 25+ by race &amp; gender'!LH20/'Pop 25+ by race &amp; gender'!AZ19)*100</f>
        <v>12.936222788187496</v>
      </c>
      <c r="W21" s="527">
        <f>('Attainment 25+ by race &amp; gender'!MR20/'Pop 25+ by race &amp; gender'!DB19)*100</f>
        <v>17.054436452335352</v>
      </c>
      <c r="X21" s="528">
        <f>('Attainment 25+ by race &amp; gender'!LK20/'Pop 25+ by race &amp; gender'!BC19)*100</f>
        <v>14.071354323844012</v>
      </c>
      <c r="Y21" s="657">
        <f>('Attainment 25+ by race &amp; gender'!MS20/'Pop 25+ by race &amp; gender'!DD19)*100</f>
        <v>12.822449143254296</v>
      </c>
      <c r="Z21" s="527">
        <f>('Attainment 25+ by race &amp; gender'!BY20/'Pop 25+ by race &amp; gender'!AT19)*100</f>
        <v>76.991927685637691</v>
      </c>
      <c r="AA21" s="669">
        <f>('Attainment 25+ by race &amp; gender'!DH20/'Pop 25+ by race &amp; gender'!DF19)*100</f>
        <v>86.614564120849451</v>
      </c>
      <c r="AB21" s="528">
        <f>('Attainment 25+ by race &amp; gender'!BZ20/'Pop 25+ by race &amp; gender'!AZ19)*100</f>
        <v>70.829922381905291</v>
      </c>
      <c r="AC21" s="527">
        <f>('Attainment 25+ by race &amp; gender'!DI20/'Pop 25+ by race &amp; gender'!DG19)*100</f>
        <v>82.42507837375797</v>
      </c>
      <c r="AD21" s="528">
        <f>('Attainment 25+ by race &amp; gender'!CA20/'Pop 25+ by race &amp; gender'!BC19)*100</f>
        <v>55.393488247325898</v>
      </c>
      <c r="AE21" s="527">
        <f>('Attainment 25+ by race &amp; gender'!DJ20/'Pop 25+ by race &amp; gender'!DI19)*100</f>
        <v>59.972642892037129</v>
      </c>
      <c r="AF21" s="528">
        <f>('Attainment 25+ by race &amp; gender'!LB20/'Pop 25+ by race &amp; gender'!AT19)*100</f>
        <v>20.482031476209343</v>
      </c>
      <c r="AG21" s="527">
        <f>('Attainment 25+ by race &amp; gender'!MV20/'Pop 25+ by race &amp; gender'!DF19)*100</f>
        <v>25.524627264372967</v>
      </c>
      <c r="AH21" s="528">
        <f>('Attainment 25+ by race &amp; gender'!LH20/'Pop 25+ by race &amp; gender'!AZ19)*100</f>
        <v>12.936222788187496</v>
      </c>
      <c r="AI21" s="527">
        <f>('Attainment 25+ by race &amp; gender'!MW20/'Pop 25+ by race &amp; gender'!DG19)*100</f>
        <v>17.689506287564491</v>
      </c>
      <c r="AJ21" s="528">
        <f>('Attainment 25+ by race &amp; gender'!LK20/'Pop 25+ by race &amp; gender'!BC19)*100</f>
        <v>14.071354323844012</v>
      </c>
      <c r="AK21" s="679">
        <f>('Attainment 25+ by race &amp; gender'!MX20/'Pop 25+ by race &amp; gender'!DI19)*100</f>
        <v>12.947728382999513</v>
      </c>
    </row>
    <row r="22" spans="1:37" x14ac:dyDescent="0.2">
      <c r="A22" s="244" t="s">
        <v>13</v>
      </c>
      <c r="B22" s="527">
        <f>('Attainment 25+ by race &amp; gender'!BY21/'Pop 25+ by race &amp; gender'!AT20)*100</f>
        <v>79.532424412341001</v>
      </c>
      <c r="C22" s="669">
        <f>('Attainment 25+ by race &amp; gender'!CX21/'Pop 25+ by race &amp; gender'!CV20)*100</f>
        <v>81.899999999999991</v>
      </c>
      <c r="D22" s="528">
        <f>('Attainment 25+ by race &amp; gender'!BZ21/'Pop 25+ by race &amp; gender'!AZ20)*100</f>
        <v>75.81100462707218</v>
      </c>
      <c r="E22" s="527">
        <f>('Attainment 25+ by race &amp; gender'!CY21/'Pop 25+ by race &amp; gender'!CW20)*100</f>
        <v>85.899999999999991</v>
      </c>
      <c r="F22" s="528">
        <f>('Attainment 25+ by race &amp; gender'!CA21/'Pop 25+ by race &amp; gender'!BC20)*100</f>
        <v>49.254111035170787</v>
      </c>
      <c r="G22" s="527">
        <f>('Attainment 25+ by race &amp; gender'!CZ21/'Pop 25+ by race &amp; gender'!CY20)*100</f>
        <v>59.4</v>
      </c>
      <c r="H22" s="528">
        <f>('Attainment 25+ by race &amp; gender'!LB21/'Pop 25+ by race &amp; gender'!AT20)*100</f>
        <v>25.790769663711831</v>
      </c>
      <c r="I22" s="527">
        <f>('Attainment 25+ by race &amp; gender'!ML21/'Pop 25+ by race &amp; gender'!CV20)*100</f>
        <v>27.199999999999996</v>
      </c>
      <c r="J22" s="528">
        <f>('Attainment 25+ by race &amp; gender'!LH21/'Pop 25+ by race &amp; gender'!AZ20)*100</f>
        <v>15.347167972638662</v>
      </c>
      <c r="K22" s="527">
        <f>('Attainment 25+ by race &amp; gender'!MM21/'Pop 25+ by race &amp; gender'!CW20)*100</f>
        <v>19.599999999999998</v>
      </c>
      <c r="L22" s="528">
        <f>('Attainment 25+ by race &amp; gender'!LK21/'Pop 25+ by race &amp; gender'!BC20)*100</f>
        <v>8.9311777484176602</v>
      </c>
      <c r="M22" s="657">
        <f>('Attainment 25+ by race &amp; gender'!MN21/'Pop 25+ by race &amp; gender'!CY20)*100</f>
        <v>11.600000000000001</v>
      </c>
      <c r="N22" s="527">
        <f>('Attainment 25+ by race &amp; gender'!BY21/'Pop 25+ by race &amp; gender'!AT20)*100</f>
        <v>79.532424412341001</v>
      </c>
      <c r="O22" s="669">
        <f>('Attainment 25+ by race &amp; gender'!DC21/'Pop 25+ by race &amp; gender'!DA20)*100</f>
        <v>82.215036384920111</v>
      </c>
      <c r="P22" s="528">
        <f>('Attainment 25+ by race &amp; gender'!BZ21/'Pop 25+ by race &amp; gender'!AZ20)*100</f>
        <v>75.81100462707218</v>
      </c>
      <c r="Q22" s="527">
        <f>('Attainment 25+ by race &amp; gender'!DD21/'Pop 25+ by race &amp; gender'!DB20)*100</f>
        <v>86.357226599776425</v>
      </c>
      <c r="R22" s="528">
        <f>('Attainment 25+ by race &amp; gender'!CA21/'Pop 25+ by race &amp; gender'!BC20)*100</f>
        <v>49.254111035170787</v>
      </c>
      <c r="S22" s="527">
        <f>('Attainment 25+ by race &amp; gender'!DE21/'Pop 25+ by race &amp; gender'!DD20)*100</f>
        <v>60.534414231415788</v>
      </c>
      <c r="T22" s="528">
        <f>('Attainment 25+ by race &amp; gender'!LB21/'Pop 25+ by race &amp; gender'!AT20)*100</f>
        <v>25.790769663711831</v>
      </c>
      <c r="U22" s="527">
        <f>('Attainment 25+ by race &amp; gender'!MQ21/'Pop 25+ by race &amp; gender'!DA20)*100</f>
        <v>27.393783974668633</v>
      </c>
      <c r="V22" s="528">
        <f>('Attainment 25+ by race &amp; gender'!LH21/'Pop 25+ by race &amp; gender'!AZ20)*100</f>
        <v>15.347167972638662</v>
      </c>
      <c r="W22" s="527">
        <f>('Attainment 25+ by race &amp; gender'!MR21/'Pop 25+ by race &amp; gender'!DB20)*100</f>
        <v>20.281429778880497</v>
      </c>
      <c r="X22" s="528">
        <f>('Attainment 25+ by race &amp; gender'!LK21/'Pop 25+ by race &amp; gender'!BC20)*100</f>
        <v>8.9311777484176602</v>
      </c>
      <c r="Y22" s="657">
        <f>('Attainment 25+ by race &amp; gender'!MS21/'Pop 25+ by race &amp; gender'!DD20)*100</f>
        <v>11.940948580851595</v>
      </c>
      <c r="Z22" s="527">
        <f>('Attainment 25+ by race &amp; gender'!BY21/'Pop 25+ by race &amp; gender'!AT20)*100</f>
        <v>79.532424412341001</v>
      </c>
      <c r="AA22" s="669">
        <f>('Attainment 25+ by race &amp; gender'!DH21/'Pop 25+ by race &amp; gender'!DF20)*100</f>
        <v>92.776175191971717</v>
      </c>
      <c r="AB22" s="528">
        <f>('Attainment 25+ by race &amp; gender'!BZ21/'Pop 25+ by race &amp; gender'!AZ20)*100</f>
        <v>75.81100462707218</v>
      </c>
      <c r="AC22" s="527">
        <f>('Attainment 25+ by race &amp; gender'!DI21/'Pop 25+ by race &amp; gender'!DG20)*100</f>
        <v>86.78109513515237</v>
      </c>
      <c r="AD22" s="528">
        <f>('Attainment 25+ by race &amp; gender'!CA21/'Pop 25+ by race &amp; gender'!BC20)*100</f>
        <v>49.254111035170787</v>
      </c>
      <c r="AE22" s="527">
        <f>('Attainment 25+ by race &amp; gender'!DJ21/'Pop 25+ by race &amp; gender'!DI20)*100</f>
        <v>61.244655697199413</v>
      </c>
      <c r="AF22" s="528">
        <f>('Attainment 25+ by race &amp; gender'!LB21/'Pop 25+ by race &amp; gender'!AT20)*100</f>
        <v>25.790769663711831</v>
      </c>
      <c r="AG22" s="527">
        <f>('Attainment 25+ by race &amp; gender'!MV21/'Pop 25+ by race &amp; gender'!DF20)*100</f>
        <v>35.329503702387591</v>
      </c>
      <c r="AH22" s="528">
        <f>('Attainment 25+ by race &amp; gender'!LH21/'Pop 25+ by race &amp; gender'!AZ20)*100</f>
        <v>15.347167972638662</v>
      </c>
      <c r="AI22" s="527">
        <f>('Attainment 25+ by race &amp; gender'!MW21/'Pop 25+ by race &amp; gender'!DG20)*100</f>
        <v>21.093435456713532</v>
      </c>
      <c r="AJ22" s="528">
        <f>('Attainment 25+ by race &amp; gender'!LK21/'Pop 25+ by race &amp; gender'!BC20)*100</f>
        <v>8.9311777484176602</v>
      </c>
      <c r="AK22" s="679">
        <f>('Attainment 25+ by race &amp; gender'!MX21/'Pop 25+ by race &amp; gender'!DI20)*100</f>
        <v>12.237748926473964</v>
      </c>
    </row>
    <row r="23" spans="1:37" x14ac:dyDescent="0.2">
      <c r="A23" s="244" t="s">
        <v>14</v>
      </c>
      <c r="B23" s="527">
        <f>('Attainment 25+ by race &amp; gender'!BY22/'Pop 25+ by race &amp; gender'!AT21)*100</f>
        <v>84.275976912708174</v>
      </c>
      <c r="C23" s="669">
        <f>('Attainment 25+ by race &amp; gender'!CX22/'Pop 25+ by race &amp; gender'!CV21)*100</f>
        <v>88.8</v>
      </c>
      <c r="D23" s="528">
        <f>('Attainment 25+ by race &amp; gender'!BZ22/'Pop 25+ by race &amp; gender'!AZ21)*100</f>
        <v>71.575814145447211</v>
      </c>
      <c r="E23" s="527">
        <f>('Attainment 25+ by race &amp; gender'!CY22/'Pop 25+ by race &amp; gender'!CW21)*100</f>
        <v>81.199999999999989</v>
      </c>
      <c r="F23" s="528">
        <f>('Attainment 25+ by race &amp; gender'!CA22/'Pop 25+ by race &amp; gender'!BC21)*100</f>
        <v>62.927255291458316</v>
      </c>
      <c r="G23" s="527">
        <f>('Attainment 25+ by race &amp; gender'!CZ22/'Pop 25+ by race &amp; gender'!CY21)*100</f>
        <v>68.399999999999991</v>
      </c>
      <c r="H23" s="528">
        <f>('Attainment 25+ by race &amp; gender'!LB22/'Pop 25+ by race &amp; gender'!AT21)*100</f>
        <v>32.281719060483724</v>
      </c>
      <c r="I23" s="527">
        <f>('Attainment 25+ by race &amp; gender'!ML22/'Pop 25+ by race &amp; gender'!CV21)*100</f>
        <v>36.9</v>
      </c>
      <c r="J23" s="528">
        <f>('Attainment 25+ by race &amp; gender'!LH22/'Pop 25+ by race &amp; gender'!AZ21)*100</f>
        <v>15.116519018322471</v>
      </c>
      <c r="K23" s="527">
        <f>('Attainment 25+ by race &amp; gender'!MM22/'Pop 25+ by race &amp; gender'!CW21)*100</f>
        <v>19.5</v>
      </c>
      <c r="L23" s="528">
        <f>('Attainment 25+ by race &amp; gender'!LK22/'Pop 25+ by race &amp; gender'!BC21)*100</f>
        <v>20.66294495056739</v>
      </c>
      <c r="M23" s="657">
        <f>('Attainment 25+ by race &amp; gender'!MN22/'Pop 25+ by race &amp; gender'!CY21)*100</f>
        <v>22.1</v>
      </c>
      <c r="N23" s="527">
        <f>('Attainment 25+ by race &amp; gender'!BY22/'Pop 25+ by race &amp; gender'!AT21)*100</f>
        <v>84.275976912708174</v>
      </c>
      <c r="O23" s="669">
        <f>('Attainment 25+ by race &amp; gender'!DC22/'Pop 25+ by race &amp; gender'!DA21)*100</f>
        <v>89.282081313703117</v>
      </c>
      <c r="P23" s="528">
        <f>('Attainment 25+ by race &amp; gender'!BZ22/'Pop 25+ by race &amp; gender'!AZ21)*100</f>
        <v>71.575814145447211</v>
      </c>
      <c r="Q23" s="527">
        <f>('Attainment 25+ by race &amp; gender'!DD22/'Pop 25+ by race &amp; gender'!DB21)*100</f>
        <v>82.035005316816765</v>
      </c>
      <c r="R23" s="528">
        <f>('Attainment 25+ by race &amp; gender'!CA22/'Pop 25+ by race &amp; gender'!BC21)*100</f>
        <v>62.927255291458316</v>
      </c>
      <c r="S23" s="527">
        <f>('Attainment 25+ by race &amp; gender'!DE22/'Pop 25+ by race &amp; gender'!DD21)*100</f>
        <v>68.659988680758943</v>
      </c>
      <c r="T23" s="528">
        <f>('Attainment 25+ by race &amp; gender'!LB22/'Pop 25+ by race &amp; gender'!AT21)*100</f>
        <v>32.281719060483724</v>
      </c>
      <c r="U23" s="527">
        <f>('Attainment 25+ by race &amp; gender'!MQ22/'Pop 25+ by race &amp; gender'!DA21)*100</f>
        <v>37.354358685305961</v>
      </c>
      <c r="V23" s="528">
        <f>('Attainment 25+ by race &amp; gender'!LH22/'Pop 25+ by race &amp; gender'!AZ21)*100</f>
        <v>15.116519018322471</v>
      </c>
      <c r="W23" s="527">
        <f>('Attainment 25+ by race &amp; gender'!MR22/'Pop 25+ by race &amp; gender'!DB21)*100</f>
        <v>20.271535627711952</v>
      </c>
      <c r="X23" s="528">
        <f>('Attainment 25+ by race &amp; gender'!LK22/'Pop 25+ by race &amp; gender'!BC21)*100</f>
        <v>20.66294495056739</v>
      </c>
      <c r="Y23" s="657">
        <f>('Attainment 25+ by race &amp; gender'!MS22/'Pop 25+ by race &amp; gender'!DD21)*100</f>
        <v>22.327752471276053</v>
      </c>
      <c r="Z23" s="527">
        <f>('Attainment 25+ by race &amp; gender'!BY22/'Pop 25+ by race &amp; gender'!AT21)*100</f>
        <v>84.275976912708174</v>
      </c>
      <c r="AA23" s="669">
        <f>('Attainment 25+ by race &amp; gender'!DH22/'Pop 25+ by race &amp; gender'!DF21)*100</f>
        <v>90.878702170732367</v>
      </c>
      <c r="AB23" s="528">
        <f>('Attainment 25+ by race &amp; gender'!BZ22/'Pop 25+ by race &amp; gender'!AZ21)*100</f>
        <v>71.575814145447211</v>
      </c>
      <c r="AC23" s="527">
        <f>('Attainment 25+ by race &amp; gender'!DI22/'Pop 25+ by race &amp; gender'!DG21)*100</f>
        <v>82.766486666327992</v>
      </c>
      <c r="AD23" s="528">
        <f>('Attainment 25+ by race &amp; gender'!CA22/'Pop 25+ by race &amp; gender'!BC21)*100</f>
        <v>62.927255291458316</v>
      </c>
      <c r="AE23" s="527">
        <f>('Attainment 25+ by race &amp; gender'!DJ22/'Pop 25+ by race &amp; gender'!DI21)*100</f>
        <v>70.766312315752415</v>
      </c>
      <c r="AF23" s="528">
        <f>('Attainment 25+ by race &amp; gender'!LB22/'Pop 25+ by race &amp; gender'!AT21)*100</f>
        <v>32.281719060483724</v>
      </c>
      <c r="AG23" s="527">
        <f>('Attainment 25+ by race &amp; gender'!MV22/'Pop 25+ by race &amp; gender'!DF21)*100</f>
        <v>38.751388773185873</v>
      </c>
      <c r="AH23" s="528">
        <f>('Attainment 25+ by race &amp; gender'!LH22/'Pop 25+ by race &amp; gender'!AZ21)*100</f>
        <v>15.116519018322471</v>
      </c>
      <c r="AI23" s="527">
        <f>('Attainment 25+ by race &amp; gender'!MW22/'Pop 25+ by race &amp; gender'!DG21)*100</f>
        <v>20.76269540296866</v>
      </c>
      <c r="AJ23" s="528">
        <f>('Attainment 25+ by race &amp; gender'!LK22/'Pop 25+ by race &amp; gender'!BC21)*100</f>
        <v>20.66294495056739</v>
      </c>
      <c r="AK23" s="679">
        <f>('Attainment 25+ by race &amp; gender'!MX22/'Pop 25+ by race &amp; gender'!DI21)*100</f>
        <v>22.565041697100909</v>
      </c>
    </row>
    <row r="24" spans="1:37" x14ac:dyDescent="0.2">
      <c r="A24" s="500" t="s">
        <v>15</v>
      </c>
      <c r="B24" s="531">
        <f>('Attainment 25+ by race &amp; gender'!BY23/'Pop 25+ by race &amp; gender'!AT22)*100</f>
        <v>75.124121319372762</v>
      </c>
      <c r="C24" s="674">
        <f>('Attainment 25+ by race &amp; gender'!CX23/'Pop 25+ by race &amp; gender'!CV22)*100</f>
        <v>83.3</v>
      </c>
      <c r="D24" s="532">
        <f>('Attainment 25+ by race &amp; gender'!BZ23/'Pop 25+ by race &amp; gender'!AZ22)*100</f>
        <v>76.616872710622701</v>
      </c>
      <c r="E24" s="531">
        <f>('Attainment 25+ by race &amp; gender'!CY23/'Pop 25+ by race &amp; gender'!CW22)*100</f>
        <v>85.000000000000014</v>
      </c>
      <c r="F24" s="532">
        <f>('Attainment 25+ by race &amp; gender'!CA23/'Pop 25+ by race &amp; gender'!BC22)*100</f>
        <v>74.229867083659101</v>
      </c>
      <c r="G24" s="531">
        <f>('Attainment 25+ by race &amp; gender'!CZ23/'Pop 25+ by race &amp; gender'!CY22)*100</f>
        <v>77.2</v>
      </c>
      <c r="H24" s="532">
        <f>('Attainment 25+ by race &amp; gender'!LB23/'Pop 25+ by race &amp; gender'!AT22)*100</f>
        <v>14.662842594334746</v>
      </c>
      <c r="I24" s="531">
        <f>('Attainment 25+ by race &amp; gender'!ML23/'Pop 25+ by race &amp; gender'!CV22)*100</f>
        <v>17.700000000000003</v>
      </c>
      <c r="J24" s="532">
        <f>('Attainment 25+ by race &amp; gender'!LH23/'Pop 25+ by race &amp; gender'!AZ22)*100</f>
        <v>11.515567765567765</v>
      </c>
      <c r="K24" s="531">
        <f>('Attainment 25+ by race &amp; gender'!MM23/'Pop 25+ by race &amp; gender'!CW22)*100</f>
        <v>14.6</v>
      </c>
      <c r="L24" s="532">
        <f>('Attainment 25+ by race &amp; gender'!LK23/'Pop 25+ by race &amp; gender'!BC22)*100</f>
        <v>19.655981235340107</v>
      </c>
      <c r="M24" s="658">
        <f>('Attainment 25+ by race &amp; gender'!MN23/'Pop 25+ by race &amp; gender'!CY22)*100</f>
        <v>21.200000000000003</v>
      </c>
      <c r="N24" s="531">
        <f>('Attainment 25+ by race &amp; gender'!BY23/'Pop 25+ by race &amp; gender'!AT22)*100</f>
        <v>75.124121319372762</v>
      </c>
      <c r="O24" s="674">
        <f>('Attainment 25+ by race &amp; gender'!DC23/'Pop 25+ by race &amp; gender'!DA22)*100</f>
        <v>84.023471658710974</v>
      </c>
      <c r="P24" s="532">
        <f>('Attainment 25+ by race &amp; gender'!BZ23/'Pop 25+ by race &amp; gender'!AZ22)*100</f>
        <v>76.616872710622701</v>
      </c>
      <c r="Q24" s="649">
        <f>('Attainment 25+ by race &amp; gender'!DD23/'Pop 25+ by race &amp; gender'!DB22)*100</f>
        <v>85.160179680985564</v>
      </c>
      <c r="R24" s="532">
        <f>('Attainment 25+ by race &amp; gender'!CA23/'Pop 25+ by race &amp; gender'!BC22)*100</f>
        <v>74.229867083659101</v>
      </c>
      <c r="S24" s="649">
        <f>('Attainment 25+ by race &amp; gender'!DE23/'Pop 25+ by race &amp; gender'!DD22)*100</f>
        <v>77.319587628865989</v>
      </c>
      <c r="T24" s="532">
        <f>('Attainment 25+ by race &amp; gender'!LB23/'Pop 25+ by race &amp; gender'!AT22)*100</f>
        <v>14.662842594334746</v>
      </c>
      <c r="U24" s="649">
        <f>('Attainment 25+ by race &amp; gender'!MQ23/'Pop 25+ by race &amp; gender'!DA22)*100</f>
        <v>18.19183461038492</v>
      </c>
      <c r="V24" s="532">
        <f>('Attainment 25+ by race &amp; gender'!LH23/'Pop 25+ by race &amp; gender'!AZ22)*100</f>
        <v>11.515567765567765</v>
      </c>
      <c r="W24" s="649">
        <f>('Attainment 25+ by race &amp; gender'!MR23/'Pop 25+ by race &amp; gender'!DB22)*100</f>
        <v>14.842510154127552</v>
      </c>
      <c r="X24" s="532">
        <f>('Attainment 25+ by race &amp; gender'!LK23/'Pop 25+ by race &amp; gender'!BC22)*100</f>
        <v>19.655981235340107</v>
      </c>
      <c r="Y24" s="658">
        <f>('Attainment 25+ by race &amp; gender'!MS23/'Pop 25+ by race &amp; gender'!DD22)*100</f>
        <v>23.03560599497531</v>
      </c>
      <c r="Z24" s="750">
        <f>('Attainment 25+ by race &amp; gender'!BY23/'Pop 25+ by race &amp; gender'!AT22)*100</f>
        <v>75.124121319372762</v>
      </c>
      <c r="AA24" s="674">
        <f>('Attainment 25+ by race &amp; gender'!DH23/'Pop 25+ by race &amp; gender'!DF22)*100</f>
        <v>84.434277131890738</v>
      </c>
      <c r="AB24" s="532">
        <f>('Attainment 25+ by race &amp; gender'!BZ23/'Pop 25+ by race &amp; gender'!AZ22)*100</f>
        <v>76.616872710622701</v>
      </c>
      <c r="AC24" s="649">
        <f>('Attainment 25+ by race &amp; gender'!DI23/'Pop 25+ by race &amp; gender'!DG22)*100</f>
        <v>86.673941394086171</v>
      </c>
      <c r="AD24" s="532">
        <f>('Attainment 25+ by race &amp; gender'!CA23/'Pop 25+ by race &amp; gender'!BC22)*100</f>
        <v>74.229867083659101</v>
      </c>
      <c r="AE24" s="649">
        <f>('Attainment 25+ by race &amp; gender'!DJ23/'Pop 25+ by race &amp; gender'!DI22)*100</f>
        <v>77.082996278919268</v>
      </c>
      <c r="AF24" s="532">
        <f>('Attainment 25+ by race &amp; gender'!LB23/'Pop 25+ by race &amp; gender'!AT22)*100</f>
        <v>14.662842594334746</v>
      </c>
      <c r="AG24" s="649">
        <f>('Attainment 25+ by race &amp; gender'!MV23/'Pop 25+ by race &amp; gender'!DF22)*100</f>
        <v>18.667316734782023</v>
      </c>
      <c r="AH24" s="532">
        <f>('Attainment 25+ by race &amp; gender'!LH23/'Pop 25+ by race &amp; gender'!AZ22)*100</f>
        <v>11.515567765567765</v>
      </c>
      <c r="AI24" s="649">
        <f>('Attainment 25+ by race &amp; gender'!MW23/'Pop 25+ by race &amp; gender'!DG22)*100</f>
        <v>15.38870997790967</v>
      </c>
      <c r="AJ24" s="532">
        <f>('Attainment 25+ by race &amp; gender'!LK23/'Pop 25+ by race &amp; gender'!BC22)*100</f>
        <v>19.655981235340107</v>
      </c>
      <c r="AK24" s="649">
        <f>('Attainment 25+ by race &amp; gender'!MX23/'Pop 25+ by race &amp; gender'!DI22)*100</f>
        <v>22.706681766704417</v>
      </c>
    </row>
    <row r="25" spans="1:37" x14ac:dyDescent="0.2">
      <c r="A25" s="246" t="s">
        <v>183</v>
      </c>
      <c r="B25" s="529">
        <f>('Attainment 25+ by race &amp; gender'!BY24/'Pop 25+ by race &amp; gender'!AT23)*100</f>
        <v>85.586409945913047</v>
      </c>
      <c r="C25" s="671">
        <f>('Attainment 25+ by race &amp; gender'!CX24/'Pop 25+ by race &amp; gender'!CV23)*100</f>
        <v>87.093901050742701</v>
      </c>
      <c r="D25" s="530">
        <f>('Attainment 25+ by race &amp; gender'!BZ24/'Pop 25+ by race &amp; gender'!AZ23)*100</f>
        <v>81.076930465599133</v>
      </c>
      <c r="E25" s="529">
        <f>('Attainment 25+ by race &amp; gender'!CY24/'Pop 25+ by race &amp; gender'!CW23)*100</f>
        <v>87.74883843512626</v>
      </c>
      <c r="F25" s="530">
        <f>('Attainment 25+ by race &amp; gender'!CA24/'Pop 25+ by race &amp; gender'!BC23)*100</f>
        <v>48.119530901142973</v>
      </c>
      <c r="G25" s="529">
        <f>('Attainment 25+ by race &amp; gender'!CZ24/'Pop 25+ by race &amp; gender'!CY23)*100</f>
        <v>59.685910880283565</v>
      </c>
      <c r="H25" s="530">
        <f>('Attainment 25+ by race &amp; gender'!LB24/'Pop 25+ by race &amp; gender'!AT23)*100</f>
        <v>28.62246386688259</v>
      </c>
      <c r="I25" s="529">
        <f>('Attainment 25+ by race &amp; gender'!ML24/'Pop 25+ by race &amp; gender'!CV23)*100</f>
        <v>30.728390386524513</v>
      </c>
      <c r="J25" s="530">
        <f>('Attainment 25+ by race &amp; gender'!LH24/'Pop 25+ by race &amp; gender'!AZ23)*100</f>
        <v>17.397337997478054</v>
      </c>
      <c r="K25" s="529">
        <f>('Attainment 25+ by race &amp; gender'!MM24/'Pop 25+ by race &amp; gender'!CW23)*100</f>
        <v>21.411595386523238</v>
      </c>
      <c r="L25" s="530">
        <f>('Attainment 25+ by race &amp; gender'!LK24/'Pop 25+ by race &amp; gender'!BC23)*100</f>
        <v>8.2284232543929061</v>
      </c>
      <c r="M25" s="655">
        <f>('Attainment 25+ by race &amp; gender'!MN24/'Pop 25+ by race &amp; gender'!CY23)*100</f>
        <v>10.70776267478846</v>
      </c>
      <c r="N25" s="527">
        <f>('Attainment 25+ by race &amp; gender'!BY24/'Pop 25+ by race &amp; gender'!AT23)*100</f>
        <v>85.586409945913047</v>
      </c>
      <c r="O25" s="671">
        <f>('Attainment 25+ by race &amp; gender'!DC24/'Pop 25+ by race &amp; gender'!DA23)*100</f>
        <v>87.289314714220552</v>
      </c>
      <c r="P25" s="528">
        <f>('Attainment 25+ by race &amp; gender'!BZ24/'Pop 25+ by race &amp; gender'!AZ23)*100</f>
        <v>81.076930465599133</v>
      </c>
      <c r="Q25" s="527">
        <f>('Attainment 25+ by race &amp; gender'!DD24/'Pop 25+ by race &amp; gender'!DB23)*100</f>
        <v>87.980084215851122</v>
      </c>
      <c r="R25" s="528">
        <f>('Attainment 25+ by race &amp; gender'!CA24/'Pop 25+ by race &amp; gender'!BC23)*100</f>
        <v>48.119530901142973</v>
      </c>
      <c r="S25" s="527">
        <f>('Attainment 25+ by race &amp; gender'!DE24/'Pop 25+ by race &amp; gender'!DD23)*100</f>
        <v>60.61540600446552</v>
      </c>
      <c r="T25" s="528">
        <f>('Attainment 25+ by race &amp; gender'!LB24/'Pop 25+ by race &amp; gender'!AT23)*100</f>
        <v>28.62246386688259</v>
      </c>
      <c r="U25" s="527">
        <f>('Attainment 25+ by race &amp; gender'!MQ24/'Pop 25+ by race &amp; gender'!DA23)*100</f>
        <v>31.022400129800115</v>
      </c>
      <c r="V25" s="528">
        <f>('Attainment 25+ by race &amp; gender'!LH24/'Pop 25+ by race &amp; gender'!AZ23)*100</f>
        <v>17.397337997478054</v>
      </c>
      <c r="W25" s="527">
        <f>('Attainment 25+ by race &amp; gender'!MR24/'Pop 25+ by race &amp; gender'!DB23)*100</f>
        <v>21.573590508620651</v>
      </c>
      <c r="X25" s="528">
        <f>('Attainment 25+ by race &amp; gender'!LK24/'Pop 25+ by race &amp; gender'!BC23)*100</f>
        <v>8.2284232543929061</v>
      </c>
      <c r="Y25" s="735">
        <f>('Attainment 25+ by race &amp; gender'!MS24/'Pop 25+ by race &amp; gender'!DD23)*100</f>
        <v>10.980990770096765</v>
      </c>
      <c r="Z25" s="527">
        <f>('Attainment 25+ by race &amp; gender'!BY24/'Pop 25+ by race &amp; gender'!AT23)*100</f>
        <v>85.586409945913047</v>
      </c>
      <c r="AA25" s="671">
        <f>('Attainment 25+ by race &amp; gender'!DH24/'Pop 25+ by race &amp; gender'!DF23)*100</f>
        <v>94.038840397099662</v>
      </c>
      <c r="AB25" s="528">
        <f>('Attainment 25+ by race &amp; gender'!BZ24/'Pop 25+ by race &amp; gender'!AZ23)*100</f>
        <v>81.076930465599133</v>
      </c>
      <c r="AC25" s="527">
        <f>('Attainment 25+ by race &amp; gender'!DI24/'Pop 25+ by race &amp; gender'!DG23)*100</f>
        <v>88.047372570243581</v>
      </c>
      <c r="AD25" s="528">
        <f>('Attainment 25+ by race &amp; gender'!CA24/'Pop 25+ by race &amp; gender'!BC23)*100</f>
        <v>48.119530901142973</v>
      </c>
      <c r="AE25" s="527">
        <f>('Attainment 25+ by race &amp; gender'!DJ24/'Pop 25+ by race &amp; gender'!DI23)*100</f>
        <v>61.488964512694565</v>
      </c>
      <c r="AF25" s="528">
        <f>('Attainment 25+ by race &amp; gender'!LB24/'Pop 25+ by race &amp; gender'!AT23)*100</f>
        <v>28.62246386688259</v>
      </c>
      <c r="AG25" s="527">
        <f>('Attainment 25+ by race &amp; gender'!MV24/'Pop 25+ by race &amp; gender'!DF23)*100</f>
        <v>36.446485325866931</v>
      </c>
      <c r="AH25" s="528">
        <f>('Attainment 25+ by race &amp; gender'!LH24/'Pop 25+ by race &amp; gender'!AZ23)*100</f>
        <v>17.397337997478054</v>
      </c>
      <c r="AI25" s="527">
        <f>('Attainment 25+ by race &amp; gender'!MW24/'Pop 25+ by race &amp; gender'!DG23)*100</f>
        <v>21.725360036780287</v>
      </c>
      <c r="AJ25" s="528">
        <f>('Attainment 25+ by race &amp; gender'!LK24/'Pop 25+ by race &amp; gender'!BC23)*100</f>
        <v>8.2284232543929061</v>
      </c>
      <c r="AK25" s="679">
        <f>('Attainment 25+ by race &amp; gender'!MX24/'Pop 25+ by race &amp; gender'!DI23)*100</f>
        <v>11.261139451894332</v>
      </c>
    </row>
    <row r="26" spans="1:37" x14ac:dyDescent="0.2">
      <c r="A26" s="246"/>
      <c r="B26" s="529"/>
      <c r="C26" s="669"/>
      <c r="D26" s="530"/>
      <c r="E26" s="529"/>
      <c r="F26" s="530"/>
      <c r="G26" s="529"/>
      <c r="H26" s="530"/>
      <c r="I26" s="529"/>
      <c r="J26" s="530"/>
      <c r="K26" s="529"/>
      <c r="L26" s="530"/>
      <c r="M26" s="656"/>
      <c r="N26" s="529"/>
      <c r="O26" s="669"/>
      <c r="P26" s="530"/>
      <c r="Q26" s="527"/>
      <c r="R26" s="528"/>
      <c r="S26" s="527"/>
      <c r="T26" s="528"/>
      <c r="U26" s="527"/>
      <c r="V26" s="528"/>
      <c r="W26" s="527"/>
      <c r="X26" s="528"/>
      <c r="Y26" s="657"/>
      <c r="Z26" s="529"/>
      <c r="AA26" s="669"/>
      <c r="AB26" s="530"/>
      <c r="AC26" s="527"/>
      <c r="AD26" s="528"/>
      <c r="AE26" s="527"/>
      <c r="AF26" s="528"/>
      <c r="AG26" s="527"/>
      <c r="AH26" s="528"/>
      <c r="AI26" s="527"/>
      <c r="AJ26" s="528"/>
      <c r="AK26" s="679"/>
    </row>
    <row r="27" spans="1:37" s="691" customFormat="1" x14ac:dyDescent="0.25">
      <c r="A27" s="681" t="s">
        <v>17</v>
      </c>
      <c r="B27" s="682">
        <f>('Attainment 25+ by race &amp; gender'!BY26/'Pop 25+ by race &amp; gender'!AT25)*100</f>
        <v>92.498747659633423</v>
      </c>
      <c r="C27" s="683">
        <f>('Attainment 25+ by race &amp; gender'!CX26/'Pop 25+ by race &amp; gender'!CV25)*100</f>
        <v>94.600000000000009</v>
      </c>
      <c r="D27" s="684">
        <f>('Attainment 25+ by race &amp; gender'!BZ26/'Pop 25+ by race &amp; gender'!AZ25)*100</f>
        <v>88.704177323103153</v>
      </c>
      <c r="E27" s="682">
        <f>('Attainment 25+ by race &amp; gender'!CY26/'Pop 25+ by race &amp; gender'!CW25)*100</f>
        <v>90.699999999999989</v>
      </c>
      <c r="F27" s="684">
        <f>('Attainment 25+ by race &amp; gender'!CA26/'Pop 25+ by race &amp; gender'!BC25)*100</f>
        <v>78.316888200277262</v>
      </c>
      <c r="G27" s="682">
        <f>('Attainment 25+ by race &amp; gender'!CZ26/'Pop 25+ by race &amp; gender'!CY25)*100</f>
        <v>82</v>
      </c>
      <c r="H27" s="684">
        <f>('Attainment 25+ by race &amp; gender'!LB26/'Pop 25+ by race &amp; gender'!AT25)*100</f>
        <v>29.273855751706201</v>
      </c>
      <c r="I27" s="682">
        <f>('Attainment 25+ by race &amp; gender'!ML26/'Pop 25+ by race &amp; gender'!CV25)*100</f>
        <v>31.900000000000002</v>
      </c>
      <c r="J27" s="684">
        <f>('Attainment 25+ by race &amp; gender'!LH26/'Pop 25+ by race &amp; gender'!AZ25)*100</f>
        <v>14.893435635123614</v>
      </c>
      <c r="K27" s="682">
        <f>('Attainment 25+ by race &amp; gender'!MM26/'Pop 25+ by race &amp; gender'!CW25)*100</f>
        <v>20.7</v>
      </c>
      <c r="L27" s="684">
        <f>('Attainment 25+ by race &amp; gender'!LK26/'Pop 25+ by race &amp; gender'!BC25)*100</f>
        <v>15.289896436434805</v>
      </c>
      <c r="M27" s="685">
        <f>('Attainment 25+ by race &amp; gender'!MN26/'Pop 25+ by race &amp; gender'!CY25)*100</f>
        <v>20.5</v>
      </c>
      <c r="N27" s="686">
        <f>('Attainment 25+ by race &amp; gender'!BY26/'Pop 25+ by race &amp; gender'!AT25)*100</f>
        <v>92.498747659633423</v>
      </c>
      <c r="O27" s="687">
        <f>('Attainment 25+ by race &amp; gender'!DC26/'Pop 25+ by race &amp; gender'!DA25)*100</f>
        <v>94.853248270393621</v>
      </c>
      <c r="P27" s="688">
        <f>('Attainment 25+ by race &amp; gender'!BZ26/'Pop 25+ by race &amp; gender'!AZ25)*100</f>
        <v>88.704177323103153</v>
      </c>
      <c r="Q27" s="686">
        <f>('Attainment 25+ by race &amp; gender'!DD26/'Pop 25+ by race &amp; gender'!DB25)*100</f>
        <v>88.769578004240486</v>
      </c>
      <c r="R27" s="688">
        <f>('Attainment 25+ by race &amp; gender'!CA26/'Pop 25+ by race &amp; gender'!BC25)*100</f>
        <v>78.316888200277262</v>
      </c>
      <c r="S27" s="686">
        <f>('Attainment 25+ by race &amp; gender'!DE26/'Pop 25+ by race &amp; gender'!DD25)*100</f>
        <v>81.634031060094543</v>
      </c>
      <c r="T27" s="688">
        <f>('Attainment 25+ by race &amp; gender'!LB26/'Pop 25+ by race &amp; gender'!AT25)*100</f>
        <v>29.273855751706201</v>
      </c>
      <c r="U27" s="689">
        <f>('Attainment 25+ by race &amp; gender'!MQ26/'Pop 25+ by race &amp; gender'!DA25)*100</f>
        <v>32.134664156745011</v>
      </c>
      <c r="V27" s="688">
        <f>('Attainment 25+ by race &amp; gender'!LH26/'Pop 25+ by race &amp; gender'!AZ25)*100</f>
        <v>14.893435635123614</v>
      </c>
      <c r="W27" s="689">
        <f>('Attainment 25+ by race &amp; gender'!MR26/'Pop 25+ by race &amp; gender'!DB25)*100</f>
        <v>24.389576636344984</v>
      </c>
      <c r="X27" s="688">
        <f>('Attainment 25+ by race &amp; gender'!LK26/'Pop 25+ by race &amp; gender'!BC25)*100</f>
        <v>15.289896436434805</v>
      </c>
      <c r="Y27" s="736">
        <f>('Attainment 25+ by race &amp; gender'!MS26/'Pop 25+ by race &amp; gender'!DD25)*100</f>
        <v>21.254943570946271</v>
      </c>
      <c r="Z27" s="686">
        <f>('Attainment 25+ by race &amp; gender'!BY26/'Pop 25+ by race &amp; gender'!AT25)*100</f>
        <v>92.498747659633423</v>
      </c>
      <c r="AA27" s="687">
        <f>('Attainment 25+ by race &amp; gender'!DH26/'Pop 25+ by race &amp; gender'!DF25)*100</f>
        <v>95.450704712005702</v>
      </c>
      <c r="AB27" s="688">
        <f>('Attainment 25+ by race &amp; gender'!BZ26/'Pop 25+ by race &amp; gender'!AZ25)*100</f>
        <v>88.704177323103153</v>
      </c>
      <c r="AC27" s="686">
        <f>('Attainment 25+ by race &amp; gender'!DI26/'Pop 25+ by race &amp; gender'!DG25)*100</f>
        <v>86.736686191341818</v>
      </c>
      <c r="AD27" s="688">
        <f>('Attainment 25+ by race &amp; gender'!CA26/'Pop 25+ by race &amp; gender'!BC25)*100</f>
        <v>78.316888200277262</v>
      </c>
      <c r="AE27" s="686">
        <f>('Attainment 25+ by race &amp; gender'!DJ26/'Pop 25+ by race &amp; gender'!DI25)*100</f>
        <v>87.675979123722641</v>
      </c>
      <c r="AF27" s="688">
        <f>('Attainment 25+ by race &amp; gender'!LB26/'Pop 25+ by race &amp; gender'!AT25)*100</f>
        <v>29.273855751706201</v>
      </c>
      <c r="AG27" s="689">
        <f>('Attainment 25+ by race &amp; gender'!MV26/'Pop 25+ by race &amp; gender'!DF25)*100</f>
        <v>32.757878733622945</v>
      </c>
      <c r="AH27" s="688">
        <f>('Attainment 25+ by race &amp; gender'!LH26/'Pop 25+ by race &amp; gender'!AZ25)*100</f>
        <v>14.893435635123614</v>
      </c>
      <c r="AI27" s="689">
        <f>('Attainment 25+ by race &amp; gender'!MW26/'Pop 25+ by race &amp; gender'!DG25)*100</f>
        <v>22.628425233959469</v>
      </c>
      <c r="AJ27" s="688">
        <f>('Attainment 25+ by race &amp; gender'!LK26/'Pop 25+ by race &amp; gender'!BC25)*100</f>
        <v>15.289896436434805</v>
      </c>
      <c r="AK27" s="690">
        <f>('Attainment 25+ by race &amp; gender'!MX26/'Pop 25+ by race &amp; gender'!DI25)*100</f>
        <v>21.481513968685583</v>
      </c>
    </row>
    <row r="28" spans="1:37" ht="15.75" x14ac:dyDescent="0.25">
      <c r="A28" s="241" t="s">
        <v>18</v>
      </c>
      <c r="B28" s="533">
        <f>('Attainment 25+ by race &amp; gender'!BY27/'Pop 25+ by race &amp; gender'!AT26)*100</f>
        <v>85.366080852138111</v>
      </c>
      <c r="C28" s="668">
        <f>('Attainment 25+ by race &amp; gender'!CX27/'Pop 25+ by race &amp; gender'!CV26)*100</f>
        <v>87.100000000000009</v>
      </c>
      <c r="D28" s="534">
        <f>('Attainment 25+ by race &amp; gender'!BZ27/'Pop 25+ by race &amp; gender'!AZ26)*100</f>
        <v>81.722874967798305</v>
      </c>
      <c r="E28" s="533">
        <f>('Attainment 25+ by race &amp; gender'!CY27/'Pop 25+ by race &amp; gender'!CW26)*100</f>
        <v>88.800000000000011</v>
      </c>
      <c r="F28" s="534">
        <f>('Attainment 25+ by race &amp; gender'!CA27/'Pop 25+ by race &amp; gender'!BC26)*100</f>
        <v>52.518712491087385</v>
      </c>
      <c r="G28" s="533">
        <f>('Attainment 25+ by race &amp; gender'!CZ27/'Pop 25+ by race &amp; gender'!CY26)*100</f>
        <v>64.099999999999994</v>
      </c>
      <c r="H28" s="534">
        <f>('Attainment 25+ by race &amp; gender'!LB27/'Pop 25+ by race &amp; gender'!AT26)*100</f>
        <v>26.014491761793089</v>
      </c>
      <c r="I28" s="533">
        <f>('Attainment 25+ by race &amp; gender'!ML27/'Pop 25+ by race &amp; gender'!CV26)*100</f>
        <v>27.6</v>
      </c>
      <c r="J28" s="534">
        <f>('Attainment 25+ by race &amp; gender'!LH27/'Pop 25+ by race &amp; gender'!AZ26)*100</f>
        <v>18.594101768573381</v>
      </c>
      <c r="K28" s="533">
        <f>('Attainment 25+ by race &amp; gender'!MM27/'Pop 25+ by race &amp; gender'!CW26)*100</f>
        <v>21.6</v>
      </c>
      <c r="L28" s="534">
        <f>('Attainment 25+ by race &amp; gender'!LK27/'Pop 25+ by race &amp; gender'!BC26)*100</f>
        <v>8.1404531923941441</v>
      </c>
      <c r="M28" s="659">
        <f>('Attainment 25+ by race &amp; gender'!MN27/'Pop 25+ by race &amp; gender'!CY26)*100</f>
        <v>10.4</v>
      </c>
      <c r="N28" s="527">
        <f>('Attainment 25+ by race &amp; gender'!BY27/'Pop 25+ by race &amp; gender'!AT26)*100</f>
        <v>85.366080852138111</v>
      </c>
      <c r="O28" s="669">
        <f>('Attainment 25+ by race &amp; gender'!DC27/'Pop 25+ by race &amp; gender'!DA26)*100</f>
        <v>87.419118629080913</v>
      </c>
      <c r="P28" s="528">
        <f>('Attainment 25+ by race &amp; gender'!BZ27/'Pop 25+ by race &amp; gender'!AZ26)*100</f>
        <v>81.722874967798305</v>
      </c>
      <c r="Q28" s="527">
        <f>('Attainment 25+ by race &amp; gender'!DD27/'Pop 25+ by race &amp; gender'!DB26)*100</f>
        <v>88.753636502832649</v>
      </c>
      <c r="R28" s="528">
        <f>('Attainment 25+ by race &amp; gender'!CA27/'Pop 25+ by race &amp; gender'!BC26)*100</f>
        <v>52.518712491087385</v>
      </c>
      <c r="S28" s="527">
        <f>('Attainment 25+ by race &amp; gender'!DE27/'Pop 25+ by race &amp; gender'!DD26)*100</f>
        <v>64.708382474244459</v>
      </c>
      <c r="T28" s="528">
        <f>('Attainment 25+ by race &amp; gender'!LB27/'Pop 25+ by race &amp; gender'!AT26)*100</f>
        <v>26.014491761793089</v>
      </c>
      <c r="U28" s="527">
        <f>('Attainment 25+ by race &amp; gender'!MQ27/'Pop 25+ by race &amp; gender'!DA26)*100</f>
        <v>27.97462109524314</v>
      </c>
      <c r="V28" s="528">
        <f>('Attainment 25+ by race &amp; gender'!LH27/'Pop 25+ by race &amp; gender'!AZ26)*100</f>
        <v>18.594101768573381</v>
      </c>
      <c r="W28" s="527">
        <f>('Attainment 25+ by race &amp; gender'!MR27/'Pop 25+ by race &amp; gender'!DB26)*100</f>
        <v>21.656331342826523</v>
      </c>
      <c r="X28" s="528">
        <f>('Attainment 25+ by race &amp; gender'!LK27/'Pop 25+ by race &amp; gender'!BC26)*100</f>
        <v>8.1404531923941441</v>
      </c>
      <c r="Y28" s="657">
        <f>('Attainment 25+ by race &amp; gender'!MS27/'Pop 25+ by race &amp; gender'!DD26)*100</f>
        <v>10.728346357563201</v>
      </c>
      <c r="Z28" s="686">
        <f>('Attainment 25+ by race &amp; gender'!BY27/'Pop 25+ by race &amp; gender'!AT26)*100</f>
        <v>85.366080852138111</v>
      </c>
      <c r="AA28" s="687">
        <f>('Attainment 25+ by race &amp; gender'!DH27/'Pop 25+ by race &amp; gender'!DF26)*100</f>
        <v>93.700561080554593</v>
      </c>
      <c r="AB28" s="688">
        <f>('Attainment 25+ by race &amp; gender'!BZ27/'Pop 25+ by race &amp; gender'!AZ26)*100</f>
        <v>81.722874967798305</v>
      </c>
      <c r="AC28" s="686">
        <f>('Attainment 25+ by race &amp; gender'!DI27/'Pop 25+ by race &amp; gender'!DG26)*100</f>
        <v>88.241088964752393</v>
      </c>
      <c r="AD28" s="688">
        <f>('Attainment 25+ by race &amp; gender'!CA27/'Pop 25+ by race &amp; gender'!BC26)*100</f>
        <v>52.518712491087385</v>
      </c>
      <c r="AE28" s="686">
        <f>('Attainment 25+ by race &amp; gender'!DJ27/'Pop 25+ by race &amp; gender'!DI26)*100</f>
        <v>64.782860974668665</v>
      </c>
      <c r="AF28" s="688">
        <f>('Attainment 25+ by race &amp; gender'!LB27/'Pop 25+ by race &amp; gender'!AT26)*100</f>
        <v>26.014491761793089</v>
      </c>
      <c r="AG28" s="689">
        <f>('Attainment 25+ by race &amp; gender'!MV27/'Pop 25+ by race &amp; gender'!DF26)*100</f>
        <v>33.192692611806663</v>
      </c>
      <c r="AH28" s="688">
        <f>('Attainment 25+ by race &amp; gender'!LH27/'Pop 25+ by race &amp; gender'!AZ26)*100</f>
        <v>18.594101768573381</v>
      </c>
      <c r="AI28" s="689">
        <f>('Attainment 25+ by race &amp; gender'!MW27/'Pop 25+ by race &amp; gender'!DG26)*100</f>
        <v>21.871611700051425</v>
      </c>
      <c r="AJ28" s="688">
        <f>('Attainment 25+ by race &amp; gender'!LK27/'Pop 25+ by race &amp; gender'!BC26)*100</f>
        <v>8.1404531923941441</v>
      </c>
      <c r="AK28" s="690">
        <f>('Attainment 25+ by race &amp; gender'!MX27/'Pop 25+ by race &amp; gender'!DI26)*100</f>
        <v>10.746744608219011</v>
      </c>
    </row>
    <row r="29" spans="1:37" ht="15.75" x14ac:dyDescent="0.25">
      <c r="A29" s="241" t="s">
        <v>19</v>
      </c>
      <c r="B29" s="533">
        <f>('Attainment 25+ by race &amp; gender'!BY28/'Pop 25+ by race &amp; gender'!AT27)*100</f>
        <v>83.306751024861043</v>
      </c>
      <c r="C29" s="668">
        <f>('Attainment 25+ by race &amp; gender'!CX28/'Pop 25+ by race &amp; gender'!CV27)*100</f>
        <v>83.600000000000009</v>
      </c>
      <c r="D29" s="534">
        <f>('Attainment 25+ by race &amp; gender'!BZ28/'Pop 25+ by race &amp; gender'!AZ27)*100</f>
        <v>80.541581226304601</v>
      </c>
      <c r="E29" s="533">
        <f>('Attainment 25+ by race &amp; gender'!CY28/'Pop 25+ by race &amp; gender'!CW27)*100</f>
        <v>87.7</v>
      </c>
      <c r="F29" s="534">
        <f>('Attainment 25+ by race &amp; gender'!CA28/'Pop 25+ by race &amp; gender'!BC27)*100</f>
        <v>46.680599269156467</v>
      </c>
      <c r="G29" s="533">
        <f>('Attainment 25+ by race &amp; gender'!CZ28/'Pop 25+ by race &amp; gender'!CY27)*100</f>
        <v>57.70000000000001</v>
      </c>
      <c r="H29" s="534">
        <f>('Attainment 25+ by race &amp; gender'!LB28/'Pop 25+ by race &amp; gender'!AT27)*100</f>
        <v>29.788451675072608</v>
      </c>
      <c r="I29" s="533">
        <f>('Attainment 25+ by race &amp; gender'!ML28/'Pop 25+ by race &amp; gender'!CV27)*100</f>
        <v>31.1</v>
      </c>
      <c r="J29" s="534">
        <f>('Attainment 25+ by race &amp; gender'!LH28/'Pop 25+ by race &amp; gender'!AZ27)*100</f>
        <v>17.177958299851216</v>
      </c>
      <c r="K29" s="533">
        <f>('Attainment 25+ by race &amp; gender'!MM28/'Pop 25+ by race &amp; gender'!CW27)*100</f>
        <v>21.8</v>
      </c>
      <c r="L29" s="534">
        <f>('Attainment 25+ by race &amp; gender'!LK28/'Pop 25+ by race &amp; gender'!BC27)*100</f>
        <v>7.7438655372968901</v>
      </c>
      <c r="M29" s="659">
        <f>('Attainment 25+ by race &amp; gender'!MN28/'Pop 25+ by race &amp; gender'!CY27)*100</f>
        <v>10.4</v>
      </c>
      <c r="N29" s="527">
        <f>('Attainment 25+ by race &amp; gender'!BY28/'Pop 25+ by race &amp; gender'!AT27)*100</f>
        <v>83.306751024861043</v>
      </c>
      <c r="O29" s="669">
        <f>('Attainment 25+ by race &amp; gender'!DC28/'Pop 25+ by race &amp; gender'!DA27)*100</f>
        <v>83.644762038452072</v>
      </c>
      <c r="P29" s="528">
        <f>('Attainment 25+ by race &amp; gender'!BZ28/'Pop 25+ by race &amp; gender'!AZ27)*100</f>
        <v>80.541581226304601</v>
      </c>
      <c r="Q29" s="527">
        <f>('Attainment 25+ by race &amp; gender'!DD28/'Pop 25+ by race &amp; gender'!DB27)*100</f>
        <v>87.954803668911239</v>
      </c>
      <c r="R29" s="528">
        <f>('Attainment 25+ by race &amp; gender'!CA28/'Pop 25+ by race &amp; gender'!BC27)*100</f>
        <v>46.680599269156467</v>
      </c>
      <c r="S29" s="527">
        <f>('Attainment 25+ by race &amp; gender'!DE28/'Pop 25+ by race &amp; gender'!DD27)*100</f>
        <v>58.537237148511757</v>
      </c>
      <c r="T29" s="528">
        <f>('Attainment 25+ by race &amp; gender'!LB28/'Pop 25+ by race &amp; gender'!AT27)*100</f>
        <v>29.788451675072608</v>
      </c>
      <c r="U29" s="527">
        <f>('Attainment 25+ by race &amp; gender'!MQ28/'Pop 25+ by race &amp; gender'!DA27)*100</f>
        <v>31.297572729023543</v>
      </c>
      <c r="V29" s="528">
        <f>('Attainment 25+ by race &amp; gender'!LH28/'Pop 25+ by race &amp; gender'!AZ27)*100</f>
        <v>17.177958299851216</v>
      </c>
      <c r="W29" s="527">
        <f>('Attainment 25+ by race &amp; gender'!MR28/'Pop 25+ by race &amp; gender'!DB27)*100</f>
        <v>21.901307950231384</v>
      </c>
      <c r="X29" s="528">
        <f>('Attainment 25+ by race &amp; gender'!LK28/'Pop 25+ by race &amp; gender'!BC27)*100</f>
        <v>7.7438655372968901</v>
      </c>
      <c r="Y29" s="657">
        <f>('Attainment 25+ by race &amp; gender'!MS28/'Pop 25+ by race &amp; gender'!DD27)*100</f>
        <v>10.692291139768228</v>
      </c>
      <c r="Z29" s="686">
        <f>('Attainment 25+ by race &amp; gender'!BY28/'Pop 25+ by race &amp; gender'!AT27)*100</f>
        <v>83.306751024861043</v>
      </c>
      <c r="AA29" s="687">
        <f>('Attainment 25+ by race &amp; gender'!DH28/'Pop 25+ by race &amp; gender'!DF27)*100</f>
        <v>94.10547889119367</v>
      </c>
      <c r="AB29" s="688">
        <f>('Attainment 25+ by race &amp; gender'!BZ28/'Pop 25+ by race &amp; gender'!AZ27)*100</f>
        <v>80.541581226304601</v>
      </c>
      <c r="AC29" s="686">
        <f>('Attainment 25+ by race &amp; gender'!DI28/'Pop 25+ by race &amp; gender'!DG27)*100</f>
        <v>88.109119014423072</v>
      </c>
      <c r="AD29" s="688">
        <f>('Attainment 25+ by race &amp; gender'!CA28/'Pop 25+ by race &amp; gender'!BC27)*100</f>
        <v>46.680599269156467</v>
      </c>
      <c r="AE29" s="686">
        <f>('Attainment 25+ by race &amp; gender'!DJ28/'Pop 25+ by race &amp; gender'!DI27)*100</f>
        <v>59.476112077593704</v>
      </c>
      <c r="AF29" s="688">
        <f>('Attainment 25+ by race &amp; gender'!LB28/'Pop 25+ by race &amp; gender'!AT27)*100</f>
        <v>29.788451675072608</v>
      </c>
      <c r="AG29" s="689">
        <f>('Attainment 25+ by race &amp; gender'!MV28/'Pop 25+ by race &amp; gender'!DF27)*100</f>
        <v>40.114327267320434</v>
      </c>
      <c r="AH29" s="688">
        <f>('Attainment 25+ by race &amp; gender'!LH28/'Pop 25+ by race &amp; gender'!AZ27)*100</f>
        <v>17.177958299851216</v>
      </c>
      <c r="AI29" s="689">
        <f>('Attainment 25+ by race &amp; gender'!MW28/'Pop 25+ by race &amp; gender'!DG27)*100</f>
        <v>21.992921172087115</v>
      </c>
      <c r="AJ29" s="688">
        <f>('Attainment 25+ by race &amp; gender'!LK28/'Pop 25+ by race &amp; gender'!BC27)*100</f>
        <v>7.7438655372968901</v>
      </c>
      <c r="AK29" s="690">
        <f>('Attainment 25+ by race &amp; gender'!MX28/'Pop 25+ by race &amp; gender'!DI27)*100</f>
        <v>10.918421410933099</v>
      </c>
    </row>
    <row r="30" spans="1:37" ht="15.75" x14ac:dyDescent="0.25">
      <c r="A30" s="241" t="s">
        <v>20</v>
      </c>
      <c r="B30" s="533">
        <f>('Attainment 25+ by race &amp; gender'!BY29/'Pop 25+ by race &amp; gender'!AT28)*100</f>
        <v>89.543489716184752</v>
      </c>
      <c r="C30" s="668">
        <f>('Attainment 25+ by race &amp; gender'!CX29/'Pop 25+ by race &amp; gender'!CV28)*100</f>
        <v>91.499999999999986</v>
      </c>
      <c r="D30" s="534">
        <f>('Attainment 25+ by race &amp; gender'!BZ29/'Pop 25+ by race &amp; gender'!AZ28)*100</f>
        <v>84.379151116452661</v>
      </c>
      <c r="E30" s="533">
        <f>('Attainment 25+ by race &amp; gender'!CY29/'Pop 25+ by race &amp; gender'!CW28)*100</f>
        <v>87.9</v>
      </c>
      <c r="F30" s="534">
        <f>('Attainment 25+ by race &amp; gender'!CA29/'Pop 25+ by race &amp; gender'!BC28)*100</f>
        <v>58.091002213223078</v>
      </c>
      <c r="G30" s="533">
        <f>('Attainment 25+ by race &amp; gender'!CZ29/'Pop 25+ by race &amp; gender'!CY28)*100</f>
        <v>65.400000000000006</v>
      </c>
      <c r="H30" s="534">
        <f>('Attainment 25+ by race &amp; gender'!LB29/'Pop 25+ by race &amp; gender'!AT28)*100</f>
        <v>34.998939812861224</v>
      </c>
      <c r="I30" s="533">
        <f>('Attainment 25+ by race &amp; gender'!ML29/'Pop 25+ by race &amp; gender'!CV28)*100</f>
        <v>38.5</v>
      </c>
      <c r="J30" s="534">
        <f>('Attainment 25+ by race &amp; gender'!LH29/'Pop 25+ by race &amp; gender'!AZ28)*100</f>
        <v>20.469352900246697</v>
      </c>
      <c r="K30" s="533">
        <f>('Attainment 25+ by race &amp; gender'!MM29/'Pop 25+ by race &amp; gender'!CW28)*100</f>
        <v>21.3</v>
      </c>
      <c r="L30" s="534">
        <f>('Attainment 25+ by race &amp; gender'!LK29/'Pop 25+ by race &amp; gender'!BC28)*100</f>
        <v>10.438504774086715</v>
      </c>
      <c r="M30" s="659">
        <f>('Attainment 25+ by race &amp; gender'!MN29/'Pop 25+ by race &amp; gender'!CY28)*100</f>
        <v>12.5</v>
      </c>
      <c r="N30" s="527">
        <f>('Attainment 25+ by race &amp; gender'!BY29/'Pop 25+ by race &amp; gender'!AT28)*100</f>
        <v>89.543489716184752</v>
      </c>
      <c r="O30" s="669">
        <f>('Attainment 25+ by race &amp; gender'!DC29/'Pop 25+ by race &amp; gender'!DA28)*100</f>
        <v>91.954191397635725</v>
      </c>
      <c r="P30" s="528">
        <f>('Attainment 25+ by race &amp; gender'!BZ29/'Pop 25+ by race &amp; gender'!AZ28)*100</f>
        <v>84.379151116452661</v>
      </c>
      <c r="Q30" s="527">
        <f>('Attainment 25+ by race &amp; gender'!DD29/'Pop 25+ by race &amp; gender'!DB28)*100</f>
        <v>87.779961948069371</v>
      </c>
      <c r="R30" s="528">
        <f>('Attainment 25+ by race &amp; gender'!CA29/'Pop 25+ by race &amp; gender'!BC28)*100</f>
        <v>58.091002213223078</v>
      </c>
      <c r="S30" s="527">
        <f>('Attainment 25+ by race &amp; gender'!DE29/'Pop 25+ by race &amp; gender'!DD28)*100</f>
        <v>66.808528793745268</v>
      </c>
      <c r="T30" s="528">
        <f>('Attainment 25+ by race &amp; gender'!LB29/'Pop 25+ by race &amp; gender'!AT28)*100</f>
        <v>34.998939812861224</v>
      </c>
      <c r="U30" s="527">
        <f>('Attainment 25+ by race &amp; gender'!MQ29/'Pop 25+ by race &amp; gender'!DA28)*100</f>
        <v>38.855379201361743</v>
      </c>
      <c r="V30" s="528">
        <f>('Attainment 25+ by race &amp; gender'!LH29/'Pop 25+ by race &amp; gender'!AZ28)*100</f>
        <v>20.469352900246697</v>
      </c>
      <c r="W30" s="527">
        <f>('Attainment 25+ by race &amp; gender'!MR29/'Pop 25+ by race &amp; gender'!DB28)*100</f>
        <v>22.568268479264855</v>
      </c>
      <c r="X30" s="528">
        <f>('Attainment 25+ by race &amp; gender'!LK29/'Pop 25+ by race &amp; gender'!BC28)*100</f>
        <v>10.438504774086715</v>
      </c>
      <c r="Y30" s="657">
        <f>('Attainment 25+ by race &amp; gender'!MS29/'Pop 25+ by race &amp; gender'!DD28)*100</f>
        <v>12.389647975709222</v>
      </c>
      <c r="Z30" s="686">
        <f>('Attainment 25+ by race &amp; gender'!BY29/'Pop 25+ by race &amp; gender'!AT28)*100</f>
        <v>89.543489716184752</v>
      </c>
      <c r="AA30" s="687">
        <f>('Attainment 25+ by race &amp; gender'!DH29/'Pop 25+ by race &amp; gender'!DF28)*100</f>
        <v>95.67217297487008</v>
      </c>
      <c r="AB30" s="688">
        <f>('Attainment 25+ by race &amp; gender'!BZ29/'Pop 25+ by race &amp; gender'!AZ28)*100</f>
        <v>84.379151116452661</v>
      </c>
      <c r="AC30" s="686">
        <f>('Attainment 25+ by race &amp; gender'!DI29/'Pop 25+ by race &amp; gender'!DG28)*100</f>
        <v>88.452027885837538</v>
      </c>
      <c r="AD30" s="688">
        <f>('Attainment 25+ by race &amp; gender'!CA29/'Pop 25+ by race &amp; gender'!BC28)*100</f>
        <v>58.091002213223078</v>
      </c>
      <c r="AE30" s="686">
        <f>('Attainment 25+ by race &amp; gender'!DJ29/'Pop 25+ by race &amp; gender'!DI28)*100</f>
        <v>67.983054885545698</v>
      </c>
      <c r="AF30" s="688">
        <f>('Attainment 25+ by race &amp; gender'!LB29/'Pop 25+ by race &amp; gender'!AT28)*100</f>
        <v>34.998939812861224</v>
      </c>
      <c r="AG30" s="689">
        <f>('Attainment 25+ by race &amp; gender'!MV29/'Pop 25+ by race &amp; gender'!DF28)*100</f>
        <v>43.225276450991608</v>
      </c>
      <c r="AH30" s="688">
        <f>('Attainment 25+ by race &amp; gender'!LH29/'Pop 25+ by race &amp; gender'!AZ28)*100</f>
        <v>20.469352900246697</v>
      </c>
      <c r="AI30" s="689">
        <f>('Attainment 25+ by race &amp; gender'!MW29/'Pop 25+ by race &amp; gender'!DG28)*100</f>
        <v>23.350922466587065</v>
      </c>
      <c r="AJ30" s="688">
        <f>('Attainment 25+ by race &amp; gender'!LK29/'Pop 25+ by race &amp; gender'!BC28)*100</f>
        <v>10.438504774086715</v>
      </c>
      <c r="AK30" s="690">
        <f>('Attainment 25+ by race &amp; gender'!MX29/'Pop 25+ by race &amp; gender'!DI28)*100</f>
        <v>12.786918315992299</v>
      </c>
    </row>
    <row r="31" spans="1:37" s="691" customFormat="1" x14ac:dyDescent="0.25">
      <c r="A31" s="681" t="s">
        <v>22</v>
      </c>
      <c r="B31" s="682">
        <f>('Attainment 25+ by race &amp; gender'!BY30/'Pop 25+ by race &amp; gender'!AT29)*100</f>
        <v>92.656627368401615</v>
      </c>
      <c r="C31" s="683">
        <f>('Attainment 25+ by race &amp; gender'!CX30/'Pop 25+ by race &amp; gender'!CV29)*100</f>
        <v>95.2</v>
      </c>
      <c r="D31" s="684">
        <f>('Attainment 25+ by race &amp; gender'!BZ30/'Pop 25+ by race &amp; gender'!AZ29)*100</f>
        <v>92.920207937948675</v>
      </c>
      <c r="E31" s="682">
        <f>('Attainment 25+ by race &amp; gender'!CY30/'Pop 25+ by race &amp; gender'!CW29)*100</f>
        <v>94.699999999999989</v>
      </c>
      <c r="F31" s="684">
        <f>('Attainment 25+ by race &amp; gender'!CA30/'Pop 25+ by race &amp; gender'!BC29)*100</f>
        <v>81.499841273717365</v>
      </c>
      <c r="G31" s="682">
        <f>('Attainment 25+ by race &amp; gender'!CZ30/'Pop 25+ by race &amp; gender'!CY29)*100</f>
        <v>86.899999999999991</v>
      </c>
      <c r="H31" s="684">
        <f>('Attainment 25+ by race &amp; gender'!LB30/'Pop 25+ by race &amp; gender'!AT29)*100</f>
        <v>36.499822211139282</v>
      </c>
      <c r="I31" s="682">
        <f>('Attainment 25+ by race &amp; gender'!ML30/'Pop 25+ by race &amp; gender'!CV29)*100</f>
        <v>39.900000000000006</v>
      </c>
      <c r="J31" s="684">
        <f>('Attainment 25+ by race &amp; gender'!LH30/'Pop 25+ by race &amp; gender'!AZ29)*100</f>
        <v>21.000082515058999</v>
      </c>
      <c r="K31" s="682">
        <f>('Attainment 25+ by race &amp; gender'!MM30/'Pop 25+ by race &amp; gender'!CW29)*100</f>
        <v>25.199999999999996</v>
      </c>
      <c r="L31" s="684">
        <f>('Attainment 25+ by race &amp; gender'!LK30/'Pop 25+ by race &amp; gender'!BC29)*100</f>
        <v>13.333007740958708</v>
      </c>
      <c r="M31" s="685">
        <f>('Attainment 25+ by race &amp; gender'!MN30/'Pop 25+ by race &amp; gender'!CY29)*100</f>
        <v>18.199999999999996</v>
      </c>
      <c r="N31" s="686">
        <f>('Attainment 25+ by race &amp; gender'!BY30/'Pop 25+ by race &amp; gender'!AT29)*100</f>
        <v>92.656627368401615</v>
      </c>
      <c r="O31" s="687">
        <f>('Attainment 25+ by race &amp; gender'!DC30/'Pop 25+ by race &amp; gender'!DA29)*100</f>
        <v>95.678208599796434</v>
      </c>
      <c r="P31" s="688">
        <f>('Attainment 25+ by race &amp; gender'!BZ30/'Pop 25+ by race &amp; gender'!AZ29)*100</f>
        <v>92.920207937948675</v>
      </c>
      <c r="Q31" s="686">
        <f>('Attainment 25+ by race &amp; gender'!DD30/'Pop 25+ by race &amp; gender'!DB29)*100</f>
        <v>94.350244167118831</v>
      </c>
      <c r="R31" s="688">
        <f>('Attainment 25+ by race &amp; gender'!CA30/'Pop 25+ by race &amp; gender'!BC29)*100</f>
        <v>81.499841273717365</v>
      </c>
      <c r="S31" s="686">
        <f>('Attainment 25+ by race &amp; gender'!DE30/'Pop 25+ by race &amp; gender'!DD29)*100</f>
        <v>86.267605633802816</v>
      </c>
      <c r="T31" s="688">
        <f>('Attainment 25+ by race &amp; gender'!LB30/'Pop 25+ by race &amp; gender'!AT29)*100</f>
        <v>36.499822211139282</v>
      </c>
      <c r="U31" s="689">
        <f>('Attainment 25+ by race &amp; gender'!MQ30/'Pop 25+ by race &amp; gender'!DA29)*100</f>
        <v>39.744963607382225</v>
      </c>
      <c r="V31" s="688">
        <f>('Attainment 25+ by race &amp; gender'!LH30/'Pop 25+ by race &amp; gender'!AZ29)*100</f>
        <v>21.000082515058999</v>
      </c>
      <c r="W31" s="689">
        <f>('Attainment 25+ by race &amp; gender'!MR30/'Pop 25+ by race &amp; gender'!DB29)*100</f>
        <v>26.946554530656535</v>
      </c>
      <c r="X31" s="688">
        <f>('Attainment 25+ by race &amp; gender'!LK30/'Pop 25+ by race &amp; gender'!BC29)*100</f>
        <v>13.333007740958708</v>
      </c>
      <c r="Y31" s="736">
        <f>('Attainment 25+ by race &amp; gender'!MS30/'Pop 25+ by race &amp; gender'!DD29)*100</f>
        <v>18.363544495673594</v>
      </c>
      <c r="Z31" s="686">
        <f>('Attainment 25+ by race &amp; gender'!BY30/'Pop 25+ by race &amp; gender'!AT29)*100</f>
        <v>92.656627368401615</v>
      </c>
      <c r="AA31" s="687">
        <f>('Attainment 25+ by race &amp; gender'!DH30/'Pop 25+ by race &amp; gender'!DF29)*100</f>
        <v>96.67552594298219</v>
      </c>
      <c r="AB31" s="688">
        <f>('Attainment 25+ by race &amp; gender'!BZ30/'Pop 25+ by race &amp; gender'!AZ29)*100</f>
        <v>92.920207937948675</v>
      </c>
      <c r="AC31" s="686">
        <f>('Attainment 25+ by race &amp; gender'!DI30/'Pop 25+ by race &amp; gender'!DG29)*100</f>
        <v>96.116622308250669</v>
      </c>
      <c r="AD31" s="688">
        <f>('Attainment 25+ by race &amp; gender'!CA30/'Pop 25+ by race &amp; gender'!BC29)*100</f>
        <v>81.499841273717365</v>
      </c>
      <c r="AE31" s="686">
        <f>('Attainment 25+ by race &amp; gender'!DJ30/'Pop 25+ by race &amp; gender'!DI29)*100</f>
        <v>88.268420011262805</v>
      </c>
      <c r="AF31" s="688">
        <f>('Attainment 25+ by race &amp; gender'!LB30/'Pop 25+ by race &amp; gender'!AT29)*100</f>
        <v>36.499822211139282</v>
      </c>
      <c r="AG31" s="689">
        <f>('Attainment 25+ by race &amp; gender'!MV30/'Pop 25+ by race &amp; gender'!DF29)*100</f>
        <v>41.587974246859446</v>
      </c>
      <c r="AH31" s="688">
        <f>('Attainment 25+ by race &amp; gender'!LH30/'Pop 25+ by race &amp; gender'!AZ29)*100</f>
        <v>21.000082515058999</v>
      </c>
      <c r="AI31" s="689">
        <f>('Attainment 25+ by race &amp; gender'!MW30/'Pop 25+ by race &amp; gender'!DG29)*100</f>
        <v>27.213888216791677</v>
      </c>
      <c r="AJ31" s="688">
        <f>('Attainment 25+ by race &amp; gender'!LK30/'Pop 25+ by race &amp; gender'!BC29)*100</f>
        <v>13.333007740958708</v>
      </c>
      <c r="AK31" s="690">
        <f>('Attainment 25+ by race &amp; gender'!MX30/'Pop 25+ by race &amp; gender'!DI29)*100</f>
        <v>19.700774698263398</v>
      </c>
    </row>
    <row r="32" spans="1:37" ht="15.75" x14ac:dyDescent="0.25">
      <c r="A32" s="241" t="s">
        <v>23</v>
      </c>
      <c r="B32" s="533">
        <f>('Attainment 25+ by race &amp; gender'!BY31/'Pop 25+ by race &amp; gender'!AT30)*100</f>
        <v>86.579082418146356</v>
      </c>
      <c r="C32" s="668">
        <f>('Attainment 25+ by race &amp; gender'!CX31/'Pop 25+ by race &amp; gender'!CV30)*100</f>
        <v>89.499999999999986</v>
      </c>
      <c r="D32" s="534">
        <f>('Attainment 25+ by race &amp; gender'!BZ31/'Pop 25+ by race &amp; gender'!AZ30)*100</f>
        <v>82.545045045045043</v>
      </c>
      <c r="E32" s="533" t="str">
        <f>IF('Pop 25+ by race &amp; gender'!CW30&gt;0,('Attainment 25+ by race &amp; gender'!CY31/'Pop 25+ by race &amp; gender'!CW30)*100,"—")</f>
        <v>—</v>
      </c>
      <c r="F32" s="534">
        <f>('Attainment 25+ by race &amp; gender'!CA31/'Pop 25+ by race &amp; gender'!BC30)*100</f>
        <v>44.426465300251714</v>
      </c>
      <c r="G32" s="533">
        <f>('Attainment 25+ by race &amp; gender'!CZ31/'Pop 25+ by race &amp; gender'!CY30)*100</f>
        <v>53.900000000000006</v>
      </c>
      <c r="H32" s="534">
        <f>('Attainment 25+ by race &amp; gender'!LB31/'Pop 25+ by race &amp; gender'!AT30)*100</f>
        <v>22.311129357829554</v>
      </c>
      <c r="I32" s="533">
        <f>('Attainment 25+ by race &amp; gender'!ML31/'Pop 25+ by race &amp; gender'!CV30)*100</f>
        <v>24.9</v>
      </c>
      <c r="J32" s="534">
        <f>('Attainment 25+ by race &amp; gender'!LH31/'Pop 25+ by race &amp; gender'!AZ30)*100</f>
        <v>22.447447447447448</v>
      </c>
      <c r="K32" s="533" t="str">
        <f>IF('Pop 25+ by race &amp; gender'!CW30&gt;0,('Attainment 25+ by race &amp; gender'!MM31/'Pop 25+ by race &amp; gender'!CW30)*100,"—")</f>
        <v>—</v>
      </c>
      <c r="L32" s="534">
        <f>('Attainment 25+ by race &amp; gender'!LK31/'Pop 25+ by race &amp; gender'!BC30)*100</f>
        <v>6.6208198489751888</v>
      </c>
      <c r="M32" s="659">
        <f>('Attainment 25+ by race &amp; gender'!MN31/'Pop 25+ by race &amp; gender'!CY30)*100</f>
        <v>7.6</v>
      </c>
      <c r="N32" s="527">
        <f>('Attainment 25+ by race &amp; gender'!BY31/'Pop 25+ by race &amp; gender'!AT30)*100</f>
        <v>86.579082418146356</v>
      </c>
      <c r="O32" s="669">
        <f>('Attainment 25+ by race &amp; gender'!DC31/'Pop 25+ by race &amp; gender'!DA30)*100</f>
        <v>89.94256835840423</v>
      </c>
      <c r="P32" s="528">
        <f>('Attainment 25+ by race &amp; gender'!BZ31/'Pop 25+ by race &amp; gender'!AZ30)*100</f>
        <v>82.545045045045043</v>
      </c>
      <c r="Q32" s="527">
        <f>('Attainment 25+ by race &amp; gender'!DD31/'Pop 25+ by race &amp; gender'!DB30)*100</f>
        <v>83.505385996409331</v>
      </c>
      <c r="R32" s="528">
        <f>('Attainment 25+ by race &amp; gender'!CA31/'Pop 25+ by race &amp; gender'!BC30)*100</f>
        <v>44.426465300251714</v>
      </c>
      <c r="S32" s="527">
        <f>('Attainment 25+ by race &amp; gender'!DE31/'Pop 25+ by race &amp; gender'!DD30)*100</f>
        <v>56.979802668380522</v>
      </c>
      <c r="T32" s="528">
        <f>('Attainment 25+ by race &amp; gender'!LB31/'Pop 25+ by race &amp; gender'!AT30)*100</f>
        <v>22.311129357829554</v>
      </c>
      <c r="U32" s="527">
        <f>('Attainment 25+ by race &amp; gender'!MQ31/'Pop 25+ by race &amp; gender'!DA30)*100</f>
        <v>25.602027476973365</v>
      </c>
      <c r="V32" s="528">
        <f>('Attainment 25+ by race &amp; gender'!LH31/'Pop 25+ by race &amp; gender'!AZ30)*100</f>
        <v>22.447447447447448</v>
      </c>
      <c r="W32" s="527">
        <f>('Attainment 25+ by race &amp; gender'!MR31/'Pop 25+ by race &amp; gender'!DB30)*100</f>
        <v>24.371633752244165</v>
      </c>
      <c r="X32" s="528">
        <f>('Attainment 25+ by race &amp; gender'!LK31/'Pop 25+ by race &amp; gender'!BC30)*100</f>
        <v>6.6208198489751888</v>
      </c>
      <c r="Y32" s="657">
        <f>('Attainment 25+ by race &amp; gender'!MS31/'Pop 25+ by race &amp; gender'!DD30)*100</f>
        <v>8.0134728222706233</v>
      </c>
      <c r="Z32" s="686">
        <f>('Attainment 25+ by race &amp; gender'!BY31/'Pop 25+ by race &amp; gender'!AT30)*100</f>
        <v>86.579082418146356</v>
      </c>
      <c r="AA32" s="687">
        <f>('Attainment 25+ by race &amp; gender'!DH31/'Pop 25+ by race &amp; gender'!DF30)*100</f>
        <v>92.412565144157071</v>
      </c>
      <c r="AB32" s="688">
        <f>('Attainment 25+ by race &amp; gender'!BZ31/'Pop 25+ by race &amp; gender'!AZ30)*100</f>
        <v>82.545045045045043</v>
      </c>
      <c r="AC32" s="686">
        <f>('Attainment 25+ by race &amp; gender'!DI31/'Pop 25+ by race &amp; gender'!DG30)*100</f>
        <v>90.718429272646134</v>
      </c>
      <c r="AD32" s="688">
        <f>('Attainment 25+ by race &amp; gender'!CA31/'Pop 25+ by race &amp; gender'!BC30)*100</f>
        <v>44.426465300251714</v>
      </c>
      <c r="AE32" s="686">
        <f>('Attainment 25+ by race &amp; gender'!DJ31/'Pop 25+ by race &amp; gender'!DI30)*100</f>
        <v>57.564333904168627</v>
      </c>
      <c r="AF32" s="688">
        <f>('Attainment 25+ by race &amp; gender'!LB31/'Pop 25+ by race &amp; gender'!AT30)*100</f>
        <v>22.311129357829554</v>
      </c>
      <c r="AG32" s="689">
        <f>('Attainment 25+ by race &amp; gender'!MV31/'Pop 25+ by race &amp; gender'!DF30)*100</f>
        <v>27.239335702108935</v>
      </c>
      <c r="AH32" s="688">
        <f>('Attainment 25+ by race &amp; gender'!LH31/'Pop 25+ by race &amp; gender'!AZ30)*100</f>
        <v>22.447447447447448</v>
      </c>
      <c r="AI32" s="689">
        <f>('Attainment 25+ by race &amp; gender'!MW31/'Pop 25+ by race &amp; gender'!DG30)*100</f>
        <v>30.566711289602853</v>
      </c>
      <c r="AJ32" s="688">
        <f>('Attainment 25+ by race &amp; gender'!LK31/'Pop 25+ by race &amp; gender'!BC30)*100</f>
        <v>6.6208198489751888</v>
      </c>
      <c r="AK32" s="690">
        <f>('Attainment 25+ by race &amp; gender'!MX31/'Pop 25+ by race &amp; gender'!DI30)*100</f>
        <v>9.045249232820348</v>
      </c>
    </row>
    <row r="33" spans="1:37" s="691" customFormat="1" x14ac:dyDescent="0.25">
      <c r="A33" s="681" t="s">
        <v>33</v>
      </c>
      <c r="B33" s="682">
        <f>('Attainment 25+ by race &amp; gender'!BY32/'Pop 25+ by race &amp; gender'!AT31)*100</f>
        <v>87.84829025731888</v>
      </c>
      <c r="C33" s="683">
        <f>('Attainment 25+ by race &amp; gender'!CX32/'Pop 25+ by race &amp; gender'!CV31)*100</f>
        <v>92.4</v>
      </c>
      <c r="D33" s="684">
        <f>('Attainment 25+ by race &amp; gender'!BZ32/'Pop 25+ by race &amp; gender'!AZ31)*100</f>
        <v>91.150442477876098</v>
      </c>
      <c r="E33" s="682" t="str">
        <f>IF('Pop 25+ by race &amp; gender'!CW31&gt;0,('Attainment 25+ by race &amp; gender'!CY32/'Pop 25+ by race &amp; gender'!CW31)*100,"—")</f>
        <v>—</v>
      </c>
      <c r="F33" s="684">
        <f>('Attainment 25+ by race &amp; gender'!CA32/'Pop 25+ by race &amp; gender'!BC31)*100</f>
        <v>78.030654900139339</v>
      </c>
      <c r="G33" s="682">
        <f>('Attainment 25+ by race &amp; gender'!CZ32/'Pop 25+ by race &amp; gender'!CY31)*100</f>
        <v>83.399999999999991</v>
      </c>
      <c r="H33" s="684">
        <f>('Attainment 25+ by race &amp; gender'!LB32/'Pop 25+ by race &amp; gender'!AT31)*100</f>
        <v>25.102393804830896</v>
      </c>
      <c r="I33" s="682">
        <f>('Attainment 25+ by race &amp; gender'!ML32/'Pop 25+ by race &amp; gender'!CV31)*100</f>
        <v>29.2</v>
      </c>
      <c r="J33" s="684">
        <f>('Attainment 25+ by race &amp; gender'!LH32/'Pop 25+ by race &amp; gender'!AZ31)*100</f>
        <v>33.185840707964601</v>
      </c>
      <c r="K33" s="682" t="str">
        <f>IF('Pop 25+ by race &amp; gender'!CW31&gt;0,('Attainment 25+ by race &amp; gender'!MM32/'Pop 25+ by race &amp; gender'!CW31)*100,"—")</f>
        <v>—</v>
      </c>
      <c r="L33" s="684">
        <f>('Attainment 25+ by race &amp; gender'!LK32/'Pop 25+ by race &amp; gender'!BC31)*100</f>
        <v>15.362285183464932</v>
      </c>
      <c r="M33" s="685">
        <f>('Attainment 25+ by race &amp; gender'!MN32/'Pop 25+ by race &amp; gender'!CY31)*100</f>
        <v>18</v>
      </c>
      <c r="N33" s="686">
        <f>('Attainment 25+ by race &amp; gender'!BY32/'Pop 25+ by race &amp; gender'!AT31)*100</f>
        <v>87.84829025731888</v>
      </c>
      <c r="O33" s="687">
        <f>('Attainment 25+ by race &amp; gender'!DC32/'Pop 25+ by race &amp; gender'!DA31)*100</f>
        <v>92.873677592542521</v>
      </c>
      <c r="P33" s="688">
        <f>('Attainment 25+ by race &amp; gender'!BZ32/'Pop 25+ by race &amp; gender'!AZ31)*100</f>
        <v>91.150442477876098</v>
      </c>
      <c r="Q33" s="686">
        <f>('Attainment 25+ by race &amp; gender'!DD32/'Pop 25+ by race &amp; gender'!DB31)*100</f>
        <v>89.435723377174369</v>
      </c>
      <c r="R33" s="688">
        <f>('Attainment 25+ by race &amp; gender'!CA32/'Pop 25+ by race &amp; gender'!BC31)*100</f>
        <v>78.030654900139339</v>
      </c>
      <c r="S33" s="686">
        <f>('Attainment 25+ by race &amp; gender'!DE32/'Pop 25+ by race &amp; gender'!DD31)*100</f>
        <v>82.785484862980923</v>
      </c>
      <c r="T33" s="688">
        <f>('Attainment 25+ by race &amp; gender'!LB32/'Pop 25+ by race &amp; gender'!AT31)*100</f>
        <v>25.102393804830896</v>
      </c>
      <c r="U33" s="689">
        <f>('Attainment 25+ by race &amp; gender'!MQ32/'Pop 25+ by race &amp; gender'!DA31)*100</f>
        <v>29.767185897733288</v>
      </c>
      <c r="V33" s="688">
        <f>('Attainment 25+ by race &amp; gender'!LH32/'Pop 25+ by race &amp; gender'!AZ31)*100</f>
        <v>33.185840707964601</v>
      </c>
      <c r="W33" s="689">
        <f>('Attainment 25+ by race &amp; gender'!MR32/'Pop 25+ by race &amp; gender'!DB31)*100</f>
        <v>30.123037759864236</v>
      </c>
      <c r="X33" s="688">
        <f>('Attainment 25+ by race &amp; gender'!LK32/'Pop 25+ by race &amp; gender'!BC31)*100</f>
        <v>15.362285183464932</v>
      </c>
      <c r="Y33" s="736">
        <f>('Attainment 25+ by race &amp; gender'!MS32/'Pop 25+ by race &amp; gender'!DD31)*100</f>
        <v>16.82498462379553</v>
      </c>
      <c r="Z33" s="686">
        <f>('Attainment 25+ by race &amp; gender'!BY32/'Pop 25+ by race &amp; gender'!AT31)*100</f>
        <v>87.84829025731888</v>
      </c>
      <c r="AA33" s="687">
        <f>('Attainment 25+ by race &amp; gender'!DH32/'Pop 25+ by race &amp; gender'!DF31)*100</f>
        <v>93.212922130531169</v>
      </c>
      <c r="AB33" s="688">
        <f>('Attainment 25+ by race &amp; gender'!BZ32/'Pop 25+ by race &amp; gender'!AZ31)*100</f>
        <v>91.150442477876098</v>
      </c>
      <c r="AC33" s="686">
        <f>('Attainment 25+ by race &amp; gender'!DI32/'Pop 25+ by race &amp; gender'!DG31)*100</f>
        <v>91.542288557213936</v>
      </c>
      <c r="AD33" s="688">
        <f>('Attainment 25+ by race &amp; gender'!CA32/'Pop 25+ by race &amp; gender'!BC31)*100</f>
        <v>78.030654900139339</v>
      </c>
      <c r="AE33" s="686">
        <f>('Attainment 25+ by race &amp; gender'!DJ32/'Pop 25+ by race &amp; gender'!DI31)*100</f>
        <v>83.975632366573961</v>
      </c>
      <c r="AF33" s="688">
        <f>('Attainment 25+ by race &amp; gender'!LB32/'Pop 25+ by race &amp; gender'!AT31)*100</f>
        <v>25.102393804830896</v>
      </c>
      <c r="AG33" s="689">
        <f>('Attainment 25+ by race &amp; gender'!MV32/'Pop 25+ by race &amp; gender'!DF31)*100</f>
        <v>30.13029184273126</v>
      </c>
      <c r="AH33" s="688">
        <f>('Attainment 25+ by race &amp; gender'!LH32/'Pop 25+ by race &amp; gender'!AZ31)*100</f>
        <v>33.185840707964601</v>
      </c>
      <c r="AI33" s="689">
        <f>('Attainment 25+ by race &amp; gender'!MW32/'Pop 25+ by race &amp; gender'!DG31)*100</f>
        <v>30.003827018752393</v>
      </c>
      <c r="AJ33" s="688">
        <f>('Attainment 25+ by race &amp; gender'!LK32/'Pop 25+ by race &amp; gender'!BC31)*100</f>
        <v>15.362285183464932</v>
      </c>
      <c r="AK33" s="690">
        <f>('Attainment 25+ by race &amp; gender'!MX32/'Pop 25+ by race &amp; gender'!DI31)*100</f>
        <v>17.322208978943188</v>
      </c>
    </row>
    <row r="34" spans="1:37" ht="15.75" x14ac:dyDescent="0.25">
      <c r="A34" s="241" t="s">
        <v>35</v>
      </c>
      <c r="B34" s="533">
        <f>('Attainment 25+ by race &amp; gender'!BY33/'Pop 25+ by race &amp; gender'!AT32)*100</f>
        <v>83.869314021455992</v>
      </c>
      <c r="C34" s="668">
        <f>('Attainment 25+ by race &amp; gender'!CX33/'Pop 25+ by race &amp; gender'!CV32)*100</f>
        <v>85.299999999999983</v>
      </c>
      <c r="D34" s="534">
        <f>('Attainment 25+ by race &amp; gender'!BZ33/'Pop 25+ by race &amp; gender'!AZ32)*100</f>
        <v>78.934698325013315</v>
      </c>
      <c r="E34" s="533">
        <f>IF('Pop 25+ by race &amp; gender'!CW32&gt;0,('Attainment 25+ by race &amp; gender'!CY33/'Pop 25+ by race &amp; gender'!CW32)*100,"—")</f>
        <v>87.5</v>
      </c>
      <c r="F34" s="534">
        <f>('Attainment 25+ by race &amp; gender'!CA33/'Pop 25+ by race &amp; gender'!BC32)*100</f>
        <v>0</v>
      </c>
      <c r="G34" s="533">
        <f>('Attainment 25+ by race &amp; gender'!CZ33/'Pop 25+ by race &amp; gender'!CY32)*100</f>
        <v>57.699999999999996</v>
      </c>
      <c r="H34" s="534">
        <f>('Attainment 25+ by race &amp; gender'!LB33/'Pop 25+ by race &amp; gender'!AT32)*100</f>
        <v>19.328772330647865</v>
      </c>
      <c r="I34" s="533">
        <f>('Attainment 25+ by race &amp; gender'!ML33/'Pop 25+ by race &amp; gender'!CV32)*100</f>
        <v>22.400000000000002</v>
      </c>
      <c r="J34" s="534">
        <f>('Attainment 25+ by race &amp; gender'!LH33/'Pop 25+ by race &amp; gender'!AZ32)*100</f>
        <v>12.018853102906519</v>
      </c>
      <c r="K34" s="533">
        <f>IF('Pop 25+ by race &amp; gender'!CW32&gt;0,('Attainment 25+ by race &amp; gender'!MM33/'Pop 25+ by race &amp; gender'!CW32)*100,"—")</f>
        <v>16.600000000000001</v>
      </c>
      <c r="L34" s="534">
        <f>('Attainment 25+ by race &amp; gender'!LK33/'Pop 25+ by race &amp; gender'!BC32)*100</f>
        <v>6.3974668367739058</v>
      </c>
      <c r="M34" s="659">
        <f>('Attainment 25+ by race &amp; gender'!MN33/'Pop 25+ by race &amp; gender'!CY32)*100</f>
        <v>8.1</v>
      </c>
      <c r="N34" s="527">
        <f>('Attainment 25+ by race &amp; gender'!BY33/'Pop 25+ by race &amp; gender'!AT32)*100</f>
        <v>83.869314021455992</v>
      </c>
      <c r="O34" s="669">
        <f>('Attainment 25+ by race &amp; gender'!DC33/'Pop 25+ by race &amp; gender'!DA32)*100</f>
        <v>85.984422116506806</v>
      </c>
      <c r="P34" s="528">
        <f>('Attainment 25+ by race &amp; gender'!BZ33/'Pop 25+ by race &amp; gender'!AZ32)*100</f>
        <v>78.934698325013315</v>
      </c>
      <c r="Q34" s="527">
        <f>('Attainment 25+ by race &amp; gender'!DD33/'Pop 25+ by race &amp; gender'!DB32)*100</f>
        <v>87.544219766781666</v>
      </c>
      <c r="R34" s="528">
        <f>('Attainment 25+ by race &amp; gender'!CA33/'Pop 25+ by race &amp; gender'!BC32)*100</f>
        <v>0</v>
      </c>
      <c r="S34" s="527">
        <f>('Attainment 25+ by race &amp; gender'!DE33/'Pop 25+ by race &amp; gender'!DD32)*100</f>
        <v>59.43165792073659</v>
      </c>
      <c r="T34" s="528">
        <f>('Attainment 25+ by race &amp; gender'!LB33/'Pop 25+ by race &amp; gender'!AT32)*100</f>
        <v>19.328772330647865</v>
      </c>
      <c r="U34" s="527">
        <f>('Attainment 25+ by race &amp; gender'!MQ33/'Pop 25+ by race &amp; gender'!DA32)*100</f>
        <v>22.830678270348407</v>
      </c>
      <c r="V34" s="528">
        <f>('Attainment 25+ by race &amp; gender'!LH33/'Pop 25+ by race &amp; gender'!AZ32)*100</f>
        <v>12.018853102906519</v>
      </c>
      <c r="W34" s="527">
        <f>('Attainment 25+ by race &amp; gender'!MR33/'Pop 25+ by race &amp; gender'!DB32)*100</f>
        <v>16.24958145899754</v>
      </c>
      <c r="X34" s="528">
        <f>('Attainment 25+ by race &amp; gender'!LK33/'Pop 25+ by race &amp; gender'!BC32)*100</f>
        <v>6.3974668367739058</v>
      </c>
      <c r="Y34" s="657">
        <f>('Attainment 25+ by race &amp; gender'!MS33/'Pop 25+ by race &amp; gender'!DD32)*100</f>
        <v>8.4466654675227524</v>
      </c>
      <c r="Z34" s="686">
        <f>('Attainment 25+ by race &amp; gender'!BY33/'Pop 25+ by race &amp; gender'!AT32)*100</f>
        <v>83.869314021455992</v>
      </c>
      <c r="AA34" s="687">
        <f>('Attainment 25+ by race &amp; gender'!DH33/'Pop 25+ by race &amp; gender'!DF32)*100</f>
        <v>92.406135935039018</v>
      </c>
      <c r="AB34" s="688">
        <f>('Attainment 25+ by race &amp; gender'!BZ33/'Pop 25+ by race &amp; gender'!AZ32)*100</f>
        <v>78.934698325013315</v>
      </c>
      <c r="AC34" s="686">
        <f>('Attainment 25+ by race &amp; gender'!DI33/'Pop 25+ by race &amp; gender'!DG32)*100</f>
        <v>86.755690695214142</v>
      </c>
      <c r="AD34" s="688">
        <f>('Attainment 25+ by race &amp; gender'!CA33/'Pop 25+ by race &amp; gender'!BC32)*100</f>
        <v>0</v>
      </c>
      <c r="AE34" s="686">
        <f>('Attainment 25+ by race &amp; gender'!DJ33/'Pop 25+ by race &amp; gender'!DI32)*100</f>
        <v>60.65266051244739</v>
      </c>
      <c r="AF34" s="688">
        <f>('Attainment 25+ by race &amp; gender'!LB33/'Pop 25+ by race &amp; gender'!AT32)*100</f>
        <v>19.328772330647865</v>
      </c>
      <c r="AG34" s="689">
        <f>('Attainment 25+ by race &amp; gender'!MV33/'Pop 25+ by race &amp; gender'!DF32)*100</f>
        <v>26.659560911888946</v>
      </c>
      <c r="AH34" s="688">
        <f>('Attainment 25+ by race &amp; gender'!LH33/'Pop 25+ by race &amp; gender'!AZ32)*100</f>
        <v>12.018853102906519</v>
      </c>
      <c r="AI34" s="689">
        <f>('Attainment 25+ by race &amp; gender'!MW33/'Pop 25+ by race &amp; gender'!DG32)*100</f>
        <v>16.685699873189801</v>
      </c>
      <c r="AJ34" s="688">
        <f>('Attainment 25+ by race &amp; gender'!LK33/'Pop 25+ by race &amp; gender'!BC32)*100</f>
        <v>6.3974668367739058</v>
      </c>
      <c r="AK34" s="690">
        <f>('Attainment 25+ by race &amp; gender'!MX33/'Pop 25+ by race &amp; gender'!DI32)*100</f>
        <v>8.5519900158150293</v>
      </c>
    </row>
    <row r="35" spans="1:37" ht="15.75" x14ac:dyDescent="0.25">
      <c r="A35" s="241" t="s">
        <v>38</v>
      </c>
      <c r="B35" s="533">
        <f>('Attainment 25+ by race &amp; gender'!BY34/'Pop 25+ by race &amp; gender'!AT33)*100</f>
        <v>83.308694362416276</v>
      </c>
      <c r="C35" s="668">
        <f>('Attainment 25+ by race &amp; gender'!CX34/'Pop 25+ by race &amp; gender'!CV33)*100</f>
        <v>85.6</v>
      </c>
      <c r="D35" s="534">
        <f>('Attainment 25+ by race &amp; gender'!BZ34/'Pop 25+ by race &amp; gender'!AZ33)*100</f>
        <v>79.373801254471005</v>
      </c>
      <c r="E35" s="533">
        <f>IF('Pop 25+ by race &amp; gender'!CW33&gt;0,('Attainment 25+ by race &amp; gender'!CY34/'Pop 25+ by race &amp; gender'!CW33)*100,"—")</f>
        <v>87.5</v>
      </c>
      <c r="F35" s="534">
        <f>('Attainment 25+ by race &amp; gender'!CA34/'Pop 25+ by race &amp; gender'!BC33)*100</f>
        <v>64.3710661189033</v>
      </c>
      <c r="G35" s="533">
        <f>('Attainment 25+ by race &amp; gender'!CZ34/'Pop 25+ by race &amp; gender'!CY33)*100</f>
        <v>71.000000000000014</v>
      </c>
      <c r="H35" s="534">
        <f>('Attainment 25+ by race &amp; gender'!LB34/'Pop 25+ by race &amp; gender'!AT33)*100</f>
        <v>28.001020553906852</v>
      </c>
      <c r="I35" s="533">
        <f>('Attainment 25+ by race &amp; gender'!ML34/'Pop 25+ by race &amp; gender'!CV33)*100</f>
        <v>28.9</v>
      </c>
      <c r="J35" s="534">
        <f>('Attainment 25+ by race &amp; gender'!LH34/'Pop 25+ by race &amp; gender'!AZ33)*100</f>
        <v>18.796329894769581</v>
      </c>
      <c r="K35" s="533">
        <f>IF('Pop 25+ by race &amp; gender'!CW33&gt;0,('Attainment 25+ by race &amp; gender'!MM34/'Pop 25+ by race &amp; gender'!CW33)*100,"—")</f>
        <v>24.7</v>
      </c>
      <c r="L35" s="534">
        <f>('Attainment 25+ by race &amp; gender'!LK34/'Pop 25+ by race &amp; gender'!BC33)*100</f>
        <v>10.769775437612715</v>
      </c>
      <c r="M35" s="659">
        <f>('Attainment 25+ by race &amp; gender'!MN34/'Pop 25+ by race &amp; gender'!CY33)*100</f>
        <v>13</v>
      </c>
      <c r="N35" s="527">
        <f>('Attainment 25+ by race &amp; gender'!BY34/'Pop 25+ by race &amp; gender'!AT33)*100</f>
        <v>83.308694362416276</v>
      </c>
      <c r="O35" s="669">
        <f>('Attainment 25+ by race &amp; gender'!DC34/'Pop 25+ by race &amp; gender'!DA33)*100</f>
        <v>86.02924475842137</v>
      </c>
      <c r="P35" s="528">
        <f>('Attainment 25+ by race &amp; gender'!BZ34/'Pop 25+ by race &amp; gender'!AZ33)*100</f>
        <v>79.373801254471005</v>
      </c>
      <c r="Q35" s="527">
        <f>('Attainment 25+ by race &amp; gender'!DD34/'Pop 25+ by race &amp; gender'!DB33)*100</f>
        <v>87.694461107778437</v>
      </c>
      <c r="R35" s="528">
        <f>('Attainment 25+ by race &amp; gender'!CA34/'Pop 25+ by race &amp; gender'!BC33)*100</f>
        <v>64.3710661189033</v>
      </c>
      <c r="S35" s="527">
        <f>('Attainment 25+ by race &amp; gender'!DE34/'Pop 25+ by race &amp; gender'!DD33)*100</f>
        <v>72.185124168430931</v>
      </c>
      <c r="T35" s="528">
        <f>('Attainment 25+ by race &amp; gender'!LB34/'Pop 25+ by race &amp; gender'!AT33)*100</f>
        <v>28.001020553906852</v>
      </c>
      <c r="U35" s="527">
        <f>('Attainment 25+ by race &amp; gender'!MQ34/'Pop 25+ by race &amp; gender'!DA33)*100</f>
        <v>29.278925603652855</v>
      </c>
      <c r="V35" s="528">
        <f>('Attainment 25+ by race &amp; gender'!LH34/'Pop 25+ by race &amp; gender'!AZ33)*100</f>
        <v>18.796329894769581</v>
      </c>
      <c r="W35" s="527">
        <f>('Attainment 25+ by race &amp; gender'!MR34/'Pop 25+ by race &amp; gender'!DB33)*100</f>
        <v>26.690661867626474</v>
      </c>
      <c r="X35" s="528">
        <f>('Attainment 25+ by race &amp; gender'!LK34/'Pop 25+ by race &amp; gender'!BC33)*100</f>
        <v>10.769775437612715</v>
      </c>
      <c r="Y35" s="657">
        <f>('Attainment 25+ by race &amp; gender'!MS34/'Pop 25+ by race &amp; gender'!DD33)*100</f>
        <v>13.261722636425727</v>
      </c>
      <c r="Z35" s="686">
        <f>('Attainment 25+ by race &amp; gender'!BY34/'Pop 25+ by race &amp; gender'!AT33)*100</f>
        <v>83.308694362416276</v>
      </c>
      <c r="AA35" s="687">
        <f>('Attainment 25+ by race &amp; gender'!DH34/'Pop 25+ by race &amp; gender'!DF33)*100</f>
        <v>94.102587691887962</v>
      </c>
      <c r="AB35" s="688">
        <f>('Attainment 25+ by race &amp; gender'!BZ34/'Pop 25+ by race &amp; gender'!AZ33)*100</f>
        <v>79.373801254471005</v>
      </c>
      <c r="AC35" s="686">
        <f>('Attainment 25+ by race &amp; gender'!DI34/'Pop 25+ by race &amp; gender'!DG33)*100</f>
        <v>88.761685945175088</v>
      </c>
      <c r="AD35" s="688">
        <f>('Attainment 25+ by race &amp; gender'!CA34/'Pop 25+ by race &amp; gender'!BC33)*100</f>
        <v>64.3710661189033</v>
      </c>
      <c r="AE35" s="686">
        <f>('Attainment 25+ by race &amp; gender'!DJ34/'Pop 25+ by race &amp; gender'!DI33)*100</f>
        <v>72.727159938036806</v>
      </c>
      <c r="AF35" s="688">
        <f>('Attainment 25+ by race &amp; gender'!LB34/'Pop 25+ by race &amp; gender'!AT33)*100</f>
        <v>28.001020553906852</v>
      </c>
      <c r="AG35" s="689">
        <f>('Attainment 25+ by race &amp; gender'!MV34/'Pop 25+ by race &amp; gender'!DF33)*100</f>
        <v>38.542238351896913</v>
      </c>
      <c r="AH35" s="688">
        <f>('Attainment 25+ by race &amp; gender'!LH34/'Pop 25+ by race &amp; gender'!AZ33)*100</f>
        <v>18.796329894769581</v>
      </c>
      <c r="AI35" s="689">
        <f>('Attainment 25+ by race &amp; gender'!MW34/'Pop 25+ by race &amp; gender'!DG33)*100</f>
        <v>26.984630011091742</v>
      </c>
      <c r="AJ35" s="688">
        <f>('Attainment 25+ by race &amp; gender'!LK34/'Pop 25+ by race &amp; gender'!BC33)*100</f>
        <v>10.769775437612715</v>
      </c>
      <c r="AK35" s="690">
        <f>('Attainment 25+ by race &amp; gender'!MX34/'Pop 25+ by race &amp; gender'!DI33)*100</f>
        <v>13.881454645998092</v>
      </c>
    </row>
    <row r="36" spans="1:37" ht="15.75" x14ac:dyDescent="0.25">
      <c r="A36" s="241" t="s">
        <v>42</v>
      </c>
      <c r="B36" s="533">
        <f>('Attainment 25+ by race &amp; gender'!BY35/'Pop 25+ by race &amp; gender'!AT34)*100</f>
        <v>87.108066304501449</v>
      </c>
      <c r="C36" s="668">
        <f>('Attainment 25+ by race &amp; gender'!CX35/'Pop 25+ by race &amp; gender'!CV34)*100</f>
        <v>90.9</v>
      </c>
      <c r="D36" s="534">
        <f>('Attainment 25+ by race &amp; gender'!BZ35/'Pop 25+ by race &amp; gender'!AZ34)*100</f>
        <v>79.7718182414268</v>
      </c>
      <c r="E36" s="533">
        <f>IF('Pop 25+ by race &amp; gender'!CW34&gt;0,('Attainment 25+ by race &amp; gender'!CY35/'Pop 25+ by race &amp; gender'!CW34)*100,"—")</f>
        <v>84.899999999999991</v>
      </c>
      <c r="F36" s="534">
        <f>('Attainment 25+ by race &amp; gender'!CA35/'Pop 25+ by race &amp; gender'!BC34)*100</f>
        <v>48.820338278884336</v>
      </c>
      <c r="G36" s="533">
        <f>('Attainment 25+ by race &amp; gender'!CZ35/'Pop 25+ by race &amp; gender'!CY34)*100</f>
        <v>56.699999999999996</v>
      </c>
      <c r="H36" s="534">
        <f>('Attainment 25+ by race &amp; gender'!LB35/'Pop 25+ by race &amp; gender'!AT34)*100</f>
        <v>25.708173003230822</v>
      </c>
      <c r="I36" s="533">
        <f>('Attainment 25+ by race &amp; gender'!ML35/'Pop 25+ by race &amp; gender'!CV34)*100</f>
        <v>29.7</v>
      </c>
      <c r="J36" s="534">
        <f>('Attainment 25+ by race &amp; gender'!LH35/'Pop 25+ by race &amp; gender'!AZ34)*100</f>
        <v>17.798832863418792</v>
      </c>
      <c r="K36" s="533">
        <f>IF('Pop 25+ by race &amp; gender'!CW34&gt;0,('Attainment 25+ by race &amp; gender'!MM35/'Pop 25+ by race &amp; gender'!CW34)*100,"—")</f>
        <v>23.3</v>
      </c>
      <c r="L36" s="534">
        <f>('Attainment 25+ by race &amp; gender'!LK35/'Pop 25+ by race &amp; gender'!BC34)*100</f>
        <v>9.6274458106628948</v>
      </c>
      <c r="M36" s="659">
        <f>('Attainment 25+ by race &amp; gender'!MN35/'Pop 25+ by race &amp; gender'!CY34)*100</f>
        <v>11.3</v>
      </c>
      <c r="N36" s="527">
        <f>('Attainment 25+ by race &amp; gender'!BY35/'Pop 25+ by race &amp; gender'!AT34)*100</f>
        <v>87.108066304501449</v>
      </c>
      <c r="O36" s="669">
        <f>('Attainment 25+ by race &amp; gender'!DC35/'Pop 25+ by race &amp; gender'!DA34)*100</f>
        <v>91.008938225609143</v>
      </c>
      <c r="P36" s="528">
        <f>('Attainment 25+ by race &amp; gender'!BZ35/'Pop 25+ by race &amp; gender'!AZ34)*100</f>
        <v>79.7718182414268</v>
      </c>
      <c r="Q36" s="527">
        <f>('Attainment 25+ by race &amp; gender'!DD35/'Pop 25+ by race &amp; gender'!DB34)*100</f>
        <v>86.119095525534163</v>
      </c>
      <c r="R36" s="528">
        <f>('Attainment 25+ by race &amp; gender'!CA35/'Pop 25+ by race &amp; gender'!BC34)*100</f>
        <v>48.820338278884336</v>
      </c>
      <c r="S36" s="527">
        <f>('Attainment 25+ by race &amp; gender'!DE35/'Pop 25+ by race &amp; gender'!DD34)*100</f>
        <v>57.792554743870085</v>
      </c>
      <c r="T36" s="528">
        <f>('Attainment 25+ by race &amp; gender'!LB35/'Pop 25+ by race &amp; gender'!AT34)*100</f>
        <v>25.708173003230822</v>
      </c>
      <c r="U36" s="527">
        <f>('Attainment 25+ by race &amp; gender'!MQ35/'Pop 25+ by race &amp; gender'!DA34)*100</f>
        <v>29.882748496839088</v>
      </c>
      <c r="V36" s="528">
        <f>('Attainment 25+ by race &amp; gender'!LH35/'Pop 25+ by race &amp; gender'!AZ34)*100</f>
        <v>17.798832863418792</v>
      </c>
      <c r="W36" s="527">
        <f>('Attainment 25+ by race &amp; gender'!MR35/'Pop 25+ by race &amp; gender'!DB34)*100</f>
        <v>23.119670403372616</v>
      </c>
      <c r="X36" s="528">
        <f>('Attainment 25+ by race &amp; gender'!LK35/'Pop 25+ by race &amp; gender'!BC34)*100</f>
        <v>9.6274458106628948</v>
      </c>
      <c r="Y36" s="657">
        <f>('Attainment 25+ by race &amp; gender'!MS35/'Pop 25+ by race &amp; gender'!DD34)*100</f>
        <v>11.424710060659397</v>
      </c>
      <c r="Z36" s="686">
        <f>('Attainment 25+ by race &amp; gender'!BY35/'Pop 25+ by race &amp; gender'!AT34)*100</f>
        <v>87.108066304501449</v>
      </c>
      <c r="AA36" s="687">
        <f>('Attainment 25+ by race &amp; gender'!DH35/'Pop 25+ by race &amp; gender'!DF34)*100</f>
        <v>93.053755062684303</v>
      </c>
      <c r="AB36" s="688">
        <f>('Attainment 25+ by race &amp; gender'!BZ35/'Pop 25+ by race &amp; gender'!AZ34)*100</f>
        <v>79.7718182414268</v>
      </c>
      <c r="AC36" s="686">
        <f>('Attainment 25+ by race &amp; gender'!DI35/'Pop 25+ by race &amp; gender'!DG34)*100</f>
        <v>87.008185285089752</v>
      </c>
      <c r="AD36" s="688">
        <f>('Attainment 25+ by race &amp; gender'!CA35/'Pop 25+ by race &amp; gender'!BC34)*100</f>
        <v>48.820338278884336</v>
      </c>
      <c r="AE36" s="686">
        <f>('Attainment 25+ by race &amp; gender'!DJ35/'Pop 25+ by race &amp; gender'!DI34)*100</f>
        <v>58.957552377669067</v>
      </c>
      <c r="AF36" s="688">
        <f>('Attainment 25+ by race &amp; gender'!LB35/'Pop 25+ by race &amp; gender'!AT34)*100</f>
        <v>25.708173003230822</v>
      </c>
      <c r="AG36" s="689">
        <f>('Attainment 25+ by race &amp; gender'!MV35/'Pop 25+ by race &amp; gender'!DF34)*100</f>
        <v>31.615538702188147</v>
      </c>
      <c r="AH36" s="688">
        <f>('Attainment 25+ by race &amp; gender'!LH35/'Pop 25+ by race &amp; gender'!AZ34)*100</f>
        <v>17.798832863418792</v>
      </c>
      <c r="AI36" s="689">
        <f>('Attainment 25+ by race &amp; gender'!MW35/'Pop 25+ by race &amp; gender'!DG34)*100</f>
        <v>22.121198028090411</v>
      </c>
      <c r="AJ36" s="688">
        <f>('Attainment 25+ by race &amp; gender'!LK35/'Pop 25+ by race &amp; gender'!BC34)*100</f>
        <v>9.6274458106628948</v>
      </c>
      <c r="AK36" s="690">
        <f>('Attainment 25+ by race &amp; gender'!MX35/'Pop 25+ by race &amp; gender'!DI34)*100</f>
        <v>12.330189873141526</v>
      </c>
    </row>
    <row r="37" spans="1:37" ht="15.75" x14ac:dyDescent="0.25">
      <c r="A37" s="241" t="s">
        <v>46</v>
      </c>
      <c r="B37" s="533">
        <f>('Attainment 25+ by race &amp; gender'!BY36/'Pop 25+ by race &amp; gender'!AT35)*100</f>
        <v>89.863992650940887</v>
      </c>
      <c r="C37" s="668">
        <f>('Attainment 25+ by race &amp; gender'!CX36/'Pop 25+ by race &amp; gender'!CV35)*100</f>
        <v>91.999999999999986</v>
      </c>
      <c r="D37" s="534">
        <f>('Attainment 25+ by race &amp; gender'!BZ36/'Pop 25+ by race &amp; gender'!AZ35)*100</f>
        <v>83.179089544772395</v>
      </c>
      <c r="E37" s="533">
        <f>IF('Pop 25+ by race &amp; gender'!CW35&gt;0,('Attainment 25+ by race &amp; gender'!CY36/'Pop 25+ by race &amp; gender'!CW35)*100,"—")</f>
        <v>82.999999999999986</v>
      </c>
      <c r="F37" s="534">
        <f>('Attainment 25+ by race &amp; gender'!CA36/'Pop 25+ by race &amp; gender'!BC35)*100</f>
        <v>56.494894842481891</v>
      </c>
      <c r="G37" s="533">
        <f>('Attainment 25+ by race &amp; gender'!CZ36/'Pop 25+ by race &amp; gender'!CY35)*100</f>
        <v>63.4</v>
      </c>
      <c r="H37" s="534">
        <f>('Attainment 25+ by race &amp; gender'!LB36/'Pop 25+ by race &amp; gender'!AT35)*100</f>
        <v>27.100945445029939</v>
      </c>
      <c r="I37" s="533">
        <f>('Attainment 25+ by race &amp; gender'!ML36/'Pop 25+ by race &amp; gender'!CV35)*100</f>
        <v>30.3</v>
      </c>
      <c r="J37" s="534">
        <f>('Attainment 25+ by race &amp; gender'!LH36/'Pop 25+ by race &amp; gender'!AZ35)*100</f>
        <v>19.772386193096548</v>
      </c>
      <c r="K37" s="533">
        <f>IF('Pop 25+ by race &amp; gender'!CW35&gt;0,('Attainment 25+ by race &amp; gender'!MM36/'Pop 25+ by race &amp; gender'!CW35)*100,"—")</f>
        <v>18.899999999999999</v>
      </c>
      <c r="L37" s="534">
        <f>('Attainment 25+ by race &amp; gender'!LK36/'Pop 25+ by race &amp; gender'!BC35)*100</f>
        <v>9.7587049480757493</v>
      </c>
      <c r="M37" s="659">
        <f>('Attainment 25+ by race &amp; gender'!MN36/'Pop 25+ by race &amp; gender'!CY35)*100</f>
        <v>11.5</v>
      </c>
      <c r="N37" s="527">
        <f>('Attainment 25+ by race &amp; gender'!BY36/'Pop 25+ by race &amp; gender'!AT35)*100</f>
        <v>89.863992650940887</v>
      </c>
      <c r="O37" s="669">
        <f>('Attainment 25+ by race &amp; gender'!DC36/'Pop 25+ by race &amp; gender'!DA35)*100</f>
        <v>92.390985983666624</v>
      </c>
      <c r="P37" s="528">
        <f>('Attainment 25+ by race &amp; gender'!BZ36/'Pop 25+ by race &amp; gender'!AZ35)*100</f>
        <v>83.179089544772395</v>
      </c>
      <c r="Q37" s="527">
        <f>('Attainment 25+ by race &amp; gender'!DD36/'Pop 25+ by race &amp; gender'!DB35)*100</f>
        <v>85.967543979271781</v>
      </c>
      <c r="R37" s="528">
        <f>('Attainment 25+ by race &amp; gender'!CA36/'Pop 25+ by race &amp; gender'!BC35)*100</f>
        <v>56.494894842481891</v>
      </c>
      <c r="S37" s="527">
        <f>('Attainment 25+ by race &amp; gender'!DE36/'Pop 25+ by race &amp; gender'!DD35)*100</f>
        <v>63.991500212494692</v>
      </c>
      <c r="T37" s="528">
        <f>('Attainment 25+ by race &amp; gender'!LB36/'Pop 25+ by race &amp; gender'!AT35)*100</f>
        <v>27.100945445029939</v>
      </c>
      <c r="U37" s="527">
        <f>('Attainment 25+ by race &amp; gender'!MQ36/'Pop 25+ by race &amp; gender'!DA35)*100</f>
        <v>30.986162428856073</v>
      </c>
      <c r="V37" s="528">
        <f>('Attainment 25+ by race &amp; gender'!LH36/'Pop 25+ by race &amp; gender'!AZ35)*100</f>
        <v>19.772386193096548</v>
      </c>
      <c r="W37" s="527">
        <f>('Attainment 25+ by race &amp; gender'!MR36/'Pop 25+ by race &amp; gender'!DB35)*100</f>
        <v>22.43965634801582</v>
      </c>
      <c r="X37" s="528">
        <f>('Attainment 25+ by race &amp; gender'!LK36/'Pop 25+ by race &amp; gender'!BC35)*100</f>
        <v>9.7587049480757493</v>
      </c>
      <c r="Y37" s="657">
        <f>('Attainment 25+ by race &amp; gender'!MS36/'Pop 25+ by race &amp; gender'!DD35)*100</f>
        <v>12.372857345233037</v>
      </c>
      <c r="Z37" s="686">
        <f>('Attainment 25+ by race &amp; gender'!BY36/'Pop 25+ by race &amp; gender'!AT35)*100</f>
        <v>89.863992650940887</v>
      </c>
      <c r="AA37" s="687">
        <f>('Attainment 25+ by race &amp; gender'!DH36/'Pop 25+ by race &amp; gender'!DF35)*100</f>
        <v>94.83367462458574</v>
      </c>
      <c r="AB37" s="688">
        <f>('Attainment 25+ by race &amp; gender'!BZ36/'Pop 25+ by race &amp; gender'!AZ35)*100</f>
        <v>83.179089544772395</v>
      </c>
      <c r="AC37" s="686">
        <f>('Attainment 25+ by race &amp; gender'!DI36/'Pop 25+ by race &amp; gender'!DG35)*100</f>
        <v>85.464221595280847</v>
      </c>
      <c r="AD37" s="688">
        <f>('Attainment 25+ by race &amp; gender'!CA36/'Pop 25+ by race &amp; gender'!BC35)*100</f>
        <v>56.494894842481891</v>
      </c>
      <c r="AE37" s="686">
        <f>('Attainment 25+ by race &amp; gender'!DJ36/'Pop 25+ by race &amp; gender'!DI35)*100</f>
        <v>64.487212849715689</v>
      </c>
      <c r="AF37" s="688">
        <f>('Attainment 25+ by race &amp; gender'!LB36/'Pop 25+ by race &amp; gender'!AT35)*100</f>
        <v>27.100945445029939</v>
      </c>
      <c r="AG37" s="689">
        <f>('Attainment 25+ by race &amp; gender'!MV36/'Pop 25+ by race &amp; gender'!DF35)*100</f>
        <v>33.106816702752319</v>
      </c>
      <c r="AH37" s="688">
        <f>('Attainment 25+ by race &amp; gender'!LH36/'Pop 25+ by race &amp; gender'!AZ35)*100</f>
        <v>19.772386193096548</v>
      </c>
      <c r="AI37" s="689">
        <f>('Attainment 25+ by race &amp; gender'!MW36/'Pop 25+ by race &amp; gender'!DG35)*100</f>
        <v>22.473711208002051</v>
      </c>
      <c r="AJ37" s="688">
        <f>('Attainment 25+ by race &amp; gender'!LK36/'Pop 25+ by race &amp; gender'!BC35)*100</f>
        <v>9.7587049480757493</v>
      </c>
      <c r="AK37" s="690">
        <f>('Attainment 25+ by race &amp; gender'!MX36/'Pop 25+ by race &amp; gender'!DI35)*100</f>
        <v>12.758359125413179</v>
      </c>
    </row>
    <row r="38" spans="1:37" ht="15.75" x14ac:dyDescent="0.25">
      <c r="A38" s="241" t="s">
        <v>48</v>
      </c>
      <c r="B38" s="533">
        <f>('Attainment 25+ by race &amp; gender'!BY37/'Pop 25+ by race &amp; gender'!AT36)*100</f>
        <v>89.258588520892616</v>
      </c>
      <c r="C38" s="668">
        <f>('Attainment 25+ by race &amp; gender'!CX37/'Pop 25+ by race &amp; gender'!CV36)*100</f>
        <v>92</v>
      </c>
      <c r="D38" s="534">
        <f>('Attainment 25+ by race &amp; gender'!BZ37/'Pop 25+ by race &amp; gender'!AZ36)*100</f>
        <v>83.951603910344573</v>
      </c>
      <c r="E38" s="533">
        <f>IF('Pop 25+ by race &amp; gender'!CW36&gt;0,('Attainment 25+ by race &amp; gender'!CY37/'Pop 25+ by race &amp; gender'!CW36)*100,"—")</f>
        <v>87.6</v>
      </c>
      <c r="F38" s="534">
        <f>('Attainment 25+ by race &amp; gender'!CA37/'Pop 25+ by race &amp; gender'!BC36)*100</f>
        <v>53.012954658694568</v>
      </c>
      <c r="G38" s="533">
        <f>('Attainment 25+ by race &amp; gender'!CZ37/'Pop 25+ by race &amp; gender'!CY36)*100</f>
        <v>59.099999999999994</v>
      </c>
      <c r="H38" s="534">
        <f>('Attainment 25+ by race &amp; gender'!LB37/'Pop 25+ by race &amp; gender'!AT36)*100</f>
        <v>28.54812985590549</v>
      </c>
      <c r="I38" s="533">
        <f>('Attainment 25+ by race &amp; gender'!ML37/'Pop 25+ by race &amp; gender'!CV36)*100</f>
        <v>31.900000000000002</v>
      </c>
      <c r="J38" s="534">
        <f>('Attainment 25+ by race &amp; gender'!LH37/'Pop 25+ by race &amp; gender'!AZ36)*100</f>
        <v>19.373304092480392</v>
      </c>
      <c r="K38" s="533">
        <f>IF('Pop 25+ by race &amp; gender'!CW36&gt;0,('Attainment 25+ by race &amp; gender'!MM37/'Pop 25+ by race &amp; gender'!CW36)*100,"—")</f>
        <v>20.8</v>
      </c>
      <c r="L38" s="534">
        <f>('Attainment 25+ by race &amp; gender'!LK37/'Pop 25+ by race &amp; gender'!BC36)*100</f>
        <v>11.128550074738415</v>
      </c>
      <c r="M38" s="659">
        <f>('Attainment 25+ by race &amp; gender'!MN37/'Pop 25+ by race &amp; gender'!CY36)*100</f>
        <v>12.299999999999999</v>
      </c>
      <c r="N38" s="527">
        <f>('Attainment 25+ by race &amp; gender'!BY37/'Pop 25+ by race &amp; gender'!AT36)*100</f>
        <v>89.258588520892616</v>
      </c>
      <c r="O38" s="669">
        <f>('Attainment 25+ by race &amp; gender'!DC37/'Pop 25+ by race &amp; gender'!DA36)*100</f>
        <v>92.133882555615969</v>
      </c>
      <c r="P38" s="528">
        <f>('Attainment 25+ by race &amp; gender'!BZ37/'Pop 25+ by race &amp; gender'!AZ36)*100</f>
        <v>83.951603910344573</v>
      </c>
      <c r="Q38" s="527">
        <f>('Attainment 25+ by race &amp; gender'!DD37/'Pop 25+ by race &amp; gender'!DB36)*100</f>
        <v>88.191906483201194</v>
      </c>
      <c r="R38" s="528">
        <f>('Attainment 25+ by race &amp; gender'!CA37/'Pop 25+ by race &amp; gender'!BC36)*100</f>
        <v>53.012954658694568</v>
      </c>
      <c r="S38" s="527">
        <f>('Attainment 25+ by race &amp; gender'!DE37/'Pop 25+ by race &amp; gender'!DD36)*100</f>
        <v>60.655096956370301</v>
      </c>
      <c r="T38" s="528">
        <f>('Attainment 25+ by race &amp; gender'!LB37/'Pop 25+ by race &amp; gender'!AT36)*100</f>
        <v>28.54812985590549</v>
      </c>
      <c r="U38" s="527">
        <f>('Attainment 25+ by race &amp; gender'!MQ37/'Pop 25+ by race &amp; gender'!DA36)*100</f>
        <v>32.113115622732622</v>
      </c>
      <c r="V38" s="528">
        <f>('Attainment 25+ by race &amp; gender'!LH37/'Pop 25+ by race &amp; gender'!AZ36)*100</f>
        <v>19.373304092480392</v>
      </c>
      <c r="W38" s="527">
        <f>('Attainment 25+ by race &amp; gender'!MR37/'Pop 25+ by race &amp; gender'!DB36)*100</f>
        <v>20.166556827032533</v>
      </c>
      <c r="X38" s="528">
        <f>('Attainment 25+ by race &amp; gender'!LK37/'Pop 25+ by race &amp; gender'!BC36)*100</f>
        <v>11.128550074738415</v>
      </c>
      <c r="Y38" s="657">
        <f>('Attainment 25+ by race &amp; gender'!MS37/'Pop 25+ by race &amp; gender'!DD36)*100</f>
        <v>12.267314017394447</v>
      </c>
      <c r="Z38" s="686">
        <f>('Attainment 25+ by race &amp; gender'!BY37/'Pop 25+ by race &amp; gender'!AT36)*100</f>
        <v>89.258588520892616</v>
      </c>
      <c r="AA38" s="687">
        <f>('Attainment 25+ by race &amp; gender'!DH37/'Pop 25+ by race &amp; gender'!DF36)*100</f>
        <v>93.954087705899269</v>
      </c>
      <c r="AB38" s="688">
        <f>('Attainment 25+ by race &amp; gender'!BZ37/'Pop 25+ by race &amp; gender'!AZ36)*100</f>
        <v>83.951603910344573</v>
      </c>
      <c r="AC38" s="686">
        <f>('Attainment 25+ by race &amp; gender'!DI37/'Pop 25+ by race &amp; gender'!DG36)*100</f>
        <v>87.638670819283931</v>
      </c>
      <c r="AD38" s="688">
        <f>('Attainment 25+ by race &amp; gender'!CA37/'Pop 25+ by race &amp; gender'!BC36)*100</f>
        <v>53.012954658694568</v>
      </c>
      <c r="AE38" s="686">
        <f>('Attainment 25+ by race &amp; gender'!DJ37/'Pop 25+ by race &amp; gender'!DI36)*100</f>
        <v>61.761465628153864</v>
      </c>
      <c r="AF38" s="688">
        <f>('Attainment 25+ by race &amp; gender'!LB37/'Pop 25+ by race &amp; gender'!AT36)*100</f>
        <v>28.54812985590549</v>
      </c>
      <c r="AG38" s="689">
        <f>('Attainment 25+ by race &amp; gender'!MV37/'Pop 25+ by race &amp; gender'!DF36)*100</f>
        <v>33.727604839994171</v>
      </c>
      <c r="AH38" s="688">
        <f>('Attainment 25+ by race &amp; gender'!LH37/'Pop 25+ by race &amp; gender'!AZ36)*100</f>
        <v>19.373304092480392</v>
      </c>
      <c r="AI38" s="689">
        <f>('Attainment 25+ by race &amp; gender'!MW37/'Pop 25+ by race &amp; gender'!DG36)*100</f>
        <v>20.359836297649998</v>
      </c>
      <c r="AJ38" s="688">
        <f>('Attainment 25+ by race &amp; gender'!LK37/'Pop 25+ by race &amp; gender'!BC36)*100</f>
        <v>11.128550074738415</v>
      </c>
      <c r="AK38" s="690">
        <f>('Attainment 25+ by race &amp; gender'!MX37/'Pop 25+ by race &amp; gender'!DI36)*100</f>
        <v>13.173242116778761</v>
      </c>
    </row>
    <row r="39" spans="1:37" ht="15.75" x14ac:dyDescent="0.25">
      <c r="A39" s="245" t="s">
        <v>50</v>
      </c>
      <c r="B39" s="535">
        <f>('Attainment 25+ by race &amp; gender'!BY38/'Pop 25+ by race &amp; gender'!AT37)*100</f>
        <v>88.765099852221425</v>
      </c>
      <c r="C39" s="673">
        <f>('Attainment 25+ by race &amp; gender'!CX38/'Pop 25+ by race &amp; gender'!CV37)*100</f>
        <v>92.8</v>
      </c>
      <c r="D39" s="536">
        <f>('Attainment 25+ by race &amp; gender'!BZ38/'Pop 25+ by race &amp; gender'!AZ37)*100</f>
        <v>86.655405405405403</v>
      </c>
      <c r="E39" s="535" t="str">
        <f>IF('Pop 25+ by race &amp; gender'!CW37&gt;0,('Attainment 25+ by race &amp; gender'!CY38/'Pop 25+ by race &amp; gender'!CW37)*100,"—")</f>
        <v>—</v>
      </c>
      <c r="F39" s="536">
        <f>('Attainment 25+ by race &amp; gender'!CA38/'Pop 25+ by race &amp; gender'!BC37)*100</f>
        <v>66.294390764211315</v>
      </c>
      <c r="G39" s="535">
        <f>('Attainment 25+ by race &amp; gender'!CZ38/'Pop 25+ by race &amp; gender'!CY37)*100</f>
        <v>75.999999999999986</v>
      </c>
      <c r="H39" s="536">
        <f>('Attainment 25+ by race &amp; gender'!LB38/'Pop 25+ by race &amp; gender'!AT37)*100</f>
        <v>22.587752003145379</v>
      </c>
      <c r="I39" s="535">
        <f>('Attainment 25+ by race &amp; gender'!ML38/'Pop 25+ by race &amp; gender'!CV37)*100</f>
        <v>24.9</v>
      </c>
      <c r="J39" s="536">
        <f>('Attainment 25+ by race &amp; gender'!LH38/'Pop 25+ by race &amp; gender'!AZ37)*100</f>
        <v>18.637387387387388</v>
      </c>
      <c r="K39" s="535" t="str">
        <f>IF('Pop 25+ by race &amp; gender'!CW37&gt;0,('Attainment 25+ by race &amp; gender'!MM38/'Pop 25+ by race &amp; gender'!CW37)*100,"—")</f>
        <v>—</v>
      </c>
      <c r="L39" s="536">
        <f>('Attainment 25+ by race &amp; gender'!LK38/'Pop 25+ by race &amp; gender'!BC37)*100</f>
        <v>7.755050821934999</v>
      </c>
      <c r="M39" s="660">
        <f>('Attainment 25+ by race &amp; gender'!MN38/'Pop 25+ by race &amp; gender'!CY37)*100</f>
        <v>11.4</v>
      </c>
      <c r="N39" s="531">
        <f>('Attainment 25+ by race &amp; gender'!BY38/'Pop 25+ by race &amp; gender'!AT37)*100</f>
        <v>88.765099852221425</v>
      </c>
      <c r="O39" s="674">
        <f>('Attainment 25+ by race &amp; gender'!DC38/'Pop 25+ by race &amp; gender'!DA37)*100</f>
        <v>92.711911879869447</v>
      </c>
      <c r="P39" s="532">
        <f>('Attainment 25+ by race &amp; gender'!BZ38/'Pop 25+ by race &amp; gender'!AZ37)*100</f>
        <v>86.655405405405403</v>
      </c>
      <c r="Q39" s="649">
        <f>('Attainment 25+ by race &amp; gender'!DD38/'Pop 25+ by race &amp; gender'!DB37)*100</f>
        <v>85.926181441876508</v>
      </c>
      <c r="R39" s="532">
        <f>('Attainment 25+ by race &amp; gender'!CA38/'Pop 25+ by race &amp; gender'!BC37)*100</f>
        <v>66.294390764211315</v>
      </c>
      <c r="S39" s="649">
        <f>('Attainment 25+ by race &amp; gender'!DE38/'Pop 25+ by race &amp; gender'!DD37)*100</f>
        <v>76.536453645364531</v>
      </c>
      <c r="T39" s="532">
        <f>('Attainment 25+ by race &amp; gender'!LB38/'Pop 25+ by race &amp; gender'!AT37)*100</f>
        <v>22.587752003145379</v>
      </c>
      <c r="U39" s="649">
        <f>('Attainment 25+ by race &amp; gender'!MQ38/'Pop 25+ by race &amp; gender'!DA37)*100</f>
        <v>25.218785547292548</v>
      </c>
      <c r="V39" s="532">
        <f>('Attainment 25+ by race &amp; gender'!LH38/'Pop 25+ by race &amp; gender'!AZ37)*100</f>
        <v>18.637387387387388</v>
      </c>
      <c r="W39" s="649">
        <f>('Attainment 25+ by race &amp; gender'!MR38/'Pop 25+ by race &amp; gender'!DB37)*100</f>
        <v>12.107623318385651</v>
      </c>
      <c r="X39" s="532">
        <f>('Attainment 25+ by race &amp; gender'!LK38/'Pop 25+ by race &amp; gender'!BC37)*100</f>
        <v>7.755050821934999</v>
      </c>
      <c r="Y39" s="658">
        <f>('Attainment 25+ by race &amp; gender'!MS38/'Pop 25+ by race &amp; gender'!DD37)*100</f>
        <v>12.536453645364537</v>
      </c>
      <c r="Z39" s="749">
        <f>('Attainment 25+ by race &amp; gender'!BY38/'Pop 25+ by race &amp; gender'!AT37)*100</f>
        <v>88.765099852221425</v>
      </c>
      <c r="AA39" s="701">
        <f>('Attainment 25+ by race &amp; gender'!DH38/'Pop 25+ by race &amp; gender'!DF37)*100</f>
        <v>93.969078177951531</v>
      </c>
      <c r="AB39" s="694">
        <f>('Attainment 25+ by race &amp; gender'!BZ38/'Pop 25+ by race &amp; gender'!AZ37)*100</f>
        <v>86.655405405405403</v>
      </c>
      <c r="AC39" s="695">
        <f>('Attainment 25+ by race &amp; gender'!DI38/'Pop 25+ by race &amp; gender'!DG37)*100</f>
        <v>89.983739837398375</v>
      </c>
      <c r="AD39" s="694">
        <f>('Attainment 25+ by race &amp; gender'!CA38/'Pop 25+ by race &amp; gender'!BC37)*100</f>
        <v>66.294390764211315</v>
      </c>
      <c r="AE39" s="695">
        <f>('Attainment 25+ by race &amp; gender'!DJ38/'Pop 25+ by race &amp; gender'!DI37)*100</f>
        <v>75.422432376051745</v>
      </c>
      <c r="AF39" s="694">
        <f>('Attainment 25+ by race &amp; gender'!LB38/'Pop 25+ by race &amp; gender'!AT37)*100</f>
        <v>22.587752003145379</v>
      </c>
      <c r="AG39" s="696">
        <f>('Attainment 25+ by race &amp; gender'!MV38/'Pop 25+ by race &amp; gender'!DF37)*100</f>
        <v>26.655639538535624</v>
      </c>
      <c r="AH39" s="694">
        <f>('Attainment 25+ by race &amp; gender'!LH38/'Pop 25+ by race &amp; gender'!AZ37)*100</f>
        <v>18.637387387387388</v>
      </c>
      <c r="AI39" s="696">
        <f>('Attainment 25+ by race &amp; gender'!MW38/'Pop 25+ by race &amp; gender'!DG37)*100</f>
        <v>15.186991869918698</v>
      </c>
      <c r="AJ39" s="694">
        <f>('Attainment 25+ by race &amp; gender'!LK38/'Pop 25+ by race &amp; gender'!BC37)*100</f>
        <v>7.755050821934999</v>
      </c>
      <c r="AK39" s="696">
        <f>('Attainment 25+ by race &amp; gender'!MX38/'Pop 25+ by race &amp; gender'!DI37)*100</f>
        <v>11.442180655030944</v>
      </c>
    </row>
    <row r="40" spans="1:37" x14ac:dyDescent="0.2">
      <c r="A40" s="246" t="s">
        <v>184</v>
      </c>
      <c r="B40" s="529">
        <f>('Attainment 25+ by race &amp; gender'!BY39/'Pop 25+ by race &amp; gender'!AT38)*100</f>
        <v>85.272768798360545</v>
      </c>
      <c r="C40" s="671">
        <f>('Attainment 25+ by race &amp; gender'!CX39/'Pop 25+ by race &amp; gender'!CV38)*100</f>
        <v>89.965191196468837</v>
      </c>
      <c r="D40" s="530">
        <f>('Attainment 25+ by race &amp; gender'!BZ39/'Pop 25+ by race &amp; gender'!AZ38)*100</f>
        <v>72.06076627279495</v>
      </c>
      <c r="E40" s="529">
        <f>IF('Pop 25+ by race &amp; gender'!CW38&gt;0,('Attainment 25+ by race &amp; gender'!CY39/'Pop 25+ by race &amp; gender'!CW38)*100,"—")</f>
        <v>82.264442390978303</v>
      </c>
      <c r="F40" s="530">
        <f>('Attainment 25+ by race &amp; gender'!CA39/'Pop 25+ by race &amp; gender'!BC38)*100</f>
        <v>50.652241681120955</v>
      </c>
      <c r="G40" s="529">
        <f>('Attainment 25+ by race &amp; gender'!CZ39/'Pop 25+ by race &amp; gender'!CY38)*100</f>
        <v>61.975056993072499</v>
      </c>
      <c r="H40" s="530">
        <f>('Attainment 25+ by race &amp; gender'!LB39/'Pop 25+ by race &amp; gender'!AT38)*100</f>
        <v>23.686332730400512</v>
      </c>
      <c r="I40" s="529">
        <f>('Attainment 25+ by race &amp; gender'!ML39/'Pop 25+ by race &amp; gender'!CV38)*100</f>
        <v>27.664365073555736</v>
      </c>
      <c r="J40" s="530">
        <f>('Attainment 25+ by race &amp; gender'!LH39/'Pop 25+ by race &amp; gender'!AZ38)*100</f>
        <v>13.267898437163893</v>
      </c>
      <c r="K40" s="529">
        <f>IF('Pop 25+ by race &amp; gender'!CW38&gt;0,('Attainment 25+ by race &amp; gender'!MM39/'Pop 25+ by race &amp; gender'!CW38)*100,"—")</f>
        <v>16.187563163655703</v>
      </c>
      <c r="L40" s="530">
        <f>('Attainment 25+ by race &amp; gender'!LK39/'Pop 25+ by race &amp; gender'!BC38)*100</f>
        <v>10.74500227804999</v>
      </c>
      <c r="M40" s="655">
        <f>('Attainment 25+ by race &amp; gender'!MN39/'Pop 25+ by race &amp; gender'!CY38)*100</f>
        <v>12.837843528772661</v>
      </c>
      <c r="N40" s="527">
        <f>('Attainment 25+ by race &amp; gender'!BY39/'Pop 25+ by race &amp; gender'!AT38)*100</f>
        <v>85.272768798360545</v>
      </c>
      <c r="O40" s="671">
        <f>('Attainment 25+ by race &amp; gender'!DC39/'Pop 25+ by race &amp; gender'!DA38)*100</f>
        <v>90.322174514370175</v>
      </c>
      <c r="P40" s="528">
        <f>('Attainment 25+ by race &amp; gender'!BZ39/'Pop 25+ by race &amp; gender'!AZ38)*100</f>
        <v>72.06076627279495</v>
      </c>
      <c r="Q40" s="527">
        <f>('Attainment 25+ by race &amp; gender'!DD39/'Pop 25+ by race &amp; gender'!DB38)*100</f>
        <v>82.797733216243927</v>
      </c>
      <c r="R40" s="528">
        <f>('Attainment 25+ by race &amp; gender'!CA39/'Pop 25+ by race &amp; gender'!BC38)*100</f>
        <v>50.652241681120955</v>
      </c>
      <c r="S40" s="527">
        <f>('Attainment 25+ by race &amp; gender'!DE39/'Pop 25+ by race &amp; gender'!DD38)*100</f>
        <v>62.7793328648645</v>
      </c>
      <c r="T40" s="528">
        <f>('Attainment 25+ by race &amp; gender'!LB39/'Pop 25+ by race &amp; gender'!AT38)*100</f>
        <v>23.686332730400512</v>
      </c>
      <c r="U40" s="527">
        <f>('Attainment 25+ by race &amp; gender'!MQ39/'Pop 25+ by race &amp; gender'!DA38)*100</f>
        <v>28.103174225106255</v>
      </c>
      <c r="V40" s="528">
        <f>('Attainment 25+ by race &amp; gender'!LH39/'Pop 25+ by race &amp; gender'!AZ38)*100</f>
        <v>13.267898437163893</v>
      </c>
      <c r="W40" s="527">
        <f>('Attainment 25+ by race &amp; gender'!MR39/'Pop 25+ by race &amp; gender'!DB38)*100</f>
        <v>16.494138913605251</v>
      </c>
      <c r="X40" s="528">
        <f>('Attainment 25+ by race &amp; gender'!LK39/'Pop 25+ by race &amp; gender'!BC38)*100</f>
        <v>10.74500227804999</v>
      </c>
      <c r="Y40" s="735">
        <f>('Attainment 25+ by race &amp; gender'!MS39/'Pop 25+ by race &amp; gender'!DD38)*100</f>
        <v>13.234466428435837</v>
      </c>
      <c r="Z40" s="527">
        <f>('Attainment 25+ by race &amp; gender'!BY39/'Pop 25+ by race &amp; gender'!AT38)*100</f>
        <v>85.272768798360545</v>
      </c>
      <c r="AA40" s="671">
        <f>('Attainment 25+ by race &amp; gender'!DH39/'Pop 25+ by race &amp; gender'!DF38)*100</f>
        <v>91.634894675643423</v>
      </c>
      <c r="AB40" s="528">
        <f>('Attainment 25+ by race &amp; gender'!BZ39/'Pop 25+ by race &amp; gender'!AZ38)*100</f>
        <v>72.06076627279495</v>
      </c>
      <c r="AC40" s="527">
        <f>('Attainment 25+ by race &amp; gender'!DI39/'Pop 25+ by race &amp; gender'!DG38)*100</f>
        <v>83.350571633930755</v>
      </c>
      <c r="AD40" s="528">
        <f>('Attainment 25+ by race &amp; gender'!CA39/'Pop 25+ by race &amp; gender'!BC38)*100</f>
        <v>50.652241681120955</v>
      </c>
      <c r="AE40" s="527">
        <f>('Attainment 25+ by race &amp; gender'!DJ39/'Pop 25+ by race &amp; gender'!DI38)*100</f>
        <v>63.352905676222626</v>
      </c>
      <c r="AF40" s="528">
        <f>('Attainment 25+ by race &amp; gender'!LB39/'Pop 25+ by race &amp; gender'!AT38)*100</f>
        <v>23.686332730400512</v>
      </c>
      <c r="AG40" s="527">
        <f>('Attainment 25+ by race &amp; gender'!MV39/'Pop 25+ by race &amp; gender'!DF38)*100</f>
        <v>29.121108318562953</v>
      </c>
      <c r="AH40" s="528">
        <f>('Attainment 25+ by race &amp; gender'!LH39/'Pop 25+ by race &amp; gender'!AZ38)*100</f>
        <v>13.267898437163893</v>
      </c>
      <c r="AI40" s="527">
        <f>('Attainment 25+ by race &amp; gender'!MW39/'Pop 25+ by race &amp; gender'!DG38)*100</f>
        <v>16.857275542392252</v>
      </c>
      <c r="AJ40" s="528">
        <f>('Attainment 25+ by race &amp; gender'!LK39/'Pop 25+ by race &amp; gender'!BC38)*100</f>
        <v>10.74500227804999</v>
      </c>
      <c r="AK40" s="679">
        <f>('Attainment 25+ by race &amp; gender'!MX39/'Pop 25+ by race &amp; gender'!DI38)*100</f>
        <v>13.246897262830748</v>
      </c>
    </row>
    <row r="41" spans="1:37" x14ac:dyDescent="0.2">
      <c r="A41" s="246"/>
      <c r="B41" s="529"/>
      <c r="C41" s="669"/>
      <c r="D41" s="530"/>
      <c r="E41" s="529"/>
      <c r="F41" s="530"/>
      <c r="G41" s="529"/>
      <c r="H41" s="530"/>
      <c r="I41" s="529"/>
      <c r="J41" s="530"/>
      <c r="K41" s="529"/>
      <c r="L41" s="530"/>
      <c r="M41" s="656"/>
      <c r="N41" s="529"/>
      <c r="O41" s="669"/>
      <c r="P41" s="530"/>
      <c r="Q41" s="527"/>
      <c r="R41" s="528"/>
      <c r="S41" s="527"/>
      <c r="T41" s="528"/>
      <c r="U41" s="527"/>
      <c r="V41" s="528"/>
      <c r="W41" s="527"/>
      <c r="X41" s="528"/>
      <c r="Y41" s="657"/>
      <c r="Z41" s="529"/>
      <c r="AA41" s="669"/>
      <c r="AB41" s="530"/>
      <c r="AC41" s="527"/>
      <c r="AD41" s="528"/>
      <c r="AE41" s="527"/>
      <c r="AF41" s="528"/>
      <c r="AG41" s="527"/>
      <c r="AH41" s="528"/>
      <c r="AI41" s="527"/>
      <c r="AJ41" s="528"/>
      <c r="AK41" s="679"/>
    </row>
    <row r="42" spans="1:37" x14ac:dyDescent="0.2">
      <c r="A42" s="241" t="s">
        <v>24</v>
      </c>
      <c r="B42" s="533">
        <f>('Attainment 25+ by race &amp; gender'!BY41/'Pop 25+ by race &amp; gender'!AT40)*100</f>
        <v>84.963161071112125</v>
      </c>
      <c r="C42" s="668">
        <f>('Attainment 25+ by race &amp; gender'!CX41/'Pop 25+ by race &amp; gender'!CV40)*100</f>
        <v>89.700000000000017</v>
      </c>
      <c r="D42" s="534">
        <f>('Attainment 25+ by race &amp; gender'!BZ41/'Pop 25+ by race &amp; gender'!AZ40)*100</f>
        <v>73.01750279000035</v>
      </c>
      <c r="E42" s="533">
        <f>IF('Pop 25+ by race &amp; gender'!CW40&gt;0,('Attainment 25+ by race &amp; gender'!CY41/'Pop 25+ by race &amp; gender'!CW40)*100,"—")</f>
        <v>82.6</v>
      </c>
      <c r="F42" s="534">
        <f>('Attainment 25+ by race &amp; gender'!CA41/'Pop 25+ by race &amp; gender'!BC40)*100</f>
        <v>48.472665401617711</v>
      </c>
      <c r="G42" s="533">
        <f>('Attainment 25+ by race &amp; gender'!CZ41/'Pop 25+ by race &amp; gender'!CY40)*100</f>
        <v>60.8</v>
      </c>
      <c r="H42" s="534">
        <f>('Attainment 25+ by race &amp; gender'!LB41/'Pop 25+ by race &amp; gender'!AT40)*100</f>
        <v>27.822603483959423</v>
      </c>
      <c r="I42" s="533">
        <f>('Attainment 25+ by race &amp; gender'!ML41/'Pop 25+ by race &amp; gender'!CV40)*100</f>
        <v>32.6</v>
      </c>
      <c r="J42" s="534">
        <f>('Attainment 25+ by race &amp; gender'!LH41/'Pop 25+ by race &amp; gender'!AZ40)*100</f>
        <v>14.685359355801134</v>
      </c>
      <c r="K42" s="533">
        <f>IF('Pop 25+ by race &amp; gender'!CW40&gt;0,('Attainment 25+ by race &amp; gender'!MM41/'Pop 25+ by race &amp; gender'!CW40)*100,"—")</f>
        <v>18.500000000000004</v>
      </c>
      <c r="L42" s="534">
        <f>('Attainment 25+ by race &amp; gender'!LK41/'Pop 25+ by race &amp; gender'!BC40)*100</f>
        <v>9.0515048075394091</v>
      </c>
      <c r="M42" s="659">
        <f>('Attainment 25+ by race &amp; gender'!MN41/'Pop 25+ by race &amp; gender'!CY40)*100</f>
        <v>12.3</v>
      </c>
      <c r="N42" s="527">
        <f>('Attainment 25+ by race &amp; gender'!BY41/'Pop 25+ by race &amp; gender'!AT40)*100</f>
        <v>84.963161071112125</v>
      </c>
      <c r="O42" s="669">
        <f>('Attainment 25+ by race &amp; gender'!DC41/'Pop 25+ by race &amp; gender'!DA40)*100</f>
        <v>89.88133318485032</v>
      </c>
      <c r="P42" s="528">
        <f>('Attainment 25+ by race &amp; gender'!BZ41/'Pop 25+ by race &amp; gender'!AZ40)*100</f>
        <v>73.01750279000035</v>
      </c>
      <c r="Q42" s="527">
        <f>('Attainment 25+ by race &amp; gender'!DD41/'Pop 25+ by race &amp; gender'!DB40)*100</f>
        <v>83.140576885270903</v>
      </c>
      <c r="R42" s="528">
        <f>('Attainment 25+ by race &amp; gender'!CA41/'Pop 25+ by race &amp; gender'!BC40)*100</f>
        <v>48.472665401617711</v>
      </c>
      <c r="S42" s="527">
        <f>('Attainment 25+ by race &amp; gender'!DE41/'Pop 25+ by race &amp; gender'!DD40)*100</f>
        <v>61.252527688117539</v>
      </c>
      <c r="T42" s="528">
        <f>('Attainment 25+ by race &amp; gender'!LB41/'Pop 25+ by race &amp; gender'!AT40)*100</f>
        <v>27.822603483959423</v>
      </c>
      <c r="U42" s="527">
        <f>('Attainment 25+ by race &amp; gender'!MQ41/'Pop 25+ by race &amp; gender'!DA40)*100</f>
        <v>32.837080121961087</v>
      </c>
      <c r="V42" s="528">
        <f>('Attainment 25+ by race &amp; gender'!LH41/'Pop 25+ by race &amp; gender'!AZ40)*100</f>
        <v>14.685359355801134</v>
      </c>
      <c r="W42" s="527">
        <f>('Attainment 25+ by race &amp; gender'!MR41/'Pop 25+ by race &amp; gender'!DB40)*100</f>
        <v>18.714786575018096</v>
      </c>
      <c r="X42" s="528">
        <f>('Attainment 25+ by race &amp; gender'!LK41/'Pop 25+ by race &amp; gender'!BC40)*100</f>
        <v>9.0515048075394091</v>
      </c>
      <c r="Y42" s="657">
        <f>('Attainment 25+ by race &amp; gender'!MS41/'Pop 25+ by race &amp; gender'!DD40)*100</f>
        <v>12.371651897843952</v>
      </c>
      <c r="Z42" s="527">
        <f>('Attainment 25+ by race &amp; gender'!BY41/'Pop 25+ by race &amp; gender'!AT40)*100</f>
        <v>84.963161071112125</v>
      </c>
      <c r="AA42" s="669">
        <f>('Attainment 25+ by race &amp; gender'!DH41/'Pop 25+ by race &amp; gender'!DF40)*100</f>
        <v>92.978301540833002</v>
      </c>
      <c r="AB42" s="528">
        <f>('Attainment 25+ by race &amp; gender'!BZ41/'Pop 25+ by race &amp; gender'!AZ40)*100</f>
        <v>73.01750279000035</v>
      </c>
      <c r="AC42" s="527">
        <f>('Attainment 25+ by race &amp; gender'!DI41/'Pop 25+ by race &amp; gender'!DG40)*100</f>
        <v>84.053822862735672</v>
      </c>
      <c r="AD42" s="528">
        <f>('Attainment 25+ by race &amp; gender'!CA41/'Pop 25+ by race &amp; gender'!BC40)*100</f>
        <v>48.472665401617711</v>
      </c>
      <c r="AE42" s="527">
        <f>('Attainment 25+ by race &amp; gender'!DJ41/'Pop 25+ by race &amp; gender'!DI40)*100</f>
        <v>61.672491012971022</v>
      </c>
      <c r="AF42" s="528">
        <f>('Attainment 25+ by race &amp; gender'!LB41/'Pop 25+ by race &amp; gender'!AT40)*100</f>
        <v>27.822603483959423</v>
      </c>
      <c r="AG42" s="527">
        <f>('Attainment 25+ by race &amp; gender'!MV41/'Pop 25+ by race &amp; gender'!DF40)*100</f>
        <v>35.433996807973571</v>
      </c>
      <c r="AH42" s="528">
        <f>('Attainment 25+ by race &amp; gender'!LH41/'Pop 25+ by race &amp; gender'!AZ40)*100</f>
        <v>14.685359355801134</v>
      </c>
      <c r="AI42" s="527">
        <f>('Attainment 25+ by race &amp; gender'!MW41/'Pop 25+ by race &amp; gender'!DG40)*100</f>
        <v>19.23813198652843</v>
      </c>
      <c r="AJ42" s="528">
        <f>('Attainment 25+ by race &amp; gender'!LK41/'Pop 25+ by race &amp; gender'!BC40)*100</f>
        <v>9.0515048075394091</v>
      </c>
      <c r="AK42" s="679">
        <f>('Attainment 25+ by race &amp; gender'!MX41/'Pop 25+ by race &amp; gender'!DI40)*100</f>
        <v>12.47313732752867</v>
      </c>
    </row>
    <row r="43" spans="1:37" x14ac:dyDescent="0.2">
      <c r="A43" s="241" t="s">
        <v>25</v>
      </c>
      <c r="B43" s="533">
        <f>('Attainment 25+ by race &amp; gender'!BY42/'Pop 25+ by race &amp; gender'!AT41)*100</f>
        <v>83.16706914051305</v>
      </c>
      <c r="C43" s="668">
        <f>('Attainment 25+ by race &amp; gender'!CX42/'Pop 25+ by race &amp; gender'!CV41)*100</f>
        <v>87.9</v>
      </c>
      <c r="D43" s="534">
        <f>('Attainment 25+ by race &amp; gender'!BZ42/'Pop 25+ by race &amp; gender'!AZ41)*100</f>
        <v>74.938306990010275</v>
      </c>
      <c r="E43" s="533">
        <f>IF('Pop 25+ by race &amp; gender'!CW41&gt;0,('Attainment 25+ by race &amp; gender'!CY42/'Pop 25+ by race &amp; gender'!CW41)*100,"—")</f>
        <v>83.500000000000014</v>
      </c>
      <c r="F43" s="534">
        <f>('Attainment 25+ by race &amp; gender'!CA42/'Pop 25+ by race &amp; gender'!BC41)*100</f>
        <v>57.926546251765245</v>
      </c>
      <c r="G43" s="533">
        <f>('Attainment 25+ by race &amp; gender'!CZ42/'Pop 25+ by race &amp; gender'!CY41)*100</f>
        <v>61.199999999999996</v>
      </c>
      <c r="H43" s="534">
        <f>('Attainment 25+ by race &amp; gender'!LB42/'Pop 25+ by race &amp; gender'!AT41)*100</f>
        <v>19.810365399877718</v>
      </c>
      <c r="I43" s="533">
        <f>('Attainment 25+ by race &amp; gender'!ML42/'Pop 25+ by race &amp; gender'!CV41)*100</f>
        <v>23.199999999999996</v>
      </c>
      <c r="J43" s="534">
        <f>('Attainment 25+ by race &amp; gender'!LH42/'Pop 25+ by race &amp; gender'!AZ41)*100</f>
        <v>12.089033674246926</v>
      </c>
      <c r="K43" s="533">
        <f>IF('Pop 25+ by race &amp; gender'!CW41&gt;0,('Attainment 25+ by race &amp; gender'!MM42/'Pop 25+ by race &amp; gender'!CW41)*100,"—")</f>
        <v>14.299999999999999</v>
      </c>
      <c r="L43" s="534">
        <f>('Attainment 25+ by race &amp; gender'!LK42/'Pop 25+ by race &amp; gender'!BC41)*100</f>
        <v>11.256061069908455</v>
      </c>
      <c r="M43" s="659">
        <f>('Attainment 25+ by race &amp; gender'!MN42/'Pop 25+ by race &amp; gender'!CY41)*100</f>
        <v>11.999999999999998</v>
      </c>
      <c r="N43" s="527">
        <f>('Attainment 25+ by race &amp; gender'!BY42/'Pop 25+ by race &amp; gender'!AT41)*100</f>
        <v>83.16706914051305</v>
      </c>
      <c r="O43" s="669">
        <f>('Attainment 25+ by race &amp; gender'!DC42/'Pop 25+ by race &amp; gender'!DA41)*100</f>
        <v>88.285550852305221</v>
      </c>
      <c r="P43" s="528">
        <f>('Attainment 25+ by race &amp; gender'!BZ42/'Pop 25+ by race &amp; gender'!AZ41)*100</f>
        <v>74.938306990010275</v>
      </c>
      <c r="Q43" s="527">
        <f>('Attainment 25+ by race &amp; gender'!DD42/'Pop 25+ by race &amp; gender'!DB41)*100</f>
        <v>83.896112156774308</v>
      </c>
      <c r="R43" s="528">
        <f>('Attainment 25+ by race &amp; gender'!CA42/'Pop 25+ by race &amp; gender'!BC41)*100</f>
        <v>57.926546251765245</v>
      </c>
      <c r="S43" s="527">
        <f>('Attainment 25+ by race &amp; gender'!DE42/'Pop 25+ by race &amp; gender'!DD41)*100</f>
        <v>62.014204894846884</v>
      </c>
      <c r="T43" s="528">
        <f>('Attainment 25+ by race &amp; gender'!LB42/'Pop 25+ by race &amp; gender'!AT41)*100</f>
        <v>19.810365399877718</v>
      </c>
      <c r="U43" s="527">
        <f>('Attainment 25+ by race &amp; gender'!MQ42/'Pop 25+ by race &amp; gender'!DA41)*100</f>
        <v>23.528335026952092</v>
      </c>
      <c r="V43" s="528">
        <f>('Attainment 25+ by race &amp; gender'!LH42/'Pop 25+ by race &amp; gender'!AZ41)*100</f>
        <v>12.089033674246926</v>
      </c>
      <c r="W43" s="527">
        <f>('Attainment 25+ by race &amp; gender'!MR42/'Pop 25+ by race &amp; gender'!DB41)*100</f>
        <v>15.213098449430859</v>
      </c>
      <c r="X43" s="528">
        <f>('Attainment 25+ by race &amp; gender'!LK42/'Pop 25+ by race &amp; gender'!BC41)*100</f>
        <v>11.256061069908455</v>
      </c>
      <c r="Y43" s="657">
        <f>('Attainment 25+ by race &amp; gender'!MS42/'Pop 25+ by race &amp; gender'!DD41)*100</f>
        <v>12.641434017955971</v>
      </c>
      <c r="Z43" s="527">
        <f>('Attainment 25+ by race &amp; gender'!BY42/'Pop 25+ by race &amp; gender'!AT41)*100</f>
        <v>83.16706914051305</v>
      </c>
      <c r="AA43" s="669">
        <f>('Attainment 25+ by race &amp; gender'!DH42/'Pop 25+ by race &amp; gender'!DF41)*100</f>
        <v>89.119058991062232</v>
      </c>
      <c r="AB43" s="528">
        <f>('Attainment 25+ by race &amp; gender'!BZ42/'Pop 25+ by race &amp; gender'!AZ41)*100</f>
        <v>74.938306990010275</v>
      </c>
      <c r="AC43" s="527">
        <f>('Attainment 25+ by race &amp; gender'!DI42/'Pop 25+ by race &amp; gender'!DG41)*100</f>
        <v>84.668147950053623</v>
      </c>
      <c r="AD43" s="528">
        <f>('Attainment 25+ by race &amp; gender'!CA42/'Pop 25+ by race &amp; gender'!BC41)*100</f>
        <v>57.926546251765245</v>
      </c>
      <c r="AE43" s="527">
        <f>('Attainment 25+ by race &amp; gender'!DJ42/'Pop 25+ by race &amp; gender'!DI41)*100</f>
        <v>63.007879649042621</v>
      </c>
      <c r="AF43" s="528">
        <f>('Attainment 25+ by race &amp; gender'!LB42/'Pop 25+ by race &amp; gender'!AT41)*100</f>
        <v>19.810365399877718</v>
      </c>
      <c r="AG43" s="527">
        <f>('Attainment 25+ by race &amp; gender'!MV42/'Pop 25+ by race &amp; gender'!DF41)*100</f>
        <v>24.220957770023748</v>
      </c>
      <c r="AH43" s="528">
        <f>('Attainment 25+ by race &amp; gender'!LH42/'Pop 25+ by race &amp; gender'!AZ41)*100</f>
        <v>12.089033674246926</v>
      </c>
      <c r="AI43" s="527">
        <f>('Attainment 25+ by race &amp; gender'!MW42/'Pop 25+ by race &amp; gender'!DG41)*100</f>
        <v>15.742666366996019</v>
      </c>
      <c r="AJ43" s="528">
        <f>('Attainment 25+ by race &amp; gender'!LK42/'Pop 25+ by race &amp; gender'!BC41)*100</f>
        <v>11.256061069908455</v>
      </c>
      <c r="AK43" s="679">
        <f>('Attainment 25+ by race &amp; gender'!MX42/'Pop 25+ by race &amp; gender'!DI41)*100</f>
        <v>12.083287791015412</v>
      </c>
    </row>
    <row r="44" spans="1:37" x14ac:dyDescent="0.2">
      <c r="A44" s="241" t="s">
        <v>26</v>
      </c>
      <c r="B44" s="533">
        <f>('Attainment 25+ by race &amp; gender'!BY43/'Pop 25+ by race &amp; gender'!AT42)*100</f>
        <v>86.88499596474162</v>
      </c>
      <c r="C44" s="668">
        <f>('Attainment 25+ by race &amp; gender'!CX43/'Pop 25+ by race &amp; gender'!CV42)*100</f>
        <v>91.600000000000009</v>
      </c>
      <c r="D44" s="534">
        <f>('Attainment 25+ by race &amp; gender'!BZ43/'Pop 25+ by race &amp; gender'!AZ42)*100</f>
        <v>77.262031396060976</v>
      </c>
      <c r="E44" s="533">
        <f>IF('Pop 25+ by race &amp; gender'!CW42&gt;0,('Attainment 25+ by race &amp; gender'!CY43/'Pop 25+ by race &amp; gender'!CW42)*100,"—")</f>
        <v>82.2</v>
      </c>
      <c r="F44" s="534">
        <f>('Attainment 25+ by race &amp; gender'!CA43/'Pop 25+ by race &amp; gender'!BC42)*100</f>
        <v>52.303937345778351</v>
      </c>
      <c r="G44" s="533">
        <f>('Attainment 25+ by race &amp; gender'!CZ43/'Pop 25+ by race &amp; gender'!CY42)*100</f>
        <v>54.999999999999993</v>
      </c>
      <c r="H44" s="534">
        <f>('Attainment 25+ by race &amp; gender'!LB43/'Pop 25+ by race &amp; gender'!AT42)*100</f>
        <v>21.26412685681268</v>
      </c>
      <c r="I44" s="533">
        <f>('Attainment 25+ by race &amp; gender'!ML43/'Pop 25+ by race &amp; gender'!CV42)*100</f>
        <v>25.400000000000006</v>
      </c>
      <c r="J44" s="534">
        <f>('Attainment 25+ by race &amp; gender'!LH43/'Pop 25+ by race &amp; gender'!AZ42)*100</f>
        <v>14.695548464042806</v>
      </c>
      <c r="K44" s="533">
        <f>IF('Pop 25+ by race &amp; gender'!CW42&gt;0,('Attainment 25+ by race &amp; gender'!MM43/'Pop 25+ by race &amp; gender'!CW42)*100,"—")</f>
        <v>16.600000000000001</v>
      </c>
      <c r="L44" s="534">
        <f>('Attainment 25+ by race &amp; gender'!LK43/'Pop 25+ by race &amp; gender'!BC42)*100</f>
        <v>10.975217251367878</v>
      </c>
      <c r="M44" s="659">
        <f>('Attainment 25+ by race &amp; gender'!MN43/'Pop 25+ by race &amp; gender'!CY42)*100</f>
        <v>10.600000000000001</v>
      </c>
      <c r="N44" s="527">
        <f>('Attainment 25+ by race &amp; gender'!BY43/'Pop 25+ by race &amp; gender'!AT42)*100</f>
        <v>86.88499596474162</v>
      </c>
      <c r="O44" s="669">
        <f>('Attainment 25+ by race &amp; gender'!DC43/'Pop 25+ by race &amp; gender'!DA42)*100</f>
        <v>91.940028947335207</v>
      </c>
      <c r="P44" s="528">
        <f>('Attainment 25+ by race &amp; gender'!BZ43/'Pop 25+ by race &amp; gender'!AZ42)*100</f>
        <v>77.262031396060976</v>
      </c>
      <c r="Q44" s="527">
        <f>('Attainment 25+ by race &amp; gender'!DD43/'Pop 25+ by race &amp; gender'!DB42)*100</f>
        <v>82.740715415188674</v>
      </c>
      <c r="R44" s="528">
        <f>('Attainment 25+ by race &amp; gender'!CA43/'Pop 25+ by race &amp; gender'!BC42)*100</f>
        <v>52.303937345778351</v>
      </c>
      <c r="S44" s="527">
        <f>('Attainment 25+ by race &amp; gender'!DE43/'Pop 25+ by race &amp; gender'!DD42)*100</f>
        <v>54.888390957823972</v>
      </c>
      <c r="T44" s="528">
        <f>('Attainment 25+ by race &amp; gender'!LB43/'Pop 25+ by race &amp; gender'!AT42)*100</f>
        <v>21.26412685681268</v>
      </c>
      <c r="U44" s="527">
        <f>('Attainment 25+ by race &amp; gender'!MQ43/'Pop 25+ by race &amp; gender'!DA42)*100</f>
        <v>25.900870103040734</v>
      </c>
      <c r="V44" s="528">
        <f>('Attainment 25+ by race &amp; gender'!LH43/'Pop 25+ by race &amp; gender'!AZ42)*100</f>
        <v>14.695548464042806</v>
      </c>
      <c r="W44" s="527">
        <f>('Attainment 25+ by race &amp; gender'!MR43/'Pop 25+ by race &amp; gender'!DB42)*100</f>
        <v>18.212316765673748</v>
      </c>
      <c r="X44" s="528">
        <f>('Attainment 25+ by race &amp; gender'!LK43/'Pop 25+ by race &amp; gender'!BC42)*100</f>
        <v>10.975217251367878</v>
      </c>
      <c r="Y44" s="657">
        <f>('Attainment 25+ by race &amp; gender'!MS43/'Pop 25+ by race &amp; gender'!DD42)*100</f>
        <v>10.463170434240009</v>
      </c>
      <c r="Z44" s="527">
        <f>('Attainment 25+ by race &amp; gender'!BY43/'Pop 25+ by race &amp; gender'!AT42)*100</f>
        <v>86.88499596474162</v>
      </c>
      <c r="AA44" s="669">
        <f>('Attainment 25+ by race &amp; gender'!DH43/'Pop 25+ by race &amp; gender'!DF42)*100</f>
        <v>92.979080721514592</v>
      </c>
      <c r="AB44" s="528">
        <f>('Attainment 25+ by race &amp; gender'!BZ43/'Pop 25+ by race &amp; gender'!AZ42)*100</f>
        <v>77.262031396060976</v>
      </c>
      <c r="AC44" s="527">
        <f>('Attainment 25+ by race &amp; gender'!DI43/'Pop 25+ by race &amp; gender'!DG42)*100</f>
        <v>82.930998970133885</v>
      </c>
      <c r="AD44" s="528">
        <f>('Attainment 25+ by race &amp; gender'!CA43/'Pop 25+ by race &amp; gender'!BC42)*100</f>
        <v>52.303937345778351</v>
      </c>
      <c r="AE44" s="527">
        <f>('Attainment 25+ by race &amp; gender'!DJ43/'Pop 25+ by race &amp; gender'!DI42)*100</f>
        <v>56.167299349240785</v>
      </c>
      <c r="AF44" s="528">
        <f>('Attainment 25+ by race &amp; gender'!LB43/'Pop 25+ by race &amp; gender'!AT42)*100</f>
        <v>21.26412685681268</v>
      </c>
      <c r="AG44" s="527">
        <f>('Attainment 25+ by race &amp; gender'!MV43/'Pop 25+ by race &amp; gender'!DF42)*100</f>
        <v>26.57878354884803</v>
      </c>
      <c r="AH44" s="528">
        <f>('Attainment 25+ by race &amp; gender'!LH43/'Pop 25+ by race &amp; gender'!AZ42)*100</f>
        <v>14.695548464042806</v>
      </c>
      <c r="AI44" s="527">
        <f>('Attainment 25+ by race &amp; gender'!MW43/'Pop 25+ by race &amp; gender'!DG42)*100</f>
        <v>16.889804325437694</v>
      </c>
      <c r="AJ44" s="528">
        <f>('Attainment 25+ by race &amp; gender'!LK43/'Pop 25+ by race &amp; gender'!BC42)*100</f>
        <v>10.975217251367878</v>
      </c>
      <c r="AK44" s="679">
        <f>('Attainment 25+ by race &amp; gender'!MX43/'Pop 25+ by race &amp; gender'!DI42)*100</f>
        <v>11.228308026030369</v>
      </c>
    </row>
    <row r="45" spans="1:37" x14ac:dyDescent="0.2">
      <c r="A45" s="241" t="s">
        <v>27</v>
      </c>
      <c r="B45" s="533">
        <f>('Attainment 25+ by race &amp; gender'!BY44/'Pop 25+ by race &amp; gender'!AT43)*100</f>
        <v>87.845677587757336</v>
      </c>
      <c r="C45" s="668">
        <f>('Attainment 25+ by race &amp; gender'!CX44/'Pop 25+ by race &amp; gender'!CV43)*100</f>
        <v>90.8</v>
      </c>
      <c r="D45" s="534">
        <f>('Attainment 25+ by race &amp; gender'!BZ44/'Pop 25+ by race &amp; gender'!AZ43)*100</f>
        <v>0</v>
      </c>
      <c r="E45" s="533">
        <f>IF('Pop 25+ by race &amp; gender'!CW43&gt;0,('Attainment 25+ by race &amp; gender'!CY44/'Pop 25+ by race &amp; gender'!CW43)*100,"—")</f>
        <v>85.90000000000002</v>
      </c>
      <c r="F45" s="534">
        <f>('Attainment 25+ by race &amp; gender'!CA44/'Pop 25+ by race &amp; gender'!BC43)*100</f>
        <v>0</v>
      </c>
      <c r="G45" s="533">
        <f>('Attainment 25+ by race &amp; gender'!CZ44/'Pop 25+ by race &amp; gender'!CY43)*100</f>
        <v>59.599999999999994</v>
      </c>
      <c r="H45" s="534">
        <f>('Attainment 25+ by race &amp; gender'!LB44/'Pop 25+ by race &amp; gender'!AT43)*100</f>
        <v>26.892489462221835</v>
      </c>
      <c r="I45" s="533">
        <f>('Attainment 25+ by race &amp; gender'!ML44/'Pop 25+ by race &amp; gender'!CV43)*100</f>
        <v>30.700000000000006</v>
      </c>
      <c r="J45" s="534">
        <f>('Attainment 25+ by race &amp; gender'!LH44/'Pop 25+ by race &amp; gender'!AZ43)*100</f>
        <v>14.852196400991344</v>
      </c>
      <c r="K45" s="533">
        <f>IF('Pop 25+ by race &amp; gender'!CW43&gt;0,('Attainment 25+ by race &amp; gender'!MM44/'Pop 25+ by race &amp; gender'!CW43)*100,"—")</f>
        <v>19.000000000000004</v>
      </c>
      <c r="L45" s="534">
        <f>('Attainment 25+ by race &amp; gender'!LK44/'Pop 25+ by race &amp; gender'!BC43)*100</f>
        <v>9.709087529335223</v>
      </c>
      <c r="M45" s="659">
        <f>('Attainment 25+ by race &amp; gender'!MN44/'Pop 25+ by race &amp; gender'!CY43)*100</f>
        <v>11.200000000000001</v>
      </c>
      <c r="N45" s="527">
        <f>('Attainment 25+ by race &amp; gender'!BY44/'Pop 25+ by race &amp; gender'!AT43)*100</f>
        <v>87.845677587757336</v>
      </c>
      <c r="O45" s="669">
        <f>('Attainment 25+ by race &amp; gender'!DC44/'Pop 25+ by race &amp; gender'!DA43)*100</f>
        <v>90.975087561213059</v>
      </c>
      <c r="P45" s="528">
        <f>('Attainment 25+ by race &amp; gender'!BZ44/'Pop 25+ by race &amp; gender'!AZ43)*100</f>
        <v>0</v>
      </c>
      <c r="Q45" s="527">
        <f>('Attainment 25+ by race &amp; gender'!DD44/'Pop 25+ by race &amp; gender'!DB43)*100</f>
        <v>86.795325487614178</v>
      </c>
      <c r="R45" s="528">
        <f>('Attainment 25+ by race &amp; gender'!CA44/'Pop 25+ by race &amp; gender'!BC43)*100</f>
        <v>0</v>
      </c>
      <c r="S45" s="527">
        <f>('Attainment 25+ by race &amp; gender'!DE44/'Pop 25+ by race &amp; gender'!DD43)*100</f>
        <v>59.891303602881209</v>
      </c>
      <c r="T45" s="528">
        <f>('Attainment 25+ by race &amp; gender'!LB44/'Pop 25+ by race &amp; gender'!AT43)*100</f>
        <v>26.892489462221835</v>
      </c>
      <c r="U45" s="527">
        <f>('Attainment 25+ by race &amp; gender'!MQ44/'Pop 25+ by race &amp; gender'!DA43)*100</f>
        <v>31.074747137457294</v>
      </c>
      <c r="V45" s="528">
        <f>('Attainment 25+ by race &amp; gender'!LH44/'Pop 25+ by race &amp; gender'!AZ43)*100</f>
        <v>14.852196400991344</v>
      </c>
      <c r="W45" s="527">
        <f>('Attainment 25+ by race &amp; gender'!MR44/'Pop 25+ by race &amp; gender'!DB43)*100</f>
        <v>18.594148629742406</v>
      </c>
      <c r="X45" s="528">
        <f>('Attainment 25+ by race &amp; gender'!LK44/'Pop 25+ by race &amp; gender'!BC43)*100</f>
        <v>9.709087529335223</v>
      </c>
      <c r="Y45" s="657">
        <f>('Attainment 25+ by race &amp; gender'!MS44/'Pop 25+ by race &amp; gender'!DD43)*100</f>
        <v>11.833240811179417</v>
      </c>
      <c r="Z45" s="527">
        <f>('Attainment 25+ by race &amp; gender'!BY44/'Pop 25+ by race &amp; gender'!AT43)*100</f>
        <v>87.845677587757336</v>
      </c>
      <c r="AA45" s="669">
        <f>('Attainment 25+ by race &amp; gender'!DH44/'Pop 25+ by race &amp; gender'!DF43)*100</f>
        <v>93.3821719433315</v>
      </c>
      <c r="AB45" s="528">
        <f>('Attainment 25+ by race &amp; gender'!BZ44/'Pop 25+ by race &amp; gender'!AZ43)*100</f>
        <v>0</v>
      </c>
      <c r="AC45" s="527">
        <f>('Attainment 25+ by race &amp; gender'!DI44/'Pop 25+ by race &amp; gender'!DG43)*100</f>
        <v>87.251320355351126</v>
      </c>
      <c r="AD45" s="528">
        <f>('Attainment 25+ by race &amp; gender'!CA44/'Pop 25+ by race &amp; gender'!BC43)*100</f>
        <v>0</v>
      </c>
      <c r="AE45" s="527">
        <f>('Attainment 25+ by race &amp; gender'!DJ44/'Pop 25+ by race &amp; gender'!DI43)*100</f>
        <v>60.204040781466851</v>
      </c>
      <c r="AF45" s="528">
        <f>('Attainment 25+ by race &amp; gender'!LB44/'Pop 25+ by race &amp; gender'!AT43)*100</f>
        <v>26.892489462221835</v>
      </c>
      <c r="AG45" s="527">
        <f>('Attainment 25+ by race &amp; gender'!MV44/'Pop 25+ by race &amp; gender'!DF43)*100</f>
        <v>32.819545918768171</v>
      </c>
      <c r="AH45" s="528">
        <f>('Attainment 25+ by race &amp; gender'!LH44/'Pop 25+ by race &amp; gender'!AZ43)*100</f>
        <v>14.852196400991344</v>
      </c>
      <c r="AI45" s="527">
        <f>('Attainment 25+ by race &amp; gender'!MW44/'Pop 25+ by race &amp; gender'!DG43)*100</f>
        <v>18.029083434246811</v>
      </c>
      <c r="AJ45" s="528">
        <f>('Attainment 25+ by race &amp; gender'!LK44/'Pop 25+ by race &amp; gender'!BC43)*100</f>
        <v>9.709087529335223</v>
      </c>
      <c r="AK45" s="679">
        <f>('Attainment 25+ by race &amp; gender'!MX44/'Pop 25+ by race &amp; gender'!DI43)*100</f>
        <v>11.57921426283762</v>
      </c>
    </row>
    <row r="46" spans="1:37" x14ac:dyDescent="0.2">
      <c r="A46" s="241" t="s">
        <v>30</v>
      </c>
      <c r="B46" s="533">
        <f>('Attainment 25+ by race &amp; gender'!BY45/'Pop 25+ by race &amp; gender'!AT44)*100</f>
        <v>85.296528570955005</v>
      </c>
      <c r="C46" s="668">
        <f>('Attainment 25+ by race &amp; gender'!CX45/'Pop 25+ by race &amp; gender'!CV44)*100</f>
        <v>89.999999999999986</v>
      </c>
      <c r="D46" s="534">
        <f>('Attainment 25+ by race &amp; gender'!BZ45/'Pop 25+ by race &amp; gender'!AZ44)*100</f>
        <v>74.125259932482507</v>
      </c>
      <c r="E46" s="533">
        <f>IF('Pop 25+ by race &amp; gender'!CW44&gt;0,('Attainment 25+ by race &amp; gender'!CY45/'Pop 25+ by race &amp; gender'!CW44)*100,"—")</f>
        <v>82.3</v>
      </c>
      <c r="F46" s="534">
        <f>('Attainment 25+ by race &amp; gender'!CA45/'Pop 25+ by race &amp; gender'!BC44)*100</f>
        <v>62.256143297667052</v>
      </c>
      <c r="G46" s="533">
        <f>('Attainment 25+ by race &amp; gender'!CZ45/'Pop 25+ by race &amp; gender'!CY44)*100</f>
        <v>67.600000000000009</v>
      </c>
      <c r="H46" s="534">
        <f>('Attainment 25+ by race &amp; gender'!LB45/'Pop 25+ by race &amp; gender'!AT44)*100</f>
        <v>22.630796388436003</v>
      </c>
      <c r="I46" s="533">
        <f>('Attainment 25+ by race &amp; gender'!ML45/'Pop 25+ by race &amp; gender'!CV44)*100</f>
        <v>26</v>
      </c>
      <c r="J46" s="534">
        <f>('Attainment 25+ by race &amp; gender'!LH45/'Pop 25+ by race &amp; gender'!AZ44)*100</f>
        <v>12.757937759700539</v>
      </c>
      <c r="K46" s="533">
        <f>IF('Pop 25+ by race &amp; gender'!CW44&gt;0,('Attainment 25+ by race &amp; gender'!MM45/'Pop 25+ by race &amp; gender'!CW44)*100,"—")</f>
        <v>15.799999999999997</v>
      </c>
      <c r="L46" s="534">
        <f>('Attainment 25+ by race &amp; gender'!LK45/'Pop 25+ by race &amp; gender'!BC44)*100</f>
        <v>12.886019630344334</v>
      </c>
      <c r="M46" s="659">
        <f>('Attainment 25+ by race &amp; gender'!MN45/'Pop 25+ by race &amp; gender'!CY44)*100</f>
        <v>14.6</v>
      </c>
      <c r="N46" s="527">
        <f>('Attainment 25+ by race &amp; gender'!BY45/'Pop 25+ by race &amp; gender'!AT44)*100</f>
        <v>85.296528570955005</v>
      </c>
      <c r="O46" s="669">
        <f>('Attainment 25+ by race &amp; gender'!DC45/'Pop 25+ by race &amp; gender'!DA44)*100</f>
        <v>90.288374398592836</v>
      </c>
      <c r="P46" s="528">
        <f>('Attainment 25+ by race &amp; gender'!BZ45/'Pop 25+ by race &amp; gender'!AZ44)*100</f>
        <v>74.125259932482507</v>
      </c>
      <c r="Q46" s="527">
        <f>('Attainment 25+ by race &amp; gender'!DD45/'Pop 25+ by race &amp; gender'!DB44)*100</f>
        <v>82.995270125733839</v>
      </c>
      <c r="R46" s="528">
        <f>('Attainment 25+ by race &amp; gender'!CA45/'Pop 25+ by race &amp; gender'!BC44)*100</f>
        <v>62.256143297667052</v>
      </c>
      <c r="S46" s="527">
        <f>('Attainment 25+ by race &amp; gender'!DE45/'Pop 25+ by race &amp; gender'!DD44)*100</f>
        <v>68.392355615731546</v>
      </c>
      <c r="T46" s="528">
        <f>('Attainment 25+ by race &amp; gender'!LB45/'Pop 25+ by race &amp; gender'!AT44)*100</f>
        <v>22.630796388436003</v>
      </c>
      <c r="U46" s="527">
        <f>('Attainment 25+ by race &amp; gender'!MQ45/'Pop 25+ by race &amp; gender'!DA44)*100</f>
        <v>26.455321757332449</v>
      </c>
      <c r="V46" s="528">
        <f>('Attainment 25+ by race &amp; gender'!LH45/'Pop 25+ by race &amp; gender'!AZ44)*100</f>
        <v>12.757937759700539</v>
      </c>
      <c r="W46" s="527">
        <f>('Attainment 25+ by race &amp; gender'!MR45/'Pop 25+ by race &amp; gender'!DB44)*100</f>
        <v>15.884771706319967</v>
      </c>
      <c r="X46" s="528">
        <f>('Attainment 25+ by race &amp; gender'!LK45/'Pop 25+ by race &amp; gender'!BC44)*100</f>
        <v>12.886019630344334</v>
      </c>
      <c r="Y46" s="657">
        <f>('Attainment 25+ by race &amp; gender'!MS45/'Pop 25+ by race &amp; gender'!DD44)*100</f>
        <v>15.262695660924535</v>
      </c>
      <c r="Z46" s="527">
        <f>('Attainment 25+ by race &amp; gender'!BY45/'Pop 25+ by race &amp; gender'!AT44)*100</f>
        <v>85.296528570955005</v>
      </c>
      <c r="AA46" s="669">
        <f>('Attainment 25+ by race &amp; gender'!DH45/'Pop 25+ by race &amp; gender'!DF44)*100</f>
        <v>90.979893041805553</v>
      </c>
      <c r="AB46" s="528">
        <f>('Attainment 25+ by race &amp; gender'!BZ45/'Pop 25+ by race &amp; gender'!AZ44)*100</f>
        <v>74.125259932482507</v>
      </c>
      <c r="AC46" s="527">
        <f>('Attainment 25+ by race &amp; gender'!DI45/'Pop 25+ by race &amp; gender'!DG44)*100</f>
        <v>83.532072099691405</v>
      </c>
      <c r="AD46" s="528">
        <f>('Attainment 25+ by race &amp; gender'!CA45/'Pop 25+ by race &amp; gender'!BC44)*100</f>
        <v>62.256143297667052</v>
      </c>
      <c r="AE46" s="527">
        <f>('Attainment 25+ by race &amp; gender'!DJ45/'Pop 25+ by race &amp; gender'!DI44)*100</f>
        <v>69.357816208581227</v>
      </c>
      <c r="AF46" s="528">
        <f>('Attainment 25+ by race &amp; gender'!LB45/'Pop 25+ by race &amp; gender'!AT44)*100</f>
        <v>22.630796388436003</v>
      </c>
      <c r="AG46" s="527">
        <f>('Attainment 25+ by race &amp; gender'!MV45/'Pop 25+ by race &amp; gender'!DF44)*100</f>
        <v>27.255580971264081</v>
      </c>
      <c r="AH46" s="528">
        <f>('Attainment 25+ by race &amp; gender'!LH45/'Pop 25+ by race &amp; gender'!AZ44)*100</f>
        <v>12.757937759700539</v>
      </c>
      <c r="AI46" s="527">
        <f>('Attainment 25+ by race &amp; gender'!MW45/'Pop 25+ by race &amp; gender'!DG44)*100</f>
        <v>16.072470432781142</v>
      </c>
      <c r="AJ46" s="528">
        <f>('Attainment 25+ by race &amp; gender'!LK45/'Pop 25+ by race &amp; gender'!BC44)*100</f>
        <v>12.886019630344334</v>
      </c>
      <c r="AK46" s="679">
        <f>('Attainment 25+ by race &amp; gender'!MX45/'Pop 25+ by race &amp; gender'!DI44)*100</f>
        <v>15.742822533423325</v>
      </c>
    </row>
    <row r="47" spans="1:37" s="691" customFormat="1" x14ac:dyDescent="0.25">
      <c r="A47" s="681" t="s">
        <v>31</v>
      </c>
      <c r="B47" s="682">
        <f>('Attainment 25+ by race &amp; gender'!BY46/'Pop 25+ by race &amp; gender'!AT45)*100</f>
        <v>89.195769446988081</v>
      </c>
      <c r="C47" s="683">
        <f>('Attainment 25+ by race &amp; gender'!CX46/'Pop 25+ by race &amp; gender'!CV45)*100</f>
        <v>93.2</v>
      </c>
      <c r="D47" s="684">
        <f>('Attainment 25+ by race &amp; gender'!BZ46/'Pop 25+ by race &amp; gender'!AZ45)*100</f>
        <v>79.004930418435265</v>
      </c>
      <c r="E47" s="682">
        <f>IF('Pop 25+ by race &amp; gender'!CW45&gt;0,('Attainment 25+ by race &amp; gender'!CY46/'Pop 25+ by race &amp; gender'!CW45)*100,"—")</f>
        <v>79.5</v>
      </c>
      <c r="F47" s="684">
        <f>('Attainment 25+ by race &amp; gender'!CA46/'Pop 25+ by race &amp; gender'!BC45)*100</f>
        <v>58.096480601372967</v>
      </c>
      <c r="G47" s="682">
        <f>('Attainment 25+ by race &amp; gender'!CZ46/'Pop 25+ by race &amp; gender'!CY45)*100</f>
        <v>60.699999999999996</v>
      </c>
      <c r="H47" s="684">
        <f>('Attainment 25+ by race &amp; gender'!LB46/'Pop 25+ by race &amp; gender'!AT45)*100</f>
        <v>27.91410633113296</v>
      </c>
      <c r="I47" s="682">
        <f>('Attainment 25+ by race &amp; gender'!ML46/'Pop 25+ by race &amp; gender'!CV45)*100</f>
        <v>32.499999999999993</v>
      </c>
      <c r="J47" s="684">
        <f>('Attainment 25+ by race &amp; gender'!LH46/'Pop 25+ by race &amp; gender'!AZ45)*100</f>
        <v>18.696572354186124</v>
      </c>
      <c r="K47" s="682">
        <f>IF('Pop 25+ by race &amp; gender'!CW45&gt;0,('Attainment 25+ by race &amp; gender'!MM46/'Pop 25+ by race &amp; gender'!CW45)*100,"—")</f>
        <v>18.399999999999999</v>
      </c>
      <c r="L47" s="684">
        <f>('Attainment 25+ by race &amp; gender'!LK46/'Pop 25+ by race &amp; gender'!BC45)*100</f>
        <v>14.021681732053551</v>
      </c>
      <c r="M47" s="685">
        <f>('Attainment 25+ by race &amp; gender'!MN46/'Pop 25+ by race &amp; gender'!CY45)*100</f>
        <v>13.599999999999998</v>
      </c>
      <c r="N47" s="686">
        <f>('Attainment 25+ by race &amp; gender'!BY46/'Pop 25+ by race &amp; gender'!AT45)*100</f>
        <v>89.195769446988081</v>
      </c>
      <c r="O47" s="687">
        <f>('Attainment 25+ by race &amp; gender'!DC46/'Pop 25+ by race &amp; gender'!DA45)*100</f>
        <v>93.692311032202468</v>
      </c>
      <c r="P47" s="688">
        <f>('Attainment 25+ by race &amp; gender'!BZ46/'Pop 25+ by race &amp; gender'!AZ45)*100</f>
        <v>79.004930418435265</v>
      </c>
      <c r="Q47" s="686">
        <f>('Attainment 25+ by race &amp; gender'!DD46/'Pop 25+ by race &amp; gender'!DB45)*100</f>
        <v>80.490621265625634</v>
      </c>
      <c r="R47" s="688">
        <f>('Attainment 25+ by race &amp; gender'!CA46/'Pop 25+ by race &amp; gender'!BC45)*100</f>
        <v>58.096480601372967</v>
      </c>
      <c r="S47" s="686">
        <f>('Attainment 25+ by race &amp; gender'!DE46/'Pop 25+ by race &amp; gender'!DD45)*100</f>
        <v>64.041361201040559</v>
      </c>
      <c r="T47" s="688">
        <f>('Attainment 25+ by race &amp; gender'!LB46/'Pop 25+ by race &amp; gender'!AT45)*100</f>
        <v>27.91410633113296</v>
      </c>
      <c r="U47" s="689">
        <f>('Attainment 25+ by race &amp; gender'!MQ46/'Pop 25+ by race &amp; gender'!DA45)*100</f>
        <v>33.276228393331273</v>
      </c>
      <c r="V47" s="688">
        <f>('Attainment 25+ by race &amp; gender'!LH46/'Pop 25+ by race &amp; gender'!AZ45)*100</f>
        <v>18.696572354186124</v>
      </c>
      <c r="W47" s="689">
        <f>('Attainment 25+ by race &amp; gender'!MR46/'Pop 25+ by race &amp; gender'!DB45)*100</f>
        <v>18.814533345865168</v>
      </c>
      <c r="X47" s="688">
        <f>('Attainment 25+ by race &amp; gender'!LK46/'Pop 25+ by race &amp; gender'!BC45)*100</f>
        <v>14.021681732053551</v>
      </c>
      <c r="Y47" s="736">
        <f>('Attainment 25+ by race &amp; gender'!MS46/'Pop 25+ by race &amp; gender'!DD45)*100</f>
        <v>15.645820251657467</v>
      </c>
      <c r="Z47" s="527">
        <f>('Attainment 25+ by race &amp; gender'!BY46/'Pop 25+ by race &amp; gender'!AT45)*100</f>
        <v>89.195769446988081</v>
      </c>
      <c r="AA47" s="669">
        <f>('Attainment 25+ by race &amp; gender'!DH46/'Pop 25+ by race &amp; gender'!DF45)*100</f>
        <v>94.64670471184435</v>
      </c>
      <c r="AB47" s="528">
        <f>('Attainment 25+ by race &amp; gender'!BZ46/'Pop 25+ by race &amp; gender'!AZ45)*100</f>
        <v>79.004930418435265</v>
      </c>
      <c r="AC47" s="527">
        <f>('Attainment 25+ by race &amp; gender'!DI46/'Pop 25+ by race &amp; gender'!DG45)*100</f>
        <v>80.560329115242411</v>
      </c>
      <c r="AD47" s="528">
        <f>('Attainment 25+ by race &amp; gender'!CA46/'Pop 25+ by race &amp; gender'!BC45)*100</f>
        <v>58.096480601372967</v>
      </c>
      <c r="AE47" s="527">
        <f>('Attainment 25+ by race &amp; gender'!DJ46/'Pop 25+ by race &amp; gender'!DI45)*100</f>
        <v>64.41855485324092</v>
      </c>
      <c r="AF47" s="528">
        <f>('Attainment 25+ by race &amp; gender'!LB46/'Pop 25+ by race &amp; gender'!AT45)*100</f>
        <v>27.91410633113296</v>
      </c>
      <c r="AG47" s="527">
        <f>('Attainment 25+ by race &amp; gender'!MV46/'Pop 25+ by race &amp; gender'!DF45)*100</f>
        <v>34.232126059834535</v>
      </c>
      <c r="AH47" s="528">
        <f>('Attainment 25+ by race &amp; gender'!LH46/'Pop 25+ by race &amp; gender'!AZ45)*100</f>
        <v>18.696572354186124</v>
      </c>
      <c r="AI47" s="527">
        <f>('Attainment 25+ by race &amp; gender'!MW46/'Pop 25+ by race &amp; gender'!DG45)*100</f>
        <v>19.32250169244389</v>
      </c>
      <c r="AJ47" s="528">
        <f>('Attainment 25+ by race &amp; gender'!LK46/'Pop 25+ by race &amp; gender'!BC45)*100</f>
        <v>14.021681732053551</v>
      </c>
      <c r="AK47" s="679">
        <f>('Attainment 25+ by race &amp; gender'!MX46/'Pop 25+ by race &amp; gender'!DI45)*100</f>
        <v>16.130413748800471</v>
      </c>
    </row>
    <row r="48" spans="1:37" x14ac:dyDescent="0.2">
      <c r="A48" s="241" t="s">
        <v>32</v>
      </c>
      <c r="B48" s="533">
        <f>('Attainment 25+ by race &amp; gender'!BY47/'Pop 25+ by race &amp; gender'!AT46)*100</f>
        <v>82.379612039998335</v>
      </c>
      <c r="C48" s="668">
        <f>('Attainment 25+ by race &amp; gender'!CX47/'Pop 25+ by race &amp; gender'!CV46)*100</f>
        <v>88.1</v>
      </c>
      <c r="D48" s="534">
        <f>('Attainment 25+ by race &amp; gender'!BZ47/'Pop 25+ by race &amp; gender'!AZ46)*100</f>
        <v>73.890145734291863</v>
      </c>
      <c r="E48" s="533">
        <f>IF('Pop 25+ by race &amp; gender'!CW46&gt;0,('Attainment 25+ by race &amp; gender'!CY47/'Pop 25+ by race &amp; gender'!CW46)*100,"—")</f>
        <v>81.899999999999991</v>
      </c>
      <c r="F48" s="534">
        <f>('Attainment 25+ by race &amp; gender'!CA47/'Pop 25+ by race &amp; gender'!BC46)*100</f>
        <v>65.700559049615663</v>
      </c>
      <c r="G48" s="533">
        <f>('Attainment 25+ by race &amp; gender'!CZ47/'Pop 25+ by race &amp; gender'!CY46)*100</f>
        <v>66.500000000000014</v>
      </c>
      <c r="H48" s="534">
        <f>('Attainment 25+ by race &amp; gender'!LB47/'Pop 25+ by race &amp; gender'!AT46)*100</f>
        <v>22.311528565444043</v>
      </c>
      <c r="I48" s="533">
        <f>('Attainment 25+ by race &amp; gender'!ML47/'Pop 25+ by race &amp; gender'!CV46)*100</f>
        <v>26.5</v>
      </c>
      <c r="J48" s="534">
        <f>('Attainment 25+ by race &amp; gender'!LH47/'Pop 25+ by race &amp; gender'!AZ46)*100</f>
        <v>13.18573972823825</v>
      </c>
      <c r="K48" s="533">
        <f>IF('Pop 25+ by race &amp; gender'!CW46&gt;0,('Attainment 25+ by race &amp; gender'!MM47/'Pop 25+ by race &amp; gender'!CW46)*100,"—")</f>
        <v>16.099999999999998</v>
      </c>
      <c r="L48" s="534">
        <f>('Attainment 25+ by race &amp; gender'!LK47/'Pop 25+ by race &amp; gender'!BC46)*100</f>
        <v>16.060447239692525</v>
      </c>
      <c r="M48" s="659">
        <f>('Attainment 25+ by race &amp; gender'!MN47/'Pop 25+ by race &amp; gender'!CY46)*100</f>
        <v>17</v>
      </c>
      <c r="N48" s="527">
        <f>('Attainment 25+ by race &amp; gender'!BY47/'Pop 25+ by race &amp; gender'!AT46)*100</f>
        <v>82.379612039998335</v>
      </c>
      <c r="O48" s="669">
        <f>('Attainment 25+ by race &amp; gender'!DC47/'Pop 25+ by race &amp; gender'!DA46)*100</f>
        <v>88.527740431596442</v>
      </c>
      <c r="P48" s="528">
        <f>('Attainment 25+ by race &amp; gender'!BZ47/'Pop 25+ by race &amp; gender'!AZ46)*100</f>
        <v>73.890145734291863</v>
      </c>
      <c r="Q48" s="527">
        <f>('Attainment 25+ by race &amp; gender'!DD47/'Pop 25+ by race &amp; gender'!DB46)*100</f>
        <v>82.095506078932004</v>
      </c>
      <c r="R48" s="528">
        <f>('Attainment 25+ by race &amp; gender'!CA47/'Pop 25+ by race &amp; gender'!BC46)*100</f>
        <v>65.700559049615663</v>
      </c>
      <c r="S48" s="527">
        <f>('Attainment 25+ by race &amp; gender'!DE47/'Pop 25+ by race &amp; gender'!DD46)*100</f>
        <v>67.406127577795843</v>
      </c>
      <c r="T48" s="528">
        <f>('Attainment 25+ by race &amp; gender'!LB47/'Pop 25+ by race &amp; gender'!AT46)*100</f>
        <v>22.311528565444043</v>
      </c>
      <c r="U48" s="527">
        <f>('Attainment 25+ by race &amp; gender'!MQ47/'Pop 25+ by race &amp; gender'!DA46)*100</f>
        <v>26.978286842454608</v>
      </c>
      <c r="V48" s="528">
        <f>('Attainment 25+ by race &amp; gender'!LH47/'Pop 25+ by race &amp; gender'!AZ46)*100</f>
        <v>13.18573972823825</v>
      </c>
      <c r="W48" s="527">
        <f>('Attainment 25+ by race &amp; gender'!MR47/'Pop 25+ by race &amp; gender'!DB46)*100</f>
        <v>16.397430390316181</v>
      </c>
      <c r="X48" s="528">
        <f>('Attainment 25+ by race &amp; gender'!LK47/'Pop 25+ by race &amp; gender'!BC46)*100</f>
        <v>16.060447239692525</v>
      </c>
      <c r="Y48" s="657">
        <f>('Attainment 25+ by race &amp; gender'!MS47/'Pop 25+ by race &amp; gender'!DD46)*100</f>
        <v>17.833912336462415</v>
      </c>
      <c r="Z48" s="527">
        <f>('Attainment 25+ by race &amp; gender'!BY47/'Pop 25+ by race &amp; gender'!AT46)*100</f>
        <v>82.379612039998335</v>
      </c>
      <c r="AA48" s="669">
        <f>('Attainment 25+ by race &amp; gender'!DH47/'Pop 25+ by race &amp; gender'!DF46)*100</f>
        <v>89.43765799564494</v>
      </c>
      <c r="AB48" s="528">
        <f>('Attainment 25+ by race &amp; gender'!BZ47/'Pop 25+ by race &amp; gender'!AZ46)*100</f>
        <v>73.890145734291863</v>
      </c>
      <c r="AC48" s="527">
        <f>('Attainment 25+ by race &amp; gender'!DI47/'Pop 25+ by race &amp; gender'!DG46)*100</f>
        <v>82.971160020876582</v>
      </c>
      <c r="AD48" s="528">
        <f>('Attainment 25+ by race &amp; gender'!CA47/'Pop 25+ by race &amp; gender'!BC46)*100</f>
        <v>65.700559049615663</v>
      </c>
      <c r="AE48" s="527">
        <f>('Attainment 25+ by race &amp; gender'!DJ47/'Pop 25+ by race &amp; gender'!DI46)*100</f>
        <v>68.351430502365389</v>
      </c>
      <c r="AF48" s="528">
        <f>('Attainment 25+ by race &amp; gender'!LB47/'Pop 25+ by race &amp; gender'!AT46)*100</f>
        <v>22.311528565444043</v>
      </c>
      <c r="AG48" s="527">
        <f>('Attainment 25+ by race &amp; gender'!MV47/'Pop 25+ by race &amp; gender'!DF46)*100</f>
        <v>27.535257545707196</v>
      </c>
      <c r="AH48" s="528">
        <f>('Attainment 25+ by race &amp; gender'!LH47/'Pop 25+ by race &amp; gender'!AZ46)*100</f>
        <v>13.18573972823825</v>
      </c>
      <c r="AI48" s="527">
        <f>('Attainment 25+ by race &amp; gender'!MW47/'Pop 25+ by race &amp; gender'!DG46)*100</f>
        <v>16.384504193353649</v>
      </c>
      <c r="AJ48" s="528">
        <f>('Attainment 25+ by race &amp; gender'!LK47/'Pop 25+ by race &amp; gender'!BC46)*100</f>
        <v>16.060447239692525</v>
      </c>
      <c r="AK48" s="679">
        <f>('Attainment 25+ by race &amp; gender'!MX47/'Pop 25+ by race &amp; gender'!DI46)*100</f>
        <v>17.574228429826537</v>
      </c>
    </row>
    <row r="49" spans="1:37" x14ac:dyDescent="0.2">
      <c r="A49" s="241" t="s">
        <v>34</v>
      </c>
      <c r="B49" s="533">
        <f>('Attainment 25+ by race &amp; gender'!BY48/'Pop 25+ by race &amp; gender'!AT47)*100</f>
        <v>88.186937996209451</v>
      </c>
      <c r="C49" s="668">
        <f>('Attainment 25+ by race &amp; gender'!CX48/'Pop 25+ by race &amp; gender'!CV47)*100</f>
        <v>91.899999999999977</v>
      </c>
      <c r="D49" s="534">
        <f>('Attainment 25+ by race &amp; gender'!BZ48/'Pop 25+ by race &amp; gender'!AZ47)*100</f>
        <v>78.601142603583114</v>
      </c>
      <c r="E49" s="533">
        <f>IF('Pop 25+ by race &amp; gender'!CW47&gt;0,('Attainment 25+ by race &amp; gender'!CY48/'Pop 25+ by race &amp; gender'!CW47)*100,"—")</f>
        <v>83.600000000000009</v>
      </c>
      <c r="F49" s="534">
        <f>('Attainment 25+ by race &amp; gender'!CA48/'Pop 25+ by race &amp; gender'!BC47)*100</f>
        <v>46.619906787873191</v>
      </c>
      <c r="G49" s="533">
        <f>('Attainment 25+ by race &amp; gender'!CZ48/'Pop 25+ by race &amp; gender'!CY47)*100</f>
        <v>50.7</v>
      </c>
      <c r="H49" s="534">
        <f>('Attainment 25+ by race &amp; gender'!LB48/'Pop 25+ by race &amp; gender'!AT47)*100</f>
        <v>24.387637267518308</v>
      </c>
      <c r="I49" s="533">
        <f>('Attainment 25+ by race &amp; gender'!ML48/'Pop 25+ by race &amp; gender'!CV47)*100</f>
        <v>28.9</v>
      </c>
      <c r="J49" s="534">
        <f>('Attainment 25+ by race &amp; gender'!LH48/'Pop 25+ by race &amp; gender'!AZ47)*100</f>
        <v>14.110599589550169</v>
      </c>
      <c r="K49" s="533">
        <f>IF('Pop 25+ by race &amp; gender'!CW47&gt;0,('Attainment 25+ by race &amp; gender'!MM48/'Pop 25+ by race &amp; gender'!CW47)*100,"—")</f>
        <v>17.599999999999998</v>
      </c>
      <c r="L49" s="534">
        <f>('Attainment 25+ by race &amp; gender'!LK48/'Pop 25+ by race &amp; gender'!BC47)*100</f>
        <v>8.5367541876240143</v>
      </c>
      <c r="M49" s="659">
        <f>('Attainment 25+ by race &amp; gender'!MN48/'Pop 25+ by race &amp; gender'!CY47)*100</f>
        <v>9.0000000000000018</v>
      </c>
      <c r="N49" s="527">
        <f>('Attainment 25+ by race &amp; gender'!BY48/'Pop 25+ by race &amp; gender'!AT47)*100</f>
        <v>88.186937996209451</v>
      </c>
      <c r="O49" s="669">
        <f>('Attainment 25+ by race &amp; gender'!DC48/'Pop 25+ by race &amp; gender'!DA47)*100</f>
        <v>92.117277667748183</v>
      </c>
      <c r="P49" s="528">
        <f>('Attainment 25+ by race &amp; gender'!BZ48/'Pop 25+ by race &amp; gender'!AZ47)*100</f>
        <v>78.601142603583114</v>
      </c>
      <c r="Q49" s="527">
        <f>('Attainment 25+ by race &amp; gender'!DD48/'Pop 25+ by race &amp; gender'!DB47)*100</f>
        <v>82.553164039821951</v>
      </c>
      <c r="R49" s="528">
        <f>('Attainment 25+ by race &amp; gender'!CA48/'Pop 25+ by race &amp; gender'!BC47)*100</f>
        <v>46.619906787873191</v>
      </c>
      <c r="S49" s="527">
        <f>('Attainment 25+ by race &amp; gender'!DE48/'Pop 25+ by race &amp; gender'!DD47)*100</f>
        <v>52.769975127764098</v>
      </c>
      <c r="T49" s="528">
        <f>('Attainment 25+ by race &amp; gender'!LB48/'Pop 25+ by race &amp; gender'!AT47)*100</f>
        <v>24.387637267518308</v>
      </c>
      <c r="U49" s="527">
        <f>('Attainment 25+ by race &amp; gender'!MQ48/'Pop 25+ by race &amp; gender'!DA47)*100</f>
        <v>29.177858452538867</v>
      </c>
      <c r="V49" s="528">
        <f>('Attainment 25+ by race &amp; gender'!LH48/'Pop 25+ by race &amp; gender'!AZ47)*100</f>
        <v>14.110599589550169</v>
      </c>
      <c r="W49" s="527">
        <f>('Attainment 25+ by race &amp; gender'!MR48/'Pop 25+ by race &amp; gender'!DB47)*100</f>
        <v>17.625303717719913</v>
      </c>
      <c r="X49" s="528">
        <f>('Attainment 25+ by race &amp; gender'!LK48/'Pop 25+ by race &amp; gender'!BC47)*100</f>
        <v>8.5367541876240143</v>
      </c>
      <c r="Y49" s="657">
        <f>('Attainment 25+ by race &amp; gender'!MS48/'Pop 25+ by race &amp; gender'!DD47)*100</f>
        <v>10.09614789699677</v>
      </c>
      <c r="Z49" s="527">
        <f>('Attainment 25+ by race &amp; gender'!BY48/'Pop 25+ by race &amp; gender'!AT47)*100</f>
        <v>88.186937996209451</v>
      </c>
      <c r="AA49" s="669">
        <f>('Attainment 25+ by race &amp; gender'!DH48/'Pop 25+ by race &amp; gender'!DF47)*100</f>
        <v>94.40931452174317</v>
      </c>
      <c r="AB49" s="528">
        <f>('Attainment 25+ by race &amp; gender'!BZ48/'Pop 25+ by race &amp; gender'!AZ47)*100</f>
        <v>78.601142603583114</v>
      </c>
      <c r="AC49" s="527">
        <f>('Attainment 25+ by race &amp; gender'!DI48/'Pop 25+ by race &amp; gender'!DG47)*100</f>
        <v>84.977993238502265</v>
      </c>
      <c r="AD49" s="528">
        <f>('Attainment 25+ by race &amp; gender'!CA48/'Pop 25+ by race &amp; gender'!BC47)*100</f>
        <v>46.619906787873191</v>
      </c>
      <c r="AE49" s="527">
        <f>('Attainment 25+ by race &amp; gender'!DJ48/'Pop 25+ by race &amp; gender'!DI47)*100</f>
        <v>50.969331286372231</v>
      </c>
      <c r="AF49" s="528">
        <f>('Attainment 25+ by race &amp; gender'!LB48/'Pop 25+ by race &amp; gender'!AT47)*100</f>
        <v>24.387637267518308</v>
      </c>
      <c r="AG49" s="527">
        <f>('Attainment 25+ by race &amp; gender'!MV48/'Pop 25+ by race &amp; gender'!DF47)*100</f>
        <v>30.463734317229001</v>
      </c>
      <c r="AH49" s="528">
        <f>('Attainment 25+ by race &amp; gender'!LH48/'Pop 25+ by race &amp; gender'!AZ47)*100</f>
        <v>14.110599589550169</v>
      </c>
      <c r="AI49" s="527">
        <f>('Attainment 25+ by race &amp; gender'!MW48/'Pop 25+ by race &amp; gender'!DG47)*100</f>
        <v>19.227743403287192</v>
      </c>
      <c r="AJ49" s="528">
        <f>('Attainment 25+ by race &amp; gender'!LK48/'Pop 25+ by race &amp; gender'!BC47)*100</f>
        <v>8.5367541876240143</v>
      </c>
      <c r="AK49" s="679">
        <f>('Attainment 25+ by race &amp; gender'!MX48/'Pop 25+ by race &amp; gender'!DI47)*100</f>
        <v>9.5445511561759915</v>
      </c>
    </row>
    <row r="50" spans="1:37" x14ac:dyDescent="0.2">
      <c r="A50" s="241" t="s">
        <v>40</v>
      </c>
      <c r="B50" s="533">
        <f>('Attainment 25+ by race &amp; gender'!BY49/'Pop 25+ by race &amp; gender'!AT48)*100</f>
        <v>84.20287267542804</v>
      </c>
      <c r="C50" s="668">
        <f>('Attainment 25+ by race &amp; gender'!CX49/'Pop 25+ by race &amp; gender'!CV48)*100</f>
        <v>91.1</v>
      </c>
      <c r="D50" s="534">
        <f>('Attainment 25+ by race &amp; gender'!BZ49/'Pop 25+ by race &amp; gender'!AZ48)*100</f>
        <v>92.569870483980907</v>
      </c>
      <c r="E50" s="533" t="str">
        <f>IF('Pop 25+ by race &amp; gender'!CW48&gt;0,('Attainment 25+ by race &amp; gender'!CY49/'Pop 25+ by race &amp; gender'!CW48)*100,"—")</f>
        <v>—</v>
      </c>
      <c r="F50" s="534">
        <f>('Attainment 25+ by race &amp; gender'!CA49/'Pop 25+ by race &amp; gender'!BC48)*100</f>
        <v>72.988505747126439</v>
      </c>
      <c r="G50" s="533" t="str">
        <f>IF('Pop 25+ by race &amp; gender'!CY48&gt;0,('Attainment 25+ by race &amp; gender'!CZ49/'Pop 25+ by race &amp; gender'!CY48)*100,"—")</f>
        <v>—</v>
      </c>
      <c r="H50" s="534">
        <f>('Attainment 25+ by race &amp; gender'!LB49/'Pop 25+ by race &amp; gender'!AT48)*100</f>
        <v>22.364795106463909</v>
      </c>
      <c r="I50" s="533">
        <f>('Attainment 25+ by race &amp; gender'!ML49/'Pop 25+ by race &amp; gender'!CV48)*100</f>
        <v>27.200000000000003</v>
      </c>
      <c r="J50" s="534">
        <f>('Attainment 25+ by race &amp; gender'!LH49/'Pop 25+ by race &amp; gender'!AZ48)*100</f>
        <v>20.518064076346285</v>
      </c>
      <c r="K50" s="533" t="str">
        <f>IF('Pop 25+ by race &amp; gender'!CW48&gt;0,('Attainment 25+ by race &amp; gender'!MM49/'Pop 25+ by race &amp; gender'!CW48)*100,"—")</f>
        <v>—</v>
      </c>
      <c r="L50" s="534">
        <f>('Attainment 25+ by race &amp; gender'!LK49/'Pop 25+ by race &amp; gender'!BC48)*100</f>
        <v>16.303690260133092</v>
      </c>
      <c r="M50" s="659" t="str">
        <f>IF('Pop 25+ by race &amp; gender'!CY48&gt;0,('Attainment 25+ by race &amp; gender'!MN49/'Pop 25+ by race &amp; gender'!CY48)*100,"—")</f>
        <v>—</v>
      </c>
      <c r="N50" s="527">
        <f>('Attainment 25+ by race &amp; gender'!BY49/'Pop 25+ by race &amp; gender'!AT48)*100</f>
        <v>84.20287267542804</v>
      </c>
      <c r="O50" s="669">
        <f>('Attainment 25+ by race &amp; gender'!DC49/'Pop 25+ by race &amp; gender'!DA48)*100</f>
        <v>91.601911370158945</v>
      </c>
      <c r="P50" s="528">
        <f>('Attainment 25+ by race &amp; gender'!BZ49/'Pop 25+ by race &amp; gender'!AZ48)*100</f>
        <v>92.569870483980907</v>
      </c>
      <c r="Q50" s="527">
        <f>('Attainment 25+ by race &amp; gender'!DD49/'Pop 25+ by race &amp; gender'!DB48)*100</f>
        <v>84.593639575971736</v>
      </c>
      <c r="R50" s="528">
        <f>('Attainment 25+ by race &amp; gender'!CA49/'Pop 25+ by race &amp; gender'!BC48)*100</f>
        <v>72.988505747126439</v>
      </c>
      <c r="S50" s="527">
        <f>('Attainment 25+ by race &amp; gender'!DE49/'Pop 25+ by race &amp; gender'!DD48)*100</f>
        <v>76.089644513137557</v>
      </c>
      <c r="T50" s="528">
        <f>('Attainment 25+ by race &amp; gender'!LB49/'Pop 25+ by race &amp; gender'!AT48)*100</f>
        <v>22.364795106463909</v>
      </c>
      <c r="U50" s="527">
        <f>('Attainment 25+ by race &amp; gender'!MQ49/'Pop 25+ by race &amp; gender'!DA48)*100</f>
        <v>27.754907296629206</v>
      </c>
      <c r="V50" s="528">
        <f>('Attainment 25+ by race &amp; gender'!LH49/'Pop 25+ by race &amp; gender'!AZ48)*100</f>
        <v>20.518064076346285</v>
      </c>
      <c r="W50" s="527">
        <f>('Attainment 25+ by race &amp; gender'!MR49/'Pop 25+ by race &amp; gender'!DB48)*100</f>
        <v>31.54299175500589</v>
      </c>
      <c r="X50" s="528">
        <f>('Attainment 25+ by race &amp; gender'!LK49/'Pop 25+ by race &amp; gender'!BC48)*100</f>
        <v>16.303690260133092</v>
      </c>
      <c r="Y50" s="657">
        <f>('Attainment 25+ by race &amp; gender'!MS49/'Pop 25+ by race &amp; gender'!DD48)*100</f>
        <v>17.666151468315302</v>
      </c>
      <c r="Z50" s="527">
        <f>('Attainment 25+ by race &amp; gender'!BY49/'Pop 25+ by race &amp; gender'!AT48)*100</f>
        <v>84.20287267542804</v>
      </c>
      <c r="AA50" s="669">
        <f>('Attainment 25+ by race &amp; gender'!DH49/'Pop 25+ by race &amp; gender'!DF48)*100</f>
        <v>92.096971148090518</v>
      </c>
      <c r="AB50" s="528">
        <f>('Attainment 25+ by race &amp; gender'!BZ49/'Pop 25+ by race &amp; gender'!AZ48)*100</f>
        <v>92.569870483980907</v>
      </c>
      <c r="AC50" s="527">
        <f>('Attainment 25+ by race &amp; gender'!DI49/'Pop 25+ by race &amp; gender'!DG48)*100</f>
        <v>83.523107836570659</v>
      </c>
      <c r="AD50" s="528">
        <f>('Attainment 25+ by race &amp; gender'!CA49/'Pop 25+ by race &amp; gender'!BC48)*100</f>
        <v>72.988505747126439</v>
      </c>
      <c r="AE50" s="527">
        <f>('Attainment 25+ by race &amp; gender'!DJ49/'Pop 25+ by race &amp; gender'!DI48)*100</f>
        <v>75.628240925408846</v>
      </c>
      <c r="AF50" s="528">
        <f>('Attainment 25+ by race &amp; gender'!LB49/'Pop 25+ by race &amp; gender'!AT48)*100</f>
        <v>22.364795106463909</v>
      </c>
      <c r="AG50" s="527">
        <f>('Attainment 25+ by race &amp; gender'!MV49/'Pop 25+ by race &amp; gender'!DF48)*100</f>
        <v>27.854423560397461</v>
      </c>
      <c r="AH50" s="528">
        <f>('Attainment 25+ by race &amp; gender'!LH49/'Pop 25+ by race &amp; gender'!AZ48)*100</f>
        <v>20.518064076346285</v>
      </c>
      <c r="AI50" s="527">
        <f>('Attainment 25+ by race &amp; gender'!MW49/'Pop 25+ by race &amp; gender'!DG48)*100</f>
        <v>27.796383121232417</v>
      </c>
      <c r="AJ50" s="528">
        <f>('Attainment 25+ by race &amp; gender'!LK49/'Pop 25+ by race &amp; gender'!BC48)*100</f>
        <v>16.303690260133092</v>
      </c>
      <c r="AK50" s="679">
        <f>('Attainment 25+ by race &amp; gender'!MX49/'Pop 25+ by race &amp; gender'!DI48)*100</f>
        <v>15.370296503124584</v>
      </c>
    </row>
    <row r="51" spans="1:37" x14ac:dyDescent="0.2">
      <c r="A51" s="241" t="s">
        <v>41</v>
      </c>
      <c r="B51" s="533">
        <f>('Attainment 25+ by race &amp; gender'!BY50/'Pop 25+ by race &amp; gender'!AT49)*100</f>
        <v>84.195414293390812</v>
      </c>
      <c r="C51" s="668">
        <f>('Attainment 25+ by race &amp; gender'!CX50/'Pop 25+ by race &amp; gender'!CV49)*100</f>
        <v>88.9</v>
      </c>
      <c r="D51" s="534">
        <f>('Attainment 25+ by race &amp; gender'!BZ50/'Pop 25+ by race &amp; gender'!AZ49)*100</f>
        <v>73.891583364268797</v>
      </c>
      <c r="E51" s="533">
        <f>IF('Pop 25+ by race &amp; gender'!CW49&gt;0,('Attainment 25+ by race &amp; gender'!CY50/'Pop 25+ by race &amp; gender'!CW49)*100,"—")</f>
        <v>82.09999999999998</v>
      </c>
      <c r="F51" s="534">
        <f>('Attainment 25+ by race &amp; gender'!CA50/'Pop 25+ by race &amp; gender'!BC49)*100</f>
        <v>67.095602078469767</v>
      </c>
      <c r="G51" s="533">
        <f>('Attainment 25+ by race &amp; gender'!CZ50/'Pop 25+ by race &amp; gender'!CY49)*100</f>
        <v>71.000000000000014</v>
      </c>
      <c r="H51" s="534">
        <f>('Attainment 25+ by race &amp; gender'!LB50/'Pop 25+ by race &amp; gender'!AT49)*100</f>
        <v>21.784860678938315</v>
      </c>
      <c r="I51" s="533">
        <f>('Attainment 25+ by race &amp; gender'!ML50/'Pop 25+ by race &amp; gender'!CV49)*100</f>
        <v>25.2</v>
      </c>
      <c r="J51" s="534">
        <f>('Attainment 25+ by race &amp; gender'!LH50/'Pop 25+ by race &amp; gender'!AZ49)*100</f>
        <v>11.921970256386889</v>
      </c>
      <c r="K51" s="533">
        <f>IF('Pop 25+ by race &amp; gender'!CW49&gt;0,('Attainment 25+ by race &amp; gender'!MM50/'Pop 25+ by race &amp; gender'!CW49)*100,"—")</f>
        <v>14.299999999999999</v>
      </c>
      <c r="L51" s="534">
        <f>('Attainment 25+ by race &amp; gender'!LK50/'Pop 25+ by race &amp; gender'!BC49)*100</f>
        <v>15.165863393327811</v>
      </c>
      <c r="M51" s="659">
        <f>('Attainment 25+ by race &amp; gender'!MN50/'Pop 25+ by race &amp; gender'!CY49)*100</f>
        <v>16.7</v>
      </c>
      <c r="N51" s="527">
        <f>('Attainment 25+ by race &amp; gender'!BY50/'Pop 25+ by race &amp; gender'!AT49)*100</f>
        <v>84.195414293390812</v>
      </c>
      <c r="O51" s="669">
        <f>('Attainment 25+ by race &amp; gender'!DC50/'Pop 25+ by race &amp; gender'!DA49)*100</f>
        <v>89.405786083595245</v>
      </c>
      <c r="P51" s="528">
        <f>('Attainment 25+ by race &amp; gender'!BZ50/'Pop 25+ by race &amp; gender'!AZ49)*100</f>
        <v>73.891583364268797</v>
      </c>
      <c r="Q51" s="527">
        <f>('Attainment 25+ by race &amp; gender'!DD50/'Pop 25+ by race &amp; gender'!DB49)*100</f>
        <v>82.708658827399063</v>
      </c>
      <c r="R51" s="528">
        <f>('Attainment 25+ by race &amp; gender'!CA50/'Pop 25+ by race &amp; gender'!BC49)*100</f>
        <v>67.095602078469767</v>
      </c>
      <c r="S51" s="527">
        <f>('Attainment 25+ by race &amp; gender'!DE50/'Pop 25+ by race &amp; gender'!DD49)*100</f>
        <v>71.824283765347886</v>
      </c>
      <c r="T51" s="528">
        <f>('Attainment 25+ by race &amp; gender'!LB50/'Pop 25+ by race &amp; gender'!AT49)*100</f>
        <v>21.784860678938315</v>
      </c>
      <c r="U51" s="527">
        <f>('Attainment 25+ by race &amp; gender'!MQ50/'Pop 25+ by race &amp; gender'!DA49)*100</f>
        <v>25.605095445038256</v>
      </c>
      <c r="V51" s="528">
        <f>('Attainment 25+ by race &amp; gender'!LH50/'Pop 25+ by race &amp; gender'!AZ49)*100</f>
        <v>11.921970256386889</v>
      </c>
      <c r="W51" s="527">
        <f>('Attainment 25+ by race &amp; gender'!MR50/'Pop 25+ by race &amp; gender'!DB49)*100</f>
        <v>14.681710855545244</v>
      </c>
      <c r="X51" s="528">
        <f>('Attainment 25+ by race &amp; gender'!LK50/'Pop 25+ by race &amp; gender'!BC49)*100</f>
        <v>15.165863393327811</v>
      </c>
      <c r="Y51" s="657">
        <f>('Attainment 25+ by race &amp; gender'!MS50/'Pop 25+ by race &amp; gender'!DD49)*100</f>
        <v>17.227830832196453</v>
      </c>
      <c r="Z51" s="527">
        <f>('Attainment 25+ by race &amp; gender'!BY50/'Pop 25+ by race &amp; gender'!AT49)*100</f>
        <v>84.195414293390812</v>
      </c>
      <c r="AA51" s="669">
        <f>('Attainment 25+ by race &amp; gender'!DH50/'Pop 25+ by race &amp; gender'!DF49)*100</f>
        <v>90.05508097050236</v>
      </c>
      <c r="AB51" s="528">
        <f>('Attainment 25+ by race &amp; gender'!BZ50/'Pop 25+ by race &amp; gender'!AZ49)*100</f>
        <v>73.891583364268797</v>
      </c>
      <c r="AC51" s="527">
        <f>('Attainment 25+ by race &amp; gender'!DI50/'Pop 25+ by race &amp; gender'!DG49)*100</f>
        <v>82.779604432961492</v>
      </c>
      <c r="AD51" s="528">
        <f>('Attainment 25+ by race &amp; gender'!CA50/'Pop 25+ by race &amp; gender'!BC49)*100</f>
        <v>67.095602078469767</v>
      </c>
      <c r="AE51" s="527">
        <f>('Attainment 25+ by race &amp; gender'!DJ50/'Pop 25+ by race &amp; gender'!DI49)*100</f>
        <v>71.712466434898218</v>
      </c>
      <c r="AF51" s="528">
        <f>('Attainment 25+ by race &amp; gender'!LB50/'Pop 25+ by race &amp; gender'!AT49)*100</f>
        <v>21.784860678938315</v>
      </c>
      <c r="AG51" s="527">
        <f>('Attainment 25+ by race &amp; gender'!MV50/'Pop 25+ by race &amp; gender'!DF49)*100</f>
        <v>26.232573525840035</v>
      </c>
      <c r="AH51" s="528">
        <f>('Attainment 25+ by race &amp; gender'!LH50/'Pop 25+ by race &amp; gender'!AZ49)*100</f>
        <v>11.921970256386889</v>
      </c>
      <c r="AI51" s="527">
        <f>('Attainment 25+ by race &amp; gender'!MW50/'Pop 25+ by race &amp; gender'!DG49)*100</f>
        <v>15.355603005548831</v>
      </c>
      <c r="AJ51" s="528">
        <f>('Attainment 25+ by race &amp; gender'!LK50/'Pop 25+ by race &amp; gender'!BC49)*100</f>
        <v>15.165863393327811</v>
      </c>
      <c r="AK51" s="679">
        <f>('Attainment 25+ by race &amp; gender'!MX50/'Pop 25+ by race &amp; gender'!DI49)*100</f>
        <v>16.533813048317921</v>
      </c>
    </row>
    <row r="52" spans="1:37" x14ac:dyDescent="0.2">
      <c r="A52" s="241" t="s">
        <v>45</v>
      </c>
      <c r="B52" s="533">
        <f>('Attainment 25+ by race &amp; gender'!BY51/'Pop 25+ by race &amp; gender'!AT50)*100</f>
        <v>85.663487033415919</v>
      </c>
      <c r="C52" s="668">
        <f>('Attainment 25+ by race &amp; gender'!CX51/'Pop 25+ by race &amp; gender'!CV50)*100</f>
        <v>91.5</v>
      </c>
      <c r="D52" s="534">
        <f>('Attainment 25+ by race &amp; gender'!BZ51/'Pop 25+ by race &amp; gender'!AZ50)*100</f>
        <v>84.078947368421055</v>
      </c>
      <c r="E52" s="533" t="str">
        <f>IF('Pop 25+ by race &amp; gender'!CW50&gt;0,('Attainment 25+ by race &amp; gender'!CY51/'Pop 25+ by race &amp; gender'!CW50)*100,"—")</f>
        <v>—</v>
      </c>
      <c r="F52" s="534">
        <f>('Attainment 25+ by race &amp; gender'!CA51/'Pop 25+ by race &amp; gender'!BC50)*100</f>
        <v>64.92022423458387</v>
      </c>
      <c r="G52" s="533">
        <f>('Attainment 25+ by race &amp; gender'!CZ51/'Pop 25+ by race &amp; gender'!CY50)*100</f>
        <v>64.3</v>
      </c>
      <c r="H52" s="534">
        <f>('Attainment 25+ by race &amp; gender'!LB51/'Pop 25+ by race &amp; gender'!AT50)*100</f>
        <v>22.30925635048931</v>
      </c>
      <c r="I52" s="533">
        <f>('Attainment 25+ by race &amp; gender'!ML51/'Pop 25+ by race &amp; gender'!CV50)*100</f>
        <v>27.1</v>
      </c>
      <c r="J52" s="534">
        <f>('Attainment 25+ by race &amp; gender'!LH51/'Pop 25+ by race &amp; gender'!AZ50)*100</f>
        <v>19.342105263157894</v>
      </c>
      <c r="K52" s="533" t="str">
        <f>IF('Pop 25+ by race &amp; gender'!CW50&gt;0,('Attainment 25+ by race &amp; gender'!MM51/'Pop 25+ by race &amp; gender'!CW50)*100,"—")</f>
        <v>—</v>
      </c>
      <c r="L52" s="534">
        <f>('Attainment 25+ by race &amp; gender'!LK51/'Pop 25+ by race &amp; gender'!BC50)*100</f>
        <v>11.707632600258734</v>
      </c>
      <c r="M52" s="659">
        <f>('Attainment 25+ by race &amp; gender'!MN51/'Pop 25+ by race &amp; gender'!CY50)*100</f>
        <v>15.299999999999999</v>
      </c>
      <c r="N52" s="527">
        <f>('Attainment 25+ by race &amp; gender'!BY51/'Pop 25+ by race &amp; gender'!AT50)*100</f>
        <v>85.663487033415919</v>
      </c>
      <c r="O52" s="669">
        <f>('Attainment 25+ by race &amp; gender'!DC51/'Pop 25+ by race &amp; gender'!DA50)*100</f>
        <v>91.91374272035813</v>
      </c>
      <c r="P52" s="528">
        <f>('Attainment 25+ by race &amp; gender'!BZ51/'Pop 25+ by race &amp; gender'!AZ50)*100</f>
        <v>84.078947368421055</v>
      </c>
      <c r="Q52" s="527">
        <f>('Attainment 25+ by race &amp; gender'!DD51/'Pop 25+ by race &amp; gender'!DB50)*100</f>
        <v>79.26315789473685</v>
      </c>
      <c r="R52" s="528">
        <f>('Attainment 25+ by race &amp; gender'!CA51/'Pop 25+ by race &amp; gender'!BC50)*100</f>
        <v>64.92022423458387</v>
      </c>
      <c r="S52" s="527">
        <f>('Attainment 25+ by race &amp; gender'!DE51/'Pop 25+ by race &amp; gender'!DD50)*100</f>
        <v>65.120663650075414</v>
      </c>
      <c r="T52" s="528">
        <f>('Attainment 25+ by race &amp; gender'!LB51/'Pop 25+ by race &amp; gender'!AT50)*100</f>
        <v>22.30925635048931</v>
      </c>
      <c r="U52" s="527">
        <f>('Attainment 25+ by race &amp; gender'!MQ51/'Pop 25+ by race &amp; gender'!DA50)*100</f>
        <v>27.6562143789766</v>
      </c>
      <c r="V52" s="528">
        <f>('Attainment 25+ by race &amp; gender'!LH51/'Pop 25+ by race &amp; gender'!AZ50)*100</f>
        <v>19.342105263157894</v>
      </c>
      <c r="W52" s="527">
        <f>('Attainment 25+ by race &amp; gender'!MR51/'Pop 25+ by race &amp; gender'!DB50)*100</f>
        <v>18.701754385964911</v>
      </c>
      <c r="X52" s="528">
        <f>('Attainment 25+ by race &amp; gender'!LK51/'Pop 25+ by race &amp; gender'!BC50)*100</f>
        <v>11.707632600258734</v>
      </c>
      <c r="Y52" s="657">
        <f>('Attainment 25+ by race &amp; gender'!MS51/'Pop 25+ by race &amp; gender'!DD50)*100</f>
        <v>14.903846153846153</v>
      </c>
      <c r="Z52" s="527">
        <f>('Attainment 25+ by race &amp; gender'!BY51/'Pop 25+ by race &amp; gender'!AT50)*100</f>
        <v>85.663487033415919</v>
      </c>
      <c r="AA52" s="669">
        <f>('Attainment 25+ by race &amp; gender'!DH51/'Pop 25+ by race &amp; gender'!DF50)*100</f>
        <v>92.767374271858827</v>
      </c>
      <c r="AB52" s="528">
        <f>('Attainment 25+ by race &amp; gender'!BZ51/'Pop 25+ by race &amp; gender'!AZ50)*100</f>
        <v>84.078947368421055</v>
      </c>
      <c r="AC52" s="527">
        <f>('Attainment 25+ by race &amp; gender'!DI51/'Pop 25+ by race &amp; gender'!DG50)*100</f>
        <v>78.056924789314678</v>
      </c>
      <c r="AD52" s="528">
        <f>('Attainment 25+ by race &amp; gender'!CA51/'Pop 25+ by race &amp; gender'!BC50)*100</f>
        <v>64.92022423458387</v>
      </c>
      <c r="AE52" s="527">
        <f>('Attainment 25+ by race &amp; gender'!DJ51/'Pop 25+ by race &amp; gender'!DI50)*100</f>
        <v>68.018667798048369</v>
      </c>
      <c r="AF52" s="528">
        <f>('Attainment 25+ by race &amp; gender'!LB51/'Pop 25+ by race &amp; gender'!AT50)*100</f>
        <v>22.30925635048931</v>
      </c>
      <c r="AG52" s="527">
        <f>('Attainment 25+ by race &amp; gender'!MV51/'Pop 25+ by race &amp; gender'!DF50)*100</f>
        <v>27.874932762912646</v>
      </c>
      <c r="AH52" s="528">
        <f>('Attainment 25+ by race &amp; gender'!LH51/'Pop 25+ by race &amp; gender'!AZ50)*100</f>
        <v>19.342105263157894</v>
      </c>
      <c r="AI52" s="527">
        <f>('Attainment 25+ by race &amp; gender'!MW51/'Pop 25+ by race &amp; gender'!DG50)*100</f>
        <v>18.397201462871681</v>
      </c>
      <c r="AJ52" s="528">
        <f>('Attainment 25+ by race &amp; gender'!LK51/'Pop 25+ by race &amp; gender'!BC50)*100</f>
        <v>11.707632600258734</v>
      </c>
      <c r="AK52" s="679">
        <f>('Attainment 25+ by race &amp; gender'!MX51/'Pop 25+ by race &amp; gender'!DI50)*100</f>
        <v>13.075943996605854</v>
      </c>
    </row>
    <row r="53" spans="1:37" x14ac:dyDescent="0.2">
      <c r="A53" s="245" t="s">
        <v>49</v>
      </c>
      <c r="B53" s="535">
        <f>('Attainment 25+ by race &amp; gender'!BY52/'Pop 25+ by race &amp; gender'!AT51)*100</f>
        <v>86.610070692241464</v>
      </c>
      <c r="C53" s="673">
        <f>('Attainment 25+ by race &amp; gender'!CX52/'Pop 25+ by race &amp; gender'!CV51)*100</f>
        <v>91.300000000000011</v>
      </c>
      <c r="D53" s="536">
        <f>('Attainment 25+ by race &amp; gender'!BZ52/'Pop 25+ by race &amp; gender'!AZ51)*100</f>
        <v>68.469339436508562</v>
      </c>
      <c r="E53" s="535">
        <f>IF('Pop 25+ by race &amp; gender'!CW51&gt;0,('Attainment 25+ by race &amp; gender'!CY52/'Pop 25+ by race &amp; gender'!CW51)*100,"—")</f>
        <v>79.400000000000006</v>
      </c>
      <c r="F53" s="536">
        <f>('Attainment 25+ by race &amp; gender'!CA52/'Pop 25+ by race &amp; gender'!BC51)*100</f>
        <v>54.608125215790082</v>
      </c>
      <c r="G53" s="535">
        <f>('Attainment 25+ by race &amp; gender'!CZ52/'Pop 25+ by race &amp; gender'!CY51)*100</f>
        <v>61.6</v>
      </c>
      <c r="H53" s="536">
        <f>('Attainment 25+ by race &amp; gender'!LB52/'Pop 25+ by race &amp; gender'!AT51)*100</f>
        <v>23.026801909808739</v>
      </c>
      <c r="I53" s="535">
        <f>('Attainment 25+ by race &amp; gender'!ML52/'Pop 25+ by race &amp; gender'!CV51)*100</f>
        <v>26.900000000000002</v>
      </c>
      <c r="J53" s="536">
        <f>('Attainment 25+ by race &amp; gender'!LH52/'Pop 25+ by race &amp; gender'!AZ51)*100</f>
        <v>10.527319601189067</v>
      </c>
      <c r="K53" s="535">
        <f>IF('Pop 25+ by race &amp; gender'!CW51&gt;0,('Attainment 25+ by race &amp; gender'!MM52/'Pop 25+ by race &amp; gender'!CW51)*100,"—")</f>
        <v>12.700000000000003</v>
      </c>
      <c r="L53" s="536">
        <f>('Attainment 25+ by race &amp; gender'!LK52/'Pop 25+ by race &amp; gender'!BC51)*100</f>
        <v>11.445505811946138</v>
      </c>
      <c r="M53" s="660">
        <f>('Attainment 25+ by race &amp; gender'!MN52/'Pop 25+ by race &amp; gender'!CY51)*100</f>
        <v>11.6</v>
      </c>
      <c r="N53" s="531">
        <f>('Attainment 25+ by race &amp; gender'!BY52/'Pop 25+ by race &amp; gender'!AT51)*100</f>
        <v>86.610070692241464</v>
      </c>
      <c r="O53" s="674">
        <f>('Attainment 25+ by race &amp; gender'!DC52/'Pop 25+ by race &amp; gender'!DA51)*100</f>
        <v>91.677277650600601</v>
      </c>
      <c r="P53" s="532">
        <f>('Attainment 25+ by race &amp; gender'!BZ52/'Pop 25+ by race &amp; gender'!AZ51)*100</f>
        <v>68.469339436508562</v>
      </c>
      <c r="Q53" s="649">
        <f>('Attainment 25+ by race &amp; gender'!DD52/'Pop 25+ by race &amp; gender'!DB51)*100</f>
        <v>79.783232092750765</v>
      </c>
      <c r="R53" s="532">
        <f>('Attainment 25+ by race &amp; gender'!CA52/'Pop 25+ by race &amp; gender'!BC51)*100</f>
        <v>54.608125215790082</v>
      </c>
      <c r="S53" s="649">
        <f>('Attainment 25+ by race &amp; gender'!DE52/'Pop 25+ by race &amp; gender'!DD51)*100</f>
        <v>62.516430332362148</v>
      </c>
      <c r="T53" s="532">
        <f>('Attainment 25+ by race &amp; gender'!LB52/'Pop 25+ by race &amp; gender'!AT51)*100</f>
        <v>23.026801909808739</v>
      </c>
      <c r="U53" s="649">
        <f>('Attainment 25+ by race &amp; gender'!MQ52/'Pop 25+ by race &amp; gender'!DA51)*100</f>
        <v>27.492334578819317</v>
      </c>
      <c r="V53" s="532">
        <f>('Attainment 25+ by race &amp; gender'!LH52/'Pop 25+ by race &amp; gender'!AZ51)*100</f>
        <v>10.527319601189067</v>
      </c>
      <c r="W53" s="649">
        <f>('Attainment 25+ by race &amp; gender'!MR52/'Pop 25+ by race &amp; gender'!DB51)*100</f>
        <v>12.694130101857276</v>
      </c>
      <c r="X53" s="532">
        <f>('Attainment 25+ by race &amp; gender'!LK52/'Pop 25+ by race &amp; gender'!BC51)*100</f>
        <v>11.445505811946138</v>
      </c>
      <c r="Y53" s="658">
        <f>('Attainment 25+ by race &amp; gender'!MS52/'Pop 25+ by race &amp; gender'!DD51)*100</f>
        <v>11.410070809432375</v>
      </c>
      <c r="Z53" s="748">
        <f>('Attainment 25+ by race &amp; gender'!BY52/'Pop 25+ by race &amp; gender'!AT51)*100</f>
        <v>86.610070692241464</v>
      </c>
      <c r="AA53" s="733">
        <f>('Attainment 25+ by race &amp; gender'!DH52/'Pop 25+ by race &amp; gender'!DF51)*100</f>
        <v>92.91562679704839</v>
      </c>
      <c r="AB53" s="532">
        <f>('Attainment 25+ by race &amp; gender'!BZ52/'Pop 25+ by race &amp; gender'!AZ51)*100</f>
        <v>68.469339436508562</v>
      </c>
      <c r="AC53" s="531">
        <f>('Attainment 25+ by race &amp; gender'!DI52/'Pop 25+ by race &amp; gender'!DG51)*100</f>
        <v>79.561851624956333</v>
      </c>
      <c r="AD53" s="532">
        <f>('Attainment 25+ by race &amp; gender'!CA52/'Pop 25+ by race &amp; gender'!BC51)*100</f>
        <v>54.608125215790082</v>
      </c>
      <c r="AE53" s="531">
        <f>('Attainment 25+ by race &amp; gender'!DJ52/'Pop 25+ by race &amp; gender'!DI51)*100</f>
        <v>64.673467955167652</v>
      </c>
      <c r="AF53" s="532">
        <f>('Attainment 25+ by race &amp; gender'!LB52/'Pop 25+ by race &amp; gender'!AT51)*100</f>
        <v>23.026801909808739</v>
      </c>
      <c r="AG53" s="649">
        <f>('Attainment 25+ by race &amp; gender'!MV52/'Pop 25+ by race &amp; gender'!DF51)*100</f>
        <v>28.532719224609153</v>
      </c>
      <c r="AH53" s="532">
        <f>('Attainment 25+ by race &amp; gender'!LH52/'Pop 25+ by race &amp; gender'!AZ51)*100</f>
        <v>10.527319601189067</v>
      </c>
      <c r="AI53" s="649">
        <f>('Attainment 25+ by race &amp; gender'!MW52/'Pop 25+ by race &amp; gender'!DG51)*100</f>
        <v>12.603727349592178</v>
      </c>
      <c r="AJ53" s="532">
        <f>('Attainment 25+ by race &amp; gender'!LK52/'Pop 25+ by race &amp; gender'!BC51)*100</f>
        <v>11.445505811946138</v>
      </c>
      <c r="AK53" s="649">
        <f>('Attainment 25+ by race &amp; gender'!MX52/'Pop 25+ by race &amp; gender'!DI51)*100</f>
        <v>11.900109974963147</v>
      </c>
    </row>
    <row r="54" spans="1:37" x14ac:dyDescent="0.2">
      <c r="A54" s="246" t="s">
        <v>185</v>
      </c>
      <c r="B54" s="529">
        <f>('Attainment 25+ by race &amp; gender'!BY53/'Pop 25+ by race &amp; gender'!AT52)*100</f>
        <v>84.560566871897763</v>
      </c>
      <c r="C54" s="671">
        <f>('Attainment 25+ by race &amp; gender'!CX53/'Pop 25+ by race &amp; gender'!CV52)*100</f>
        <v>89.974236262718492</v>
      </c>
      <c r="D54" s="530">
        <f>('Attainment 25+ by race &amp; gender'!BZ53/'Pop 25+ by race &amp; gender'!AZ52)*100</f>
        <v>72.119101229729367</v>
      </c>
      <c r="E54" s="529">
        <f>IF('Pop 25+ by race &amp; gender'!CW52&gt;0,('Attainment 25+ by race &amp; gender'!CY53/'Pop 25+ by race &amp; gender'!CW52)*100,"—")</f>
        <v>81.955062176296749</v>
      </c>
      <c r="F54" s="530">
        <f>('Attainment 25+ by race &amp; gender'!CA53/'Pop 25+ by race &amp; gender'!BC52)*100</f>
        <v>56.561006928061339</v>
      </c>
      <c r="G54" s="529">
        <f>('Attainment 25+ by race &amp; gender'!CZ53/'Pop 25+ by race &amp; gender'!CY52)*100</f>
        <v>66.470408442113893</v>
      </c>
      <c r="H54" s="530">
        <f>('Attainment 25+ by race &amp; gender'!LB53/'Pop 25+ by race &amp; gender'!AT52)*100</f>
        <v>29.017157610302718</v>
      </c>
      <c r="I54" s="529">
        <f>('Attainment 25+ by race &amp; gender'!ML53/'Pop 25+ by race &amp; gender'!CV52)*100</f>
        <v>34.165454911948657</v>
      </c>
      <c r="J54" s="530">
        <f>('Attainment 25+ by race &amp; gender'!LH53/'Pop 25+ by race &amp; gender'!AZ52)*100</f>
        <v>15.268201059339621</v>
      </c>
      <c r="K54" s="529">
        <f>IF('Pop 25+ by race &amp; gender'!CW52&gt;0,('Attainment 25+ by race &amp; gender'!MM53/'Pop 25+ by race &amp; gender'!CW52)*100,"—")</f>
        <v>19.451908330470154</v>
      </c>
      <c r="L54" s="530">
        <f>('Attainment 25+ by race &amp; gender'!LK53/'Pop 25+ by race &amp; gender'!BC52)*100</f>
        <v>11.961421753863567</v>
      </c>
      <c r="M54" s="655">
        <f>('Attainment 25+ by race &amp; gender'!MN53/'Pop 25+ by race &amp; gender'!CY52)*100</f>
        <v>15.404909871717642</v>
      </c>
      <c r="N54" s="527">
        <f>('Attainment 25+ by race &amp; gender'!BY53/'Pop 25+ by race &amp; gender'!AT52)*100</f>
        <v>84.560566871897763</v>
      </c>
      <c r="O54" s="671">
        <f>('Attainment 25+ by race &amp; gender'!DC53/'Pop 25+ by race &amp; gender'!DA52)*100</f>
        <v>90.250324079351117</v>
      </c>
      <c r="P54" s="528">
        <f>('Attainment 25+ by race &amp; gender'!BZ53/'Pop 25+ by race &amp; gender'!AZ52)*100</f>
        <v>72.119101229729367</v>
      </c>
      <c r="Q54" s="527">
        <f>('Attainment 25+ by race &amp; gender'!DD53/'Pop 25+ by race &amp; gender'!DB52)*100</f>
        <v>82.296906625033614</v>
      </c>
      <c r="R54" s="528">
        <f>('Attainment 25+ by race &amp; gender'!CA53/'Pop 25+ by race &amp; gender'!BC52)*100</f>
        <v>56.561006928061339</v>
      </c>
      <c r="S54" s="527">
        <f>('Attainment 25+ by race &amp; gender'!DE53/'Pop 25+ by race &amp; gender'!DD52)*100</f>
        <v>67.133879860848666</v>
      </c>
      <c r="T54" s="528">
        <f>('Attainment 25+ by race &amp; gender'!LB53/'Pop 25+ by race &amp; gender'!AT52)*100</f>
        <v>29.017157610302718</v>
      </c>
      <c r="U54" s="527">
        <f>('Attainment 25+ by race &amp; gender'!MQ53/'Pop 25+ by race &amp; gender'!DA52)*100</f>
        <v>34.709591051157282</v>
      </c>
      <c r="V54" s="528">
        <f>('Attainment 25+ by race &amp; gender'!LH53/'Pop 25+ by race &amp; gender'!AZ52)*100</f>
        <v>15.268201059339621</v>
      </c>
      <c r="W54" s="527">
        <f>('Attainment 25+ by race &amp; gender'!MR53/'Pop 25+ by race &amp; gender'!DB52)*100</f>
        <v>19.624948243654728</v>
      </c>
      <c r="X54" s="528">
        <f>('Attainment 25+ by race &amp; gender'!LK53/'Pop 25+ by race &amp; gender'!BC52)*100</f>
        <v>11.961421753863567</v>
      </c>
      <c r="Y54" s="735">
        <f>('Attainment 25+ by race &amp; gender'!MS53/'Pop 25+ by race &amp; gender'!DD52)*100</f>
        <v>15.672185237942962</v>
      </c>
      <c r="Z54" s="527">
        <f>('Attainment 25+ by race &amp; gender'!BY53/'Pop 25+ by race &amp; gender'!AT52)*100</f>
        <v>84.560566871897763</v>
      </c>
      <c r="AA54" s="671">
        <f>('Attainment 25+ by race &amp; gender'!DH53/'Pop 25+ by race &amp; gender'!DF52)*100</f>
        <v>91.988027624455725</v>
      </c>
      <c r="AB54" s="528">
        <f>('Attainment 25+ by race &amp; gender'!BZ53/'Pop 25+ by race &amp; gender'!AZ52)*100</f>
        <v>72.119101229729367</v>
      </c>
      <c r="AC54" s="527">
        <f>('Attainment 25+ by race &amp; gender'!DI53/'Pop 25+ by race &amp; gender'!DG52)*100</f>
        <v>82.739553496178303</v>
      </c>
      <c r="AD54" s="528">
        <f>('Attainment 25+ by race &amp; gender'!CA53/'Pop 25+ by race &amp; gender'!BC52)*100</f>
        <v>56.561006928061339</v>
      </c>
      <c r="AE54" s="527">
        <f>('Attainment 25+ by race &amp; gender'!DJ53/'Pop 25+ by race &amp; gender'!DI52)*100</f>
        <v>67.870753338949712</v>
      </c>
      <c r="AF54" s="528">
        <f>('Attainment 25+ by race &amp; gender'!LB53/'Pop 25+ by race &amp; gender'!AT52)*100</f>
        <v>29.017157610302718</v>
      </c>
      <c r="AG54" s="527">
        <f>('Attainment 25+ by race &amp; gender'!MV53/'Pop 25+ by race &amp; gender'!DF52)*100</f>
        <v>36.44213956140598</v>
      </c>
      <c r="AH54" s="528">
        <f>('Attainment 25+ by race &amp; gender'!LH53/'Pop 25+ by race &amp; gender'!AZ52)*100</f>
        <v>15.268201059339621</v>
      </c>
      <c r="AI54" s="527">
        <f>('Attainment 25+ by race &amp; gender'!MW53/'Pop 25+ by race &amp; gender'!DG52)*100</f>
        <v>20.148301340994916</v>
      </c>
      <c r="AJ54" s="528">
        <f>('Attainment 25+ by race &amp; gender'!LK53/'Pop 25+ by race &amp; gender'!BC52)*100</f>
        <v>11.961421753863567</v>
      </c>
      <c r="AK54" s="679">
        <f>('Attainment 25+ by race &amp; gender'!MX53/'Pop 25+ by race &amp; gender'!DI52)*100</f>
        <v>16.197143833797224</v>
      </c>
    </row>
    <row r="55" spans="1:37" x14ac:dyDescent="0.2">
      <c r="A55" s="246"/>
      <c r="B55" s="529"/>
      <c r="C55" s="669"/>
      <c r="D55" s="530"/>
      <c r="E55" s="529"/>
      <c r="F55" s="530"/>
      <c r="G55" s="529"/>
      <c r="H55" s="530"/>
      <c r="I55" s="529"/>
      <c r="J55" s="530"/>
      <c r="K55" s="529"/>
      <c r="L55" s="530"/>
      <c r="M55" s="656"/>
      <c r="N55" s="529"/>
      <c r="O55" s="669"/>
      <c r="P55" s="530"/>
      <c r="Q55" s="527"/>
      <c r="R55" s="528"/>
      <c r="S55" s="527"/>
      <c r="T55" s="528"/>
      <c r="U55" s="527"/>
      <c r="V55" s="528"/>
      <c r="W55" s="527"/>
      <c r="X55" s="528"/>
      <c r="Y55" s="657"/>
      <c r="Z55" s="529"/>
      <c r="AA55" s="669"/>
      <c r="AB55" s="530"/>
      <c r="AC55" s="527"/>
      <c r="AD55" s="528"/>
      <c r="AE55" s="527"/>
      <c r="AF55" s="528"/>
      <c r="AG55" s="527"/>
      <c r="AH55" s="528"/>
      <c r="AI55" s="527"/>
      <c r="AJ55" s="528"/>
      <c r="AK55" s="679"/>
    </row>
    <row r="56" spans="1:37" x14ac:dyDescent="0.2">
      <c r="A56" s="241" t="s">
        <v>21</v>
      </c>
      <c r="B56" s="533">
        <f>('Attainment 25+ by race &amp; gender'!BY55/'Pop 25+ by race &amp; gender'!AT54)*100</f>
        <v>86.310046020532241</v>
      </c>
      <c r="C56" s="668">
        <f>('Attainment 25+ by race &amp; gender'!CX55/'Pop 25+ by race &amp; gender'!CV54)*100</f>
        <v>90.999999999999986</v>
      </c>
      <c r="D56" s="534">
        <f>('Attainment 25+ by race &amp; gender'!BZ55/'Pop 25+ by race &amp; gender'!AZ54)*100</f>
        <v>73.942470389170893</v>
      </c>
      <c r="E56" s="533">
        <f>IF('Pop 25+ by race &amp; gender'!CW54&gt;0,('Attainment 25+ by race &amp; gender'!CY55/'Pop 25+ by race &amp; gender'!CW54)*100,"—")</f>
        <v>81.800000000000011</v>
      </c>
      <c r="F56" s="534">
        <f>('Attainment 25+ by race &amp; gender'!CA55/'Pop 25+ by race &amp; gender'!BC54)*100</f>
        <v>58.526527656754332</v>
      </c>
      <c r="G56" s="533">
        <f>('Attainment 25+ by race &amp; gender'!CZ55/'Pop 25+ by race &amp; gender'!CY54)*100</f>
        <v>67.7</v>
      </c>
      <c r="H56" s="534">
        <f>('Attainment 25+ by race &amp; gender'!LB55/'Pop 25+ by race &amp; gender'!AT54)*100</f>
        <v>33.495097812870355</v>
      </c>
      <c r="I56" s="533">
        <f>('Attainment 25+ by race &amp; gender'!ML55/'Pop 25+ by race &amp; gender'!CV54)*100</f>
        <v>38.200000000000003</v>
      </c>
      <c r="J56" s="534">
        <f>('Attainment 25+ by race &amp; gender'!LH55/'Pop 25+ by race &amp; gender'!AZ54)*100</f>
        <v>13.744893947939632</v>
      </c>
      <c r="K56" s="533">
        <f>IF('Pop 25+ by race &amp; gender'!CW54&gt;0,('Attainment 25+ by race &amp; gender'!MM55/'Pop 25+ by race &amp; gender'!CW54)*100,"—")</f>
        <v>17.8</v>
      </c>
      <c r="L56" s="534">
        <f>('Attainment 25+ by race &amp; gender'!LK55/'Pop 25+ by race &amp; gender'!BC54)*100</f>
        <v>11.306930450043568</v>
      </c>
      <c r="M56" s="659">
        <f>('Attainment 25+ by race &amp; gender'!MN55/'Pop 25+ by race &amp; gender'!CY54)*100</f>
        <v>14.3</v>
      </c>
      <c r="N56" s="527">
        <f>('Attainment 25+ by race &amp; gender'!BY55/'Pop 25+ by race &amp; gender'!AT54)*100</f>
        <v>86.310046020532241</v>
      </c>
      <c r="O56" s="669">
        <f>('Attainment 25+ by race &amp; gender'!DC55/'Pop 25+ by race &amp; gender'!DA54)*100</f>
        <v>91.329460001639447</v>
      </c>
      <c r="P56" s="528">
        <f>('Attainment 25+ by race &amp; gender'!BZ55/'Pop 25+ by race &amp; gender'!AZ54)*100</f>
        <v>73.942470389170893</v>
      </c>
      <c r="Q56" s="527">
        <f>('Attainment 25+ by race &amp; gender'!DD55/'Pop 25+ by race &amp; gender'!DB54)*100</f>
        <v>83.133527185243139</v>
      </c>
      <c r="R56" s="528">
        <f>('Attainment 25+ by race &amp; gender'!CA55/'Pop 25+ by race &amp; gender'!BC54)*100</f>
        <v>58.526527656754332</v>
      </c>
      <c r="S56" s="527">
        <f>('Attainment 25+ by race &amp; gender'!DE55/'Pop 25+ by race &amp; gender'!DD54)*100</f>
        <v>69.311002944178952</v>
      </c>
      <c r="T56" s="528">
        <f>('Attainment 25+ by race &amp; gender'!LB55/'Pop 25+ by race &amp; gender'!AT54)*100</f>
        <v>33.495097812870355</v>
      </c>
      <c r="U56" s="527">
        <f>('Attainment 25+ by race &amp; gender'!MQ55/'Pop 25+ by race &amp; gender'!DA54)*100</f>
        <v>38.690771643912981</v>
      </c>
      <c r="V56" s="528">
        <f>('Attainment 25+ by race &amp; gender'!LH55/'Pop 25+ by race &amp; gender'!AZ54)*100</f>
        <v>13.744893947939632</v>
      </c>
      <c r="W56" s="527">
        <f>('Attainment 25+ by race &amp; gender'!MR55/'Pop 25+ by race &amp; gender'!DB54)*100</f>
        <v>18.243484631281909</v>
      </c>
      <c r="X56" s="528">
        <f>('Attainment 25+ by race &amp; gender'!LK55/'Pop 25+ by race &amp; gender'!BC54)*100</f>
        <v>11.306930450043568</v>
      </c>
      <c r="Y56" s="657">
        <f>('Attainment 25+ by race &amp; gender'!MS55/'Pop 25+ by race &amp; gender'!DD54)*100</f>
        <v>15.455460046455888</v>
      </c>
      <c r="Z56" s="527">
        <f>('Attainment 25+ by race &amp; gender'!BY55/'Pop 25+ by race &amp; gender'!AT54)*100</f>
        <v>86.310046020532241</v>
      </c>
      <c r="AA56" s="669">
        <f>('Attainment 25+ by race &amp; gender'!DH55/'Pop 25+ by race &amp; gender'!DF54)*100</f>
        <v>93.194484032985713</v>
      </c>
      <c r="AB56" s="528">
        <f>('Attainment 25+ by race &amp; gender'!BZ55/'Pop 25+ by race &amp; gender'!AZ54)*100</f>
        <v>73.942470389170893</v>
      </c>
      <c r="AC56" s="527">
        <f>('Attainment 25+ by race &amp; gender'!DI55/'Pop 25+ by race &amp; gender'!DG54)*100</f>
        <v>83.906816557857965</v>
      </c>
      <c r="AD56" s="528">
        <f>('Attainment 25+ by race &amp; gender'!CA55/'Pop 25+ by race &amp; gender'!BC54)*100</f>
        <v>58.526527656754332</v>
      </c>
      <c r="AE56" s="527">
        <f>('Attainment 25+ by race &amp; gender'!DJ55/'Pop 25+ by race &amp; gender'!DI54)*100</f>
        <v>69.89412196835427</v>
      </c>
      <c r="AF56" s="528">
        <f>('Attainment 25+ by race &amp; gender'!LB55/'Pop 25+ by race &amp; gender'!AT54)*100</f>
        <v>33.495097812870355</v>
      </c>
      <c r="AG56" s="527">
        <f>('Attainment 25+ by race &amp; gender'!MV55/'Pop 25+ by race &amp; gender'!DF54)*100</f>
        <v>40.947493035146984</v>
      </c>
      <c r="AH56" s="528">
        <f>('Attainment 25+ by race &amp; gender'!LH55/'Pop 25+ by race &amp; gender'!AZ54)*100</f>
        <v>13.744893947939632</v>
      </c>
      <c r="AI56" s="527">
        <f>('Attainment 25+ by race &amp; gender'!MW55/'Pop 25+ by race &amp; gender'!DG54)*100</f>
        <v>19.042779348390503</v>
      </c>
      <c r="AJ56" s="528">
        <f>('Attainment 25+ by race &amp; gender'!LK55/'Pop 25+ by race &amp; gender'!BC54)*100</f>
        <v>11.306930450043568</v>
      </c>
      <c r="AK56" s="679">
        <f>('Attainment 25+ by race &amp; gender'!MX55/'Pop 25+ by race &amp; gender'!DI54)*100</f>
        <v>15.628867008776215</v>
      </c>
    </row>
    <row r="57" spans="1:37" x14ac:dyDescent="0.2">
      <c r="A57" s="241" t="s">
        <v>28</v>
      </c>
      <c r="B57" s="533">
        <f>('Attainment 25+ by race &amp; gender'!BY56/'Pop 25+ by race &amp; gender'!AT55)*100</f>
        <v>85.532547825339989</v>
      </c>
      <c r="C57" s="668">
        <f>('Attainment 25+ by race &amp; gender'!CX56/'Pop 25+ by race &amp; gender'!CV55)*100</f>
        <v>90.90000000000002</v>
      </c>
      <c r="D57" s="534">
        <f>('Attainment 25+ by race &amp; gender'!BZ56/'Pop 25+ by race &amp; gender'!AZ55)*100</f>
        <v>84.663428174878547</v>
      </c>
      <c r="E57" s="533" t="str">
        <f>IF('Pop 25+ by race &amp; gender'!CW55&gt;0,('Attainment 25+ by race &amp; gender'!CY56/'Pop 25+ by race &amp; gender'!CW55)*100,"—")</f>
        <v>—</v>
      </c>
      <c r="F57" s="534">
        <f>('Attainment 25+ by race &amp; gender'!CA56/'Pop 25+ by race &amp; gender'!BC55)*100</f>
        <v>79.240674955595026</v>
      </c>
      <c r="G57" s="533" t="str">
        <f>IF('Pop 25+ by race &amp; gender'!CY55&gt;0,('Attainment 25+ by race &amp; gender'!CZ56/'Pop 25+ by race &amp; gender'!CY55)*100,"—")</f>
        <v>—</v>
      </c>
      <c r="H57" s="534">
        <f>('Attainment 25+ by race &amp; gender'!LB56/'Pop 25+ by race &amp; gender'!AT55)*100</f>
        <v>22.923685384161889</v>
      </c>
      <c r="I57" s="533">
        <f>('Attainment 25+ by race &amp; gender'!ML56/'Pop 25+ by race &amp; gender'!CV55)*100</f>
        <v>27.800000000000004</v>
      </c>
      <c r="J57" s="534">
        <f>('Attainment 25+ by race &amp; gender'!LH56/'Pop 25+ by race &amp; gender'!AZ55)*100</f>
        <v>22.484385843164471</v>
      </c>
      <c r="K57" s="533" t="str">
        <f>IF('Pop 25+ by race &amp; gender'!CW55&gt;0,('Attainment 25+ by race &amp; gender'!MM56/'Pop 25+ by race &amp; gender'!CW55)*100,"—")</f>
        <v>—</v>
      </c>
      <c r="L57" s="534">
        <f>('Attainment 25+ by race &amp; gender'!LK56/'Pop 25+ by race &amp; gender'!BC55)*100</f>
        <v>21.625222024866787</v>
      </c>
      <c r="M57" s="659" t="str">
        <f>IF('Pop 25+ by race &amp; gender'!CY55&gt;0,('Attainment 25+ by race &amp; gender'!MN56/'Pop 25+ by race &amp; gender'!CY55)*100,"—")</f>
        <v>—</v>
      </c>
      <c r="N57" s="527">
        <f>('Attainment 25+ by race &amp; gender'!BY56/'Pop 25+ by race &amp; gender'!AT55)*100</f>
        <v>85.532547825339989</v>
      </c>
      <c r="O57" s="669">
        <f>('Attainment 25+ by race &amp; gender'!DC56/'Pop 25+ by race &amp; gender'!DA55)*100</f>
        <v>91.294019710990398</v>
      </c>
      <c r="P57" s="528">
        <f>('Attainment 25+ by race &amp; gender'!BZ56/'Pop 25+ by race &amp; gender'!AZ55)*100</f>
        <v>84.663428174878547</v>
      </c>
      <c r="Q57" s="527">
        <f>('Attainment 25+ by race &amp; gender'!DD56/'Pop 25+ by race &amp; gender'!DB55)*100</f>
        <v>75.939849624060145</v>
      </c>
      <c r="R57" s="528">
        <f>('Attainment 25+ by race &amp; gender'!CA56/'Pop 25+ by race &amp; gender'!BC55)*100</f>
        <v>79.240674955595026</v>
      </c>
      <c r="S57" s="527">
        <f>('Attainment 25+ by race &amp; gender'!DE56/'Pop 25+ by race &amp; gender'!DD55)*100</f>
        <v>85.573122529644266</v>
      </c>
      <c r="T57" s="528">
        <f>('Attainment 25+ by race &amp; gender'!LB56/'Pop 25+ by race &amp; gender'!AT55)*100</f>
        <v>22.923685384161889</v>
      </c>
      <c r="U57" s="527">
        <f>('Attainment 25+ by race &amp; gender'!MQ56/'Pop 25+ by race &amp; gender'!DA55)*100</f>
        <v>27.973835823747635</v>
      </c>
      <c r="V57" s="528">
        <f>('Attainment 25+ by race &amp; gender'!LH56/'Pop 25+ by race &amp; gender'!AZ55)*100</f>
        <v>22.484385843164471</v>
      </c>
      <c r="W57" s="527">
        <f>('Attainment 25+ by race &amp; gender'!MR56/'Pop 25+ by race &amp; gender'!DB55)*100</f>
        <v>17.032376860518646</v>
      </c>
      <c r="X57" s="528">
        <f>('Attainment 25+ by race &amp; gender'!LK56/'Pop 25+ by race &amp; gender'!BC55)*100</f>
        <v>21.625222024866787</v>
      </c>
      <c r="Y57" s="657">
        <f>('Attainment 25+ by race &amp; gender'!MS56/'Pop 25+ by race &amp; gender'!DD55)*100</f>
        <v>25.831202046035806</v>
      </c>
      <c r="Z57" s="527">
        <f>('Attainment 25+ by race &amp; gender'!BY56/'Pop 25+ by race &amp; gender'!AT55)*100</f>
        <v>85.532547825339989</v>
      </c>
      <c r="AA57" s="669">
        <f>('Attainment 25+ by race &amp; gender'!DH56/'Pop 25+ by race &amp; gender'!DF55)*100</f>
        <v>91.87447831439664</v>
      </c>
      <c r="AB57" s="528">
        <f>('Attainment 25+ by race &amp; gender'!BZ56/'Pop 25+ by race &amp; gender'!AZ55)*100</f>
        <v>84.663428174878547</v>
      </c>
      <c r="AC57" s="527">
        <f>('Attainment 25+ by race &amp; gender'!DI56/'Pop 25+ by race &amp; gender'!DG55)*100</f>
        <v>77.639567599585362</v>
      </c>
      <c r="AD57" s="528">
        <f>('Attainment 25+ by race &amp; gender'!CA56/'Pop 25+ by race &amp; gender'!BC55)*100</f>
        <v>79.240674955595026</v>
      </c>
      <c r="AE57" s="527">
        <f>('Attainment 25+ by race &amp; gender'!DJ56/'Pop 25+ by race &amp; gender'!DI55)*100</f>
        <v>81.802407547988281</v>
      </c>
      <c r="AF57" s="528">
        <f>('Attainment 25+ by race &amp; gender'!LB56/'Pop 25+ by race &amp; gender'!AT55)*100</f>
        <v>22.923685384161889</v>
      </c>
      <c r="AG57" s="527">
        <f>('Attainment 25+ by race &amp; gender'!MV56/'Pop 25+ by race &amp; gender'!DF55)*100</f>
        <v>28.334328068942888</v>
      </c>
      <c r="AH57" s="528">
        <f>('Attainment 25+ by race &amp; gender'!LH56/'Pop 25+ by race &amp; gender'!AZ55)*100</f>
        <v>22.484385843164471</v>
      </c>
      <c r="AI57" s="527">
        <f>('Attainment 25+ by race &amp; gender'!MW56/'Pop 25+ by race &amp; gender'!DG55)*100</f>
        <v>20.035539760106619</v>
      </c>
      <c r="AJ57" s="528">
        <f>('Attainment 25+ by race &amp; gender'!LK56/'Pop 25+ by race &amp; gender'!BC55)*100</f>
        <v>21.625222024866787</v>
      </c>
      <c r="AK57" s="679">
        <f>('Attainment 25+ by race &amp; gender'!MX56/'Pop 25+ by race &amp; gender'!DI55)*100</f>
        <v>26.374579763583128</v>
      </c>
    </row>
    <row r="58" spans="1:37" x14ac:dyDescent="0.2">
      <c r="A58" s="241" t="s">
        <v>29</v>
      </c>
      <c r="B58" s="533">
        <f>('Attainment 25+ by race &amp; gender'!BY57/'Pop 25+ by race &amp; gender'!AT56)*100</f>
        <v>86.790828204228717</v>
      </c>
      <c r="C58" s="668">
        <f>('Attainment 25+ by race &amp; gender'!CX57/'Pop 25+ by race &amp; gender'!CV56)*100</f>
        <v>91.3</v>
      </c>
      <c r="D58" s="534">
        <f>('Attainment 25+ by race &amp; gender'!BZ57/'Pop 25+ by race &amp; gender'!AZ56)*100</f>
        <v>76.334846296678364</v>
      </c>
      <c r="E58" s="533">
        <f>IF('Pop 25+ by race &amp; gender'!CW56&gt;0,('Attainment 25+ by race &amp; gender'!CY57/'Pop 25+ by race &amp; gender'!CW56)*100,"—")</f>
        <v>82.300000000000011</v>
      </c>
      <c r="F58" s="534">
        <f>('Attainment 25+ by race &amp; gender'!CA57/'Pop 25+ by race &amp; gender'!BC56)*100</f>
        <v>57.257984327280475</v>
      </c>
      <c r="G58" s="533">
        <f>('Attainment 25+ by race &amp; gender'!CZ57/'Pop 25+ by race &amp; gender'!CY56)*100</f>
        <v>65.900000000000006</v>
      </c>
      <c r="H58" s="534">
        <f>('Attainment 25+ by race &amp; gender'!LB57/'Pop 25+ by race &amp; gender'!AT56)*100</f>
        <v>34.25236025462263</v>
      </c>
      <c r="I58" s="533">
        <f>('Attainment 25+ by race &amp; gender'!ML57/'Pop 25+ by race &amp; gender'!CV56)*100</f>
        <v>40.199999999999996</v>
      </c>
      <c r="J58" s="534">
        <f>('Attainment 25+ by race &amp; gender'!LH57/'Pop 25+ by race &amp; gender'!AZ56)*100</f>
        <v>19.728182380854136</v>
      </c>
      <c r="K58" s="533">
        <f>IF('Pop 25+ by race &amp; gender'!CW56&gt;0,('Attainment 25+ by race &amp; gender'!MM57/'Pop 25+ by race &amp; gender'!CW56)*100,"—")</f>
        <v>22.4</v>
      </c>
      <c r="L58" s="534">
        <f>('Attainment 25+ by race &amp; gender'!LK57/'Pop 25+ by race &amp; gender'!BC56)*100</f>
        <v>14.084140249532423</v>
      </c>
      <c r="M58" s="659">
        <f>('Attainment 25+ by race &amp; gender'!MN57/'Pop 25+ by race &amp; gender'!CY56)*100</f>
        <v>16.7</v>
      </c>
      <c r="N58" s="527">
        <f>('Attainment 25+ by race &amp; gender'!BY57/'Pop 25+ by race &amp; gender'!AT56)*100</f>
        <v>86.790828204228717</v>
      </c>
      <c r="O58" s="669">
        <f>('Attainment 25+ by race &amp; gender'!DC57/'Pop 25+ by race &amp; gender'!DA56)*100</f>
        <v>91.573831010114716</v>
      </c>
      <c r="P58" s="528">
        <f>('Attainment 25+ by race &amp; gender'!BZ57/'Pop 25+ by race &amp; gender'!AZ56)*100</f>
        <v>76.334846296678364</v>
      </c>
      <c r="Q58" s="527">
        <f>('Attainment 25+ by race &amp; gender'!DD57/'Pop 25+ by race &amp; gender'!DB56)*100</f>
        <v>82.115242732772614</v>
      </c>
      <c r="R58" s="528">
        <f>('Attainment 25+ by race &amp; gender'!CA57/'Pop 25+ by race &amp; gender'!BC56)*100</f>
        <v>57.257984327280475</v>
      </c>
      <c r="S58" s="527">
        <f>('Attainment 25+ by race &amp; gender'!DE57/'Pop 25+ by race &amp; gender'!DD56)*100</f>
        <v>66.784349018847493</v>
      </c>
      <c r="T58" s="528">
        <f>('Attainment 25+ by race &amp; gender'!LB57/'Pop 25+ by race &amp; gender'!AT56)*100</f>
        <v>34.25236025462263</v>
      </c>
      <c r="U58" s="527">
        <f>('Attainment 25+ by race &amp; gender'!MQ57/'Pop 25+ by race &amp; gender'!DA56)*100</f>
        <v>40.762818927250144</v>
      </c>
      <c r="V58" s="528">
        <f>('Attainment 25+ by race &amp; gender'!LH57/'Pop 25+ by race &amp; gender'!AZ56)*100</f>
        <v>19.728182380854136</v>
      </c>
      <c r="W58" s="527">
        <f>('Attainment 25+ by race &amp; gender'!MR57/'Pop 25+ by race &amp; gender'!DB56)*100</f>
        <v>22.440976833407113</v>
      </c>
      <c r="X58" s="528">
        <f>('Attainment 25+ by race &amp; gender'!LK57/'Pop 25+ by race &amp; gender'!BC56)*100</f>
        <v>14.084140249532423</v>
      </c>
      <c r="Y58" s="657">
        <f>('Attainment 25+ by race &amp; gender'!MS57/'Pop 25+ by race &amp; gender'!DD56)*100</f>
        <v>16.810538165254961</v>
      </c>
      <c r="Z58" s="527">
        <f>('Attainment 25+ by race &amp; gender'!BY57/'Pop 25+ by race &amp; gender'!AT56)*100</f>
        <v>86.790828204228717</v>
      </c>
      <c r="AA58" s="669">
        <f>('Attainment 25+ by race &amp; gender'!DH57/'Pop 25+ by race &amp; gender'!DF56)*100</f>
        <v>92.78162543110993</v>
      </c>
      <c r="AB58" s="528">
        <f>('Attainment 25+ by race &amp; gender'!BZ57/'Pop 25+ by race &amp; gender'!AZ56)*100</f>
        <v>76.334846296678364</v>
      </c>
      <c r="AC58" s="527">
        <f>('Attainment 25+ by race &amp; gender'!DI57/'Pop 25+ by race &amp; gender'!DG56)*100</f>
        <v>81.667807926046393</v>
      </c>
      <c r="AD58" s="528">
        <f>('Attainment 25+ by race &amp; gender'!CA57/'Pop 25+ by race &amp; gender'!BC56)*100</f>
        <v>57.257984327280475</v>
      </c>
      <c r="AE58" s="527">
        <f>('Attainment 25+ by race &amp; gender'!DJ57/'Pop 25+ by race &amp; gender'!DI56)*100</f>
        <v>67.79802648634039</v>
      </c>
      <c r="AF58" s="528">
        <f>('Attainment 25+ by race &amp; gender'!LB57/'Pop 25+ by race &amp; gender'!AT56)*100</f>
        <v>34.25236025462263</v>
      </c>
      <c r="AG58" s="527">
        <f>('Attainment 25+ by race &amp; gender'!MV57/'Pop 25+ by race &amp; gender'!DF56)*100</f>
        <v>42.035745958530782</v>
      </c>
      <c r="AH58" s="528">
        <f>('Attainment 25+ by race &amp; gender'!LH57/'Pop 25+ by race &amp; gender'!AZ56)*100</f>
        <v>19.728182380854136</v>
      </c>
      <c r="AI58" s="527">
        <f>('Attainment 25+ by race &amp; gender'!MW57/'Pop 25+ by race &amp; gender'!DG56)*100</f>
        <v>23.179334645781623</v>
      </c>
      <c r="AJ58" s="528">
        <f>('Attainment 25+ by race &amp; gender'!LK57/'Pop 25+ by race &amp; gender'!BC56)*100</f>
        <v>14.084140249532423</v>
      </c>
      <c r="AK58" s="679">
        <f>('Attainment 25+ by race &amp; gender'!MX57/'Pop 25+ by race &amp; gender'!DI56)*100</f>
        <v>17.272932857513197</v>
      </c>
    </row>
    <row r="59" spans="1:37" s="691" customFormat="1" x14ac:dyDescent="0.25">
      <c r="A59" s="681" t="s">
        <v>36</v>
      </c>
      <c r="B59" s="682">
        <f>('Attainment 25+ by race &amp; gender'!BY58/'Pop 25+ by race &amp; gender'!AT57)*100</f>
        <v>87.622362000763033</v>
      </c>
      <c r="C59" s="683">
        <f>('Attainment 25+ by race &amp; gender'!CX58/'Pop 25+ by race &amp; gender'!CV57)*100</f>
        <v>91.8</v>
      </c>
      <c r="D59" s="684">
        <f>('Attainment 25+ by race &amp; gender'!BZ58/'Pop 25+ by race &amp; gender'!AZ57)*100</f>
        <v>84.376828554710357</v>
      </c>
      <c r="E59" s="682" t="str">
        <f>IF('Pop 25+ by race &amp; gender'!CW57&gt;0,('Attainment 25+ by race &amp; gender'!CY58/'Pop 25+ by race &amp; gender'!CW57)*100,"—")</f>
        <v>—</v>
      </c>
      <c r="F59" s="684">
        <f>('Attainment 25+ by race &amp; gender'!CA58/'Pop 25+ by race &amp; gender'!BC57)*100</f>
        <v>73.562058526740671</v>
      </c>
      <c r="G59" s="682">
        <f>('Attainment 25+ by race &amp; gender'!CZ58/'Pop 25+ by race &amp; gender'!CY57)*100</f>
        <v>76.3</v>
      </c>
      <c r="H59" s="684">
        <f>('Attainment 25+ by race &amp; gender'!LB58/'Pop 25+ by race &amp; gender'!AT57)*100</f>
        <v>28.488634766370151</v>
      </c>
      <c r="I59" s="682">
        <f>('Attainment 25+ by race &amp; gender'!ML58/'Pop 25+ by race &amp; gender'!CV57)*100</f>
        <v>32.499999999999993</v>
      </c>
      <c r="J59" s="684">
        <f>('Attainment 25+ by race &amp; gender'!LH58/'Pop 25+ by race &amp; gender'!AZ57)*100</f>
        <v>27.774527013848253</v>
      </c>
      <c r="K59" s="682" t="str">
        <f>IF('Pop 25+ by race &amp; gender'!CW57&gt;0,('Attainment 25+ by race &amp; gender'!MM58/'Pop 25+ by race &amp; gender'!CW57)*100,"—")</f>
        <v>—</v>
      </c>
      <c r="L59" s="684">
        <f>('Attainment 25+ by race &amp; gender'!LK58/'Pop 25+ by race &amp; gender'!BC57)*100</f>
        <v>22.694248234106961</v>
      </c>
      <c r="M59" s="685">
        <f>('Attainment 25+ by race &amp; gender'!MN58/'Pop 25+ by race &amp; gender'!CY57)*100</f>
        <v>22.5</v>
      </c>
      <c r="N59" s="686">
        <f>('Attainment 25+ by race &amp; gender'!BY58/'Pop 25+ by race &amp; gender'!AT57)*100</f>
        <v>87.622362000763033</v>
      </c>
      <c r="O59" s="687">
        <f>('Attainment 25+ by race &amp; gender'!DC58/'Pop 25+ by race &amp; gender'!DA57)*100</f>
        <v>91.922140895669131</v>
      </c>
      <c r="P59" s="688">
        <f>('Attainment 25+ by race &amp; gender'!BZ58/'Pop 25+ by race &amp; gender'!AZ57)*100</f>
        <v>84.376828554710357</v>
      </c>
      <c r="Q59" s="686">
        <f>('Attainment 25+ by race &amp; gender'!DD58/'Pop 25+ by race &amp; gender'!DB57)*100</f>
        <v>85.388437217705516</v>
      </c>
      <c r="R59" s="688">
        <f>('Attainment 25+ by race &amp; gender'!CA58/'Pop 25+ by race &amp; gender'!BC57)*100</f>
        <v>73.562058526740671</v>
      </c>
      <c r="S59" s="686">
        <f>('Attainment 25+ by race &amp; gender'!DE58/'Pop 25+ by race &amp; gender'!DD57)*100</f>
        <v>76.986951364175553</v>
      </c>
      <c r="T59" s="688">
        <f>('Attainment 25+ by race &amp; gender'!LB58/'Pop 25+ by race &amp; gender'!AT57)*100</f>
        <v>28.488634766370151</v>
      </c>
      <c r="U59" s="689">
        <f>('Attainment 25+ by race &amp; gender'!MQ58/'Pop 25+ by race &amp; gender'!DA57)*100</f>
        <v>33.340951715916255</v>
      </c>
      <c r="V59" s="688">
        <f>('Attainment 25+ by race &amp; gender'!LH58/'Pop 25+ by race &amp; gender'!AZ57)*100</f>
        <v>27.774527013848253</v>
      </c>
      <c r="W59" s="689">
        <f>('Attainment 25+ by race &amp; gender'!MR58/'Pop 25+ by race &amp; gender'!DB57)*100</f>
        <v>29.392502258355918</v>
      </c>
      <c r="X59" s="688">
        <f>('Attainment 25+ by race &amp; gender'!LK58/'Pop 25+ by race &amp; gender'!BC57)*100</f>
        <v>22.694248234106961</v>
      </c>
      <c r="Y59" s="736">
        <f>('Attainment 25+ by race &amp; gender'!MS58/'Pop 25+ by race &amp; gender'!DD57)*100</f>
        <v>24.266336582598381</v>
      </c>
      <c r="Z59" s="527">
        <f>('Attainment 25+ by race &amp; gender'!BY58/'Pop 25+ by race &amp; gender'!AT57)*100</f>
        <v>87.622362000763033</v>
      </c>
      <c r="AA59" s="669">
        <f>('Attainment 25+ by race &amp; gender'!DH58/'Pop 25+ by race &amp; gender'!DF57)*100</f>
        <v>92.558940181676491</v>
      </c>
      <c r="AB59" s="528">
        <f>('Attainment 25+ by race &amp; gender'!BZ58/'Pop 25+ by race &amp; gender'!AZ57)*100</f>
        <v>84.376828554710357</v>
      </c>
      <c r="AC59" s="527">
        <f>('Attainment 25+ by race &amp; gender'!DI58/'Pop 25+ by race &amp; gender'!DG57)*100</f>
        <v>85.430251202565472</v>
      </c>
      <c r="AD59" s="528">
        <f>('Attainment 25+ by race &amp; gender'!CA58/'Pop 25+ by race &amp; gender'!BC57)*100</f>
        <v>73.562058526740671</v>
      </c>
      <c r="AE59" s="527">
        <f>('Attainment 25+ by race &amp; gender'!DJ58/'Pop 25+ by race &amp; gender'!DI57)*100</f>
        <v>78.68583558471633</v>
      </c>
      <c r="AF59" s="528">
        <f>('Attainment 25+ by race &amp; gender'!LB58/'Pop 25+ by race &amp; gender'!AT57)*100</f>
        <v>28.488634766370151</v>
      </c>
      <c r="AG59" s="527">
        <f>('Attainment 25+ by race &amp; gender'!MV58/'Pop 25+ by race &amp; gender'!DF57)*100</f>
        <v>34.08632541261035</v>
      </c>
      <c r="AH59" s="528">
        <f>('Attainment 25+ by race &amp; gender'!LH58/'Pop 25+ by race &amp; gender'!AZ57)*100</f>
        <v>27.774527013848253</v>
      </c>
      <c r="AI59" s="527">
        <f>('Attainment 25+ by race &amp; gender'!MW58/'Pop 25+ by race &amp; gender'!DG57)*100</f>
        <v>28.530197755211116</v>
      </c>
      <c r="AJ59" s="528">
        <f>('Attainment 25+ by race &amp; gender'!LK58/'Pop 25+ by race &amp; gender'!BC57)*100</f>
        <v>22.694248234106961</v>
      </c>
      <c r="AK59" s="679">
        <f>('Attainment 25+ by race &amp; gender'!MX58/'Pop 25+ by race &amp; gender'!DI57)*100</f>
        <v>23.205326128907757</v>
      </c>
    </row>
    <row r="60" spans="1:37" x14ac:dyDescent="0.2">
      <c r="A60" s="241" t="s">
        <v>37</v>
      </c>
      <c r="B60" s="533">
        <f>('Attainment 25+ by race &amp; gender'!BY59/'Pop 25+ by race &amp; gender'!AT58)*100</f>
        <v>84.652571646182977</v>
      </c>
      <c r="C60" s="668">
        <f>('Attainment 25+ by race &amp; gender'!CX59/'Pop 25+ by race &amp; gender'!CV58)*100</f>
        <v>89.8</v>
      </c>
      <c r="D60" s="534">
        <f>('Attainment 25+ by race &amp; gender'!BZ59/'Pop 25+ by race &amp; gender'!AZ58)*100</f>
        <v>74.510775766694692</v>
      </c>
      <c r="E60" s="533">
        <f>IF('Pop 25+ by race &amp; gender'!CW58&gt;0,('Attainment 25+ by race &amp; gender'!CY59/'Pop 25+ by race &amp; gender'!CW58)*100,"—")</f>
        <v>84.4</v>
      </c>
      <c r="F60" s="534">
        <f>('Attainment 25+ by race &amp; gender'!CA59/'Pop 25+ by race &amp; gender'!BC58)*100</f>
        <v>59.512756299890434</v>
      </c>
      <c r="G60" s="533">
        <f>('Attainment 25+ by race &amp; gender'!CZ59/'Pop 25+ by race &amp; gender'!CY58)*100</f>
        <v>70.300000000000011</v>
      </c>
      <c r="H60" s="534">
        <f>('Attainment 25+ by race &amp; gender'!LB59/'Pop 25+ by race &amp; gender'!AT58)*100</f>
        <v>31.014208332019155</v>
      </c>
      <c r="I60" s="533">
        <f>('Attainment 25+ by race &amp; gender'!ML59/'Pop 25+ by race &amp; gender'!CV58)*100</f>
        <v>35.900000000000006</v>
      </c>
      <c r="J60" s="534">
        <f>('Attainment 25+ by race &amp; gender'!LH59/'Pop 25+ by race &amp; gender'!AZ58)*100</f>
        <v>16.15302916316325</v>
      </c>
      <c r="K60" s="533">
        <f>IF('Pop 25+ by race &amp; gender'!CW58&gt;0,('Attainment 25+ by race &amp; gender'!MM59/'Pop 25+ by race &amp; gender'!CW58)*100,"—")</f>
        <v>20.9</v>
      </c>
      <c r="L60" s="534">
        <f>('Attainment 25+ by race &amp; gender'!LK59/'Pop 25+ by race &amp; gender'!BC58)*100</f>
        <v>12.516512756299891</v>
      </c>
      <c r="M60" s="659">
        <f>('Attainment 25+ by race &amp; gender'!MN59/'Pop 25+ by race &amp; gender'!CY58)*100</f>
        <v>15.6</v>
      </c>
      <c r="N60" s="527">
        <f>('Attainment 25+ by race &amp; gender'!BY59/'Pop 25+ by race &amp; gender'!AT58)*100</f>
        <v>84.652571646182977</v>
      </c>
      <c r="O60" s="669">
        <f>('Attainment 25+ by race &amp; gender'!DC59/'Pop 25+ by race &amp; gender'!DA58)*100</f>
        <v>90.032052419142587</v>
      </c>
      <c r="P60" s="528">
        <f>('Attainment 25+ by race &amp; gender'!BZ59/'Pop 25+ by race &amp; gender'!AZ58)*100</f>
        <v>74.510775766694692</v>
      </c>
      <c r="Q60" s="527">
        <f>('Attainment 25+ by race &amp; gender'!DD59/'Pop 25+ by race &amp; gender'!DB58)*100</f>
        <v>84.965287898460474</v>
      </c>
      <c r="R60" s="528">
        <f>('Attainment 25+ by race &amp; gender'!CA59/'Pop 25+ by race &amp; gender'!BC58)*100</f>
        <v>59.512756299890434</v>
      </c>
      <c r="S60" s="527">
        <f>('Attainment 25+ by race &amp; gender'!DE59/'Pop 25+ by race &amp; gender'!DD58)*100</f>
        <v>70.689644244725145</v>
      </c>
      <c r="T60" s="528">
        <f>('Attainment 25+ by race &amp; gender'!LB59/'Pop 25+ by race &amp; gender'!AT58)*100</f>
        <v>31.014208332019155</v>
      </c>
      <c r="U60" s="527">
        <f>('Attainment 25+ by race &amp; gender'!MQ59/'Pop 25+ by race &amp; gender'!DA58)*100</f>
        <v>36.510703578773288</v>
      </c>
      <c r="V60" s="528">
        <f>('Attainment 25+ by race &amp; gender'!LH59/'Pop 25+ by race &amp; gender'!AZ58)*100</f>
        <v>16.15302916316325</v>
      </c>
      <c r="W60" s="527">
        <f>('Attainment 25+ by race &amp; gender'!MR59/'Pop 25+ by race &amp; gender'!DB58)*100</f>
        <v>21.115821828877287</v>
      </c>
      <c r="X60" s="528">
        <f>('Attainment 25+ by race &amp; gender'!LK59/'Pop 25+ by race &amp; gender'!BC58)*100</f>
        <v>12.516512756299891</v>
      </c>
      <c r="Y60" s="657">
        <f>('Attainment 25+ by race &amp; gender'!MS59/'Pop 25+ by race &amp; gender'!DD58)*100</f>
        <v>15.735817007548627</v>
      </c>
      <c r="Z60" s="527">
        <f>('Attainment 25+ by race &amp; gender'!BY59/'Pop 25+ by race &amp; gender'!AT58)*100</f>
        <v>84.652571646182977</v>
      </c>
      <c r="AA60" s="669">
        <f>('Attainment 25+ by race &amp; gender'!DH59/'Pop 25+ by race &amp; gender'!DF58)*100</f>
        <v>92.794682151392465</v>
      </c>
      <c r="AB60" s="528">
        <f>('Attainment 25+ by race &amp; gender'!BZ59/'Pop 25+ by race &amp; gender'!AZ58)*100</f>
        <v>74.510775766694692</v>
      </c>
      <c r="AC60" s="527">
        <f>('Attainment 25+ by race &amp; gender'!DI59/'Pop 25+ by race &amp; gender'!DG58)*100</f>
        <v>85.617849150152779</v>
      </c>
      <c r="AD60" s="528">
        <f>('Attainment 25+ by race &amp; gender'!CA59/'Pop 25+ by race &amp; gender'!BC58)*100</f>
        <v>59.512756299890434</v>
      </c>
      <c r="AE60" s="527">
        <f>('Attainment 25+ by race &amp; gender'!DJ59/'Pop 25+ by race &amp; gender'!DI58)*100</f>
        <v>71.004326303432308</v>
      </c>
      <c r="AF60" s="528">
        <f>('Attainment 25+ by race &amp; gender'!LB59/'Pop 25+ by race &amp; gender'!AT58)*100</f>
        <v>31.014208332019155</v>
      </c>
      <c r="AG60" s="527">
        <f>('Attainment 25+ by race &amp; gender'!MV59/'Pop 25+ by race &amp; gender'!DF58)*100</f>
        <v>39.670389754497272</v>
      </c>
      <c r="AH60" s="528">
        <f>('Attainment 25+ by race &amp; gender'!LH59/'Pop 25+ by race &amp; gender'!AZ58)*100</f>
        <v>16.15302916316325</v>
      </c>
      <c r="AI60" s="527">
        <f>('Attainment 25+ by race &amp; gender'!MW59/'Pop 25+ by race &amp; gender'!DG58)*100</f>
        <v>21.252338848736105</v>
      </c>
      <c r="AJ60" s="528">
        <f>('Attainment 25+ by race &amp; gender'!LK59/'Pop 25+ by race &amp; gender'!BC58)*100</f>
        <v>12.516512756299891</v>
      </c>
      <c r="AK60" s="679">
        <f>('Attainment 25+ by race &amp; gender'!MX59/'Pop 25+ by race &amp; gender'!DI58)*100</f>
        <v>16.074741612143203</v>
      </c>
    </row>
    <row r="61" spans="1:37" x14ac:dyDescent="0.2">
      <c r="A61" s="241" t="s">
        <v>39</v>
      </c>
      <c r="B61" s="533">
        <f>('Attainment 25+ by race &amp; gender'!BY60/'Pop 25+ by race &amp; gender'!AT59)*100</f>
        <v>83.990700904030291</v>
      </c>
      <c r="C61" s="668">
        <f>('Attainment 25+ by race &amp; gender'!CX60/'Pop 25+ by race &amp; gender'!CV59)*100</f>
        <v>89.3</v>
      </c>
      <c r="D61" s="534">
        <f>('Attainment 25+ by race &amp; gender'!BZ60/'Pop 25+ by race &amp; gender'!AZ59)*100</f>
        <v>70.635527172445322</v>
      </c>
      <c r="E61" s="533">
        <f>IF('Pop 25+ by race &amp; gender'!CW59&gt;0,('Attainment 25+ by race &amp; gender'!CY60/'Pop 25+ by race &amp; gender'!CW59)*100,"—")</f>
        <v>80.800000000000011</v>
      </c>
      <c r="F61" s="534">
        <f>('Attainment 25+ by race &amp; gender'!CA60/'Pop 25+ by race &amp; gender'!BC59)*100</f>
        <v>55.027954419883564</v>
      </c>
      <c r="G61" s="533">
        <f>('Attainment 25+ by race &amp; gender'!CZ60/'Pop 25+ by race &amp; gender'!CY59)*100</f>
        <v>64.8</v>
      </c>
      <c r="H61" s="534">
        <f>('Attainment 25+ by race &amp; gender'!LB60/'Pop 25+ by race &amp; gender'!AT59)*100</f>
        <v>30.457739249598582</v>
      </c>
      <c r="I61" s="533">
        <f>('Attainment 25+ by race &amp; gender'!ML60/'Pop 25+ by race &amp; gender'!CV59)*100</f>
        <v>36.000000000000007</v>
      </c>
      <c r="J61" s="534">
        <f>('Attainment 25+ by race &amp; gender'!LH60/'Pop 25+ by race &amp; gender'!AZ59)*100</f>
        <v>15.840274408248384</v>
      </c>
      <c r="K61" s="533">
        <f>IF('Pop 25+ by race &amp; gender'!CW59&gt;0,('Attainment 25+ by race &amp; gender'!MM60/'Pop 25+ by race &amp; gender'!CW59)*100,"—")</f>
        <v>20.7</v>
      </c>
      <c r="L61" s="534">
        <f>('Attainment 25+ by race &amp; gender'!LK60/'Pop 25+ by race &amp; gender'!BC59)*100</f>
        <v>11.485557548861081</v>
      </c>
      <c r="M61" s="659">
        <f>('Attainment 25+ by race &amp; gender'!MN60/'Pop 25+ by race &amp; gender'!CY59)*100</f>
        <v>15.7</v>
      </c>
      <c r="N61" s="527">
        <f>('Attainment 25+ by race &amp; gender'!BY60/'Pop 25+ by race &amp; gender'!AT59)*100</f>
        <v>83.990700904030291</v>
      </c>
      <c r="O61" s="669">
        <f>('Attainment 25+ by race &amp; gender'!DC60/'Pop 25+ by race &amp; gender'!DA59)*100</f>
        <v>89.582244052596621</v>
      </c>
      <c r="P61" s="528">
        <f>('Attainment 25+ by race &amp; gender'!BZ60/'Pop 25+ by race &amp; gender'!AZ59)*100</f>
        <v>70.635527172445322</v>
      </c>
      <c r="Q61" s="527">
        <f>('Attainment 25+ by race &amp; gender'!DD60/'Pop 25+ by race &amp; gender'!DB59)*100</f>
        <v>81.0286150007651</v>
      </c>
      <c r="R61" s="528">
        <f>('Attainment 25+ by race &amp; gender'!CA60/'Pop 25+ by race &amp; gender'!BC59)*100</f>
        <v>55.027954419883564</v>
      </c>
      <c r="S61" s="527">
        <f>('Attainment 25+ by race &amp; gender'!DE60/'Pop 25+ by race &amp; gender'!DD59)*100</f>
        <v>65.263243361143964</v>
      </c>
      <c r="T61" s="528">
        <f>('Attainment 25+ by race &amp; gender'!LB60/'Pop 25+ by race &amp; gender'!AT59)*100</f>
        <v>30.457739249598582</v>
      </c>
      <c r="U61" s="527">
        <f>('Attainment 25+ by race &amp; gender'!MQ60/'Pop 25+ by race &amp; gender'!DA59)*100</f>
        <v>36.642761295412932</v>
      </c>
      <c r="V61" s="528">
        <f>('Attainment 25+ by race &amp; gender'!LH60/'Pop 25+ by race &amp; gender'!AZ59)*100</f>
        <v>15.840274408248384</v>
      </c>
      <c r="W61" s="527">
        <f>('Attainment 25+ by race &amp; gender'!MR60/'Pop 25+ by race &amp; gender'!DB59)*100</f>
        <v>20.743372747149003</v>
      </c>
      <c r="X61" s="528">
        <f>('Attainment 25+ by race &amp; gender'!LK60/'Pop 25+ by race &amp; gender'!BC59)*100</f>
        <v>11.485557548861081</v>
      </c>
      <c r="Y61" s="657">
        <f>('Attainment 25+ by race &amp; gender'!MS60/'Pop 25+ by race &amp; gender'!DD59)*100</f>
        <v>15.873921068789281</v>
      </c>
      <c r="Z61" s="527">
        <f>('Attainment 25+ by race &amp; gender'!BY60/'Pop 25+ by race &amp; gender'!AT59)*100</f>
        <v>83.990700904030291</v>
      </c>
      <c r="AA61" s="669">
        <f>('Attainment 25+ by race &amp; gender'!DH60/'Pop 25+ by race &amp; gender'!DF59)*100</f>
        <v>92.154370620097893</v>
      </c>
      <c r="AB61" s="528">
        <f>('Attainment 25+ by race &amp; gender'!BZ60/'Pop 25+ by race &amp; gender'!AZ59)*100</f>
        <v>70.635527172445322</v>
      </c>
      <c r="AC61" s="527">
        <f>('Attainment 25+ by race &amp; gender'!DI60/'Pop 25+ by race &amp; gender'!DG59)*100</f>
        <v>81.31574596085791</v>
      </c>
      <c r="AD61" s="528">
        <f>('Attainment 25+ by race &amp; gender'!CA60/'Pop 25+ by race &amp; gender'!BC59)*100</f>
        <v>55.027954419883564</v>
      </c>
      <c r="AE61" s="527">
        <f>('Attainment 25+ by race &amp; gender'!DJ60/'Pop 25+ by race &amp; gender'!DI59)*100</f>
        <v>66.073208817276239</v>
      </c>
      <c r="AF61" s="528">
        <f>('Attainment 25+ by race &amp; gender'!LB60/'Pop 25+ by race &amp; gender'!AT59)*100</f>
        <v>30.457739249598582</v>
      </c>
      <c r="AG61" s="527">
        <f>('Attainment 25+ by race &amp; gender'!MV60/'Pop 25+ by race &amp; gender'!DF59)*100</f>
        <v>39.283894620610731</v>
      </c>
      <c r="AH61" s="528">
        <f>('Attainment 25+ by race &amp; gender'!LH60/'Pop 25+ by race &amp; gender'!AZ59)*100</f>
        <v>15.840274408248384</v>
      </c>
      <c r="AI61" s="527">
        <f>('Attainment 25+ by race &amp; gender'!MW60/'Pop 25+ by race &amp; gender'!DG59)*100</f>
        <v>21.175696090039811</v>
      </c>
      <c r="AJ61" s="528">
        <f>('Attainment 25+ by race &amp; gender'!LK60/'Pop 25+ by race &amp; gender'!BC59)*100</f>
        <v>11.485557548861081</v>
      </c>
      <c r="AK61" s="679">
        <f>('Attainment 25+ by race &amp; gender'!MX60/'Pop 25+ by race &amp; gender'!DI59)*100</f>
        <v>16.484004537266134</v>
      </c>
    </row>
    <row r="62" spans="1:37" x14ac:dyDescent="0.2">
      <c r="A62" s="241" t="s">
        <v>43</v>
      </c>
      <c r="B62" s="533">
        <f>('Attainment 25+ by race &amp; gender'!BY61/'Pop 25+ by race &amp; gender'!AT60)*100</f>
        <v>83.407985054395411</v>
      </c>
      <c r="C62" s="668">
        <f>('Attainment 25+ by race &amp; gender'!CX61/'Pop 25+ by race &amp; gender'!CV60)*100</f>
        <v>89.800000000000011</v>
      </c>
      <c r="D62" s="534">
        <f>('Attainment 25+ by race &amp; gender'!BZ61/'Pop 25+ by race &amp; gender'!AZ60)*100</f>
        <v>71.842834326519039</v>
      </c>
      <c r="E62" s="533">
        <f>IF('Pop 25+ by race &amp; gender'!CW60&gt;0,('Attainment 25+ by race &amp; gender'!CY61/'Pop 25+ by race &amp; gender'!CW60)*100,"—")</f>
        <v>82.600000000000009</v>
      </c>
      <c r="F62" s="534">
        <f>('Attainment 25+ by race &amp; gender'!CA61/'Pop 25+ by race &amp; gender'!BC60)*100</f>
        <v>56.875111311325988</v>
      </c>
      <c r="G62" s="533">
        <f>('Attainment 25+ by race &amp; gender'!CZ61/'Pop 25+ by race &amp; gender'!CY60)*100</f>
        <v>66.400000000000006</v>
      </c>
      <c r="H62" s="534">
        <f>('Attainment 25+ by race &amp; gender'!LB61/'Pop 25+ by race &amp; gender'!AT60)*100</f>
        <v>23.098670168830285</v>
      </c>
      <c r="I62" s="533">
        <f>('Attainment 25+ by race &amp; gender'!ML61/'Pop 25+ by race &amp; gender'!CV60)*100</f>
        <v>27.900000000000002</v>
      </c>
      <c r="J62" s="534">
        <f>('Attainment 25+ by race &amp; gender'!LH61/'Pop 25+ by race &amp; gender'!AZ60)*100</f>
        <v>11.952192353358914</v>
      </c>
      <c r="K62" s="533">
        <f>IF('Pop 25+ by race &amp; gender'!CW60&gt;0,('Attainment 25+ by race &amp; gender'!MM61/'Pop 25+ by race &amp; gender'!CW60)*100,"—")</f>
        <v>14.800000000000002</v>
      </c>
      <c r="L62" s="534">
        <f>('Attainment 25+ by race &amp; gender'!LK61/'Pop 25+ by race &amp; gender'!BC60)*100</f>
        <v>12.006956303102049</v>
      </c>
      <c r="M62" s="659">
        <f>('Attainment 25+ by race &amp; gender'!MN61/'Pop 25+ by race &amp; gender'!CY60)*100</f>
        <v>13.299999999999997</v>
      </c>
      <c r="N62" s="527">
        <f>('Attainment 25+ by race &amp; gender'!BY61/'Pop 25+ by race &amp; gender'!AT60)*100</f>
        <v>83.407985054395411</v>
      </c>
      <c r="O62" s="669">
        <f>('Attainment 25+ by race &amp; gender'!DC61/'Pop 25+ by race &amp; gender'!DA60)*100</f>
        <v>90.064381050102952</v>
      </c>
      <c r="P62" s="528">
        <f>('Attainment 25+ by race &amp; gender'!BZ61/'Pop 25+ by race &amp; gender'!AZ60)*100</f>
        <v>71.842834326519039</v>
      </c>
      <c r="Q62" s="527">
        <f>('Attainment 25+ by race &amp; gender'!DD61/'Pop 25+ by race &amp; gender'!DB60)*100</f>
        <v>82.940912221856195</v>
      </c>
      <c r="R62" s="528">
        <f>('Attainment 25+ by race &amp; gender'!CA61/'Pop 25+ by race &amp; gender'!BC60)*100</f>
        <v>56.875111311325988</v>
      </c>
      <c r="S62" s="527">
        <f>('Attainment 25+ by race &amp; gender'!DE61/'Pop 25+ by race &amp; gender'!DD60)*100</f>
        <v>67.264615062542518</v>
      </c>
      <c r="T62" s="528">
        <f>('Attainment 25+ by race &amp; gender'!LB61/'Pop 25+ by race &amp; gender'!AT60)*100</f>
        <v>23.098670168830285</v>
      </c>
      <c r="U62" s="527">
        <f>('Attainment 25+ by race &amp; gender'!MQ61/'Pop 25+ by race &amp; gender'!DA60)*100</f>
        <v>28.297516530442856</v>
      </c>
      <c r="V62" s="528">
        <f>('Attainment 25+ by race &amp; gender'!LH61/'Pop 25+ by race &amp; gender'!AZ60)*100</f>
        <v>11.952192353358914</v>
      </c>
      <c r="W62" s="527">
        <f>('Attainment 25+ by race &amp; gender'!MR61/'Pop 25+ by race &amp; gender'!DB60)*100</f>
        <v>15.119403432062532</v>
      </c>
      <c r="X62" s="528">
        <f>('Attainment 25+ by race &amp; gender'!LK61/'Pop 25+ by race &amp; gender'!BC60)*100</f>
        <v>12.006956303102049</v>
      </c>
      <c r="Y62" s="657">
        <f>('Attainment 25+ by race &amp; gender'!MS61/'Pop 25+ by race &amp; gender'!DD60)*100</f>
        <v>13.34563249071021</v>
      </c>
      <c r="Z62" s="527">
        <f>('Attainment 25+ by race &amp; gender'!BY61/'Pop 25+ by race &amp; gender'!AT60)*100</f>
        <v>83.407985054395411</v>
      </c>
      <c r="AA62" s="669">
        <f>('Attainment 25+ by race &amp; gender'!DH61/'Pop 25+ by race &amp; gender'!DF60)*100</f>
        <v>90.851910971565985</v>
      </c>
      <c r="AB62" s="528">
        <f>('Attainment 25+ by race &amp; gender'!BZ61/'Pop 25+ by race &amp; gender'!AZ60)*100</f>
        <v>71.842834326519039</v>
      </c>
      <c r="AC62" s="527">
        <f>('Attainment 25+ by race &amp; gender'!DI61/'Pop 25+ by race &amp; gender'!DG60)*100</f>
        <v>83.778489607237319</v>
      </c>
      <c r="AD62" s="528">
        <f>('Attainment 25+ by race &amp; gender'!CA61/'Pop 25+ by race &amp; gender'!BC60)*100</f>
        <v>56.875111311325988</v>
      </c>
      <c r="AE62" s="527">
        <f>('Attainment 25+ by race &amp; gender'!DJ61/'Pop 25+ by race &amp; gender'!DI60)*100</f>
        <v>68.096205877585618</v>
      </c>
      <c r="AF62" s="528">
        <f>('Attainment 25+ by race &amp; gender'!LB61/'Pop 25+ by race &amp; gender'!AT60)*100</f>
        <v>23.098670168830285</v>
      </c>
      <c r="AG62" s="527">
        <f>('Attainment 25+ by race &amp; gender'!MV61/'Pop 25+ by race &amp; gender'!DF60)*100</f>
        <v>29.136633877568567</v>
      </c>
      <c r="AH62" s="528">
        <f>('Attainment 25+ by race &amp; gender'!LH61/'Pop 25+ by race &amp; gender'!AZ60)*100</f>
        <v>11.952192353358914</v>
      </c>
      <c r="AI62" s="527">
        <f>('Attainment 25+ by race &amp; gender'!MW61/'Pop 25+ by race &amp; gender'!DG60)*100</f>
        <v>16.000430567450046</v>
      </c>
      <c r="AJ62" s="528">
        <f>('Attainment 25+ by race &amp; gender'!LK61/'Pop 25+ by race &amp; gender'!BC60)*100</f>
        <v>12.006956303102049</v>
      </c>
      <c r="AK62" s="679">
        <f>('Attainment 25+ by race &amp; gender'!MX61/'Pop 25+ by race &amp; gender'!DI60)*100</f>
        <v>14.19473087041632</v>
      </c>
    </row>
    <row r="63" spans="1:37" x14ac:dyDescent="0.2">
      <c r="A63" s="241" t="s">
        <v>44</v>
      </c>
      <c r="B63" s="533">
        <f>('Attainment 25+ by race &amp; gender'!BY62/'Pop 25+ by race &amp; gender'!AT61)*100</f>
        <v>80.109199168161197</v>
      </c>
      <c r="C63" s="668">
        <f>('Attainment 25+ by race &amp; gender'!CX62/'Pop 25+ by race &amp; gender'!CV61)*100</f>
        <v>86.7</v>
      </c>
      <c r="D63" s="534">
        <f>('Attainment 25+ by race &amp; gender'!BZ62/'Pop 25+ by race &amp; gender'!AZ61)*100</f>
        <v>70.954101321947618</v>
      </c>
      <c r="E63" s="533">
        <f>IF('Pop 25+ by race &amp; gender'!CW61&gt;0,('Attainment 25+ by race &amp; gender'!CY62/'Pop 25+ by race &amp; gender'!CW61)*100,"—")</f>
        <v>76.199999999999989</v>
      </c>
      <c r="F63" s="534">
        <f>('Attainment 25+ by race &amp; gender'!CA62/'Pop 25+ by race &amp; gender'!BC61)*100</f>
        <v>50.385604113110539</v>
      </c>
      <c r="G63" s="533">
        <f>('Attainment 25+ by race &amp; gender'!CZ62/'Pop 25+ by race &amp; gender'!CY61)*100</f>
        <v>60.5</v>
      </c>
      <c r="H63" s="534">
        <f>('Attainment 25+ by race &amp; gender'!LB62/'Pop 25+ by race &amp; gender'!AT61)*100</f>
        <v>26.838833669635122</v>
      </c>
      <c r="I63" s="533">
        <f>('Attainment 25+ by race &amp; gender'!ML62/'Pop 25+ by race &amp; gender'!CV61)*100</f>
        <v>32.699999999999996</v>
      </c>
      <c r="J63" s="534">
        <f>('Attainment 25+ by race &amp; gender'!LH62/'Pop 25+ by race &amp; gender'!AZ61)*100</f>
        <v>16.692667706708271</v>
      </c>
      <c r="K63" s="533">
        <f>IF('Pop 25+ by race &amp; gender'!CW61&gt;0,('Attainment 25+ by race &amp; gender'!MM62/'Pop 25+ by race &amp; gender'!CW61)*100,"—")</f>
        <v>18</v>
      </c>
      <c r="L63" s="534">
        <f>('Attainment 25+ by race &amp; gender'!LK62/'Pop 25+ by race &amp; gender'!BC61)*100</f>
        <v>8.5837812573031087</v>
      </c>
      <c r="M63" s="659">
        <f>('Attainment 25+ by race &amp; gender'!MN62/'Pop 25+ by race &amp; gender'!CY61)*100</f>
        <v>11.200000000000001</v>
      </c>
      <c r="N63" s="527">
        <f>('Attainment 25+ by race &amp; gender'!BY62/'Pop 25+ by race &amp; gender'!AT61)*100</f>
        <v>80.109199168161197</v>
      </c>
      <c r="O63" s="669">
        <f>('Attainment 25+ by race &amp; gender'!DC62/'Pop 25+ by race &amp; gender'!DA61)*100</f>
        <v>87.232356321079948</v>
      </c>
      <c r="P63" s="528">
        <f>('Attainment 25+ by race &amp; gender'!BZ62/'Pop 25+ by race &amp; gender'!AZ61)*100</f>
        <v>70.954101321947618</v>
      </c>
      <c r="Q63" s="527">
        <f>('Attainment 25+ by race &amp; gender'!DD62/'Pop 25+ by race &amp; gender'!DB61)*100</f>
        <v>75.78570265429083</v>
      </c>
      <c r="R63" s="528">
        <f>('Attainment 25+ by race &amp; gender'!CA62/'Pop 25+ by race &amp; gender'!BC61)*100</f>
        <v>50.385604113110539</v>
      </c>
      <c r="S63" s="527">
        <f>('Attainment 25+ by race &amp; gender'!DE62/'Pop 25+ by race &amp; gender'!DD61)*100</f>
        <v>60.635647236064436</v>
      </c>
      <c r="T63" s="528">
        <f>('Attainment 25+ by race &amp; gender'!LB62/'Pop 25+ by race &amp; gender'!AT61)*100</f>
        <v>26.838833669635122</v>
      </c>
      <c r="U63" s="527">
        <f>('Attainment 25+ by race &amp; gender'!MQ62/'Pop 25+ by race &amp; gender'!DA61)*100</f>
        <v>33.043840067629148</v>
      </c>
      <c r="V63" s="528">
        <f>('Attainment 25+ by race &amp; gender'!LH62/'Pop 25+ by race &amp; gender'!AZ61)*100</f>
        <v>16.692667706708271</v>
      </c>
      <c r="W63" s="527">
        <f>('Attainment 25+ by race &amp; gender'!MR62/'Pop 25+ by race &amp; gender'!DB61)*100</f>
        <v>16.870216577104706</v>
      </c>
      <c r="X63" s="528">
        <f>('Attainment 25+ by race &amp; gender'!LK62/'Pop 25+ by race &amp; gender'!BC61)*100</f>
        <v>8.5837812573031087</v>
      </c>
      <c r="Y63" s="657">
        <f>('Attainment 25+ by race &amp; gender'!MS62/'Pop 25+ by race &amp; gender'!DD61)*100</f>
        <v>11.207845636806118</v>
      </c>
      <c r="Z63" s="527">
        <f>('Attainment 25+ by race &amp; gender'!BY62/'Pop 25+ by race &amp; gender'!AT61)*100</f>
        <v>80.109199168161197</v>
      </c>
      <c r="AA63" s="669">
        <f>('Attainment 25+ by race &amp; gender'!DH62/'Pop 25+ by race &amp; gender'!DF61)*100</f>
        <v>89.173588379527388</v>
      </c>
      <c r="AB63" s="528">
        <f>('Attainment 25+ by race &amp; gender'!BZ62/'Pop 25+ by race &amp; gender'!AZ61)*100</f>
        <v>70.954101321947618</v>
      </c>
      <c r="AC63" s="527">
        <f>('Attainment 25+ by race &amp; gender'!DI62/'Pop 25+ by race &amp; gender'!DG61)*100</f>
        <v>76.316679237431401</v>
      </c>
      <c r="AD63" s="528">
        <f>('Attainment 25+ by race &amp; gender'!CA62/'Pop 25+ by race &amp; gender'!BC61)*100</f>
        <v>50.385604113110539</v>
      </c>
      <c r="AE63" s="527">
        <f>('Attainment 25+ by race &amp; gender'!DJ62/'Pop 25+ by race &amp; gender'!DI61)*100</f>
        <v>63.340193484256659</v>
      </c>
      <c r="AF63" s="528">
        <f>('Attainment 25+ by race &amp; gender'!LB62/'Pop 25+ by race &amp; gender'!AT61)*100</f>
        <v>26.838833669635122</v>
      </c>
      <c r="AG63" s="527">
        <f>('Attainment 25+ by race &amp; gender'!MV62/'Pop 25+ by race &amp; gender'!DF61)*100</f>
        <v>34.699751671043309</v>
      </c>
      <c r="AH63" s="528">
        <f>('Attainment 25+ by race &amp; gender'!LH62/'Pop 25+ by race &amp; gender'!AZ61)*100</f>
        <v>16.692667706708271</v>
      </c>
      <c r="AI63" s="527">
        <f>('Attainment 25+ by race &amp; gender'!MW62/'Pop 25+ by race &amp; gender'!DG61)*100</f>
        <v>18.218939374236001</v>
      </c>
      <c r="AJ63" s="528">
        <f>('Attainment 25+ by race &amp; gender'!LK62/'Pop 25+ by race &amp; gender'!BC61)*100</f>
        <v>8.5837812573031087</v>
      </c>
      <c r="AK63" s="679">
        <f>('Attainment 25+ by race &amp; gender'!MX62/'Pop 25+ by race &amp; gender'!DI61)*100</f>
        <v>12.157867473084409</v>
      </c>
    </row>
    <row r="64" spans="1:37" s="691" customFormat="1" x14ac:dyDescent="0.25">
      <c r="A64" s="681" t="s">
        <v>47</v>
      </c>
      <c r="B64" s="682">
        <f>('Attainment 25+ by race &amp; gender'!BY63/'Pop 25+ by race &amp; gender'!AT62)*100</f>
        <v>86.584286138304918</v>
      </c>
      <c r="C64" s="703">
        <f>('Attainment 25+ by race &amp; gender'!CX63/'Pop 25+ by race &amp; gender'!CV62)*100</f>
        <v>91.600000000000009</v>
      </c>
      <c r="D64" s="684">
        <f>('Attainment 25+ by race &amp; gender'!BZ63/'Pop 25+ by race &amp; gender'!AZ62)*100</f>
        <v>84.156862745098039</v>
      </c>
      <c r="E64" s="682" t="str">
        <f>IF('Pop 25+ by race &amp; gender'!CW62&gt;0,('Attainment 25+ by race &amp; gender'!CY63/'Pop 25+ by race &amp; gender'!CW62)*100,"—")</f>
        <v>—</v>
      </c>
      <c r="F64" s="684">
        <f>('Attainment 25+ by race &amp; gender'!CA63/'Pop 25+ by race &amp; gender'!BC62)*100</f>
        <v>85.614307931570764</v>
      </c>
      <c r="G64" s="682" t="str">
        <f>IF('Pop 25+ by race &amp; gender'!CY62&gt;0,('Attainment 25+ by race &amp; gender'!CZ63/'Pop 25+ by race &amp; gender'!CY62)*100,"—")</f>
        <v>—</v>
      </c>
      <c r="H64" s="684">
        <f>('Attainment 25+ by race &amp; gender'!LB63/'Pop 25+ by race &amp; gender'!AT62)*100</f>
        <v>29.456070342248729</v>
      </c>
      <c r="I64" s="682">
        <f>('Attainment 25+ by race &amp; gender'!ML63/'Pop 25+ by race &amp; gender'!CV62)*100</f>
        <v>34</v>
      </c>
      <c r="J64" s="684">
        <f>('Attainment 25+ by race &amp; gender'!LH63/'Pop 25+ by race &amp; gender'!AZ62)*100</f>
        <v>34.823529411764703</v>
      </c>
      <c r="K64" s="682" t="str">
        <f>IF('Pop 25+ by race &amp; gender'!CW62&gt;0,('Attainment 25+ by race &amp; gender'!MM63/'Pop 25+ by race &amp; gender'!CW62)*100,"—")</f>
        <v>—</v>
      </c>
      <c r="L64" s="684">
        <f>('Attainment 25+ by race &amp; gender'!LK63/'Pop 25+ by race &amp; gender'!BC62)*100</f>
        <v>36.819595645412129</v>
      </c>
      <c r="M64" s="692" t="str">
        <f>IF('Pop 25+ by race &amp; gender'!CY62&gt;0,('Attainment 25+ by race &amp; gender'!MN63/'Pop 25+ by race &amp; gender'!CY62)*100,"—")</f>
        <v>—</v>
      </c>
      <c r="N64" s="693">
        <f>('Attainment 25+ by race &amp; gender'!BY63/'Pop 25+ by race &amp; gender'!AT62)*100</f>
        <v>86.584286138304918</v>
      </c>
      <c r="O64" s="701">
        <f>('Attainment 25+ by race &amp; gender'!DC63/'Pop 25+ by race &amp; gender'!DA62)*100</f>
        <v>91.757097550724083</v>
      </c>
      <c r="P64" s="694">
        <f>('Attainment 25+ by race &amp; gender'!BZ63/'Pop 25+ by race &amp; gender'!AZ62)*100</f>
        <v>84.156862745098039</v>
      </c>
      <c r="Q64" s="695">
        <f>('Attainment 25+ by race &amp; gender'!DD63/'Pop 25+ by race &amp; gender'!DB62)*100</f>
        <v>86.305622628492586</v>
      </c>
      <c r="R64" s="694">
        <f>('Attainment 25+ by race &amp; gender'!CA63/'Pop 25+ by race &amp; gender'!BC62)*100</f>
        <v>85.614307931570764</v>
      </c>
      <c r="S64" s="695">
        <f>('Attainment 25+ by race &amp; gender'!DE63/'Pop 25+ by race &amp; gender'!DD62)*100</f>
        <v>90.406852248394003</v>
      </c>
      <c r="T64" s="694">
        <f>('Attainment 25+ by race &amp; gender'!LB63/'Pop 25+ by race &amp; gender'!AT62)*100</f>
        <v>29.456070342248729</v>
      </c>
      <c r="U64" s="696">
        <f>('Attainment 25+ by race &amp; gender'!MQ63/'Pop 25+ by race &amp; gender'!DA62)*100</f>
        <v>34.73978831531084</v>
      </c>
      <c r="V64" s="694">
        <f>('Attainment 25+ by race &amp; gender'!LH63/'Pop 25+ by race &amp; gender'!AZ62)*100</f>
        <v>34.823529411764703</v>
      </c>
      <c r="W64" s="696">
        <f>('Attainment 25+ by race &amp; gender'!MR63/'Pop 25+ by race &amp; gender'!DB62)*100</f>
        <v>38.151086581579854</v>
      </c>
      <c r="X64" s="694">
        <f>('Attainment 25+ by race &amp; gender'!LK63/'Pop 25+ by race &amp; gender'!BC62)*100</f>
        <v>36.819595645412129</v>
      </c>
      <c r="Y64" s="737">
        <f>('Attainment 25+ by race &amp; gender'!MS63/'Pop 25+ by race &amp; gender'!DD62)*100</f>
        <v>43.147751605995715</v>
      </c>
      <c r="Z64" s="748">
        <f>('Attainment 25+ by race &amp; gender'!BY63/'Pop 25+ by race &amp; gender'!AT62)*100</f>
        <v>86.584286138304918</v>
      </c>
      <c r="AA64" s="733">
        <f>('Attainment 25+ by race &amp; gender'!DH63/'Pop 25+ by race &amp; gender'!DF62)*100</f>
        <v>91.986494551615266</v>
      </c>
      <c r="AB64" s="532">
        <f>('Attainment 25+ by race &amp; gender'!BZ63/'Pop 25+ by race &amp; gender'!AZ62)*100</f>
        <v>84.156862745098039</v>
      </c>
      <c r="AC64" s="649">
        <f>('Attainment 25+ by race &amp; gender'!DI63/'Pop 25+ by race &amp; gender'!DG62)*100</f>
        <v>82.752179327521787</v>
      </c>
      <c r="AD64" s="532">
        <f>('Attainment 25+ by race &amp; gender'!CA63/'Pop 25+ by race &amp; gender'!BC62)*100</f>
        <v>85.614307931570764</v>
      </c>
      <c r="AE64" s="531">
        <f>('Attainment 25+ by race &amp; gender'!DJ63/'Pop 25+ by race &amp; gender'!DI62)*100</f>
        <v>88.206106870229007</v>
      </c>
      <c r="AF64" s="532">
        <f>('Attainment 25+ by race &amp; gender'!LB63/'Pop 25+ by race &amp; gender'!AT62)*100</f>
        <v>29.456070342248729</v>
      </c>
      <c r="AG64" s="649">
        <f>('Attainment 25+ by race &amp; gender'!MV63/'Pop 25+ by race &amp; gender'!DF62)*100</f>
        <v>35.562502406530363</v>
      </c>
      <c r="AH64" s="532">
        <f>('Attainment 25+ by race &amp; gender'!LH63/'Pop 25+ by race &amp; gender'!AZ62)*100</f>
        <v>34.823529411764703</v>
      </c>
      <c r="AI64" s="649">
        <f>('Attainment 25+ by race &amp; gender'!MW63/'Pop 25+ by race &amp; gender'!DG62)*100</f>
        <v>36.581569115815697</v>
      </c>
      <c r="AJ64" s="532">
        <f>('Attainment 25+ by race &amp; gender'!LK63/'Pop 25+ by race &amp; gender'!BC62)*100</f>
        <v>36.819595645412129</v>
      </c>
      <c r="AK64" s="649">
        <f>('Attainment 25+ by race &amp; gender'!MX63/'Pop 25+ by race &amp; gender'!DI62)*100</f>
        <v>41.240458015267173</v>
      </c>
    </row>
    <row r="65" spans="1:37" s="691" customFormat="1" x14ac:dyDescent="0.25">
      <c r="A65" s="680" t="s">
        <v>62</v>
      </c>
      <c r="B65" s="697">
        <f>('Attainment 25+ by race &amp; gender'!BY64/'Pop 25+ by race &amp; gender'!AT63)*100</f>
        <v>94.428578080618379</v>
      </c>
      <c r="C65" s="703">
        <f>('Attainment 25+ by race &amp; gender'!CX64/'Pop 25+ by race &amp; gender'!CV63)*100</f>
        <v>95</v>
      </c>
      <c r="D65" s="698">
        <f>('Attainment 25+ by race &amp; gender'!BZ64/'Pop 25+ by race &amp; gender'!AZ63)*100</f>
        <v>70.367053006825145</v>
      </c>
      <c r="E65" s="697">
        <f>IF('Pop 25+ by race &amp; gender'!CW63&gt;0,('Attainment 25+ by race &amp; gender'!CY64/'Pop 25+ by race &amp; gender'!CW63)*100,"—")</f>
        <v>81.7</v>
      </c>
      <c r="F65" s="698">
        <f>('Attainment 25+ by race &amp; gender'!CA64/'Pop 25+ by race &amp; gender'!BC63)*100</f>
        <v>47.821973280853804</v>
      </c>
      <c r="G65" s="697">
        <f>('Attainment 25+ by race &amp; gender'!CZ64/'Pop 25+ by race &amp; gender'!CY63)*100</f>
        <v>62.900000000000013</v>
      </c>
      <c r="H65" s="698">
        <f>('Attainment 25+ by race &amp; gender'!LB64/'Pop 25+ by race &amp; gender'!AT63)*100</f>
        <v>77.303770158473924</v>
      </c>
      <c r="I65" s="697">
        <f>('Attainment 25+ by race &amp; gender'!ML64/'Pop 25+ by race &amp; gender'!CV63)*100</f>
        <v>82.399999999999991</v>
      </c>
      <c r="J65" s="698">
        <f>('Attainment 25+ by race &amp; gender'!LH64/'Pop 25+ by race &amp; gender'!AZ63)*100</f>
        <v>17.497268151120508</v>
      </c>
      <c r="K65" s="697">
        <f>IF('Pop 25+ by race &amp; gender'!CW63&gt;0,('Attainment 25+ by race &amp; gender'!MM64/'Pop 25+ by race &amp; gender'!CW63)*100,"—")</f>
        <v>22.1</v>
      </c>
      <c r="L65" s="698">
        <f>('Attainment 25+ by race &amp; gender'!LK64/'Pop 25+ by race &amp; gender'!BC63)*100</f>
        <v>24.75494834046096</v>
      </c>
      <c r="M65" s="699">
        <f>('Attainment 25+ by race &amp; gender'!MN64/'Pop 25+ by race &amp; gender'!CY63)*100</f>
        <v>36.9</v>
      </c>
      <c r="N65" s="693">
        <f>('Attainment 25+ by race &amp; gender'!BY64/'Pop 25+ by race &amp; gender'!AT63)*100</f>
        <v>94.428578080618379</v>
      </c>
      <c r="O65" s="701">
        <f>('Attainment 25+ by race &amp; gender'!DC64/'Pop 25+ by race &amp; gender'!DA63)*100</f>
        <v>95.479488852219959</v>
      </c>
      <c r="P65" s="694">
        <f>('Attainment 25+ by race &amp; gender'!BZ64/'Pop 25+ by race &amp; gender'!AZ63)*100</f>
        <v>70.367053006825145</v>
      </c>
      <c r="Q65" s="695">
        <f>('Attainment 25+ by race &amp; gender'!DD64/'Pop 25+ by race &amp; gender'!DB63)*100</f>
        <v>81.958451815982968</v>
      </c>
      <c r="R65" s="694">
        <f>('Attainment 25+ by race &amp; gender'!CA64/'Pop 25+ by race &amp; gender'!BC63)*100</f>
        <v>47.821973280853804</v>
      </c>
      <c r="S65" s="695">
        <f>('Attainment 25+ by race &amp; gender'!DE64/'Pop 25+ by race &amp; gender'!DD63)*100</f>
        <v>64.914200314910204</v>
      </c>
      <c r="T65" s="694">
        <f>('Attainment 25+ by race &amp; gender'!LB64/'Pop 25+ by race &amp; gender'!AT63)*100</f>
        <v>77.303770158473924</v>
      </c>
      <c r="U65" s="696">
        <f>('Attainment 25+ by race &amp; gender'!MQ64/'Pop 25+ by race &amp; gender'!DA63)*100</f>
        <v>83.616299276915569</v>
      </c>
      <c r="V65" s="694">
        <f>('Attainment 25+ by race &amp; gender'!LH64/'Pop 25+ by race &amp; gender'!AZ63)*100</f>
        <v>17.497268151120508</v>
      </c>
      <c r="W65" s="696">
        <f>('Attainment 25+ by race &amp; gender'!MR64/'Pop 25+ by race &amp; gender'!DB63)*100</f>
        <v>22.908952219105601</v>
      </c>
      <c r="X65" s="694">
        <f>('Attainment 25+ by race &amp; gender'!LK64/'Pop 25+ by race &amp; gender'!BC63)*100</f>
        <v>24.75494834046096</v>
      </c>
      <c r="Y65" s="696">
        <f>('Attainment 25+ by race &amp; gender'!MS64/'Pop 25+ by race &amp; gender'!DD63)*100</f>
        <v>35.739638653892342</v>
      </c>
      <c r="Z65" s="748">
        <f>('Attainment 25+ by race &amp; gender'!BY64/'Pop 25+ by race &amp; gender'!AT63)*100</f>
        <v>94.428578080618379</v>
      </c>
      <c r="AA65" s="733">
        <f>('Attainment 25+ by race &amp; gender'!DH64/'Pop 25+ by race &amp; gender'!DF63)*100</f>
        <v>99.567520117044623</v>
      </c>
      <c r="AB65" s="532">
        <f>('Attainment 25+ by race &amp; gender'!BZ64/'Pop 25+ by race &amp; gender'!AZ63)*100</f>
        <v>70.367053006825145</v>
      </c>
      <c r="AC65" s="649">
        <f>('Attainment 25+ by race &amp; gender'!DI64/'Pop 25+ by race &amp; gender'!DG63)*100</f>
        <v>82.678538909069999</v>
      </c>
      <c r="AD65" s="532">
        <f>('Attainment 25+ by race &amp; gender'!CA64/'Pop 25+ by race &amp; gender'!BC63)*100</f>
        <v>47.821973280853804</v>
      </c>
      <c r="AE65" s="531">
        <f>('Attainment 25+ by race &amp; gender'!DJ64/'Pop 25+ by race &amp; gender'!DI63)*100</f>
        <v>70.032223415682054</v>
      </c>
      <c r="AF65" s="532">
        <f>('Attainment 25+ by race &amp; gender'!LB64/'Pop 25+ by race &amp; gender'!AT63)*100</f>
        <v>77.303770158473924</v>
      </c>
      <c r="AG65" s="649">
        <f>('Attainment 25+ by race &amp; gender'!MV64/'Pop 25+ by race &amp; gender'!DF63)*100</f>
        <v>90.133723482077542</v>
      </c>
      <c r="AH65" s="532">
        <f>('Attainment 25+ by race &amp; gender'!LH64/'Pop 25+ by race &amp; gender'!AZ63)*100</f>
        <v>17.497268151120508</v>
      </c>
      <c r="AI65" s="649">
        <f>('Attainment 25+ by race &amp; gender'!MW64/'Pop 25+ by race &amp; gender'!DG63)*100</f>
        <v>23.489212425598804</v>
      </c>
      <c r="AJ65" s="532">
        <f>('Attainment 25+ by race &amp; gender'!LK64/'Pop 25+ by race &amp; gender'!BC63)*100</f>
        <v>24.75494834046096</v>
      </c>
      <c r="AK65" s="649">
        <f>('Attainment 25+ by race &amp; gender'!MX64/'Pop 25+ by race &amp; gender'!DI63)*100</f>
        <v>40.129393250568278</v>
      </c>
    </row>
    <row r="66" spans="1:37" x14ac:dyDescent="0.2">
      <c r="C66" s="702"/>
      <c r="O66" s="700"/>
      <c r="AC66" s="181"/>
    </row>
    <row r="67" spans="1:37" x14ac:dyDescent="0.2">
      <c r="A67" s="228"/>
      <c r="B67" s="537"/>
      <c r="C67" s="670"/>
      <c r="D67" s="537"/>
      <c r="E67" s="537"/>
      <c r="F67" s="537"/>
      <c r="G67" s="537"/>
      <c r="H67" s="537"/>
      <c r="I67" s="537"/>
      <c r="J67" s="537"/>
      <c r="K67" s="537"/>
      <c r="L67" s="537"/>
      <c r="M67" s="537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X69"/>
  <sheetViews>
    <sheetView topLeftCell="J1" workbookViewId="0"/>
  </sheetViews>
  <sheetFormatPr defaultRowHeight="12.75" x14ac:dyDescent="0.2"/>
  <cols>
    <col min="1" max="1" width="16.33203125" style="1" customWidth="1"/>
    <col min="2" max="2" width="4.44140625" style="2" customWidth="1"/>
    <col min="3" max="8" width="4.44140625" style="1" customWidth="1"/>
    <col min="9" max="9" width="4.44140625" style="2" customWidth="1"/>
    <col min="10" max="10" width="4.6640625" style="159" customWidth="1"/>
    <col min="11" max="16" width="3.88671875" style="159" bestFit="1" customWidth="1"/>
    <col min="17" max="17" width="3.88671875" style="159" customWidth="1"/>
    <col min="18" max="25" width="4.33203125" style="167" customWidth="1"/>
    <col min="26" max="33" width="5.44140625" style="159" customWidth="1"/>
    <col min="34" max="41" width="5.44140625" style="167" customWidth="1"/>
    <col min="42" max="49" width="5.44140625" style="159" customWidth="1"/>
    <col min="50" max="16384" width="8.88671875" style="159"/>
  </cols>
  <sheetData>
    <row r="1" spans="1:50" x14ac:dyDescent="0.2">
      <c r="A1" s="4" t="s">
        <v>190</v>
      </c>
    </row>
    <row r="2" spans="1:50" ht="12.75" customHeight="1" x14ac:dyDescent="0.2">
      <c r="A2" s="159"/>
      <c r="B2" s="155" t="s">
        <v>66</v>
      </c>
      <c r="C2" s="156"/>
      <c r="D2" s="156"/>
      <c r="E2" s="156"/>
      <c r="F2" s="156"/>
      <c r="G2" s="156"/>
      <c r="H2" s="156"/>
      <c r="I2" s="156"/>
      <c r="J2" s="157"/>
      <c r="K2" s="158"/>
      <c r="L2" s="158"/>
      <c r="M2" s="158"/>
      <c r="N2" s="158"/>
      <c r="O2" s="158"/>
      <c r="P2" s="158"/>
      <c r="Q2" s="158"/>
      <c r="R2" s="157" t="s">
        <v>58</v>
      </c>
      <c r="S2" s="156"/>
      <c r="T2" s="156"/>
      <c r="U2" s="156"/>
      <c r="V2" s="156"/>
      <c r="W2" s="156"/>
      <c r="X2" s="156"/>
      <c r="Y2" s="156"/>
      <c r="Z2" s="155" t="s">
        <v>64</v>
      </c>
      <c r="AA2" s="158"/>
      <c r="AB2" s="158"/>
      <c r="AC2" s="158"/>
      <c r="AD2" s="158"/>
      <c r="AE2" s="158"/>
      <c r="AF2" s="158"/>
      <c r="AG2" s="158"/>
      <c r="AH2" s="157" t="s">
        <v>59</v>
      </c>
      <c r="AI2" s="156"/>
      <c r="AJ2" s="156"/>
      <c r="AK2" s="156"/>
      <c r="AL2" s="156"/>
      <c r="AM2" s="156"/>
      <c r="AN2" s="156"/>
      <c r="AO2" s="156"/>
      <c r="AP2" s="155" t="s">
        <v>64</v>
      </c>
      <c r="AQ2" s="158"/>
      <c r="AR2" s="158"/>
      <c r="AS2" s="158"/>
      <c r="AT2" s="158"/>
      <c r="AU2" s="158"/>
      <c r="AV2" s="158"/>
      <c r="AW2" s="158"/>
    </row>
    <row r="3" spans="1:50" ht="12.75" customHeight="1" x14ac:dyDescent="0.2">
      <c r="B3" s="160" t="s">
        <v>134</v>
      </c>
      <c r="C3" s="160"/>
      <c r="D3" s="160"/>
      <c r="E3" s="160"/>
      <c r="F3" s="160"/>
      <c r="G3" s="160"/>
      <c r="H3" s="160"/>
      <c r="I3" s="160"/>
      <c r="J3" s="161" t="s">
        <v>135</v>
      </c>
      <c r="K3" s="160"/>
      <c r="L3" s="160"/>
      <c r="M3" s="160"/>
      <c r="N3" s="160"/>
      <c r="O3" s="160"/>
      <c r="P3" s="160"/>
      <c r="Q3" s="160"/>
      <c r="R3" s="161" t="s">
        <v>134</v>
      </c>
      <c r="S3" s="160"/>
      <c r="T3" s="160"/>
      <c r="U3" s="160"/>
      <c r="V3" s="160"/>
      <c r="W3" s="160"/>
      <c r="X3" s="160"/>
      <c r="Y3" s="160"/>
      <c r="Z3" s="161" t="s">
        <v>135</v>
      </c>
      <c r="AA3" s="160"/>
      <c r="AB3" s="160"/>
      <c r="AC3" s="160"/>
      <c r="AD3" s="160"/>
      <c r="AE3" s="160"/>
      <c r="AF3" s="160"/>
      <c r="AG3" s="160"/>
      <c r="AH3" s="161" t="s">
        <v>134</v>
      </c>
      <c r="AI3" s="160"/>
      <c r="AJ3" s="160"/>
      <c r="AK3" s="160"/>
      <c r="AL3" s="160"/>
      <c r="AM3" s="160"/>
      <c r="AN3" s="160"/>
      <c r="AO3" s="160"/>
      <c r="AP3" s="161" t="s">
        <v>135</v>
      </c>
      <c r="AQ3" s="160"/>
      <c r="AR3" s="160"/>
      <c r="AS3" s="160"/>
      <c r="AT3" s="160"/>
      <c r="AU3" s="160"/>
      <c r="AV3" s="160"/>
      <c r="AW3" s="160"/>
    </row>
    <row r="4" spans="1:50" ht="12.75" customHeight="1" x14ac:dyDescent="0.2">
      <c r="A4" s="4"/>
      <c r="B4" s="162">
        <v>1940</v>
      </c>
      <c r="C4" s="162">
        <v>1950</v>
      </c>
      <c r="D4" s="162">
        <v>1960</v>
      </c>
      <c r="E4" s="162">
        <v>1970</v>
      </c>
      <c r="F4" s="162">
        <v>1980</v>
      </c>
      <c r="G4" s="162">
        <v>1990</v>
      </c>
      <c r="H4" s="162">
        <v>2000</v>
      </c>
      <c r="I4" s="162">
        <v>2010</v>
      </c>
      <c r="J4" s="163">
        <v>1940</v>
      </c>
      <c r="K4" s="162">
        <v>1950</v>
      </c>
      <c r="L4" s="162">
        <v>1960</v>
      </c>
      <c r="M4" s="162">
        <v>1970</v>
      </c>
      <c r="N4" s="162">
        <v>1980</v>
      </c>
      <c r="O4" s="162">
        <v>1990</v>
      </c>
      <c r="P4" s="162">
        <v>2000</v>
      </c>
      <c r="Q4" s="162">
        <v>2010</v>
      </c>
      <c r="R4" s="163">
        <v>1940</v>
      </c>
      <c r="S4" s="162">
        <v>1950</v>
      </c>
      <c r="T4" s="162">
        <v>1960</v>
      </c>
      <c r="U4" s="162">
        <v>1970</v>
      </c>
      <c r="V4" s="162">
        <v>1980</v>
      </c>
      <c r="W4" s="162">
        <v>1990</v>
      </c>
      <c r="X4" s="162">
        <v>2000</v>
      </c>
      <c r="Y4" s="162">
        <v>2010</v>
      </c>
      <c r="Z4" s="163">
        <v>1940</v>
      </c>
      <c r="AA4" s="162">
        <v>1950</v>
      </c>
      <c r="AB4" s="162">
        <v>1960</v>
      </c>
      <c r="AC4" s="162">
        <v>1970</v>
      </c>
      <c r="AD4" s="162">
        <v>1980</v>
      </c>
      <c r="AE4" s="162">
        <v>1990</v>
      </c>
      <c r="AF4" s="162">
        <v>2000</v>
      </c>
      <c r="AG4" s="162">
        <v>2010</v>
      </c>
      <c r="AH4" s="163">
        <v>1940</v>
      </c>
      <c r="AI4" s="162">
        <v>1950</v>
      </c>
      <c r="AJ4" s="162">
        <v>1960</v>
      </c>
      <c r="AK4" s="162">
        <v>1970</v>
      </c>
      <c r="AL4" s="162">
        <v>1980</v>
      </c>
      <c r="AM4" s="162">
        <v>1990</v>
      </c>
      <c r="AN4" s="162">
        <v>2000</v>
      </c>
      <c r="AO4" s="162">
        <v>2010</v>
      </c>
      <c r="AP4" s="163">
        <v>1940</v>
      </c>
      <c r="AQ4" s="162">
        <v>1950</v>
      </c>
      <c r="AR4" s="162">
        <v>1960</v>
      </c>
      <c r="AS4" s="162">
        <v>1970</v>
      </c>
      <c r="AT4" s="162">
        <v>1980</v>
      </c>
      <c r="AU4" s="162">
        <v>1990</v>
      </c>
      <c r="AV4" s="162">
        <v>2000</v>
      </c>
      <c r="AW4" s="162">
        <v>2010</v>
      </c>
    </row>
    <row r="5" spans="1:50" ht="12.75" customHeight="1" x14ac:dyDescent="0.2">
      <c r="A5" s="562" t="s">
        <v>181</v>
      </c>
      <c r="B5" s="455">
        <v>24.458496452634126</v>
      </c>
      <c r="C5" s="455">
        <v>34.299999999999997</v>
      </c>
      <c r="D5" s="455">
        <v>41.1</v>
      </c>
      <c r="E5" s="455">
        <v>52.344297112779337</v>
      </c>
      <c r="F5" s="455">
        <v>66.5</v>
      </c>
      <c r="G5" s="455">
        <v>75.2</v>
      </c>
      <c r="H5" s="455">
        <v>80.400000000000006</v>
      </c>
      <c r="I5" s="570"/>
      <c r="J5" s="173">
        <v>4.6211207750859016</v>
      </c>
      <c r="K5" s="171">
        <v>6.2120152391610235</v>
      </c>
      <c r="L5" s="171">
        <v>7.7</v>
      </c>
      <c r="M5" s="171">
        <v>10.661814688109327</v>
      </c>
      <c r="N5" s="171">
        <v>16.2</v>
      </c>
      <c r="O5" s="171">
        <v>20.3</v>
      </c>
      <c r="P5" s="171">
        <v>24.4</v>
      </c>
      <c r="Q5" s="570"/>
      <c r="R5" s="173">
        <v>26.1242637428225</v>
      </c>
      <c r="S5" s="172">
        <v>36.432975156778866</v>
      </c>
      <c r="T5" s="171">
        <v>43.2</v>
      </c>
      <c r="U5" s="171">
        <v>54.5</v>
      </c>
      <c r="V5" s="171">
        <v>68.8</v>
      </c>
      <c r="W5" s="171">
        <v>77.900000000000006</v>
      </c>
      <c r="X5" s="171">
        <v>83.58</v>
      </c>
      <c r="Y5" s="570"/>
      <c r="Z5" s="173">
        <v>4.9490945946975398</v>
      </c>
      <c r="AA5" s="171">
        <v>6.6</v>
      </c>
      <c r="AB5" s="171">
        <v>8.1</v>
      </c>
      <c r="AC5" s="171">
        <v>11.3</v>
      </c>
      <c r="AD5" s="171">
        <v>17.100000000000001</v>
      </c>
      <c r="AE5" s="171">
        <v>21.5</v>
      </c>
      <c r="AF5" s="171">
        <v>26.06</v>
      </c>
      <c r="AG5" s="570"/>
      <c r="AH5" s="173">
        <v>7.6697843442305524</v>
      </c>
      <c r="AI5" s="172">
        <v>13.7</v>
      </c>
      <c r="AJ5" s="171">
        <v>21.653946317862292</v>
      </c>
      <c r="AK5" s="171">
        <v>31.4</v>
      </c>
      <c r="AL5" s="171">
        <v>51.2</v>
      </c>
      <c r="AM5" s="171">
        <v>63.1</v>
      </c>
      <c r="AN5" s="171">
        <v>72.260000000000005</v>
      </c>
      <c r="AO5" s="570"/>
      <c r="AP5" s="173">
        <v>1.3155646599895141</v>
      </c>
      <c r="AQ5" s="171">
        <v>2.1711645320743229</v>
      </c>
      <c r="AR5" s="171">
        <v>3.5247252942352119</v>
      </c>
      <c r="AS5" s="171">
        <v>4.4000000000000004</v>
      </c>
      <c r="AT5" s="171">
        <v>8.4</v>
      </c>
      <c r="AU5" s="171">
        <v>11.4</v>
      </c>
      <c r="AV5" s="171">
        <v>14.26</v>
      </c>
      <c r="AW5" s="171"/>
    </row>
    <row r="6" spans="1:50" ht="12.75" customHeight="1" x14ac:dyDescent="0.2">
      <c r="A6" s="244" t="s">
        <v>63</v>
      </c>
      <c r="B6" s="451">
        <v>20.311517054038468</v>
      </c>
      <c r="C6" s="451">
        <v>26.697016769645327</v>
      </c>
      <c r="D6" s="451">
        <v>35.263465195926109</v>
      </c>
      <c r="E6" s="451">
        <v>45.07</v>
      </c>
      <c r="F6" s="451">
        <v>60.2</v>
      </c>
      <c r="G6" s="451">
        <v>71.3</v>
      </c>
      <c r="H6" s="451">
        <v>77.732064644869055</v>
      </c>
      <c r="I6" s="451"/>
      <c r="J6" s="166">
        <v>4.0066721209396983</v>
      </c>
      <c r="K6" s="164">
        <v>5.4450311750335425</v>
      </c>
      <c r="L6" s="164">
        <v>7.0600986018678658</v>
      </c>
      <c r="M6" s="164">
        <v>9.7953112771439343</v>
      </c>
      <c r="N6" s="164">
        <v>14.963090627775182</v>
      </c>
      <c r="O6" s="164">
        <v>18.7</v>
      </c>
      <c r="P6" s="164">
        <v>22.543925449203424</v>
      </c>
      <c r="Q6" s="451"/>
      <c r="R6" s="166">
        <v>24.61018696134132</v>
      </c>
      <c r="S6" s="164">
        <v>31.145761703109915</v>
      </c>
      <c r="T6" s="164">
        <v>39.756068763080094</v>
      </c>
      <c r="U6" s="164">
        <v>49.057984983421207</v>
      </c>
      <c r="V6" s="164">
        <v>63.5</v>
      </c>
      <c r="W6" s="164">
        <v>74.362041990025389</v>
      </c>
      <c r="X6" s="164">
        <v>80.605591864676626</v>
      </c>
      <c r="Y6" s="451"/>
      <c r="Z6" s="166">
        <v>4.8488573188726365</v>
      </c>
      <c r="AA6" s="164">
        <v>6.3088779735645781</v>
      </c>
      <c r="AB6" s="164">
        <v>7.9246468506359191</v>
      </c>
      <c r="AC6" s="164">
        <v>10.801675990419231</v>
      </c>
      <c r="AD6" s="164">
        <v>16.3</v>
      </c>
      <c r="AE6" s="164">
        <v>18.96925784479004</v>
      </c>
      <c r="AF6" s="164">
        <v>24.563505910399247</v>
      </c>
      <c r="AG6" s="451"/>
      <c r="AH6" s="166">
        <v>5.3892398662157008</v>
      </c>
      <c r="AI6" s="164">
        <v>8.8518746384706102</v>
      </c>
      <c r="AJ6" s="164">
        <v>15.012794033733975</v>
      </c>
      <c r="AK6" s="164">
        <v>24.424152308450058</v>
      </c>
      <c r="AL6" s="164">
        <v>44.9</v>
      </c>
      <c r="AM6" s="164">
        <v>59.1</v>
      </c>
      <c r="AN6" s="164">
        <v>70.311533799595722</v>
      </c>
      <c r="AO6" s="451"/>
      <c r="AP6" s="166">
        <v>1.0831379354436448</v>
      </c>
      <c r="AQ6" s="164">
        <v>1.9799035649097276</v>
      </c>
      <c r="AR6" s="164">
        <v>3.1630972243922599</v>
      </c>
      <c r="AS6" s="164">
        <v>4.4437868193580359</v>
      </c>
      <c r="AT6" s="164">
        <v>8</v>
      </c>
      <c r="AU6" s="164">
        <v>10.7</v>
      </c>
      <c r="AV6" s="164">
        <v>13.738347476097157</v>
      </c>
      <c r="AW6" s="164"/>
    </row>
    <row r="7" spans="1:50" ht="12.75" customHeight="1" x14ac:dyDescent="0.2">
      <c r="A7" s="244" t="s">
        <v>182</v>
      </c>
      <c r="B7" s="451"/>
      <c r="C7" s="451"/>
      <c r="D7" s="451"/>
      <c r="E7" s="451"/>
      <c r="F7" s="451"/>
      <c r="G7" s="451"/>
      <c r="H7" s="451"/>
      <c r="I7" s="451"/>
      <c r="J7" s="168"/>
      <c r="Q7" s="451"/>
      <c r="R7" s="168"/>
      <c r="Y7" s="451"/>
      <c r="Z7" s="168"/>
      <c r="AG7" s="451"/>
      <c r="AH7" s="168"/>
      <c r="AO7" s="451"/>
      <c r="AP7" s="168"/>
    </row>
    <row r="8" spans="1:50" ht="12.75" customHeight="1" x14ac:dyDescent="0.2">
      <c r="A8" s="244" t="s">
        <v>0</v>
      </c>
      <c r="B8" s="451">
        <v>15.924272250305311</v>
      </c>
      <c r="C8" s="451">
        <v>21.883798816451129</v>
      </c>
      <c r="D8" s="451">
        <v>30.3</v>
      </c>
      <c r="E8" s="451">
        <v>41.3</v>
      </c>
      <c r="F8" s="451">
        <v>56.5</v>
      </c>
      <c r="G8" s="451">
        <v>66.900000000000006</v>
      </c>
      <c r="H8" s="451">
        <v>75.27</v>
      </c>
      <c r="I8" s="451"/>
      <c r="J8" s="166">
        <v>2.9172135818156359</v>
      </c>
      <c r="K8" s="164">
        <v>3.8717262228193752</v>
      </c>
      <c r="L8" s="164">
        <v>5.7</v>
      </c>
      <c r="M8" s="164">
        <v>7.8</v>
      </c>
      <c r="N8" s="164">
        <v>12.2</v>
      </c>
      <c r="O8" s="164">
        <v>15.7</v>
      </c>
      <c r="P8" s="164">
        <v>19.03</v>
      </c>
      <c r="Q8" s="451"/>
      <c r="R8" s="166">
        <v>21.843760618036804</v>
      </c>
      <c r="S8" s="165">
        <v>27.942059756114595</v>
      </c>
      <c r="T8" s="164">
        <v>36.5</v>
      </c>
      <c r="U8" s="164">
        <v>47</v>
      </c>
      <c r="V8" s="164">
        <v>60.6</v>
      </c>
      <c r="W8" s="164">
        <v>70.3</v>
      </c>
      <c r="X8" s="164">
        <v>77.95</v>
      </c>
      <c r="Y8" s="451"/>
      <c r="Z8" s="166">
        <v>4.0739730681879145</v>
      </c>
      <c r="AA8" s="164">
        <v>4.8832953862915733</v>
      </c>
      <c r="AB8" s="164">
        <v>6.7</v>
      </c>
      <c r="AC8" s="164">
        <v>8.9</v>
      </c>
      <c r="AD8" s="164">
        <v>13.5</v>
      </c>
      <c r="AE8" s="164">
        <v>17.3</v>
      </c>
      <c r="AF8" s="164">
        <v>21.19</v>
      </c>
      <c r="AG8" s="451"/>
      <c r="AH8" s="166">
        <v>3.9142254330402868</v>
      </c>
      <c r="AI8" s="165">
        <v>7.246034424569693</v>
      </c>
      <c r="AJ8" s="164">
        <v>12.830743145199069</v>
      </c>
      <c r="AK8" s="164">
        <v>21.4</v>
      </c>
      <c r="AL8" s="164">
        <v>41.4</v>
      </c>
      <c r="AM8" s="164">
        <v>54.6</v>
      </c>
      <c r="AN8" s="164">
        <v>66.930000000000007</v>
      </c>
      <c r="AO8" s="451"/>
      <c r="AP8" s="166">
        <v>0.57004385476826924</v>
      </c>
      <c r="AQ8" s="164">
        <v>1.4276071549105636</v>
      </c>
      <c r="AR8" s="164">
        <v>2.9297575711873276</v>
      </c>
      <c r="AS8" s="164">
        <v>4</v>
      </c>
      <c r="AT8" s="164">
        <v>7.2</v>
      </c>
      <c r="AU8" s="164">
        <v>9.3000000000000007</v>
      </c>
      <c r="AV8" s="164">
        <v>11.5</v>
      </c>
      <c r="AW8" s="164"/>
      <c r="AX8" s="167"/>
    </row>
    <row r="9" spans="1:50" ht="12.75" customHeight="1" x14ac:dyDescent="0.2">
      <c r="A9" s="244" t="s">
        <v>1</v>
      </c>
      <c r="B9" s="451">
        <v>15.114812987186779</v>
      </c>
      <c r="C9" s="451">
        <v>21.535360751097052</v>
      </c>
      <c r="D9" s="451">
        <v>28.9</v>
      </c>
      <c r="E9" s="451">
        <v>39.9</v>
      </c>
      <c r="F9" s="451">
        <v>55.5</v>
      </c>
      <c r="G9" s="451">
        <v>66.3</v>
      </c>
      <c r="H9" s="451">
        <v>75.31</v>
      </c>
      <c r="I9" s="451"/>
      <c r="J9" s="166">
        <v>2.2565320665083135</v>
      </c>
      <c r="K9" s="164">
        <v>3.1814470864373918</v>
      </c>
      <c r="L9" s="164">
        <v>4.8</v>
      </c>
      <c r="M9" s="164">
        <v>6.7</v>
      </c>
      <c r="N9" s="164">
        <v>10.8</v>
      </c>
      <c r="O9" s="164">
        <v>13.3</v>
      </c>
      <c r="P9" s="164">
        <v>16.66</v>
      </c>
      <c r="Q9" s="451"/>
      <c r="R9" s="166">
        <v>18.833724074496704</v>
      </c>
      <c r="S9" s="165">
        <v>25.589054162047898</v>
      </c>
      <c r="T9" s="164">
        <v>33.200000000000003</v>
      </c>
      <c r="U9" s="164">
        <v>43.9</v>
      </c>
      <c r="V9" s="164">
        <v>58.4</v>
      </c>
      <c r="W9" s="164">
        <v>68.599999999999994</v>
      </c>
      <c r="X9" s="164">
        <v>77.45</v>
      </c>
      <c r="Y9" s="451"/>
      <c r="Z9" s="166">
        <v>2.8131980608173062</v>
      </c>
      <c r="AA9" s="164">
        <v>3.7076899280761002</v>
      </c>
      <c r="AB9" s="164">
        <v>5.4</v>
      </c>
      <c r="AC9" s="164">
        <v>7.3</v>
      </c>
      <c r="AD9" s="164">
        <v>11.5</v>
      </c>
      <c r="AE9" s="164">
        <v>14.1</v>
      </c>
      <c r="AF9" s="164">
        <v>17.77</v>
      </c>
      <c r="AG9" s="451"/>
      <c r="AH9" s="166">
        <v>3.6012966380761111</v>
      </c>
      <c r="AI9" s="165">
        <v>6.1250490003920026</v>
      </c>
      <c r="AJ9" s="164">
        <v>9.7311716010962481</v>
      </c>
      <c r="AK9" s="164">
        <v>17.2</v>
      </c>
      <c r="AL9" s="164">
        <v>36.299999999999997</v>
      </c>
      <c r="AM9" s="164">
        <v>51.5</v>
      </c>
      <c r="AN9" s="164">
        <v>65.77</v>
      </c>
      <c r="AO9" s="451"/>
      <c r="AP9" s="166">
        <v>0.53312893155823526</v>
      </c>
      <c r="AQ9" s="164">
        <v>1.1809094472755781</v>
      </c>
      <c r="AR9" s="164">
        <v>2.1204634855962681</v>
      </c>
      <c r="AS9" s="164">
        <v>3.2</v>
      </c>
      <c r="AT9" s="164">
        <v>6</v>
      </c>
      <c r="AU9" s="164">
        <v>8.4</v>
      </c>
      <c r="AV9" s="164">
        <v>10.220000000000001</v>
      </c>
      <c r="AW9" s="164"/>
      <c r="AX9" s="167"/>
    </row>
    <row r="10" spans="1:50" ht="12.75" customHeight="1" x14ac:dyDescent="0.2">
      <c r="A10" s="244" t="s">
        <v>2</v>
      </c>
      <c r="B10" s="451">
        <v>23.92077622770379</v>
      </c>
      <c r="C10" s="451">
        <v>34.796460176991154</v>
      </c>
      <c r="D10" s="451">
        <v>43.3</v>
      </c>
      <c r="E10" s="451">
        <v>54.6</v>
      </c>
      <c r="F10" s="451">
        <v>68.599999999999994</v>
      </c>
      <c r="G10" s="451">
        <v>77.5</v>
      </c>
      <c r="H10" s="451">
        <v>82.6</v>
      </c>
      <c r="I10" s="451"/>
      <c r="J10" s="166">
        <v>5.2833063271854002</v>
      </c>
      <c r="K10" s="164">
        <v>7.5316541865214433</v>
      </c>
      <c r="L10" s="164">
        <v>10.1</v>
      </c>
      <c r="M10" s="164">
        <v>13.1</v>
      </c>
      <c r="N10" s="164">
        <v>17.5</v>
      </c>
      <c r="O10" s="164">
        <v>21.4</v>
      </c>
      <c r="P10" s="164">
        <v>25.05</v>
      </c>
      <c r="Q10" s="451"/>
      <c r="R10" s="166">
        <v>26.455375403859264</v>
      </c>
      <c r="S10" s="165">
        <v>38.156497845500532</v>
      </c>
      <c r="T10" s="164">
        <v>47</v>
      </c>
      <c r="U10" s="164">
        <v>58.2</v>
      </c>
      <c r="V10" s="164">
        <v>71.7</v>
      </c>
      <c r="W10" s="164">
        <v>80.3</v>
      </c>
      <c r="X10" s="164">
        <v>85.03</v>
      </c>
      <c r="Y10" s="451"/>
      <c r="Z10" s="166">
        <v>5.8311349556866352</v>
      </c>
      <c r="AA10" s="164">
        <v>8.3088740398426264</v>
      </c>
      <c r="AB10" s="164">
        <v>11.1</v>
      </c>
      <c r="AC10" s="164">
        <v>14.1</v>
      </c>
      <c r="AD10" s="164">
        <v>18.600000000000001</v>
      </c>
      <c r="AE10" s="164">
        <v>23</v>
      </c>
      <c r="AF10" s="164">
        <v>26.75</v>
      </c>
      <c r="AG10" s="451"/>
      <c r="AH10" s="166">
        <v>6.7802555750438493</v>
      </c>
      <c r="AI10" s="165">
        <v>11.907783417935702</v>
      </c>
      <c r="AJ10" s="164">
        <v>18.10792719854652</v>
      </c>
      <c r="AK10" s="164">
        <v>28.7</v>
      </c>
      <c r="AL10" s="164">
        <v>50.1</v>
      </c>
      <c r="AM10" s="164">
        <v>63.2</v>
      </c>
      <c r="AN10" s="164">
        <v>74.19</v>
      </c>
      <c r="AO10" s="451"/>
      <c r="AP10" s="166">
        <v>1.5785517414181909</v>
      </c>
      <c r="AQ10" s="164">
        <v>2.1362098138747885</v>
      </c>
      <c r="AR10" s="164">
        <v>3.117330188378542</v>
      </c>
      <c r="AS10" s="164">
        <v>4.5999999999999996</v>
      </c>
      <c r="AT10" s="164">
        <v>8.6</v>
      </c>
      <c r="AU10" s="164">
        <v>10.6</v>
      </c>
      <c r="AV10" s="164">
        <v>14.45</v>
      </c>
      <c r="AW10" s="164"/>
      <c r="AX10" s="167"/>
    </row>
    <row r="11" spans="1:50" ht="12.75" customHeight="1" x14ac:dyDescent="0.2">
      <c r="A11" s="244" t="s">
        <v>3</v>
      </c>
      <c r="B11" s="451">
        <v>26.635048273838851</v>
      </c>
      <c r="C11" s="451">
        <v>35.849883361704812</v>
      </c>
      <c r="D11" s="451">
        <v>42.6</v>
      </c>
      <c r="E11" s="451">
        <v>52.6</v>
      </c>
      <c r="F11" s="451">
        <v>66.7</v>
      </c>
      <c r="G11" s="451">
        <v>74.400000000000006</v>
      </c>
      <c r="H11" s="451">
        <v>79.86</v>
      </c>
      <c r="I11" s="451"/>
      <c r="J11" s="166">
        <v>4.9937189473407075</v>
      </c>
      <c r="K11" s="164">
        <v>6.4734253830149431</v>
      </c>
      <c r="L11" s="164">
        <v>7.8</v>
      </c>
      <c r="M11" s="164">
        <v>10.3</v>
      </c>
      <c r="N11" s="164">
        <v>14.9</v>
      </c>
      <c r="O11" s="164">
        <v>18.3</v>
      </c>
      <c r="P11" s="164">
        <v>22.33</v>
      </c>
      <c r="Q11" s="451"/>
      <c r="R11" s="166">
        <v>34.088374984583709</v>
      </c>
      <c r="S11" s="165">
        <v>42.545832434658145</v>
      </c>
      <c r="T11" s="164">
        <v>47.4</v>
      </c>
      <c r="U11" s="164">
        <v>56.3</v>
      </c>
      <c r="V11" s="164">
        <v>69.5</v>
      </c>
      <c r="W11" s="164">
        <v>77</v>
      </c>
      <c r="X11" s="164">
        <v>82.53</v>
      </c>
      <c r="Y11" s="451"/>
      <c r="Z11" s="166">
        <v>6.4209792427518275</v>
      </c>
      <c r="AA11" s="164">
        <v>7.6339679614125213</v>
      </c>
      <c r="AB11" s="164">
        <v>8.6</v>
      </c>
      <c r="AC11" s="164">
        <v>11.1</v>
      </c>
      <c r="AD11" s="164">
        <v>15.8</v>
      </c>
      <c r="AE11" s="164">
        <v>19.3</v>
      </c>
      <c r="AF11" s="164">
        <v>23.82</v>
      </c>
      <c r="AG11" s="451"/>
      <c r="AH11" s="166">
        <v>4.6102297491279352</v>
      </c>
      <c r="AI11" s="165">
        <v>8.4047255485011654</v>
      </c>
      <c r="AJ11" s="164">
        <v>14.498819232644633</v>
      </c>
      <c r="AK11" s="164">
        <v>24.4</v>
      </c>
      <c r="AL11" s="164">
        <v>44.6</v>
      </c>
      <c r="AM11" s="164">
        <v>56.4</v>
      </c>
      <c r="AN11" s="164">
        <v>67.05</v>
      </c>
      <c r="AO11" s="451"/>
      <c r="AP11" s="166">
        <v>0.77611918096555621</v>
      </c>
      <c r="AQ11" s="164">
        <v>1.7166278228722978</v>
      </c>
      <c r="AR11" s="164">
        <v>2.7860373065119082</v>
      </c>
      <c r="AS11" s="164">
        <v>4.0999999999999996</v>
      </c>
      <c r="AT11" s="164">
        <v>7.3</v>
      </c>
      <c r="AU11" s="164">
        <v>9.8000000000000007</v>
      </c>
      <c r="AV11" s="164">
        <v>12.43</v>
      </c>
      <c r="AW11" s="164"/>
      <c r="AX11" s="167"/>
    </row>
    <row r="12" spans="1:50" ht="12.75" customHeight="1" x14ac:dyDescent="0.2">
      <c r="A12" s="244" t="s">
        <v>4</v>
      </c>
      <c r="B12" s="451">
        <v>17.437832483858436</v>
      </c>
      <c r="C12" s="451">
        <v>20.775903725350332</v>
      </c>
      <c r="D12" s="451">
        <v>32</v>
      </c>
      <c r="E12" s="451">
        <v>40.6</v>
      </c>
      <c r="F12" s="451">
        <v>56.4</v>
      </c>
      <c r="G12" s="451">
        <v>70.900000000000006</v>
      </c>
      <c r="H12" s="451">
        <v>78.569999999999993</v>
      </c>
      <c r="I12" s="451"/>
      <c r="J12" s="166">
        <v>3.3309879077594897</v>
      </c>
      <c r="K12" s="164">
        <v>4.5491152580593202</v>
      </c>
      <c r="L12" s="164">
        <v>6.2</v>
      </c>
      <c r="M12" s="164">
        <v>9.1999999999999993</v>
      </c>
      <c r="N12" s="164">
        <v>14.6</v>
      </c>
      <c r="O12" s="164">
        <v>19.3</v>
      </c>
      <c r="P12" s="164">
        <v>24.3</v>
      </c>
      <c r="Q12" s="451"/>
      <c r="R12" s="166">
        <v>23.963794412456341</v>
      </c>
      <c r="S12" s="165">
        <v>26.594068377644753</v>
      </c>
      <c r="T12" s="164">
        <v>38.799999999999997</v>
      </c>
      <c r="U12" s="164">
        <v>46.3</v>
      </c>
      <c r="V12" s="164">
        <v>60.7</v>
      </c>
      <c r="W12" s="164">
        <v>74.900000000000006</v>
      </c>
      <c r="X12" s="164">
        <v>81.819999999999993</v>
      </c>
      <c r="Y12" s="451"/>
      <c r="Z12" s="166">
        <v>4.598898978400495</v>
      </c>
      <c r="AA12" s="164">
        <v>5.7856773412346785</v>
      </c>
      <c r="AB12" s="164">
        <v>7.5</v>
      </c>
      <c r="AC12" s="164">
        <v>10.7</v>
      </c>
      <c r="AD12" s="164">
        <v>16.600000000000001</v>
      </c>
      <c r="AE12" s="164">
        <v>21.8</v>
      </c>
      <c r="AF12" s="164">
        <v>27.39</v>
      </c>
      <c r="AG12" s="451"/>
      <c r="AH12" s="166">
        <v>3.6742484817917522</v>
      </c>
      <c r="AI12" s="165">
        <v>6.0083653053539994</v>
      </c>
      <c r="AJ12" s="164">
        <v>11.545030284976665</v>
      </c>
      <c r="AK12" s="164">
        <v>20.6</v>
      </c>
      <c r="AL12" s="164">
        <v>41.7</v>
      </c>
      <c r="AM12" s="164">
        <v>58.6</v>
      </c>
      <c r="AN12" s="164">
        <v>72.489999999999995</v>
      </c>
      <c r="AO12" s="451"/>
      <c r="AP12" s="166">
        <v>0.65689928774403072</v>
      </c>
      <c r="AQ12" s="164">
        <v>1.4105003918056644</v>
      </c>
      <c r="AR12" s="164">
        <v>2.5089861979942412</v>
      </c>
      <c r="AS12" s="164">
        <v>4</v>
      </c>
      <c r="AT12" s="164">
        <v>7.5</v>
      </c>
      <c r="AU12" s="164">
        <v>11</v>
      </c>
      <c r="AV12" s="164">
        <v>15.49</v>
      </c>
      <c r="AW12" s="164"/>
      <c r="AX12" s="167"/>
    </row>
    <row r="13" spans="1:50" ht="12.75" customHeight="1" x14ac:dyDescent="0.2">
      <c r="A13" s="244" t="s">
        <v>5</v>
      </c>
      <c r="B13" s="451">
        <v>15.654214793409549</v>
      </c>
      <c r="C13" s="451">
        <v>22.335172241473405</v>
      </c>
      <c r="D13" s="451">
        <v>27.6</v>
      </c>
      <c r="E13" s="451">
        <v>38.5</v>
      </c>
      <c r="F13" s="451">
        <v>53.1</v>
      </c>
      <c r="G13" s="451">
        <v>64.599999999999994</v>
      </c>
      <c r="H13" s="451">
        <v>74.12</v>
      </c>
      <c r="I13" s="451"/>
      <c r="J13" s="166">
        <v>2.9828049571598272</v>
      </c>
      <c r="K13" s="164">
        <v>3.8761728792830232</v>
      </c>
      <c r="L13" s="164">
        <v>4.9000000000000004</v>
      </c>
      <c r="M13" s="164">
        <v>7.2</v>
      </c>
      <c r="N13" s="164">
        <v>11.1</v>
      </c>
      <c r="O13" s="164">
        <v>13.6</v>
      </c>
      <c r="P13" s="164">
        <v>17.14</v>
      </c>
      <c r="Q13" s="451"/>
      <c r="R13" s="166">
        <v>16.378470241034453</v>
      </c>
      <c r="S13" s="165">
        <v>23.08707546397914</v>
      </c>
      <c r="T13" s="164">
        <v>28.3</v>
      </c>
      <c r="U13" s="164">
        <v>39.1</v>
      </c>
      <c r="V13" s="164">
        <v>53.3</v>
      </c>
      <c r="W13" s="164">
        <v>64.7</v>
      </c>
      <c r="X13" s="164">
        <v>74.19</v>
      </c>
      <c r="Y13" s="451"/>
      <c r="Z13" s="166">
        <v>3.1058710054454877</v>
      </c>
      <c r="AA13" s="164">
        <v>4.0063891626141501</v>
      </c>
      <c r="AB13" s="164">
        <v>5.0999999999999996</v>
      </c>
      <c r="AC13" s="164">
        <v>7.5</v>
      </c>
      <c r="AD13" s="164">
        <v>11.3</v>
      </c>
      <c r="AE13" s="164">
        <v>13.9</v>
      </c>
      <c r="AF13" s="164">
        <v>17.36</v>
      </c>
      <c r="AG13" s="451"/>
      <c r="AH13" s="166">
        <v>7.9355076318697053</v>
      </c>
      <c r="AI13" s="165">
        <v>13.171471927162367</v>
      </c>
      <c r="AJ13" s="164">
        <v>18.201459904279858</v>
      </c>
      <c r="AK13" s="164">
        <v>29.2</v>
      </c>
      <c r="AL13" s="164">
        <v>49.7</v>
      </c>
      <c r="AM13" s="164">
        <v>61.7</v>
      </c>
      <c r="AN13" s="164">
        <v>73.180000000000007</v>
      </c>
      <c r="AO13" s="451"/>
      <c r="AP13" s="166">
        <v>1.6712362401276752</v>
      </c>
      <c r="AQ13" s="164">
        <v>2.2891827444179493</v>
      </c>
      <c r="AR13" s="164">
        <v>2.6211135213304413</v>
      </c>
      <c r="AS13" s="164">
        <v>3.3</v>
      </c>
      <c r="AT13" s="164">
        <v>6.5</v>
      </c>
      <c r="AU13" s="164">
        <v>7.7</v>
      </c>
      <c r="AV13" s="164">
        <v>10.66</v>
      </c>
      <c r="AW13" s="164"/>
      <c r="AX13" s="167"/>
    </row>
    <row r="14" spans="1:50" ht="12.75" customHeight="1" x14ac:dyDescent="0.2">
      <c r="A14" s="244" t="s">
        <v>6</v>
      </c>
      <c r="B14" s="451">
        <v>17.687815293157222</v>
      </c>
      <c r="C14" s="451">
        <v>22.512272281007963</v>
      </c>
      <c r="D14" s="451">
        <v>32.299999999999997</v>
      </c>
      <c r="E14" s="451">
        <v>42.2</v>
      </c>
      <c r="F14" s="451">
        <v>57.7</v>
      </c>
      <c r="G14" s="451">
        <v>68.3</v>
      </c>
      <c r="H14" s="451">
        <v>74.81</v>
      </c>
      <c r="I14" s="451"/>
      <c r="J14" s="166">
        <v>3.5430891926401942</v>
      </c>
      <c r="K14" s="164">
        <v>5.0099996363768593</v>
      </c>
      <c r="L14" s="164">
        <v>6.7</v>
      </c>
      <c r="M14" s="164">
        <v>9</v>
      </c>
      <c r="N14" s="164">
        <v>13.9</v>
      </c>
      <c r="O14" s="164">
        <v>16.100000000000001</v>
      </c>
      <c r="P14" s="164">
        <v>18.73</v>
      </c>
      <c r="Q14" s="451"/>
      <c r="R14" s="166">
        <v>25.269627902641567</v>
      </c>
      <c r="S14" s="165">
        <v>30.041188738269032</v>
      </c>
      <c r="T14" s="164">
        <v>41</v>
      </c>
      <c r="U14" s="164">
        <v>49.9</v>
      </c>
      <c r="V14" s="164">
        <v>63.7</v>
      </c>
      <c r="W14" s="164">
        <v>74.2</v>
      </c>
      <c r="X14" s="164">
        <v>79.989999999999995</v>
      </c>
      <c r="Y14" s="451"/>
      <c r="Z14" s="166">
        <v>5.080636203107983</v>
      </c>
      <c r="AA14" s="164">
        <v>6.6392075078206467</v>
      </c>
      <c r="AB14" s="164">
        <v>8.4</v>
      </c>
      <c r="AC14" s="164">
        <v>10.7</v>
      </c>
      <c r="AD14" s="164">
        <v>16</v>
      </c>
      <c r="AE14" s="164">
        <v>18.7</v>
      </c>
      <c r="AF14" s="164">
        <v>21.77</v>
      </c>
      <c r="AG14" s="451"/>
      <c r="AH14" s="166">
        <v>3.2438612067183148</v>
      </c>
      <c r="AI14" s="165">
        <v>5.1580338901574336</v>
      </c>
      <c r="AJ14" s="164">
        <v>10.428955637847478</v>
      </c>
      <c r="AK14" s="164">
        <v>20.2</v>
      </c>
      <c r="AL14" s="164">
        <v>40.5</v>
      </c>
      <c r="AM14" s="164">
        <v>53.1</v>
      </c>
      <c r="AN14" s="164">
        <v>63.14</v>
      </c>
      <c r="AO14" s="451"/>
      <c r="AP14" s="166">
        <v>0.61394013840409611</v>
      </c>
      <c r="AQ14" s="164">
        <v>1.2546568922004568</v>
      </c>
      <c r="AR14" s="164">
        <v>2.542159034294452</v>
      </c>
      <c r="AS14" s="164">
        <v>4.2</v>
      </c>
      <c r="AT14" s="164">
        <v>7.5</v>
      </c>
      <c r="AU14" s="164">
        <v>9.1</v>
      </c>
      <c r="AV14" s="164">
        <v>10.89</v>
      </c>
      <c r="AW14" s="164"/>
      <c r="AX14" s="167"/>
    </row>
    <row r="15" spans="1:50" ht="12.75" customHeight="1" x14ac:dyDescent="0.2">
      <c r="A15" s="244" t="s">
        <v>7</v>
      </c>
      <c r="B15" s="451">
        <v>21.072313627926416</v>
      </c>
      <c r="C15" s="451">
        <v>32.11538020765687</v>
      </c>
      <c r="D15" s="451">
        <v>40</v>
      </c>
      <c r="E15" s="451">
        <v>52.3</v>
      </c>
      <c r="F15" s="451">
        <v>67.400000000000006</v>
      </c>
      <c r="G15" s="451">
        <v>78.400000000000006</v>
      </c>
      <c r="H15" s="451">
        <v>83.83</v>
      </c>
      <c r="I15" s="451"/>
      <c r="J15" s="166">
        <v>4.8951884857967523</v>
      </c>
      <c r="K15" s="164">
        <v>7.2290261213700164</v>
      </c>
      <c r="L15" s="164">
        <v>9.3000000000000007</v>
      </c>
      <c r="M15" s="164">
        <v>13.9</v>
      </c>
      <c r="N15" s="164">
        <v>20.399999999999999</v>
      </c>
      <c r="O15" s="164">
        <v>26.5</v>
      </c>
      <c r="P15" s="164">
        <v>31.45</v>
      </c>
      <c r="Q15" s="451"/>
      <c r="R15" s="166">
        <v>23.730547578558905</v>
      </c>
      <c r="S15" s="165">
        <v>35.542596303318383</v>
      </c>
      <c r="T15" s="164">
        <v>43.7</v>
      </c>
      <c r="U15" s="164">
        <v>55.9</v>
      </c>
      <c r="V15" s="164">
        <v>69.900000000000006</v>
      </c>
      <c r="W15" s="164">
        <v>80.8</v>
      </c>
      <c r="X15" s="164">
        <v>86.31</v>
      </c>
      <c r="Y15" s="451"/>
      <c r="Z15" s="166">
        <v>5.5375602676290354</v>
      </c>
      <c r="AA15" s="164">
        <v>8.0884004708461763</v>
      </c>
      <c r="AB15" s="164">
        <v>10.3</v>
      </c>
      <c r="AC15" s="164">
        <v>15.3</v>
      </c>
      <c r="AD15" s="164">
        <v>22.1</v>
      </c>
      <c r="AE15" s="164">
        <v>28.9</v>
      </c>
      <c r="AF15" s="164">
        <v>34.729999999999997</v>
      </c>
      <c r="AG15" s="451"/>
      <c r="AH15" s="166">
        <v>6.4276361152053045</v>
      </c>
      <c r="AI15" s="165">
        <v>12.655612244897959</v>
      </c>
      <c r="AJ15" s="164">
        <v>19.568263011651528</v>
      </c>
      <c r="AK15" s="164">
        <v>32.1</v>
      </c>
      <c r="AL15" s="164">
        <v>56.6</v>
      </c>
      <c r="AM15" s="164">
        <v>70.599999999999994</v>
      </c>
      <c r="AN15" s="164">
        <v>78.95</v>
      </c>
      <c r="AO15" s="451"/>
      <c r="AP15" s="166">
        <v>1.3562495651018769</v>
      </c>
      <c r="AQ15" s="164">
        <v>2.3494897959183674</v>
      </c>
      <c r="AR15" s="164">
        <v>3.5627836022446902</v>
      </c>
      <c r="AS15" s="164">
        <v>5.9</v>
      </c>
      <c r="AT15" s="164">
        <v>11.3</v>
      </c>
      <c r="AU15" s="164">
        <v>16.100000000000001</v>
      </c>
      <c r="AV15" s="164">
        <v>20.29</v>
      </c>
      <c r="AW15" s="164"/>
      <c r="AX15" s="167"/>
    </row>
    <row r="16" spans="1:50" ht="12.75" customHeight="1" x14ac:dyDescent="0.2">
      <c r="A16" s="244" t="s">
        <v>8</v>
      </c>
      <c r="B16" s="451">
        <v>16.168753506202084</v>
      </c>
      <c r="C16" s="451">
        <v>21.987344181178038</v>
      </c>
      <c r="D16" s="451">
        <v>29.8</v>
      </c>
      <c r="E16" s="451">
        <v>41</v>
      </c>
      <c r="F16" s="451">
        <v>54.8</v>
      </c>
      <c r="G16" s="451">
        <v>64.3</v>
      </c>
      <c r="H16" s="451">
        <v>72.86</v>
      </c>
      <c r="I16" s="451"/>
      <c r="J16" s="166">
        <v>3.0600378669824844</v>
      </c>
      <c r="K16" s="164">
        <v>3.9266343134456179</v>
      </c>
      <c r="L16" s="164">
        <v>5.6</v>
      </c>
      <c r="M16" s="164">
        <v>8.1</v>
      </c>
      <c r="N16" s="164">
        <v>12.3</v>
      </c>
      <c r="O16" s="164">
        <v>14.7</v>
      </c>
      <c r="P16" s="164">
        <v>16.899999999999999</v>
      </c>
      <c r="Q16" s="451"/>
      <c r="R16" s="166">
        <v>28.130261839195448</v>
      </c>
      <c r="S16" s="165">
        <v>34.44728620684073</v>
      </c>
      <c r="T16" s="164">
        <v>42.2</v>
      </c>
      <c r="U16" s="164">
        <v>52.6</v>
      </c>
      <c r="V16" s="164">
        <v>63.9</v>
      </c>
      <c r="W16" s="164">
        <v>71.7</v>
      </c>
      <c r="X16" s="164">
        <v>78.900000000000006</v>
      </c>
      <c r="Y16" s="451"/>
      <c r="Z16" s="166">
        <v>5.449501917393591</v>
      </c>
      <c r="AA16" s="164">
        <v>6.2329022127976437</v>
      </c>
      <c r="AB16" s="164">
        <v>7.7</v>
      </c>
      <c r="AC16" s="164">
        <v>10</v>
      </c>
      <c r="AD16" s="164">
        <v>14.4</v>
      </c>
      <c r="AE16" s="164">
        <v>17.2</v>
      </c>
      <c r="AF16" s="164">
        <v>20.03</v>
      </c>
      <c r="AG16" s="451"/>
      <c r="AH16" s="166">
        <v>2.5948157743175613</v>
      </c>
      <c r="AI16" s="165">
        <v>4.2158243483480708</v>
      </c>
      <c r="AJ16" s="164">
        <v>7.575381771566275</v>
      </c>
      <c r="AK16" s="164">
        <v>14.9</v>
      </c>
      <c r="AL16" s="164">
        <v>32.700000000000003</v>
      </c>
      <c r="AM16" s="164">
        <v>47.3</v>
      </c>
      <c r="AN16" s="164">
        <v>60.45</v>
      </c>
      <c r="AO16" s="451"/>
      <c r="AP16" s="166">
        <v>0.34847045174328789</v>
      </c>
      <c r="AQ16" s="164">
        <v>0.63722208113037659</v>
      </c>
      <c r="AR16" s="164">
        <v>1.7623238655203295</v>
      </c>
      <c r="AS16" s="164">
        <v>3.7</v>
      </c>
      <c r="AT16" s="164">
        <v>7.1</v>
      </c>
      <c r="AU16" s="164">
        <v>8.8000000000000007</v>
      </c>
      <c r="AV16" s="164">
        <v>10.09</v>
      </c>
      <c r="AW16" s="164"/>
      <c r="AX16" s="167"/>
    </row>
    <row r="17" spans="1:50" ht="12.75" customHeight="1" x14ac:dyDescent="0.2">
      <c r="A17" s="244" t="s">
        <v>9</v>
      </c>
      <c r="B17" s="451">
        <v>19.02770801039166</v>
      </c>
      <c r="C17" s="451">
        <v>20.872860006159346</v>
      </c>
      <c r="D17" s="451">
        <v>32.299999999999997</v>
      </c>
      <c r="E17" s="451">
        <v>38.5</v>
      </c>
      <c r="F17" s="451">
        <v>54.8</v>
      </c>
      <c r="G17" s="451">
        <v>70</v>
      </c>
      <c r="H17" s="451">
        <v>78.14</v>
      </c>
      <c r="I17" s="451"/>
      <c r="J17" s="166">
        <v>4.1317632846519627</v>
      </c>
      <c r="K17" s="164">
        <v>5.0996349830618</v>
      </c>
      <c r="L17" s="164">
        <v>6.3</v>
      </c>
      <c r="M17" s="164">
        <v>8.5</v>
      </c>
      <c r="N17" s="164">
        <v>13.2</v>
      </c>
      <c r="O17" s="164">
        <v>17.399999999999999</v>
      </c>
      <c r="P17" s="164">
        <v>22.46</v>
      </c>
      <c r="Q17" s="451"/>
      <c r="R17" s="166">
        <v>23.49314452630372</v>
      </c>
      <c r="S17" s="165">
        <v>24.784096571615258</v>
      </c>
      <c r="T17" s="164">
        <v>37.1</v>
      </c>
      <c r="U17" s="164">
        <v>42.2</v>
      </c>
      <c r="V17" s="164">
        <v>57.8</v>
      </c>
      <c r="W17" s="164">
        <v>73.099999999999994</v>
      </c>
      <c r="X17" s="164">
        <v>81.150000000000006</v>
      </c>
      <c r="Y17" s="451"/>
      <c r="Z17" s="166">
        <v>4.9999051345316081</v>
      </c>
      <c r="AA17" s="164">
        <v>5.8463051391120988</v>
      </c>
      <c r="AB17" s="164">
        <v>7</v>
      </c>
      <c r="AC17" s="164">
        <v>9.4</v>
      </c>
      <c r="AD17" s="164">
        <v>14.7</v>
      </c>
      <c r="AE17" s="164">
        <v>19.3</v>
      </c>
      <c r="AF17" s="164">
        <v>25.02</v>
      </c>
      <c r="AG17" s="451"/>
      <c r="AH17" s="166">
        <v>5.8316187727321482</v>
      </c>
      <c r="AI17" s="165">
        <v>8.1445922871226522</v>
      </c>
      <c r="AJ17" s="164">
        <v>14.69553112579046</v>
      </c>
      <c r="AK17" s="164">
        <v>22.9</v>
      </c>
      <c r="AL17" s="164">
        <v>43</v>
      </c>
      <c r="AM17" s="164">
        <v>58.1</v>
      </c>
      <c r="AN17" s="164">
        <v>70.73</v>
      </c>
      <c r="AO17" s="451"/>
      <c r="AP17" s="166">
        <v>1.5662632980020088</v>
      </c>
      <c r="AQ17" s="164">
        <v>2.669759549813675</v>
      </c>
      <c r="AR17" s="164">
        <v>3.511359034950412</v>
      </c>
      <c r="AS17" s="164">
        <v>4.3</v>
      </c>
      <c r="AT17" s="164">
        <v>7.3</v>
      </c>
      <c r="AU17" s="164">
        <v>9.5</v>
      </c>
      <c r="AV17" s="164">
        <v>13.15</v>
      </c>
      <c r="AW17" s="164"/>
      <c r="AX17" s="167"/>
    </row>
    <row r="18" spans="1:50" ht="12.75" customHeight="1" x14ac:dyDescent="0.2">
      <c r="A18" s="244" t="s">
        <v>10</v>
      </c>
      <c r="B18" s="451">
        <v>24.486247893637238</v>
      </c>
      <c r="C18" s="451">
        <v>33.80546476987724</v>
      </c>
      <c r="D18" s="451">
        <v>40.5</v>
      </c>
      <c r="E18" s="451">
        <v>51.6</v>
      </c>
      <c r="F18" s="451">
        <v>66</v>
      </c>
      <c r="G18" s="451">
        <v>74.599999999999994</v>
      </c>
      <c r="H18" s="451">
        <v>80.61</v>
      </c>
      <c r="I18" s="451"/>
      <c r="J18" s="166">
        <v>4.7791262581812051</v>
      </c>
      <c r="K18" s="164">
        <v>6.3609656933431946</v>
      </c>
      <c r="L18" s="164">
        <v>7.9</v>
      </c>
      <c r="M18" s="164">
        <v>10</v>
      </c>
      <c r="N18" s="164">
        <v>15.1</v>
      </c>
      <c r="O18" s="164">
        <v>17.8</v>
      </c>
      <c r="P18" s="164">
        <v>20.28</v>
      </c>
      <c r="Q18" s="451"/>
      <c r="R18" s="166">
        <v>25.785406777790044</v>
      </c>
      <c r="S18" s="165">
        <v>35.306174737381504</v>
      </c>
      <c r="T18" s="164">
        <v>42</v>
      </c>
      <c r="U18" s="164">
        <v>53.1</v>
      </c>
      <c r="V18" s="164">
        <v>67.099999999999994</v>
      </c>
      <c r="W18" s="164">
        <v>75.7</v>
      </c>
      <c r="X18" s="164">
        <v>82.09</v>
      </c>
      <c r="Y18" s="451"/>
      <c r="Z18" s="166">
        <v>5.0201457114471797</v>
      </c>
      <c r="AA18" s="164">
        <v>6.6426635381690193</v>
      </c>
      <c r="AB18" s="164">
        <v>8.1999999999999993</v>
      </c>
      <c r="AC18" s="164">
        <v>10.5</v>
      </c>
      <c r="AD18" s="164">
        <v>15.7</v>
      </c>
      <c r="AE18" s="164">
        <v>18.7</v>
      </c>
      <c r="AF18" s="164">
        <v>21.55</v>
      </c>
      <c r="AG18" s="451"/>
      <c r="AH18" s="166" t="s">
        <v>136</v>
      </c>
      <c r="AI18" s="165" t="s">
        <v>136</v>
      </c>
      <c r="AJ18" s="164" t="s">
        <v>136</v>
      </c>
      <c r="AK18" s="164">
        <v>35.200000000000003</v>
      </c>
      <c r="AL18" s="164">
        <v>57.2</v>
      </c>
      <c r="AM18" s="164">
        <v>70.099999999999994</v>
      </c>
      <c r="AN18" s="164">
        <v>78.5</v>
      </c>
      <c r="AO18" s="451"/>
      <c r="AP18" s="166" t="s">
        <v>136</v>
      </c>
      <c r="AQ18" s="164" t="s">
        <v>136</v>
      </c>
      <c r="AR18" s="164" t="s">
        <v>136</v>
      </c>
      <c r="AS18" s="164">
        <v>5.0999999999999996</v>
      </c>
      <c r="AT18" s="164">
        <v>9.6999999999999993</v>
      </c>
      <c r="AU18" s="164">
        <v>12</v>
      </c>
      <c r="AV18" s="164">
        <v>13.69</v>
      </c>
      <c r="AW18" s="164"/>
      <c r="AX18" s="167"/>
    </row>
    <row r="19" spans="1:50" ht="12.75" customHeight="1" x14ac:dyDescent="0.2">
      <c r="A19" s="244" t="s">
        <v>11</v>
      </c>
      <c r="B19" s="451">
        <v>18.396193459013432</v>
      </c>
      <c r="C19" s="451">
        <v>18.965123883979498</v>
      </c>
      <c r="D19" s="451">
        <v>30.4</v>
      </c>
      <c r="E19" s="451">
        <v>37.799999999999997</v>
      </c>
      <c r="F19" s="451">
        <v>53.7</v>
      </c>
      <c r="G19" s="451">
        <v>68.3</v>
      </c>
      <c r="H19" s="451">
        <v>76.34</v>
      </c>
      <c r="I19" s="451"/>
      <c r="J19" s="166">
        <v>4.7460097572727822</v>
      </c>
      <c r="K19" s="164">
        <v>5.4932797947688368</v>
      </c>
      <c r="L19" s="164">
        <v>6.9</v>
      </c>
      <c r="M19" s="164">
        <v>9</v>
      </c>
      <c r="N19" s="164">
        <v>13.4</v>
      </c>
      <c r="O19" s="164">
        <v>16.600000000000001</v>
      </c>
      <c r="P19" s="164">
        <v>20.420000000000002</v>
      </c>
      <c r="Q19" s="451"/>
      <c r="R19" s="166">
        <v>27.346908017282022</v>
      </c>
      <c r="S19" s="165">
        <v>25.922365650462325</v>
      </c>
      <c r="T19" s="164">
        <v>38.9</v>
      </c>
      <c r="U19" s="164">
        <v>44.8</v>
      </c>
      <c r="V19" s="164">
        <v>58.9</v>
      </c>
      <c r="W19" s="164">
        <v>73.599999999999994</v>
      </c>
      <c r="X19" s="164">
        <v>80.86</v>
      </c>
      <c r="Y19" s="451"/>
      <c r="Z19" s="166">
        <v>7.0324153868746286</v>
      </c>
      <c r="AA19" s="164">
        <v>7.3644297964539653</v>
      </c>
      <c r="AB19" s="164">
        <v>8.5</v>
      </c>
      <c r="AC19" s="164">
        <v>10.7</v>
      </c>
      <c r="AD19" s="164">
        <v>15.9</v>
      </c>
      <c r="AE19" s="164">
        <v>19.8</v>
      </c>
      <c r="AF19" s="164">
        <v>24.23</v>
      </c>
      <c r="AG19" s="451"/>
      <c r="AH19" s="166">
        <v>3.578488762643226</v>
      </c>
      <c r="AI19" s="165">
        <v>5.1824982997052818</v>
      </c>
      <c r="AJ19" s="164">
        <v>9.8990116866036946</v>
      </c>
      <c r="AK19" s="164">
        <v>17.5</v>
      </c>
      <c r="AL19" s="164">
        <v>38.9</v>
      </c>
      <c r="AM19" s="164">
        <v>53.3</v>
      </c>
      <c r="AN19" s="164">
        <v>64.92</v>
      </c>
      <c r="AO19" s="451"/>
      <c r="AP19" s="166">
        <v>0.96091715768125952</v>
      </c>
      <c r="AQ19" s="164">
        <v>1.7864429834504647</v>
      </c>
      <c r="AR19" s="164">
        <v>3.035041836303666</v>
      </c>
      <c r="AS19" s="164">
        <v>3.9</v>
      </c>
      <c r="AT19" s="164">
        <v>6.4</v>
      </c>
      <c r="AU19" s="164">
        <v>7.6</v>
      </c>
      <c r="AV19" s="164">
        <v>9.8699999999999992</v>
      </c>
      <c r="AW19" s="164"/>
      <c r="AX19" s="167"/>
    </row>
    <row r="20" spans="1:50" ht="12.75" customHeight="1" x14ac:dyDescent="0.2">
      <c r="A20" s="244" t="s">
        <v>12</v>
      </c>
      <c r="B20" s="451">
        <v>18.138708687144074</v>
      </c>
      <c r="C20" s="451">
        <v>24.618743995108744</v>
      </c>
      <c r="D20" s="451">
        <v>30.4</v>
      </c>
      <c r="E20" s="451">
        <v>41.8</v>
      </c>
      <c r="F20" s="451">
        <v>56.2</v>
      </c>
      <c r="G20" s="451">
        <v>67.099999999999994</v>
      </c>
      <c r="H20" s="451">
        <v>75.92</v>
      </c>
      <c r="I20" s="451"/>
      <c r="J20" s="166">
        <v>3.1047442081874479</v>
      </c>
      <c r="K20" s="164">
        <v>4.1380615483157186</v>
      </c>
      <c r="L20" s="164">
        <v>5.5</v>
      </c>
      <c r="M20" s="164">
        <v>7.9</v>
      </c>
      <c r="N20" s="164">
        <v>12.6</v>
      </c>
      <c r="O20" s="164">
        <v>16</v>
      </c>
      <c r="P20" s="164">
        <v>19.559999999999999</v>
      </c>
      <c r="Q20" s="451"/>
      <c r="R20" s="166">
        <v>20.851440787282762</v>
      </c>
      <c r="S20" s="165">
        <v>27.532283398896318</v>
      </c>
      <c r="T20" s="164">
        <v>33.200000000000003</v>
      </c>
      <c r="U20" s="164">
        <v>44.5</v>
      </c>
      <c r="V20" s="164">
        <v>57.9</v>
      </c>
      <c r="W20" s="164">
        <v>68.2</v>
      </c>
      <c r="X20" s="164">
        <v>76.989999999999995</v>
      </c>
      <c r="Y20" s="451"/>
      <c r="Z20" s="166">
        <v>3.5443094459552924</v>
      </c>
      <c r="AA20" s="164">
        <v>4.5728444141727245</v>
      </c>
      <c r="AB20" s="164">
        <v>6</v>
      </c>
      <c r="AC20" s="164">
        <v>8.4</v>
      </c>
      <c r="AD20" s="164">
        <v>13.2</v>
      </c>
      <c r="AE20" s="164">
        <v>16.7</v>
      </c>
      <c r="AF20" s="164">
        <v>20.48</v>
      </c>
      <c r="AG20" s="451"/>
      <c r="AH20" s="166">
        <v>5.9242226364688326</v>
      </c>
      <c r="AI20" s="165">
        <v>9.5680896133271105</v>
      </c>
      <c r="AJ20" s="164">
        <v>14.163223537383129</v>
      </c>
      <c r="AK20" s="164">
        <v>24.1</v>
      </c>
      <c r="AL20" s="164">
        <v>44.7</v>
      </c>
      <c r="AM20" s="164">
        <v>59.4</v>
      </c>
      <c r="AN20" s="164">
        <v>70.83</v>
      </c>
      <c r="AO20" s="451"/>
      <c r="AP20" s="166">
        <v>1.1255353269261537</v>
      </c>
      <c r="AQ20" s="164">
        <v>1.8920762574947041</v>
      </c>
      <c r="AR20" s="164">
        <v>2.8216779186851029</v>
      </c>
      <c r="AS20" s="164">
        <v>4.4000000000000004</v>
      </c>
      <c r="AT20" s="164">
        <v>7.9</v>
      </c>
      <c r="AU20" s="164">
        <v>10.199999999999999</v>
      </c>
      <c r="AV20" s="164">
        <v>12.94</v>
      </c>
      <c r="AW20" s="164"/>
      <c r="AX20" s="167"/>
    </row>
    <row r="21" spans="1:50" ht="12.75" customHeight="1" x14ac:dyDescent="0.2">
      <c r="A21" s="246" t="s">
        <v>13</v>
      </c>
      <c r="B21" s="454">
        <v>24.676621738692216</v>
      </c>
      <c r="C21" s="454">
        <v>30.693767585784464</v>
      </c>
      <c r="D21" s="454">
        <v>39.5</v>
      </c>
      <c r="E21" s="454">
        <v>47.4</v>
      </c>
      <c r="F21" s="454">
        <v>62.6</v>
      </c>
      <c r="G21" s="454">
        <v>72.099999999999994</v>
      </c>
      <c r="H21" s="454">
        <v>75.650000000000006</v>
      </c>
      <c r="I21" s="454"/>
      <c r="J21" s="166">
        <v>4.4459689406718423</v>
      </c>
      <c r="K21" s="164">
        <v>6.177018231867577</v>
      </c>
      <c r="L21" s="164">
        <v>8</v>
      </c>
      <c r="M21" s="164">
        <v>10.9</v>
      </c>
      <c r="N21" s="164">
        <v>16.899999999999999</v>
      </c>
      <c r="O21" s="164">
        <v>20.3</v>
      </c>
      <c r="P21" s="164">
        <v>23.24</v>
      </c>
      <c r="Q21" s="454"/>
      <c r="R21" s="166">
        <v>27.309235016964518</v>
      </c>
      <c r="S21" s="165">
        <v>33.342713455832161</v>
      </c>
      <c r="T21" s="164">
        <v>42</v>
      </c>
      <c r="U21" s="164">
        <v>49.5</v>
      </c>
      <c r="V21" s="164">
        <v>65.7</v>
      </c>
      <c r="W21" s="164">
        <v>76.2</v>
      </c>
      <c r="X21" s="164">
        <v>79.53</v>
      </c>
      <c r="Y21" s="454"/>
      <c r="Z21" s="166">
        <v>4.8986249811123779</v>
      </c>
      <c r="AA21" s="164">
        <v>6.6897454829137821</v>
      </c>
      <c r="AB21" s="164">
        <v>8.6</v>
      </c>
      <c r="AC21" s="164">
        <v>11.6</v>
      </c>
      <c r="AD21" s="164">
        <v>18.5</v>
      </c>
      <c r="AE21" s="164">
        <v>22.6</v>
      </c>
      <c r="AF21" s="164">
        <v>25.79</v>
      </c>
      <c r="AG21" s="454"/>
      <c r="AH21" s="166">
        <v>8.4110781295418899</v>
      </c>
      <c r="AI21" s="165">
        <v>12.001101018442059</v>
      </c>
      <c r="AJ21" s="164">
        <v>20.84805954207302</v>
      </c>
      <c r="AK21" s="164">
        <v>30.1</v>
      </c>
      <c r="AL21" s="164">
        <v>53</v>
      </c>
      <c r="AM21" s="164">
        <v>66.099999999999994</v>
      </c>
      <c r="AN21" s="164">
        <v>75.81</v>
      </c>
      <c r="AO21" s="454"/>
      <c r="AP21" s="166">
        <v>1.6492434867294565</v>
      </c>
      <c r="AQ21" s="164">
        <v>2.5588848256065435</v>
      </c>
      <c r="AR21" s="164">
        <v>3.9557516404344559</v>
      </c>
      <c r="AS21" s="164">
        <v>4.7</v>
      </c>
      <c r="AT21" s="164">
        <v>9.1</v>
      </c>
      <c r="AU21" s="164">
        <v>12</v>
      </c>
      <c r="AV21" s="164">
        <v>15.35</v>
      </c>
      <c r="AW21" s="164"/>
      <c r="AX21" s="167"/>
    </row>
    <row r="22" spans="1:50" ht="12.75" customHeight="1" x14ac:dyDescent="0.2">
      <c r="A22" s="246" t="s">
        <v>14</v>
      </c>
      <c r="B22" s="454">
        <v>21.576324505870943</v>
      </c>
      <c r="C22" s="454">
        <v>29.430058645142427</v>
      </c>
      <c r="D22" s="454">
        <v>37.9</v>
      </c>
      <c r="E22" s="454">
        <v>47.8</v>
      </c>
      <c r="F22" s="454">
        <v>62.4</v>
      </c>
      <c r="G22" s="454">
        <v>75.2</v>
      </c>
      <c r="H22" s="454">
        <v>81.47</v>
      </c>
      <c r="I22" s="454"/>
      <c r="J22" s="166">
        <v>4.4626404053893873</v>
      </c>
      <c r="K22" s="164">
        <v>6.6905909802280448</v>
      </c>
      <c r="L22" s="164">
        <v>8.4</v>
      </c>
      <c r="M22" s="164">
        <v>12.3</v>
      </c>
      <c r="N22" s="164">
        <v>19.100000000000001</v>
      </c>
      <c r="O22" s="164">
        <v>24.5</v>
      </c>
      <c r="P22" s="164">
        <v>29.46</v>
      </c>
      <c r="Q22" s="454"/>
      <c r="R22" s="166">
        <v>26.036027205498197</v>
      </c>
      <c r="S22" s="165">
        <v>34.517258086677323</v>
      </c>
      <c r="T22" s="164">
        <v>43</v>
      </c>
      <c r="U22" s="164">
        <v>52.5</v>
      </c>
      <c r="V22" s="164">
        <v>66.099999999999994</v>
      </c>
      <c r="W22" s="164">
        <v>78.3</v>
      </c>
      <c r="X22" s="164">
        <v>84.28</v>
      </c>
      <c r="Y22" s="454"/>
      <c r="Z22" s="166">
        <v>5.389615889350857</v>
      </c>
      <c r="AA22" s="164">
        <v>7.8350194890188964</v>
      </c>
      <c r="AB22" s="164">
        <v>9.6</v>
      </c>
      <c r="AC22" s="164">
        <v>13.9</v>
      </c>
      <c r="AD22" s="164">
        <v>21.1</v>
      </c>
      <c r="AE22" s="164">
        <v>27</v>
      </c>
      <c r="AF22" s="164">
        <v>32.28</v>
      </c>
      <c r="AG22" s="454"/>
      <c r="AH22" s="166">
        <v>6.3353301981904631</v>
      </c>
      <c r="AI22" s="165">
        <v>9.9734483903086613</v>
      </c>
      <c r="AJ22" s="164">
        <v>16.264018201882308</v>
      </c>
      <c r="AK22" s="164">
        <v>30.8</v>
      </c>
      <c r="AL22" s="164">
        <v>43</v>
      </c>
      <c r="AM22" s="164">
        <v>60.3</v>
      </c>
      <c r="AN22" s="164">
        <v>71.58</v>
      </c>
      <c r="AO22" s="454"/>
      <c r="AP22" s="166">
        <v>1.294709934240053</v>
      </c>
      <c r="AQ22" s="164">
        <v>2.3135855736254007</v>
      </c>
      <c r="AR22" s="164">
        <v>3.2017434211356983</v>
      </c>
      <c r="AS22" s="164">
        <v>4.2</v>
      </c>
      <c r="AT22" s="164">
        <v>7.9</v>
      </c>
      <c r="AU22" s="164">
        <v>11.1</v>
      </c>
      <c r="AV22" s="164">
        <v>15.12</v>
      </c>
      <c r="AW22" s="164"/>
      <c r="AX22" s="167"/>
    </row>
    <row r="23" spans="1:50" ht="12.75" customHeight="1" x14ac:dyDescent="0.2">
      <c r="A23" s="245" t="s">
        <v>15</v>
      </c>
      <c r="B23" s="453">
        <v>17.766327557465218</v>
      </c>
      <c r="C23" s="453">
        <v>24.884840100663734</v>
      </c>
      <c r="D23" s="453">
        <v>30.6</v>
      </c>
      <c r="E23" s="453">
        <v>41.6</v>
      </c>
      <c r="F23" s="453">
        <v>56</v>
      </c>
      <c r="G23" s="453">
        <v>66</v>
      </c>
      <c r="H23" s="453">
        <v>75.209999999999994</v>
      </c>
      <c r="I23" s="453"/>
      <c r="J23" s="173">
        <v>3.3975972708450763</v>
      </c>
      <c r="K23" s="171">
        <v>4.3719063807659664</v>
      </c>
      <c r="L23" s="171">
        <v>5.2</v>
      </c>
      <c r="M23" s="171">
        <v>6.8</v>
      </c>
      <c r="N23" s="171">
        <v>10.4</v>
      </c>
      <c r="O23" s="171">
        <v>12.3</v>
      </c>
      <c r="P23" s="171">
        <v>14.83</v>
      </c>
      <c r="Q23" s="453"/>
      <c r="R23" s="173">
        <v>18.273613465800945</v>
      </c>
      <c r="S23" s="172">
        <v>25.386746950298463</v>
      </c>
      <c r="T23" s="171">
        <v>31</v>
      </c>
      <c r="U23" s="171">
        <v>42</v>
      </c>
      <c r="V23" s="171">
        <v>56</v>
      </c>
      <c r="W23" s="171">
        <v>66</v>
      </c>
      <c r="X23" s="171">
        <v>75.12</v>
      </c>
      <c r="Y23" s="453"/>
      <c r="Z23" s="173">
        <v>3.4619101088149069</v>
      </c>
      <c r="AA23" s="171">
        <v>4.4143843821945348</v>
      </c>
      <c r="AB23" s="171">
        <v>5.3</v>
      </c>
      <c r="AC23" s="171">
        <v>6.8</v>
      </c>
      <c r="AD23" s="171">
        <v>10.3</v>
      </c>
      <c r="AE23" s="171">
        <v>12.2</v>
      </c>
      <c r="AF23" s="171">
        <v>14.66</v>
      </c>
      <c r="AG23" s="453"/>
      <c r="AH23" s="173">
        <v>10.689486552567237</v>
      </c>
      <c r="AI23" s="172">
        <v>16.760812747660399</v>
      </c>
      <c r="AJ23" s="171">
        <v>22.295138964340815</v>
      </c>
      <c r="AK23" s="171">
        <v>30.9</v>
      </c>
      <c r="AL23" s="171">
        <v>52.1</v>
      </c>
      <c r="AM23" s="171">
        <v>64.7</v>
      </c>
      <c r="AN23" s="171">
        <v>76.62</v>
      </c>
      <c r="AO23" s="453"/>
      <c r="AP23" s="173">
        <v>2.5004074979625099</v>
      </c>
      <c r="AQ23" s="171">
        <v>3.6843436472472813</v>
      </c>
      <c r="AR23" s="171">
        <v>4.4742389013233668</v>
      </c>
      <c r="AS23" s="171">
        <v>5</v>
      </c>
      <c r="AT23" s="171">
        <v>9.1999999999999993</v>
      </c>
      <c r="AU23" s="171">
        <v>10.9</v>
      </c>
      <c r="AV23" s="171">
        <v>11.52</v>
      </c>
      <c r="AW23" s="171"/>
      <c r="AX23" s="167"/>
    </row>
    <row r="24" spans="1:50" ht="12.75" customHeight="1" x14ac:dyDescent="0.2">
      <c r="A24" s="241" t="s">
        <v>183</v>
      </c>
      <c r="B24" s="452">
        <v>34.826628499995472</v>
      </c>
      <c r="C24" s="452">
        <v>45.636969306969824</v>
      </c>
      <c r="D24" s="452">
        <v>50.82165355171837</v>
      </c>
      <c r="E24" s="452">
        <v>62.268441082759807</v>
      </c>
      <c r="F24" s="452">
        <v>74.5</v>
      </c>
      <c r="G24" s="452">
        <v>73.7</v>
      </c>
      <c r="H24" s="452">
        <v>79.869784058634878</v>
      </c>
      <c r="I24" s="452"/>
      <c r="J24" s="166">
        <v>6.176949625429148</v>
      </c>
      <c r="K24" s="164">
        <v>7.8967504815145917</v>
      </c>
      <c r="L24" s="164">
        <v>9.5636815373383914</v>
      </c>
      <c r="M24" s="164">
        <v>13.158486572760467</v>
      </c>
      <c r="N24" s="164">
        <v>19.256241169188073</v>
      </c>
      <c r="O24" s="164">
        <v>22.7</v>
      </c>
      <c r="P24" s="164">
        <v>26.232987063315257</v>
      </c>
      <c r="Q24" s="452"/>
      <c r="R24" s="166">
        <v>35.408989977645</v>
      </c>
      <c r="S24" s="164">
        <v>46.496502204246696</v>
      </c>
      <c r="T24" s="164">
        <v>51.860988551251907</v>
      </c>
      <c r="U24" s="164">
        <v>63.253833536911529</v>
      </c>
      <c r="V24" s="164">
        <v>77.2</v>
      </c>
      <c r="W24" s="164">
        <v>82.380047811337391</v>
      </c>
      <c r="X24" s="164">
        <v>85.586409945913047</v>
      </c>
      <c r="Y24" s="452"/>
      <c r="Z24" s="166">
        <v>6.3144813737082455</v>
      </c>
      <c r="AA24" s="164">
        <v>8.1176138185856797</v>
      </c>
      <c r="AB24" s="164">
        <v>9.8795184101519862</v>
      </c>
      <c r="AC24" s="164">
        <v>13.524055750045349</v>
      </c>
      <c r="AD24" s="164">
        <v>20.2</v>
      </c>
      <c r="AE24" s="164">
        <v>20.397940127237177</v>
      </c>
      <c r="AF24" s="164">
        <v>28.62246386688259</v>
      </c>
      <c r="AG24" s="452"/>
      <c r="AH24" s="166">
        <v>18.428309309066066</v>
      </c>
      <c r="AI24" s="164">
        <v>27.777670316066384</v>
      </c>
      <c r="AJ24" s="164">
        <v>37.201307178733813</v>
      </c>
      <c r="AK24" s="164">
        <v>48.864884163859436</v>
      </c>
      <c r="AL24" s="164">
        <v>68.7</v>
      </c>
      <c r="AM24" s="164">
        <v>76.2</v>
      </c>
      <c r="AN24" s="164">
        <v>81.076930465599133</v>
      </c>
      <c r="AO24" s="452"/>
      <c r="AP24" s="166">
        <v>2.3042870374609525</v>
      </c>
      <c r="AQ24" s="164">
        <v>3.3076714766528688</v>
      </c>
      <c r="AR24" s="164">
        <v>5.4246814969162598</v>
      </c>
      <c r="AS24" s="164">
        <v>5.8984669482676919</v>
      </c>
      <c r="AT24" s="164">
        <v>11.4</v>
      </c>
      <c r="AU24" s="164">
        <v>14.8</v>
      </c>
      <c r="AV24" s="164">
        <v>17.397337997478054</v>
      </c>
      <c r="AW24" s="164"/>
      <c r="AX24" s="167"/>
    </row>
    <row r="25" spans="1:50" ht="12.75" customHeight="1" x14ac:dyDescent="0.2">
      <c r="A25" s="241" t="s">
        <v>182</v>
      </c>
      <c r="B25" s="452"/>
      <c r="C25" s="452"/>
      <c r="D25" s="452"/>
      <c r="E25" s="452"/>
      <c r="F25" s="452"/>
      <c r="G25" s="452"/>
      <c r="H25" s="452"/>
      <c r="I25" s="452"/>
      <c r="J25" s="168"/>
      <c r="K25" s="167"/>
      <c r="L25" s="167"/>
      <c r="M25" s="167"/>
      <c r="N25" s="167"/>
      <c r="O25" s="167"/>
      <c r="P25" s="167"/>
      <c r="Q25" s="452"/>
      <c r="R25" s="168"/>
      <c r="Y25" s="452"/>
      <c r="Z25" s="168"/>
      <c r="AA25" s="167"/>
      <c r="AB25" s="167"/>
      <c r="AC25" s="167"/>
      <c r="AD25" s="167"/>
      <c r="AE25" s="167"/>
      <c r="AF25" s="167"/>
      <c r="AG25" s="452"/>
      <c r="AH25" s="168"/>
      <c r="AO25" s="452"/>
      <c r="AP25" s="168"/>
      <c r="AQ25" s="167"/>
      <c r="AR25" s="167"/>
      <c r="AS25" s="167"/>
      <c r="AT25" s="167"/>
      <c r="AU25" s="167"/>
      <c r="AV25" s="167"/>
      <c r="AW25" s="167"/>
      <c r="AX25" s="167"/>
    </row>
    <row r="26" spans="1:50" ht="12.75" customHeight="1" x14ac:dyDescent="0.2">
      <c r="A26" s="241" t="s">
        <v>17</v>
      </c>
      <c r="B26" s="452" t="s">
        <v>137</v>
      </c>
      <c r="C26" s="452" t="s">
        <v>137</v>
      </c>
      <c r="D26" s="452">
        <v>54.7</v>
      </c>
      <c r="E26" s="452">
        <v>66.7</v>
      </c>
      <c r="F26" s="452">
        <v>82.5</v>
      </c>
      <c r="G26" s="452">
        <v>86.6</v>
      </c>
      <c r="H26" s="452">
        <v>88.33</v>
      </c>
      <c r="I26" s="452"/>
      <c r="J26" s="170" t="s">
        <v>137</v>
      </c>
      <c r="K26" s="169" t="s">
        <v>137</v>
      </c>
      <c r="L26" s="164">
        <v>9.5</v>
      </c>
      <c r="M26" s="164">
        <v>14.1</v>
      </c>
      <c r="N26" s="164">
        <v>21.1</v>
      </c>
      <c r="O26" s="164">
        <v>23</v>
      </c>
      <c r="P26" s="164">
        <v>24.71</v>
      </c>
      <c r="Q26" s="452"/>
      <c r="R26" s="170" t="s">
        <v>137</v>
      </c>
      <c r="S26" s="169" t="s">
        <v>137</v>
      </c>
      <c r="T26" s="164">
        <v>63.2</v>
      </c>
      <c r="U26" s="164">
        <v>75.3</v>
      </c>
      <c r="V26" s="164">
        <v>88.5</v>
      </c>
      <c r="W26" s="164">
        <v>91.1</v>
      </c>
      <c r="X26" s="164">
        <v>92.5</v>
      </c>
      <c r="Y26" s="452"/>
      <c r="Z26" s="170" t="s">
        <v>137</v>
      </c>
      <c r="AA26" s="169" t="s">
        <v>137</v>
      </c>
      <c r="AB26" s="164">
        <v>11.4</v>
      </c>
      <c r="AC26" s="164">
        <v>16.5</v>
      </c>
      <c r="AD26" s="164">
        <v>24.4</v>
      </c>
      <c r="AE26" s="164">
        <v>26.8</v>
      </c>
      <c r="AF26" s="164">
        <v>29.27</v>
      </c>
      <c r="AG26" s="452"/>
      <c r="AH26" s="170" t="s">
        <v>137</v>
      </c>
      <c r="AI26" s="169" t="s">
        <v>137</v>
      </c>
      <c r="AJ26" s="164" t="s">
        <v>136</v>
      </c>
      <c r="AK26" s="164">
        <v>63.5</v>
      </c>
      <c r="AL26" s="164">
        <v>83.3</v>
      </c>
      <c r="AM26" s="164">
        <v>88.2</v>
      </c>
      <c r="AN26" s="164">
        <v>88.7</v>
      </c>
      <c r="AO26" s="452"/>
      <c r="AP26" s="170" t="s">
        <v>137</v>
      </c>
      <c r="AQ26" s="169" t="s">
        <v>137</v>
      </c>
      <c r="AR26" s="164" t="s">
        <v>136</v>
      </c>
      <c r="AS26" s="164">
        <v>7.8</v>
      </c>
      <c r="AT26" s="164">
        <v>10.1</v>
      </c>
      <c r="AU26" s="164">
        <v>14.1</v>
      </c>
      <c r="AV26" s="164">
        <v>14.89</v>
      </c>
      <c r="AW26" s="164"/>
      <c r="AX26" s="167"/>
    </row>
    <row r="27" spans="1:50" ht="12.75" customHeight="1" x14ac:dyDescent="0.2">
      <c r="A27" s="241" t="s">
        <v>18</v>
      </c>
      <c r="B27" s="452">
        <v>29.397436153830768</v>
      </c>
      <c r="C27" s="452">
        <v>38.488272216716219</v>
      </c>
      <c r="D27" s="452">
        <v>45.7</v>
      </c>
      <c r="E27" s="452">
        <v>58.1</v>
      </c>
      <c r="F27" s="452">
        <v>72.400000000000006</v>
      </c>
      <c r="G27" s="452">
        <v>78.7</v>
      </c>
      <c r="H27" s="452">
        <v>80.97</v>
      </c>
      <c r="I27" s="452"/>
      <c r="J27" s="166">
        <v>6.3276203427794329</v>
      </c>
      <c r="K27" s="164">
        <v>7.6683184671291702</v>
      </c>
      <c r="L27" s="164">
        <v>9.1</v>
      </c>
      <c r="M27" s="164">
        <v>12.6</v>
      </c>
      <c r="N27" s="164">
        <v>17.399999999999999</v>
      </c>
      <c r="O27" s="164">
        <v>20.3</v>
      </c>
      <c r="P27" s="164">
        <v>23.53</v>
      </c>
      <c r="Q27" s="452"/>
      <c r="R27" s="166">
        <v>32.59871483597729</v>
      </c>
      <c r="S27" s="165">
        <v>41.545319900869593</v>
      </c>
      <c r="T27" s="164">
        <v>48.3</v>
      </c>
      <c r="U27" s="164">
        <v>60.3</v>
      </c>
      <c r="V27" s="164">
        <v>76.099999999999994</v>
      </c>
      <c r="W27" s="164">
        <v>82.4</v>
      </c>
      <c r="X27" s="164">
        <v>85.37</v>
      </c>
      <c r="Y27" s="452"/>
      <c r="Z27" s="166">
        <v>7.1099326384198331</v>
      </c>
      <c r="AA27" s="164">
        <v>8.3600956109864644</v>
      </c>
      <c r="AB27" s="164">
        <v>9.6999999999999993</v>
      </c>
      <c r="AC27" s="164">
        <v>13.2</v>
      </c>
      <c r="AD27" s="164">
        <v>18.899999999999999</v>
      </c>
      <c r="AE27" s="164">
        <v>22.2</v>
      </c>
      <c r="AF27" s="164">
        <v>26.01</v>
      </c>
      <c r="AG27" s="452"/>
      <c r="AH27" s="166" t="s">
        <v>136</v>
      </c>
      <c r="AI27" s="165" t="s">
        <v>136</v>
      </c>
      <c r="AJ27" s="164" t="s">
        <v>136</v>
      </c>
      <c r="AK27" s="164">
        <v>32.6</v>
      </c>
      <c r="AL27" s="164">
        <v>60.6</v>
      </c>
      <c r="AM27" s="164">
        <v>75.099999999999994</v>
      </c>
      <c r="AN27" s="164">
        <v>81.72</v>
      </c>
      <c r="AO27" s="452"/>
      <c r="AP27" s="166" t="s">
        <v>136</v>
      </c>
      <c r="AQ27" s="164" t="s">
        <v>136</v>
      </c>
      <c r="AR27" s="164" t="s">
        <v>136</v>
      </c>
      <c r="AS27" s="164">
        <v>4.8</v>
      </c>
      <c r="AT27" s="164">
        <v>10.8</v>
      </c>
      <c r="AU27" s="164">
        <v>14.3</v>
      </c>
      <c r="AV27" s="164">
        <v>18.59</v>
      </c>
      <c r="AW27" s="164"/>
      <c r="AX27" s="167"/>
    </row>
    <row r="28" spans="1:50" ht="12.75" customHeight="1" x14ac:dyDescent="0.2">
      <c r="A28" s="241" t="s">
        <v>19</v>
      </c>
      <c r="B28" s="452">
        <v>37.287191637210057</v>
      </c>
      <c r="C28" s="452">
        <v>47.598305111394119</v>
      </c>
      <c r="D28" s="452">
        <v>51.5</v>
      </c>
      <c r="E28" s="452">
        <v>62.6</v>
      </c>
      <c r="F28" s="452">
        <v>73.5</v>
      </c>
      <c r="G28" s="452">
        <v>76.2</v>
      </c>
      <c r="H28" s="452">
        <v>76.790000000000006</v>
      </c>
      <c r="I28" s="452"/>
      <c r="J28" s="166">
        <v>6.7602556683928725</v>
      </c>
      <c r="K28" s="164">
        <v>8.3681587346508817</v>
      </c>
      <c r="L28" s="164">
        <v>9.8000000000000007</v>
      </c>
      <c r="M28" s="164">
        <v>13.4</v>
      </c>
      <c r="N28" s="164">
        <v>19.600000000000001</v>
      </c>
      <c r="O28" s="164">
        <v>23.4</v>
      </c>
      <c r="P28" s="164">
        <v>26.62</v>
      </c>
      <c r="Q28" s="452"/>
      <c r="R28" s="166">
        <v>37.970094546606319</v>
      </c>
      <c r="S28" s="165">
        <v>48.710812459778182</v>
      </c>
      <c r="T28" s="164">
        <v>52.4</v>
      </c>
      <c r="U28" s="164">
        <v>63.6</v>
      </c>
      <c r="V28" s="164">
        <v>76.599999999999994</v>
      </c>
      <c r="W28" s="164">
        <v>81.099999999999994</v>
      </c>
      <c r="X28" s="164">
        <v>83.31</v>
      </c>
      <c r="Y28" s="452"/>
      <c r="Z28" s="166">
        <v>6.9333303440441325</v>
      </c>
      <c r="AA28" s="164">
        <v>8.6710294277428144</v>
      </c>
      <c r="AB28" s="164">
        <v>10.199999999999999</v>
      </c>
      <c r="AC28" s="164">
        <v>13.8</v>
      </c>
      <c r="AD28" s="164">
        <v>20.8</v>
      </c>
      <c r="AE28" s="164">
        <v>25.4</v>
      </c>
      <c r="AF28" s="164">
        <v>29.79</v>
      </c>
      <c r="AG28" s="452"/>
      <c r="AH28" s="166" t="s">
        <v>136</v>
      </c>
      <c r="AI28" s="165" t="s">
        <v>136</v>
      </c>
      <c r="AJ28" s="164" t="s">
        <v>136</v>
      </c>
      <c r="AK28" s="164">
        <v>49.4</v>
      </c>
      <c r="AL28" s="164">
        <v>68.5</v>
      </c>
      <c r="AM28" s="164">
        <v>75.599999999999994</v>
      </c>
      <c r="AN28" s="164">
        <v>80.540000000000006</v>
      </c>
      <c r="AO28" s="452"/>
      <c r="AP28" s="166" t="s">
        <v>136</v>
      </c>
      <c r="AQ28" s="164" t="s">
        <v>136</v>
      </c>
      <c r="AR28" s="164" t="s">
        <v>136</v>
      </c>
      <c r="AS28" s="164">
        <v>5.9</v>
      </c>
      <c r="AT28" s="164">
        <v>11.3</v>
      </c>
      <c r="AU28" s="164">
        <v>14.8</v>
      </c>
      <c r="AV28" s="164">
        <v>17.18</v>
      </c>
      <c r="AW28" s="164"/>
      <c r="AX28" s="167"/>
    </row>
    <row r="29" spans="1:50" ht="12.75" customHeight="1" x14ac:dyDescent="0.2">
      <c r="A29" s="241" t="s">
        <v>20</v>
      </c>
      <c r="B29" s="452">
        <v>32.054357656242559</v>
      </c>
      <c r="C29" s="452">
        <v>43.731984554304674</v>
      </c>
      <c r="D29" s="452">
        <v>52</v>
      </c>
      <c r="E29" s="452">
        <v>63.9</v>
      </c>
      <c r="F29" s="452">
        <v>78.599999999999994</v>
      </c>
      <c r="G29" s="452">
        <v>84.4</v>
      </c>
      <c r="H29" s="452">
        <v>86.93</v>
      </c>
      <c r="I29" s="452"/>
      <c r="J29" s="166">
        <v>5.9898138892855446</v>
      </c>
      <c r="K29" s="164">
        <v>8.3557676619350616</v>
      </c>
      <c r="L29" s="164">
        <v>10.7</v>
      </c>
      <c r="M29" s="164">
        <v>14.9</v>
      </c>
      <c r="N29" s="164">
        <v>23</v>
      </c>
      <c r="O29" s="164">
        <v>27</v>
      </c>
      <c r="P29" s="164">
        <v>32.69</v>
      </c>
      <c r="Q29" s="452"/>
      <c r="R29" s="166">
        <v>32.190682480051954</v>
      </c>
      <c r="S29" s="165">
        <v>43.83181194852687</v>
      </c>
      <c r="T29" s="164">
        <v>52.2</v>
      </c>
      <c r="U29" s="164">
        <v>64.2</v>
      </c>
      <c r="V29" s="164">
        <v>80.2</v>
      </c>
      <c r="W29" s="164">
        <v>86.1</v>
      </c>
      <c r="X29" s="164">
        <v>89.54</v>
      </c>
      <c r="Y29" s="452"/>
      <c r="Z29" s="166">
        <v>6.0379991845115208</v>
      </c>
      <c r="AA29" s="164">
        <v>8.4301802113778344</v>
      </c>
      <c r="AB29" s="164">
        <v>10.8</v>
      </c>
      <c r="AC29" s="164">
        <v>15.1</v>
      </c>
      <c r="AD29" s="164">
        <v>24</v>
      </c>
      <c r="AE29" s="164">
        <v>28.3</v>
      </c>
      <c r="AF29" s="164">
        <v>35</v>
      </c>
      <c r="AG29" s="452"/>
      <c r="AH29" s="166" t="s">
        <v>136</v>
      </c>
      <c r="AI29" s="165" t="s">
        <v>136</v>
      </c>
      <c r="AJ29" s="164" t="s">
        <v>136</v>
      </c>
      <c r="AK29" s="164">
        <v>55.2</v>
      </c>
      <c r="AL29" s="164">
        <v>74.400000000000006</v>
      </c>
      <c r="AM29" s="164">
        <v>80.8</v>
      </c>
      <c r="AN29" s="164">
        <v>84.38</v>
      </c>
      <c r="AO29" s="452"/>
      <c r="AP29" s="166" t="s">
        <v>136</v>
      </c>
      <c r="AQ29" s="164" t="s">
        <v>136</v>
      </c>
      <c r="AR29" s="164" t="s">
        <v>136</v>
      </c>
      <c r="AS29" s="164">
        <v>7.3</v>
      </c>
      <c r="AT29" s="164">
        <v>13.8</v>
      </c>
      <c r="AU29" s="164">
        <v>17.100000000000001</v>
      </c>
      <c r="AV29" s="164">
        <v>20.47</v>
      </c>
      <c r="AW29" s="164"/>
      <c r="AX29" s="167"/>
    </row>
    <row r="30" spans="1:50" ht="12.75" customHeight="1" x14ac:dyDescent="0.2">
      <c r="A30" s="241" t="s">
        <v>22</v>
      </c>
      <c r="B30" s="452" t="s">
        <v>137</v>
      </c>
      <c r="C30" s="452" t="s">
        <v>137</v>
      </c>
      <c r="D30" s="452">
        <v>46.1</v>
      </c>
      <c r="E30" s="452">
        <v>61.9</v>
      </c>
      <c r="F30" s="452">
        <v>73.8</v>
      </c>
      <c r="G30" s="452">
        <v>80.099999999999994</v>
      </c>
      <c r="H30" s="452">
        <v>84.57</v>
      </c>
      <c r="I30" s="452"/>
      <c r="J30" s="170" t="s">
        <v>137</v>
      </c>
      <c r="K30" s="169" t="s">
        <v>137</v>
      </c>
      <c r="L30" s="164">
        <v>9</v>
      </c>
      <c r="M30" s="164">
        <v>14</v>
      </c>
      <c r="N30" s="164">
        <v>20.3</v>
      </c>
      <c r="O30" s="164">
        <v>22.9</v>
      </c>
      <c r="P30" s="164">
        <v>26.17</v>
      </c>
      <c r="Q30" s="452"/>
      <c r="R30" s="170" t="s">
        <v>137</v>
      </c>
      <c r="S30" s="169" t="s">
        <v>137</v>
      </c>
      <c r="T30" s="164">
        <v>62.5</v>
      </c>
      <c r="U30" s="164">
        <v>74.400000000000006</v>
      </c>
      <c r="V30" s="164">
        <v>85.7</v>
      </c>
      <c r="W30" s="164">
        <v>89.3</v>
      </c>
      <c r="X30" s="164">
        <v>92.66</v>
      </c>
      <c r="Y30" s="452"/>
      <c r="Z30" s="170" t="s">
        <v>137</v>
      </c>
      <c r="AA30" s="169" t="s">
        <v>137</v>
      </c>
      <c r="AB30" s="164">
        <v>16.3</v>
      </c>
      <c r="AC30" s="164">
        <v>21.5</v>
      </c>
      <c r="AD30" s="164">
        <v>28.2</v>
      </c>
      <c r="AE30" s="164">
        <v>30.2</v>
      </c>
      <c r="AF30" s="164">
        <v>36.5</v>
      </c>
      <c r="AG30" s="452"/>
      <c r="AH30" s="170" t="s">
        <v>137</v>
      </c>
      <c r="AI30" s="169" t="s">
        <v>137</v>
      </c>
      <c r="AJ30" s="164" t="s">
        <v>136</v>
      </c>
      <c r="AK30" s="164">
        <v>76.400000000000006</v>
      </c>
      <c r="AL30" s="164">
        <v>91.5</v>
      </c>
      <c r="AM30" s="164">
        <v>94.2</v>
      </c>
      <c r="AN30" s="164">
        <v>92.92</v>
      </c>
      <c r="AO30" s="452"/>
      <c r="AP30" s="170" t="s">
        <v>137</v>
      </c>
      <c r="AQ30" s="169" t="s">
        <v>137</v>
      </c>
      <c r="AR30" s="164" t="s">
        <v>136</v>
      </c>
      <c r="AS30" s="164">
        <v>11.4</v>
      </c>
      <c r="AT30" s="164">
        <v>14</v>
      </c>
      <c r="AU30" s="164">
        <v>15.2</v>
      </c>
      <c r="AV30" s="164">
        <v>21</v>
      </c>
      <c r="AW30" s="164"/>
      <c r="AX30" s="167"/>
    </row>
    <row r="31" spans="1:50" ht="12.75" customHeight="1" x14ac:dyDescent="0.2">
      <c r="A31" s="241" t="s">
        <v>23</v>
      </c>
      <c r="B31" s="452">
        <v>30.530258302583025</v>
      </c>
      <c r="C31" s="452">
        <v>40.745676765050057</v>
      </c>
      <c r="D31" s="452">
        <v>48.6</v>
      </c>
      <c r="E31" s="452">
        <v>59.5</v>
      </c>
      <c r="F31" s="452">
        <v>73.7</v>
      </c>
      <c r="G31" s="452">
        <v>79.7</v>
      </c>
      <c r="H31" s="452">
        <v>84.72</v>
      </c>
      <c r="I31" s="452"/>
      <c r="J31" s="166">
        <v>4.4963099630996313</v>
      </c>
      <c r="K31" s="164">
        <v>5.5746976986087633</v>
      </c>
      <c r="L31" s="164">
        <v>7.2</v>
      </c>
      <c r="M31" s="164">
        <v>10</v>
      </c>
      <c r="N31" s="164">
        <v>15.8</v>
      </c>
      <c r="O31" s="164">
        <v>17.7</v>
      </c>
      <c r="P31" s="164">
        <v>21.67</v>
      </c>
      <c r="Q31" s="452"/>
      <c r="R31" s="166">
        <v>30.725877994051036</v>
      </c>
      <c r="S31" s="165">
        <v>40.923653211099605</v>
      </c>
      <c r="T31" s="164">
        <v>48.7</v>
      </c>
      <c r="U31" s="164">
        <v>59.6</v>
      </c>
      <c r="V31" s="164">
        <v>74.599999999999994</v>
      </c>
      <c r="W31" s="164">
        <v>80.900000000000006</v>
      </c>
      <c r="X31" s="164">
        <v>86.58</v>
      </c>
      <c r="Y31" s="452"/>
      <c r="Z31" s="166">
        <v>4.5314258876853462</v>
      </c>
      <c r="AA31" s="164">
        <v>5.6105935893012635</v>
      </c>
      <c r="AB31" s="164">
        <v>7.2</v>
      </c>
      <c r="AC31" s="164">
        <v>10</v>
      </c>
      <c r="AD31" s="164">
        <v>16.100000000000001</v>
      </c>
      <c r="AE31" s="164">
        <v>18</v>
      </c>
      <c r="AF31" s="164">
        <v>22.31</v>
      </c>
      <c r="AG31" s="452"/>
      <c r="AH31" s="166" t="s">
        <v>136</v>
      </c>
      <c r="AI31" s="165" t="s">
        <v>136</v>
      </c>
      <c r="AJ31" s="164" t="s">
        <v>136</v>
      </c>
      <c r="AK31" s="164">
        <v>52.7</v>
      </c>
      <c r="AL31" s="164">
        <v>74.400000000000006</v>
      </c>
      <c r="AM31" s="164">
        <v>82.8</v>
      </c>
      <c r="AN31" s="164">
        <v>82.55</v>
      </c>
      <c r="AO31" s="452"/>
      <c r="AP31" s="166" t="s">
        <v>136</v>
      </c>
      <c r="AQ31" s="164" t="s">
        <v>136</v>
      </c>
      <c r="AR31" s="164" t="s">
        <v>136</v>
      </c>
      <c r="AS31" s="164">
        <v>3.5</v>
      </c>
      <c r="AT31" s="164">
        <v>15.2</v>
      </c>
      <c r="AU31" s="164">
        <v>15.8</v>
      </c>
      <c r="AV31" s="164">
        <v>22.45</v>
      </c>
      <c r="AW31" s="164"/>
      <c r="AX31" s="167"/>
    </row>
    <row r="32" spans="1:50" ht="12.75" customHeight="1" x14ac:dyDescent="0.2">
      <c r="A32" s="241" t="s">
        <v>33</v>
      </c>
      <c r="B32" s="452">
        <v>29.350010882228684</v>
      </c>
      <c r="C32" s="452">
        <v>39.978000488878024</v>
      </c>
      <c r="D32" s="452">
        <v>47.8</v>
      </c>
      <c r="E32" s="452">
        <v>59.2</v>
      </c>
      <c r="F32" s="452">
        <v>74.400000000000006</v>
      </c>
      <c r="G32" s="452">
        <v>81</v>
      </c>
      <c r="H32" s="452">
        <v>87.15</v>
      </c>
      <c r="I32" s="452"/>
      <c r="J32" s="166">
        <v>4.8262684197723695</v>
      </c>
      <c r="K32" s="164">
        <v>6.2545832314837444</v>
      </c>
      <c r="L32" s="164">
        <v>7.5</v>
      </c>
      <c r="M32" s="164">
        <v>11</v>
      </c>
      <c r="N32" s="164">
        <v>17.5</v>
      </c>
      <c r="O32" s="164">
        <v>19.8</v>
      </c>
      <c r="P32" s="164">
        <v>24.37</v>
      </c>
      <c r="Q32" s="452"/>
      <c r="R32" s="166">
        <v>29.880665123684775</v>
      </c>
      <c r="S32" s="165">
        <v>40.602667750863972</v>
      </c>
      <c r="T32" s="164">
        <v>48.5</v>
      </c>
      <c r="U32" s="164">
        <v>60.1</v>
      </c>
      <c r="V32" s="164">
        <v>75.2</v>
      </c>
      <c r="W32" s="164">
        <v>81.7</v>
      </c>
      <c r="X32" s="164">
        <v>87.85</v>
      </c>
      <c r="Y32" s="452"/>
      <c r="Z32" s="166">
        <v>4.931632770309089</v>
      </c>
      <c r="AA32" s="164">
        <v>6.3628829223287307</v>
      </c>
      <c r="AB32" s="164">
        <v>7.7</v>
      </c>
      <c r="AC32" s="164">
        <v>11.3</v>
      </c>
      <c r="AD32" s="164">
        <v>17.899999999999999</v>
      </c>
      <c r="AE32" s="164">
        <v>20.3</v>
      </c>
      <c r="AF32" s="164">
        <v>25.1</v>
      </c>
      <c r="AG32" s="452"/>
      <c r="AH32" s="166" t="s">
        <v>136</v>
      </c>
      <c r="AI32" s="165" t="s">
        <v>136</v>
      </c>
      <c r="AJ32" s="164" t="s">
        <v>136</v>
      </c>
      <c r="AK32" s="164">
        <v>61</v>
      </c>
      <c r="AL32" s="164">
        <v>80.3</v>
      </c>
      <c r="AM32" s="164">
        <v>80.900000000000006</v>
      </c>
      <c r="AN32" s="164">
        <v>91.15</v>
      </c>
      <c r="AO32" s="452"/>
      <c r="AP32" s="166" t="s">
        <v>136</v>
      </c>
      <c r="AQ32" s="164" t="s">
        <v>136</v>
      </c>
      <c r="AR32" s="164" t="s">
        <v>136</v>
      </c>
      <c r="AS32" s="164">
        <v>10.199999999999999</v>
      </c>
      <c r="AT32" s="164">
        <v>17.399999999999999</v>
      </c>
      <c r="AU32" s="164">
        <v>18.399999999999999</v>
      </c>
      <c r="AV32" s="164">
        <v>33.19</v>
      </c>
      <c r="AW32" s="164"/>
      <c r="AX32" s="167"/>
    </row>
    <row r="33" spans="1:50" ht="12.75" customHeight="1" x14ac:dyDescent="0.2">
      <c r="A33" s="241" t="s">
        <v>35</v>
      </c>
      <c r="B33" s="452">
        <v>35.634611877697402</v>
      </c>
      <c r="C33" s="452">
        <v>46.50005351600128</v>
      </c>
      <c r="D33" s="452">
        <v>53.3</v>
      </c>
      <c r="E33" s="452">
        <v>65.2</v>
      </c>
      <c r="F33" s="452">
        <v>75.5</v>
      </c>
      <c r="G33" s="452">
        <v>78.8</v>
      </c>
      <c r="H33" s="452">
        <v>80.66</v>
      </c>
      <c r="I33" s="452"/>
      <c r="J33" s="166">
        <v>6.6926022734180286</v>
      </c>
      <c r="K33" s="164">
        <v>7.5885689821256559</v>
      </c>
      <c r="L33" s="164">
        <v>8.3000000000000007</v>
      </c>
      <c r="M33" s="164">
        <v>10.8</v>
      </c>
      <c r="N33" s="164">
        <v>14.4</v>
      </c>
      <c r="O33" s="164">
        <v>15.3</v>
      </c>
      <c r="P33" s="164">
        <v>18.16</v>
      </c>
      <c r="Q33" s="452"/>
      <c r="R33" s="166">
        <v>36.921432900570991</v>
      </c>
      <c r="S33" s="165">
        <v>48.298820741409472</v>
      </c>
      <c r="T33" s="164">
        <v>55.2</v>
      </c>
      <c r="U33" s="164">
        <v>66.900000000000006</v>
      </c>
      <c r="V33" s="164">
        <v>76.900000000000006</v>
      </c>
      <c r="W33" s="164">
        <v>80.900000000000006</v>
      </c>
      <c r="X33" s="164">
        <v>83.87</v>
      </c>
      <c r="Y33" s="452"/>
      <c r="Z33" s="166">
        <v>6.9683243484640656</v>
      </c>
      <c r="AA33" s="164">
        <v>7.944478925689781</v>
      </c>
      <c r="AB33" s="164">
        <v>8.6999999999999993</v>
      </c>
      <c r="AC33" s="164">
        <v>11.2</v>
      </c>
      <c r="AD33" s="164">
        <v>14.9</v>
      </c>
      <c r="AE33" s="164">
        <v>15.9</v>
      </c>
      <c r="AF33" s="164">
        <v>19.329999999999998</v>
      </c>
      <c r="AG33" s="452"/>
      <c r="AH33" s="166" t="s">
        <v>136</v>
      </c>
      <c r="AI33" s="165" t="s">
        <v>136</v>
      </c>
      <c r="AJ33" s="164" t="s">
        <v>136</v>
      </c>
      <c r="AK33" s="164">
        <v>36.200000000000003</v>
      </c>
      <c r="AL33" s="164">
        <v>61.4</v>
      </c>
      <c r="AM33" s="164">
        <v>70.8</v>
      </c>
      <c r="AN33" s="164">
        <v>78.930000000000007</v>
      </c>
      <c r="AO33" s="452"/>
      <c r="AP33" s="166" t="s">
        <v>136</v>
      </c>
      <c r="AQ33" s="164" t="s">
        <v>136</v>
      </c>
      <c r="AR33" s="164" t="s">
        <v>136</v>
      </c>
      <c r="AS33" s="164">
        <v>3.6</v>
      </c>
      <c r="AT33" s="164">
        <v>8</v>
      </c>
      <c r="AU33" s="164">
        <v>9</v>
      </c>
      <c r="AV33" s="164">
        <v>12.02</v>
      </c>
      <c r="AW33" s="164"/>
      <c r="AX33" s="167"/>
    </row>
    <row r="34" spans="1:50" ht="12.75" customHeight="1" x14ac:dyDescent="0.2">
      <c r="A34" s="241" t="s">
        <v>38</v>
      </c>
      <c r="B34" s="452">
        <v>23.764560609178844</v>
      </c>
      <c r="C34" s="452">
        <v>35.581220266222431</v>
      </c>
      <c r="D34" s="452">
        <v>45.5</v>
      </c>
      <c r="E34" s="452">
        <v>55.2</v>
      </c>
      <c r="F34" s="452">
        <v>68.900000000000006</v>
      </c>
      <c r="G34" s="452">
        <v>75.099999999999994</v>
      </c>
      <c r="H34" s="452">
        <v>78.849999999999994</v>
      </c>
      <c r="I34" s="452"/>
      <c r="J34" s="166">
        <v>4.5239761267750564</v>
      </c>
      <c r="K34" s="164">
        <v>7.1457175351198954</v>
      </c>
      <c r="L34" s="164">
        <v>9.8000000000000007</v>
      </c>
      <c r="M34" s="164">
        <v>12.7</v>
      </c>
      <c r="N34" s="164">
        <v>17.600000000000001</v>
      </c>
      <c r="O34" s="164">
        <v>20.399999999999999</v>
      </c>
      <c r="P34" s="164">
        <v>23.45</v>
      </c>
      <c r="Q34" s="452"/>
      <c r="R34" s="166">
        <v>24.989640183743465</v>
      </c>
      <c r="S34" s="165">
        <v>36.877471026419833</v>
      </c>
      <c r="T34" s="164">
        <v>47.3</v>
      </c>
      <c r="U34" s="164">
        <v>57.2</v>
      </c>
      <c r="V34" s="164">
        <v>73.400000000000006</v>
      </c>
      <c r="W34" s="164">
        <v>78.599999999999994</v>
      </c>
      <c r="X34" s="164">
        <v>83.31</v>
      </c>
      <c r="Y34" s="452"/>
      <c r="Z34" s="166">
        <v>4.8029871538278419</v>
      </c>
      <c r="AA34" s="164">
        <v>7.5068297897612544</v>
      </c>
      <c r="AB34" s="164">
        <v>10.3</v>
      </c>
      <c r="AC34" s="164">
        <v>13.4</v>
      </c>
      <c r="AD34" s="164">
        <v>20.100000000000001</v>
      </c>
      <c r="AE34" s="164">
        <v>23.4</v>
      </c>
      <c r="AF34" s="164">
        <v>28</v>
      </c>
      <c r="AG34" s="452"/>
      <c r="AH34" s="166" t="s">
        <v>136</v>
      </c>
      <c r="AI34" s="165" t="s">
        <v>136</v>
      </c>
      <c r="AJ34" s="164" t="s">
        <v>136</v>
      </c>
      <c r="AK34" s="164">
        <v>41.3</v>
      </c>
      <c r="AL34" s="164">
        <v>62.8</v>
      </c>
      <c r="AM34" s="164">
        <v>74.7</v>
      </c>
      <c r="AN34" s="164">
        <v>79.37</v>
      </c>
      <c r="AO34" s="452"/>
      <c r="AP34" s="166" t="s">
        <v>136</v>
      </c>
      <c r="AQ34" s="164" t="s">
        <v>136</v>
      </c>
      <c r="AR34" s="164" t="s">
        <v>136</v>
      </c>
      <c r="AS34" s="164">
        <v>6.9</v>
      </c>
      <c r="AT34" s="164">
        <v>10.3</v>
      </c>
      <c r="AU34" s="164">
        <v>14.2</v>
      </c>
      <c r="AV34" s="164">
        <v>18.8</v>
      </c>
      <c r="AW34" s="164"/>
      <c r="AX34" s="167"/>
    </row>
    <row r="35" spans="1:50" ht="12.75" customHeight="1" x14ac:dyDescent="0.2">
      <c r="A35" s="241" t="s">
        <v>42</v>
      </c>
      <c r="B35" s="452">
        <v>33.067500471936981</v>
      </c>
      <c r="C35" s="452">
        <v>43.056927828183312</v>
      </c>
      <c r="D35" s="452">
        <v>48.4</v>
      </c>
      <c r="E35" s="452">
        <v>60</v>
      </c>
      <c r="F35" s="452">
        <v>75.599999999999994</v>
      </c>
      <c r="G35" s="452">
        <v>81.5</v>
      </c>
      <c r="H35" s="452">
        <v>85.13</v>
      </c>
      <c r="I35" s="452"/>
      <c r="J35" s="166">
        <v>5.506980172654024</v>
      </c>
      <c r="K35" s="164">
        <v>6.8304360345304573</v>
      </c>
      <c r="L35" s="164">
        <v>8.5</v>
      </c>
      <c r="M35" s="164">
        <v>11.8</v>
      </c>
      <c r="N35" s="164">
        <v>17.899999999999999</v>
      </c>
      <c r="O35" s="164">
        <v>20.6</v>
      </c>
      <c r="P35" s="164">
        <v>25.08</v>
      </c>
      <c r="Q35" s="452"/>
      <c r="R35" s="166">
        <v>33.217090961423388</v>
      </c>
      <c r="S35" s="165">
        <v>43.199908574040741</v>
      </c>
      <c r="T35" s="164">
        <v>48.6</v>
      </c>
      <c r="U35" s="164">
        <v>60.3</v>
      </c>
      <c r="V35" s="164">
        <v>76.099999999999994</v>
      </c>
      <c r="W35" s="164">
        <v>82.3</v>
      </c>
      <c r="X35" s="164">
        <v>87.11</v>
      </c>
      <c r="Y35" s="452"/>
      <c r="Z35" s="166">
        <v>5.5384289101141464</v>
      </c>
      <c r="AA35" s="164">
        <v>6.8598040055998402</v>
      </c>
      <c r="AB35" s="164">
        <v>8.5</v>
      </c>
      <c r="AC35" s="164">
        <v>11.8</v>
      </c>
      <c r="AD35" s="164">
        <v>17.899999999999999</v>
      </c>
      <c r="AE35" s="164">
        <v>20.8</v>
      </c>
      <c r="AF35" s="164">
        <v>25.71</v>
      </c>
      <c r="AG35" s="452"/>
      <c r="AH35" s="166" t="s">
        <v>136</v>
      </c>
      <c r="AI35" s="165" t="s">
        <v>136</v>
      </c>
      <c r="AJ35" s="164" t="s">
        <v>136</v>
      </c>
      <c r="AK35" s="164">
        <v>42.8</v>
      </c>
      <c r="AL35" s="164">
        <v>68</v>
      </c>
      <c r="AM35" s="164">
        <v>75</v>
      </c>
      <c r="AN35" s="164">
        <v>79.77</v>
      </c>
      <c r="AO35" s="452"/>
      <c r="AP35" s="166" t="s">
        <v>136</v>
      </c>
      <c r="AQ35" s="164" t="s">
        <v>136</v>
      </c>
      <c r="AR35" s="164" t="s">
        <v>136</v>
      </c>
      <c r="AS35" s="164">
        <v>7</v>
      </c>
      <c r="AT35" s="164">
        <v>12.2</v>
      </c>
      <c r="AU35" s="164">
        <v>15.2</v>
      </c>
      <c r="AV35" s="164">
        <v>17.8</v>
      </c>
      <c r="AW35" s="164"/>
      <c r="AX35" s="167"/>
    </row>
    <row r="36" spans="1:50" ht="12.75" customHeight="1" x14ac:dyDescent="0.2">
      <c r="A36" s="246" t="s">
        <v>46</v>
      </c>
      <c r="B36" s="454">
        <v>36.996679393772638</v>
      </c>
      <c r="C36" s="454">
        <v>49.903572276287683</v>
      </c>
      <c r="D36" s="454">
        <v>55.8</v>
      </c>
      <c r="E36" s="454">
        <v>67.3</v>
      </c>
      <c r="F36" s="454">
        <v>80</v>
      </c>
      <c r="G36" s="454">
        <v>85.1</v>
      </c>
      <c r="H36" s="454">
        <v>87.73</v>
      </c>
      <c r="I36" s="454"/>
      <c r="J36" s="166">
        <v>6.1527328099263885</v>
      </c>
      <c r="K36" s="164">
        <v>7.770591027771184</v>
      </c>
      <c r="L36" s="164">
        <v>10.199999999999999</v>
      </c>
      <c r="M36" s="164">
        <v>14</v>
      </c>
      <c r="N36" s="164">
        <v>19.899999999999999</v>
      </c>
      <c r="O36" s="164">
        <v>22.3</v>
      </c>
      <c r="P36" s="164">
        <v>26.13</v>
      </c>
      <c r="Q36" s="454"/>
      <c r="R36" s="166">
        <v>37.258132802398364</v>
      </c>
      <c r="S36" s="165">
        <v>50.162222524031577</v>
      </c>
      <c r="T36" s="164">
        <v>56.1</v>
      </c>
      <c r="U36" s="164">
        <v>67.599999999999994</v>
      </c>
      <c r="V36" s="164">
        <v>80.900000000000006</v>
      </c>
      <c r="W36" s="164">
        <v>86.2</v>
      </c>
      <c r="X36" s="164">
        <v>89.86</v>
      </c>
      <c r="Y36" s="454"/>
      <c r="Z36" s="166">
        <v>6.2072095781889471</v>
      </c>
      <c r="AA36" s="164">
        <v>7.8591153968038396</v>
      </c>
      <c r="AB36" s="164">
        <v>10.199999999999999</v>
      </c>
      <c r="AC36" s="164">
        <v>14</v>
      </c>
      <c r="AD36" s="164">
        <v>20.2</v>
      </c>
      <c r="AE36" s="164">
        <v>22.7</v>
      </c>
      <c r="AF36" s="164">
        <v>27.1</v>
      </c>
      <c r="AG36" s="454"/>
      <c r="AH36" s="166" t="s">
        <v>136</v>
      </c>
      <c r="AI36" s="165" t="s">
        <v>136</v>
      </c>
      <c r="AJ36" s="164" t="s">
        <v>136</v>
      </c>
      <c r="AK36" s="164">
        <v>45.4</v>
      </c>
      <c r="AL36" s="164">
        <v>69.7</v>
      </c>
      <c r="AM36" s="164">
        <v>77</v>
      </c>
      <c r="AN36" s="164">
        <v>83.18</v>
      </c>
      <c r="AO36" s="454"/>
      <c r="AP36" s="166" t="s">
        <v>136</v>
      </c>
      <c r="AQ36" s="164" t="s">
        <v>136</v>
      </c>
      <c r="AR36" s="164" t="s">
        <v>136</v>
      </c>
      <c r="AS36" s="164">
        <v>8.6</v>
      </c>
      <c r="AT36" s="164">
        <v>13.9</v>
      </c>
      <c r="AU36" s="164">
        <v>15.9</v>
      </c>
      <c r="AV36" s="164">
        <v>19.77</v>
      </c>
      <c r="AW36" s="164"/>
      <c r="AX36" s="167"/>
    </row>
    <row r="37" spans="1:50" ht="12.75" customHeight="1" x14ac:dyDescent="0.2">
      <c r="A37" s="246" t="s">
        <v>48</v>
      </c>
      <c r="B37" s="454">
        <v>33.614877240969896</v>
      </c>
      <c r="C37" s="454">
        <v>44.971475976596047</v>
      </c>
      <c r="D37" s="454">
        <v>51.5</v>
      </c>
      <c r="E37" s="454">
        <v>63.5</v>
      </c>
      <c r="F37" s="454">
        <v>77.599999999999994</v>
      </c>
      <c r="G37" s="454">
        <v>83.8</v>
      </c>
      <c r="H37" s="454">
        <v>87.08</v>
      </c>
      <c r="I37" s="454"/>
      <c r="J37" s="166">
        <v>5.5846012515428241</v>
      </c>
      <c r="K37" s="164">
        <v>7.4140533349900783</v>
      </c>
      <c r="L37" s="164">
        <v>9.3000000000000007</v>
      </c>
      <c r="M37" s="164">
        <v>12.7</v>
      </c>
      <c r="N37" s="164">
        <v>19</v>
      </c>
      <c r="O37" s="164">
        <v>22.9</v>
      </c>
      <c r="P37" s="164">
        <v>27.73</v>
      </c>
      <c r="Q37" s="454"/>
      <c r="R37" s="166">
        <v>33.820676109132364</v>
      </c>
      <c r="S37" s="165">
        <v>45.362954535247532</v>
      </c>
      <c r="T37" s="164">
        <v>51.9</v>
      </c>
      <c r="U37" s="164">
        <v>63.9</v>
      </c>
      <c r="V37" s="164">
        <v>78.3</v>
      </c>
      <c r="W37" s="164">
        <v>85</v>
      </c>
      <c r="X37" s="164">
        <v>89.26</v>
      </c>
      <c r="Y37" s="454"/>
      <c r="Z37" s="166">
        <v>5.6396350002345139</v>
      </c>
      <c r="AA37" s="164">
        <v>7.5068489049237268</v>
      </c>
      <c r="AB37" s="164">
        <v>9.4</v>
      </c>
      <c r="AC37" s="164">
        <v>12.8</v>
      </c>
      <c r="AD37" s="164">
        <v>19.100000000000001</v>
      </c>
      <c r="AE37" s="164">
        <v>23.3</v>
      </c>
      <c r="AF37" s="164">
        <v>28.55</v>
      </c>
      <c r="AG37" s="454"/>
      <c r="AH37" s="166" t="s">
        <v>136</v>
      </c>
      <c r="AI37" s="165" t="s">
        <v>136</v>
      </c>
      <c r="AJ37" s="164" t="s">
        <v>136</v>
      </c>
      <c r="AK37" s="164">
        <v>48.6</v>
      </c>
      <c r="AL37" s="164">
        <v>72.599999999999994</v>
      </c>
      <c r="AM37" s="164">
        <v>81.2</v>
      </c>
      <c r="AN37" s="164">
        <v>83.95</v>
      </c>
      <c r="AO37" s="454"/>
      <c r="AP37" s="166" t="s">
        <v>136</v>
      </c>
      <c r="AQ37" s="164" t="s">
        <v>136</v>
      </c>
      <c r="AR37" s="164" t="s">
        <v>136</v>
      </c>
      <c r="AS37" s="164">
        <v>5.6</v>
      </c>
      <c r="AT37" s="164">
        <v>12.7</v>
      </c>
      <c r="AU37" s="164">
        <v>15.4</v>
      </c>
      <c r="AV37" s="164">
        <v>19.37</v>
      </c>
      <c r="AW37" s="164"/>
      <c r="AX37" s="167"/>
    </row>
    <row r="38" spans="1:50" ht="12.75" customHeight="1" x14ac:dyDescent="0.2">
      <c r="A38" s="245" t="s">
        <v>50</v>
      </c>
      <c r="B38" s="453">
        <v>32.913939501149834</v>
      </c>
      <c r="C38" s="453">
        <v>44.356390437987152</v>
      </c>
      <c r="D38" s="453">
        <v>52</v>
      </c>
      <c r="E38" s="453">
        <v>62.9</v>
      </c>
      <c r="F38" s="453">
        <v>77.900000000000006</v>
      </c>
      <c r="G38" s="453">
        <v>83</v>
      </c>
      <c r="H38" s="453">
        <v>87.86</v>
      </c>
      <c r="I38" s="453"/>
      <c r="J38" s="173">
        <v>5.1322306739784187</v>
      </c>
      <c r="K38" s="171">
        <v>7.3280500929458956</v>
      </c>
      <c r="L38" s="171">
        <v>8.6999999999999993</v>
      </c>
      <c r="M38" s="171">
        <v>11.8</v>
      </c>
      <c r="N38" s="171">
        <v>17.2</v>
      </c>
      <c r="O38" s="171">
        <v>18.8</v>
      </c>
      <c r="P38" s="171">
        <v>21.91</v>
      </c>
      <c r="Q38" s="453"/>
      <c r="R38" s="173">
        <v>33.203983670539678</v>
      </c>
      <c r="S38" s="172">
        <v>44.748707068028118</v>
      </c>
      <c r="T38" s="171">
        <v>52.4</v>
      </c>
      <c r="U38" s="171">
        <v>63.2</v>
      </c>
      <c r="V38" s="171">
        <v>78.8</v>
      </c>
      <c r="W38" s="171">
        <v>83.9</v>
      </c>
      <c r="X38" s="171">
        <v>88.77</v>
      </c>
      <c r="Y38" s="453"/>
      <c r="Z38" s="173">
        <v>5.1889402299881864</v>
      </c>
      <c r="AA38" s="171">
        <v>7.4061795517835831</v>
      </c>
      <c r="AB38" s="171">
        <v>8.8000000000000007</v>
      </c>
      <c r="AC38" s="171">
        <v>11.9</v>
      </c>
      <c r="AD38" s="171">
        <v>17.600000000000001</v>
      </c>
      <c r="AE38" s="171">
        <v>19.3</v>
      </c>
      <c r="AF38" s="171">
        <v>22.59</v>
      </c>
      <c r="AG38" s="453"/>
      <c r="AH38" s="173" t="s">
        <v>136</v>
      </c>
      <c r="AI38" s="172" t="s">
        <v>136</v>
      </c>
      <c r="AJ38" s="171" t="s">
        <v>136</v>
      </c>
      <c r="AK38" s="171">
        <v>43.5</v>
      </c>
      <c r="AL38" s="171">
        <v>75.400000000000006</v>
      </c>
      <c r="AM38" s="171">
        <v>81.2</v>
      </c>
      <c r="AN38" s="171">
        <v>86.66</v>
      </c>
      <c r="AO38" s="453"/>
      <c r="AP38" s="173" t="s">
        <v>136</v>
      </c>
      <c r="AQ38" s="171" t="s">
        <v>136</v>
      </c>
      <c r="AR38" s="171" t="s">
        <v>136</v>
      </c>
      <c r="AS38" s="171">
        <v>4.0999999999999996</v>
      </c>
      <c r="AT38" s="171">
        <v>9.8000000000000007</v>
      </c>
      <c r="AU38" s="171">
        <v>9.5</v>
      </c>
      <c r="AV38" s="171">
        <v>18.64</v>
      </c>
      <c r="AW38" s="171"/>
      <c r="AX38" s="167"/>
    </row>
    <row r="39" spans="1:50" ht="12.75" customHeight="1" x14ac:dyDescent="0.2">
      <c r="A39" s="241" t="s">
        <v>184</v>
      </c>
      <c r="B39" s="452">
        <v>24.955776040395676</v>
      </c>
      <c r="C39" s="452">
        <v>35.43010823967613</v>
      </c>
      <c r="D39" s="452">
        <v>41.714596542971719</v>
      </c>
      <c r="E39" s="452">
        <v>53.701022088441377</v>
      </c>
      <c r="F39" s="452">
        <v>68</v>
      </c>
      <c r="G39" s="452">
        <v>77.099999999999994</v>
      </c>
      <c r="H39" s="452">
        <v>83.467056256605105</v>
      </c>
      <c r="I39" s="452"/>
      <c r="J39" s="166">
        <v>4.2297763335059733</v>
      </c>
      <c r="K39" s="164">
        <v>5.6283617742915366</v>
      </c>
      <c r="L39" s="164">
        <v>6.8768128769494741</v>
      </c>
      <c r="M39" s="164">
        <v>9.6174841163492779</v>
      </c>
      <c r="N39" s="164">
        <v>14.729637717921809</v>
      </c>
      <c r="O39" s="164">
        <v>18.399999999999999</v>
      </c>
      <c r="P39" s="164">
        <v>22.910526509529198</v>
      </c>
      <c r="Q39" s="452"/>
      <c r="R39" s="166">
        <v>25.44162010665017</v>
      </c>
      <c r="S39" s="164">
        <v>36.237570308330255</v>
      </c>
      <c r="T39" s="164">
        <v>42.773748263919245</v>
      </c>
      <c r="U39" s="164">
        <v>54.990299464403755</v>
      </c>
      <c r="V39" s="164">
        <v>69.3</v>
      </c>
      <c r="W39" s="164">
        <v>78.607847900994614</v>
      </c>
      <c r="X39" s="164">
        <v>85.272768798360545</v>
      </c>
      <c r="Y39" s="452"/>
      <c r="Z39" s="166">
        <v>4.3237231176323077</v>
      </c>
      <c r="AA39" s="164">
        <v>5.791517838814304</v>
      </c>
      <c r="AB39" s="164">
        <v>7.1148002814190159</v>
      </c>
      <c r="AC39" s="164">
        <v>9.9709693666508574</v>
      </c>
      <c r="AD39" s="164">
        <v>15.2</v>
      </c>
      <c r="AE39" s="164">
        <v>23.91184828310044</v>
      </c>
      <c r="AF39" s="164">
        <v>23.686332730400512</v>
      </c>
      <c r="AG39" s="452"/>
      <c r="AH39" s="166">
        <v>12.598030430551239</v>
      </c>
      <c r="AI39" s="164">
        <v>20.159712408963152</v>
      </c>
      <c r="AJ39" s="164">
        <v>26.067791207039644</v>
      </c>
      <c r="AK39" s="164">
        <v>36.490209959882606</v>
      </c>
      <c r="AL39" s="164">
        <v>54.9</v>
      </c>
      <c r="AM39" s="164">
        <v>65.3</v>
      </c>
      <c r="AN39" s="164">
        <v>73.885239661997943</v>
      </c>
      <c r="AO39" s="452"/>
      <c r="AP39" s="166">
        <v>1.8401477290514896</v>
      </c>
      <c r="AQ39" s="164">
        <v>2.5428203177166639</v>
      </c>
      <c r="AR39" s="164">
        <v>3.3610346211134381</v>
      </c>
      <c r="AS39" s="164">
        <v>4.028120636123508</v>
      </c>
      <c r="AT39" s="164">
        <v>7.9</v>
      </c>
      <c r="AU39" s="164">
        <v>10.4</v>
      </c>
      <c r="AV39" s="164">
        <v>13.267898437163893</v>
      </c>
      <c r="AW39" s="164"/>
      <c r="AX39" s="167"/>
    </row>
    <row r="40" spans="1:50" ht="12.75" customHeight="1" x14ac:dyDescent="0.2">
      <c r="A40" s="241" t="s">
        <v>182</v>
      </c>
      <c r="B40" s="452"/>
      <c r="C40" s="452"/>
      <c r="D40" s="452"/>
      <c r="E40" s="452"/>
      <c r="F40" s="452"/>
      <c r="G40" s="452"/>
      <c r="H40" s="452"/>
      <c r="I40" s="452"/>
      <c r="J40" s="168"/>
      <c r="K40" s="167"/>
      <c r="L40" s="167"/>
      <c r="M40" s="167"/>
      <c r="N40" s="167"/>
      <c r="O40" s="167"/>
      <c r="P40" s="167"/>
      <c r="Q40" s="452"/>
      <c r="R40" s="168"/>
      <c r="Y40" s="452"/>
      <c r="Z40" s="168"/>
      <c r="AA40" s="167"/>
      <c r="AB40" s="167"/>
      <c r="AC40" s="167"/>
      <c r="AD40" s="167"/>
      <c r="AE40" s="167"/>
      <c r="AF40" s="167"/>
      <c r="AG40" s="452"/>
      <c r="AH40" s="168"/>
      <c r="AO40" s="452"/>
      <c r="AP40" s="168"/>
      <c r="AQ40" s="167"/>
      <c r="AR40" s="167"/>
      <c r="AS40" s="167"/>
      <c r="AT40" s="167"/>
      <c r="AU40" s="167"/>
      <c r="AV40" s="167"/>
      <c r="AW40" s="167"/>
      <c r="AX40" s="167"/>
    </row>
    <row r="41" spans="1:50" ht="12.75" customHeight="1" x14ac:dyDescent="0.2">
      <c r="A41" s="241" t="s">
        <v>24</v>
      </c>
      <c r="B41" s="452">
        <v>24.309785831533461</v>
      </c>
      <c r="C41" s="452">
        <v>35.075429338009876</v>
      </c>
      <c r="D41" s="452">
        <v>40.4</v>
      </c>
      <c r="E41" s="452">
        <v>52.6</v>
      </c>
      <c r="F41" s="452">
        <v>66.5</v>
      </c>
      <c r="G41" s="452">
        <v>76.2</v>
      </c>
      <c r="H41" s="452">
        <v>81.430000000000007</v>
      </c>
      <c r="I41" s="452"/>
      <c r="J41" s="166">
        <v>4.5248969980128058</v>
      </c>
      <c r="K41" s="164">
        <v>6.0721308847621387</v>
      </c>
      <c r="L41" s="164">
        <v>7.3</v>
      </c>
      <c r="M41" s="164">
        <v>10.3</v>
      </c>
      <c r="N41" s="164">
        <v>16.2</v>
      </c>
      <c r="O41" s="164">
        <v>21</v>
      </c>
      <c r="P41" s="164">
        <v>26.06</v>
      </c>
      <c r="Q41" s="452"/>
      <c r="R41" s="166">
        <v>24.847717646354578</v>
      </c>
      <c r="S41" s="165">
        <v>36.042232420210112</v>
      </c>
      <c r="T41" s="164">
        <v>41.7</v>
      </c>
      <c r="U41" s="164">
        <v>54.3</v>
      </c>
      <c r="V41" s="164">
        <v>68.7</v>
      </c>
      <c r="W41" s="164">
        <v>79.099999999999994</v>
      </c>
      <c r="X41" s="164">
        <v>84.96</v>
      </c>
      <c r="Y41" s="452"/>
      <c r="Z41" s="166">
        <v>4.654850873552058</v>
      </c>
      <c r="AA41" s="164">
        <v>6.3218042143990418</v>
      </c>
      <c r="AB41" s="164">
        <v>7.7</v>
      </c>
      <c r="AC41" s="164">
        <v>10.9</v>
      </c>
      <c r="AD41" s="164">
        <v>17</v>
      </c>
      <c r="AE41" s="164">
        <v>22.4</v>
      </c>
      <c r="AF41" s="164">
        <v>27.82</v>
      </c>
      <c r="AG41" s="452"/>
      <c r="AH41" s="166">
        <v>14.136655165668479</v>
      </c>
      <c r="AI41" s="165">
        <v>22.629196230011651</v>
      </c>
      <c r="AJ41" s="164">
        <v>27.417455119659333</v>
      </c>
      <c r="AK41" s="164">
        <v>38.200000000000003</v>
      </c>
      <c r="AL41" s="164">
        <v>54.6</v>
      </c>
      <c r="AM41" s="164">
        <v>65.2</v>
      </c>
      <c r="AN41" s="164">
        <v>73.02</v>
      </c>
      <c r="AO41" s="452"/>
      <c r="AP41" s="166">
        <v>2.0672662723863668</v>
      </c>
      <c r="AQ41" s="164">
        <v>2.8579370962617814</v>
      </c>
      <c r="AR41" s="164">
        <v>3.5408735140812131</v>
      </c>
      <c r="AS41" s="164">
        <v>4.0999999999999996</v>
      </c>
      <c r="AT41" s="164">
        <v>8.3000000000000007</v>
      </c>
      <c r="AU41" s="164">
        <v>11.4</v>
      </c>
      <c r="AV41" s="164">
        <v>14.69</v>
      </c>
      <c r="AW41" s="164"/>
      <c r="AX41" s="167"/>
    </row>
    <row r="42" spans="1:50" ht="12.75" customHeight="1" x14ac:dyDescent="0.2">
      <c r="A42" s="241" t="s">
        <v>25</v>
      </c>
      <c r="B42" s="452">
        <v>24.774765910445261</v>
      </c>
      <c r="C42" s="452">
        <v>35.949433940308062</v>
      </c>
      <c r="D42" s="452">
        <v>41.8</v>
      </c>
      <c r="E42" s="452">
        <v>52.9</v>
      </c>
      <c r="F42" s="452">
        <v>66.400000000000006</v>
      </c>
      <c r="G42" s="452">
        <v>75.599999999999994</v>
      </c>
      <c r="H42" s="452">
        <v>82.13</v>
      </c>
      <c r="I42" s="452"/>
      <c r="J42" s="166">
        <v>3.8547259675037227</v>
      </c>
      <c r="K42" s="164">
        <v>5.3363350124535369</v>
      </c>
      <c r="L42" s="164">
        <v>6.3</v>
      </c>
      <c r="M42" s="164">
        <v>8.3000000000000007</v>
      </c>
      <c r="N42" s="164">
        <v>12.5</v>
      </c>
      <c r="O42" s="164">
        <v>15.6</v>
      </c>
      <c r="P42" s="164">
        <v>19.41</v>
      </c>
      <c r="Q42" s="452"/>
      <c r="R42" s="166">
        <v>25.256898535942756</v>
      </c>
      <c r="S42" s="165">
        <v>36.732618170254952</v>
      </c>
      <c r="T42" s="164">
        <v>42.7</v>
      </c>
      <c r="U42" s="164">
        <v>54</v>
      </c>
      <c r="V42" s="164">
        <v>67.3</v>
      </c>
      <c r="W42" s="164">
        <v>76.5</v>
      </c>
      <c r="X42" s="164">
        <v>83.17</v>
      </c>
      <c r="Y42" s="452"/>
      <c r="Z42" s="166">
        <v>3.9289532739444724</v>
      </c>
      <c r="AA42" s="164">
        <v>5.4649651147565512</v>
      </c>
      <c r="AB42" s="164">
        <v>6.5</v>
      </c>
      <c r="AC42" s="164">
        <v>8.6</v>
      </c>
      <c r="AD42" s="164">
        <v>12.8</v>
      </c>
      <c r="AE42" s="164">
        <v>15.8</v>
      </c>
      <c r="AF42" s="164">
        <v>19.809999999999999</v>
      </c>
      <c r="AG42" s="452"/>
      <c r="AH42" s="166">
        <v>11.972917738325293</v>
      </c>
      <c r="AI42" s="165">
        <v>18.479111250195587</v>
      </c>
      <c r="AJ42" s="164">
        <v>25.052957590100949</v>
      </c>
      <c r="AK42" s="164">
        <v>35.6</v>
      </c>
      <c r="AL42" s="164">
        <v>54.3</v>
      </c>
      <c r="AM42" s="164">
        <v>65.400000000000006</v>
      </c>
      <c r="AN42" s="164">
        <v>74.94</v>
      </c>
      <c r="AO42" s="452"/>
      <c r="AP42" s="166">
        <v>1.8838020826092396</v>
      </c>
      <c r="AQ42" s="164">
        <v>2.4670109007458403</v>
      </c>
      <c r="AR42" s="164">
        <v>3.0635052811500199</v>
      </c>
      <c r="AS42" s="164">
        <v>3.9</v>
      </c>
      <c r="AT42" s="164">
        <v>7</v>
      </c>
      <c r="AU42" s="164">
        <v>9.3000000000000007</v>
      </c>
      <c r="AV42" s="164">
        <v>12.09</v>
      </c>
      <c r="AW42" s="164"/>
      <c r="AX42" s="167"/>
    </row>
    <row r="43" spans="1:50" ht="12.75" customHeight="1" x14ac:dyDescent="0.2">
      <c r="A43" s="241" t="s">
        <v>26</v>
      </c>
      <c r="B43" s="452">
        <v>28.93743467779662</v>
      </c>
      <c r="C43" s="452">
        <v>38.94870424792947</v>
      </c>
      <c r="D43" s="452">
        <v>46.3</v>
      </c>
      <c r="E43" s="452">
        <v>59</v>
      </c>
      <c r="F43" s="452">
        <v>71.5</v>
      </c>
      <c r="G43" s="452">
        <v>80.099999999999994</v>
      </c>
      <c r="H43" s="452">
        <v>86.1</v>
      </c>
      <c r="I43" s="452"/>
      <c r="J43" s="166">
        <v>4.2043213070434646</v>
      </c>
      <c r="K43" s="164">
        <v>5.3342906759283997</v>
      </c>
      <c r="L43" s="164">
        <v>6.4</v>
      </c>
      <c r="M43" s="164">
        <v>9.1</v>
      </c>
      <c r="N43" s="164">
        <v>13.9</v>
      </c>
      <c r="O43" s="164">
        <v>16.899999999999999</v>
      </c>
      <c r="P43" s="164">
        <v>21.21</v>
      </c>
      <c r="Q43" s="452"/>
      <c r="R43" s="166">
        <v>29.030013465579525</v>
      </c>
      <c r="S43" s="165">
        <v>38.62021706488769</v>
      </c>
      <c r="T43" s="164">
        <v>46.5</v>
      </c>
      <c r="U43" s="164">
        <v>59.1</v>
      </c>
      <c r="V43" s="164">
        <v>71.7</v>
      </c>
      <c r="W43" s="164">
        <v>80.3</v>
      </c>
      <c r="X43" s="164">
        <v>86.88</v>
      </c>
      <c r="Y43" s="452"/>
      <c r="Z43" s="166">
        <v>4.2219205204748267</v>
      </c>
      <c r="AA43" s="164">
        <v>5.1898058105670488</v>
      </c>
      <c r="AB43" s="164">
        <v>6.4</v>
      </c>
      <c r="AC43" s="164">
        <v>9.1</v>
      </c>
      <c r="AD43" s="164">
        <v>13.9</v>
      </c>
      <c r="AE43" s="164">
        <v>16.7</v>
      </c>
      <c r="AF43" s="164">
        <v>21.26</v>
      </c>
      <c r="AG43" s="452"/>
      <c r="AH43" s="166">
        <v>15.600639616230261</v>
      </c>
      <c r="AI43" s="165">
        <v>22.055030094582975</v>
      </c>
      <c r="AJ43" s="164">
        <v>30.40318156884257</v>
      </c>
      <c r="AK43" s="164">
        <v>39.700000000000003</v>
      </c>
      <c r="AL43" s="164">
        <v>60.6</v>
      </c>
      <c r="AM43" s="164">
        <v>70.099999999999994</v>
      </c>
      <c r="AN43" s="164">
        <v>77.260000000000005</v>
      </c>
      <c r="AO43" s="452"/>
      <c r="AP43" s="166">
        <v>1.6689986008394961</v>
      </c>
      <c r="AQ43" s="164">
        <v>2.7944969905417025</v>
      </c>
      <c r="AR43" s="164">
        <v>5.4237520570488211</v>
      </c>
      <c r="AS43" s="164">
        <v>4.3</v>
      </c>
      <c r="AT43" s="164">
        <v>12.1</v>
      </c>
      <c r="AU43" s="164">
        <v>12.8</v>
      </c>
      <c r="AV43" s="164">
        <v>14.7</v>
      </c>
      <c r="AW43" s="164"/>
      <c r="AX43" s="167"/>
    </row>
    <row r="44" spans="1:50" ht="12.75" customHeight="1" x14ac:dyDescent="0.2">
      <c r="A44" s="241" t="s">
        <v>27</v>
      </c>
      <c r="B44" s="452">
        <v>28.519407886495518</v>
      </c>
      <c r="C44" s="452">
        <v>40.272883679421476</v>
      </c>
      <c r="D44" s="452">
        <v>48.2</v>
      </c>
      <c r="E44" s="452">
        <v>59.9</v>
      </c>
      <c r="F44" s="452">
        <v>73.3</v>
      </c>
      <c r="G44" s="452">
        <v>81.3</v>
      </c>
      <c r="H44" s="452">
        <v>86.02</v>
      </c>
      <c r="I44" s="452"/>
      <c r="J44" s="166">
        <v>4.6182502163284109</v>
      </c>
      <c r="K44" s="164">
        <v>6.1270022356956879</v>
      </c>
      <c r="L44" s="164">
        <v>8.1999999999999993</v>
      </c>
      <c r="M44" s="164">
        <v>11.4</v>
      </c>
      <c r="N44" s="164">
        <v>17</v>
      </c>
      <c r="O44" s="164">
        <v>21.1</v>
      </c>
      <c r="P44" s="164">
        <v>25.8</v>
      </c>
      <c r="Q44" s="452"/>
      <c r="R44" s="166">
        <v>29.015797840531061</v>
      </c>
      <c r="S44" s="165">
        <v>40.946550280999645</v>
      </c>
      <c r="T44" s="164">
        <v>48.9</v>
      </c>
      <c r="U44" s="164">
        <v>60.7</v>
      </c>
      <c r="V44" s="164">
        <v>74.2</v>
      </c>
      <c r="W44" s="164">
        <v>82.4</v>
      </c>
      <c r="X44" s="164">
        <v>87.85</v>
      </c>
      <c r="Y44" s="452"/>
      <c r="Z44" s="166">
        <v>4.7083995708709097</v>
      </c>
      <c r="AA44" s="164">
        <v>6.2723902905655864</v>
      </c>
      <c r="AB44" s="164">
        <v>8.3000000000000007</v>
      </c>
      <c r="AC44" s="164">
        <v>11.6</v>
      </c>
      <c r="AD44" s="164">
        <v>17.399999999999999</v>
      </c>
      <c r="AE44" s="164">
        <v>21.7</v>
      </c>
      <c r="AF44" s="164">
        <v>26.89</v>
      </c>
      <c r="AG44" s="452"/>
      <c r="AH44" s="166">
        <v>15.965343399285587</v>
      </c>
      <c r="AI44" s="165">
        <v>23.317683881064163</v>
      </c>
      <c r="AJ44" s="164">
        <v>31.407913396049292</v>
      </c>
      <c r="AK44" s="164">
        <v>39.9</v>
      </c>
      <c r="AL44" s="164">
        <v>60.9</v>
      </c>
      <c r="AM44" s="164">
        <v>71</v>
      </c>
      <c r="AN44" s="164">
        <v>79.72</v>
      </c>
      <c r="AO44" s="452"/>
      <c r="AP44" s="166">
        <v>2.3383071973247538</v>
      </c>
      <c r="AQ44" s="164">
        <v>2.4677982424461296</v>
      </c>
      <c r="AR44" s="164">
        <v>4.116483911558511</v>
      </c>
      <c r="AS44" s="164">
        <v>4.7</v>
      </c>
      <c r="AT44" s="164">
        <v>9.3000000000000007</v>
      </c>
      <c r="AU44" s="164">
        <v>11.6</v>
      </c>
      <c r="AV44" s="164">
        <v>14.85</v>
      </c>
      <c r="AW44" s="164"/>
      <c r="AX44" s="167"/>
    </row>
    <row r="45" spans="1:50" ht="12.75" customHeight="1" x14ac:dyDescent="0.2">
      <c r="A45" s="241" t="s">
        <v>30</v>
      </c>
      <c r="B45" s="452">
        <v>24.727464982350849</v>
      </c>
      <c r="C45" s="452">
        <v>34.911952704580479</v>
      </c>
      <c r="D45" s="452">
        <v>40.9</v>
      </c>
      <c r="E45" s="452">
        <v>52.8</v>
      </c>
      <c r="F45" s="452">
        <v>68</v>
      </c>
      <c r="G45" s="452">
        <v>76.8</v>
      </c>
      <c r="H45" s="452">
        <v>83.41</v>
      </c>
      <c r="I45" s="452"/>
      <c r="J45" s="166">
        <v>4.0736901614472103</v>
      </c>
      <c r="K45" s="164">
        <v>5.4247408268276871</v>
      </c>
      <c r="L45" s="164">
        <v>6.8</v>
      </c>
      <c r="M45" s="164">
        <v>9.4</v>
      </c>
      <c r="N45" s="164">
        <v>14.3</v>
      </c>
      <c r="O45" s="164">
        <v>17.399999999999999</v>
      </c>
      <c r="P45" s="164">
        <v>21.76</v>
      </c>
      <c r="Q45" s="452"/>
      <c r="R45" s="166">
        <v>25.2740014605921</v>
      </c>
      <c r="S45" s="165">
        <v>36.066103132233422</v>
      </c>
      <c r="T45" s="164">
        <v>42.4</v>
      </c>
      <c r="U45" s="164">
        <v>54.6</v>
      </c>
      <c r="V45" s="164">
        <v>69.8</v>
      </c>
      <c r="W45" s="164">
        <v>78.599999999999994</v>
      </c>
      <c r="X45" s="164">
        <v>85.3</v>
      </c>
      <c r="Y45" s="452"/>
      <c r="Z45" s="166">
        <v>4.1862465591820683</v>
      </c>
      <c r="AA45" s="164">
        <v>5.6616499829491103</v>
      </c>
      <c r="AB45" s="164">
        <v>7.2</v>
      </c>
      <c r="AC45" s="164">
        <v>10</v>
      </c>
      <c r="AD45" s="164">
        <v>14.9</v>
      </c>
      <c r="AE45" s="164">
        <v>18.100000000000001</v>
      </c>
      <c r="AF45" s="164">
        <v>22.63</v>
      </c>
      <c r="AG45" s="452"/>
      <c r="AH45" s="166">
        <v>12.480709268999401</v>
      </c>
      <c r="AI45" s="165">
        <v>19.53313495254946</v>
      </c>
      <c r="AJ45" s="164">
        <v>25.225411876131769</v>
      </c>
      <c r="AK45" s="164">
        <v>35.9</v>
      </c>
      <c r="AL45" s="164">
        <v>55.2</v>
      </c>
      <c r="AM45" s="164">
        <v>64.900000000000006</v>
      </c>
      <c r="AN45" s="164">
        <v>74.13</v>
      </c>
      <c r="AO45" s="452"/>
      <c r="AP45" s="166">
        <v>1.5511322478032188</v>
      </c>
      <c r="AQ45" s="164">
        <v>2.2679749075116615</v>
      </c>
      <c r="AR45" s="164">
        <v>2.8725719959209259</v>
      </c>
      <c r="AS45" s="164">
        <v>3.8</v>
      </c>
      <c r="AT45" s="164">
        <v>7.6</v>
      </c>
      <c r="AU45" s="164">
        <v>10.1</v>
      </c>
      <c r="AV45" s="164">
        <v>12.76</v>
      </c>
      <c r="AW45" s="164"/>
      <c r="AX45" s="167"/>
    </row>
    <row r="46" spans="1:50" ht="12.75" customHeight="1" x14ac:dyDescent="0.2">
      <c r="A46" s="241" t="s">
        <v>31</v>
      </c>
      <c r="B46" s="452">
        <v>25.05778552737495</v>
      </c>
      <c r="C46" s="452">
        <v>35.611299058808143</v>
      </c>
      <c r="D46" s="452">
        <v>43.9</v>
      </c>
      <c r="E46" s="452">
        <v>57.6</v>
      </c>
      <c r="F46" s="452">
        <v>73.099999999999994</v>
      </c>
      <c r="G46" s="452">
        <v>82.4</v>
      </c>
      <c r="H46" s="452">
        <v>87.95</v>
      </c>
      <c r="I46" s="452"/>
      <c r="J46" s="166">
        <v>4.2325375416674031</v>
      </c>
      <c r="K46" s="164">
        <v>5.7764684198322147</v>
      </c>
      <c r="L46" s="164">
        <v>7.5</v>
      </c>
      <c r="M46" s="164">
        <v>11.1</v>
      </c>
      <c r="N46" s="164">
        <v>17.399999999999999</v>
      </c>
      <c r="O46" s="164">
        <v>21.8</v>
      </c>
      <c r="P46" s="164">
        <v>27.43</v>
      </c>
      <c r="Q46" s="452"/>
      <c r="R46" s="166">
        <v>25.129934309840174</v>
      </c>
      <c r="S46" s="165">
        <v>35.547587576332113</v>
      </c>
      <c r="T46" s="164">
        <v>44</v>
      </c>
      <c r="U46" s="164">
        <v>57.7</v>
      </c>
      <c r="V46" s="164">
        <v>73.2</v>
      </c>
      <c r="W46" s="164">
        <v>82.8</v>
      </c>
      <c r="X46" s="164">
        <v>89.2</v>
      </c>
      <c r="Y46" s="452"/>
      <c r="Z46" s="166">
        <v>4.2479636686063325</v>
      </c>
      <c r="AA46" s="164">
        <v>5.7818023050652823</v>
      </c>
      <c r="AB46" s="164">
        <v>7.5</v>
      </c>
      <c r="AC46" s="164">
        <v>11.1</v>
      </c>
      <c r="AD46" s="164">
        <v>17.3</v>
      </c>
      <c r="AE46" s="164">
        <v>21.9</v>
      </c>
      <c r="AF46" s="164">
        <v>27.91</v>
      </c>
      <c r="AG46" s="452"/>
      <c r="AH46" s="166" t="s">
        <v>136</v>
      </c>
      <c r="AI46" s="165" t="s">
        <v>136</v>
      </c>
      <c r="AJ46" s="164" t="s">
        <v>136</v>
      </c>
      <c r="AK46" s="164">
        <v>51.1</v>
      </c>
      <c r="AL46" s="164">
        <v>70.599999999999994</v>
      </c>
      <c r="AM46" s="164">
        <v>76.2</v>
      </c>
      <c r="AN46" s="164">
        <v>79</v>
      </c>
      <c r="AO46" s="452"/>
      <c r="AP46" s="166" t="s">
        <v>136</v>
      </c>
      <c r="AQ46" s="164" t="s">
        <v>136</v>
      </c>
      <c r="AR46" s="164" t="s">
        <v>136</v>
      </c>
      <c r="AS46" s="164">
        <v>9</v>
      </c>
      <c r="AT46" s="164">
        <v>16.899999999999999</v>
      </c>
      <c r="AU46" s="164">
        <v>17.5</v>
      </c>
      <c r="AV46" s="164">
        <v>18.7</v>
      </c>
      <c r="AW46" s="164"/>
      <c r="AX46" s="167"/>
    </row>
    <row r="47" spans="1:50" ht="12.75" customHeight="1" x14ac:dyDescent="0.2">
      <c r="A47" s="241" t="s">
        <v>32</v>
      </c>
      <c r="B47" s="452">
        <v>22.243190786882195</v>
      </c>
      <c r="C47" s="452">
        <v>30.817505802112443</v>
      </c>
      <c r="D47" s="452">
        <v>36.6</v>
      </c>
      <c r="E47" s="452">
        <v>48.8</v>
      </c>
      <c r="F47" s="452">
        <v>63.5</v>
      </c>
      <c r="G47" s="452">
        <v>73.900000000000006</v>
      </c>
      <c r="H47" s="452">
        <v>81.319999999999993</v>
      </c>
      <c r="I47" s="452"/>
      <c r="J47" s="166">
        <v>3.9471234073639052</v>
      </c>
      <c r="K47" s="164">
        <v>5.1400903364148753</v>
      </c>
      <c r="L47" s="164">
        <v>6.2</v>
      </c>
      <c r="M47" s="164">
        <v>9</v>
      </c>
      <c r="N47" s="164">
        <v>13.9</v>
      </c>
      <c r="O47" s="164">
        <v>17.8</v>
      </c>
      <c r="P47" s="164">
        <v>21.58</v>
      </c>
      <c r="Q47" s="452"/>
      <c r="R47" s="166">
        <v>23.03184033044602</v>
      </c>
      <c r="S47" s="165">
        <v>31.872348027013299</v>
      </c>
      <c r="T47" s="164">
        <v>37.700000000000003</v>
      </c>
      <c r="U47" s="164">
        <v>50.2</v>
      </c>
      <c r="V47" s="164">
        <v>64.599999999999994</v>
      </c>
      <c r="W47" s="164">
        <v>74.900000000000006</v>
      </c>
      <c r="X47" s="164">
        <v>82.38</v>
      </c>
      <c r="Y47" s="452"/>
      <c r="Z47" s="166">
        <v>4.0897776891406519</v>
      </c>
      <c r="AA47" s="164">
        <v>5.3335251144306772</v>
      </c>
      <c r="AB47" s="164">
        <v>6.5</v>
      </c>
      <c r="AC47" s="164">
        <v>9.4</v>
      </c>
      <c r="AD47" s="164">
        <v>14.4</v>
      </c>
      <c r="AE47" s="164">
        <v>18.3</v>
      </c>
      <c r="AF47" s="164">
        <v>22.31</v>
      </c>
      <c r="AG47" s="452"/>
      <c r="AH47" s="166">
        <v>11.137290378331668</v>
      </c>
      <c r="AI47" s="165">
        <v>17.220012560184216</v>
      </c>
      <c r="AJ47" s="164">
        <v>24.113879843779205</v>
      </c>
      <c r="AK47" s="164">
        <v>33.299999999999997</v>
      </c>
      <c r="AL47" s="164">
        <v>52.7</v>
      </c>
      <c r="AM47" s="164">
        <v>65.099999999999994</v>
      </c>
      <c r="AN47" s="164">
        <v>73.89</v>
      </c>
      <c r="AO47" s="452"/>
      <c r="AP47" s="166">
        <v>1.9382409332721233</v>
      </c>
      <c r="AQ47" s="164">
        <v>2.6466102455216962</v>
      </c>
      <c r="AR47" s="164">
        <v>3.4018356927133038</v>
      </c>
      <c r="AS47" s="164">
        <v>4.2</v>
      </c>
      <c r="AT47" s="164">
        <v>7.9</v>
      </c>
      <c r="AU47" s="164">
        <v>11.2</v>
      </c>
      <c r="AV47" s="164">
        <v>13.19</v>
      </c>
      <c r="AW47" s="164"/>
      <c r="AX47" s="167"/>
    </row>
    <row r="48" spans="1:50" ht="12.75" customHeight="1" x14ac:dyDescent="0.2">
      <c r="A48" s="241" t="s">
        <v>34</v>
      </c>
      <c r="B48" s="452">
        <v>28.876200836214714</v>
      </c>
      <c r="C48" s="452">
        <v>39.43525545104746</v>
      </c>
      <c r="D48" s="452">
        <v>47.7</v>
      </c>
      <c r="E48" s="452">
        <v>59.3</v>
      </c>
      <c r="F48" s="452">
        <v>73.400000000000006</v>
      </c>
      <c r="G48" s="452">
        <v>81.8</v>
      </c>
      <c r="H48" s="452">
        <v>86.58</v>
      </c>
      <c r="I48" s="452"/>
      <c r="J48" s="166">
        <v>4.2907915906968768</v>
      </c>
      <c r="K48" s="164">
        <v>5.244629115006413</v>
      </c>
      <c r="L48" s="164">
        <v>6.8</v>
      </c>
      <c r="M48" s="164">
        <v>9.6</v>
      </c>
      <c r="N48" s="164">
        <v>15.5</v>
      </c>
      <c r="O48" s="164">
        <v>18.899999999999999</v>
      </c>
      <c r="P48" s="164">
        <v>23.7</v>
      </c>
      <c r="Q48" s="452"/>
      <c r="R48" s="166">
        <v>29.060725444912379</v>
      </c>
      <c r="S48" s="165">
        <v>39.80524050564383</v>
      </c>
      <c r="T48" s="164">
        <v>48.1</v>
      </c>
      <c r="U48" s="164">
        <v>59.7</v>
      </c>
      <c r="V48" s="164">
        <v>73.900000000000006</v>
      </c>
      <c r="W48" s="164">
        <v>82.4</v>
      </c>
      <c r="X48" s="164">
        <v>88.19</v>
      </c>
      <c r="Y48" s="452"/>
      <c r="Z48" s="166">
        <v>4.3260426572476565</v>
      </c>
      <c r="AA48" s="164">
        <v>5.2953198170154021</v>
      </c>
      <c r="AB48" s="164">
        <v>6.8</v>
      </c>
      <c r="AC48" s="164">
        <v>9.8000000000000007</v>
      </c>
      <c r="AD48" s="164">
        <v>15.7</v>
      </c>
      <c r="AE48" s="164">
        <v>19.2</v>
      </c>
      <c r="AF48" s="164">
        <v>24.39</v>
      </c>
      <c r="AG48" s="452"/>
      <c r="AH48" s="166">
        <v>15.76406989091611</v>
      </c>
      <c r="AI48" s="165">
        <v>24.425969912905778</v>
      </c>
      <c r="AJ48" s="164">
        <v>30.864407741642548</v>
      </c>
      <c r="AK48" s="164">
        <v>42.7</v>
      </c>
      <c r="AL48" s="164">
        <v>61</v>
      </c>
      <c r="AM48" s="164">
        <v>73.2</v>
      </c>
      <c r="AN48" s="164">
        <v>78.599999999999994</v>
      </c>
      <c r="AO48" s="452"/>
      <c r="AP48" s="166">
        <v>1.7858866685973549</v>
      </c>
      <c r="AQ48" s="164">
        <v>2.4544734758511479</v>
      </c>
      <c r="AR48" s="164">
        <v>3.9502809467052611</v>
      </c>
      <c r="AS48" s="164">
        <v>4.5</v>
      </c>
      <c r="AT48" s="164">
        <v>9.3000000000000007</v>
      </c>
      <c r="AU48" s="164">
        <v>12.4</v>
      </c>
      <c r="AV48" s="164">
        <v>14.11</v>
      </c>
      <c r="AW48" s="164"/>
      <c r="AX48" s="167"/>
    </row>
    <row r="49" spans="1:50" ht="12.75" customHeight="1" x14ac:dyDescent="0.2">
      <c r="A49" s="241" t="s">
        <v>40</v>
      </c>
      <c r="B49" s="452">
        <v>22.532262292048909</v>
      </c>
      <c r="C49" s="452">
        <v>30.692542452461069</v>
      </c>
      <c r="D49" s="452">
        <v>38.9</v>
      </c>
      <c r="E49" s="452">
        <v>50.3</v>
      </c>
      <c r="F49" s="452">
        <v>66.400000000000006</v>
      </c>
      <c r="G49" s="452">
        <v>76.7</v>
      </c>
      <c r="H49" s="452">
        <v>83.86</v>
      </c>
      <c r="I49" s="452"/>
      <c r="J49" s="166">
        <v>3.5887078123313647</v>
      </c>
      <c r="K49" s="164">
        <v>4.5606072462634009</v>
      </c>
      <c r="L49" s="164">
        <v>5.6</v>
      </c>
      <c r="M49" s="164">
        <v>8.4</v>
      </c>
      <c r="N49" s="164">
        <v>14.8</v>
      </c>
      <c r="O49" s="164">
        <v>18.100000000000001</v>
      </c>
      <c r="P49" s="164">
        <v>21.99</v>
      </c>
      <c r="Q49" s="452"/>
      <c r="R49" s="166">
        <v>22.737701694089882</v>
      </c>
      <c r="S49" s="165">
        <v>31.147463177712037</v>
      </c>
      <c r="T49" s="164">
        <v>39.1</v>
      </c>
      <c r="U49" s="164">
        <v>50.6</v>
      </c>
      <c r="V49" s="164">
        <v>66.7</v>
      </c>
      <c r="W49" s="164">
        <v>76.900000000000006</v>
      </c>
      <c r="X49" s="164">
        <v>84.2</v>
      </c>
      <c r="Y49" s="452"/>
      <c r="Z49" s="166">
        <v>3.628854780255284</v>
      </c>
      <c r="AA49" s="164">
        <v>4.6322517363033739</v>
      </c>
      <c r="AB49" s="164">
        <v>5.6</v>
      </c>
      <c r="AC49" s="164">
        <v>8.5</v>
      </c>
      <c r="AD49" s="164">
        <v>14.9</v>
      </c>
      <c r="AE49" s="164">
        <v>18.3</v>
      </c>
      <c r="AF49" s="164">
        <v>22.36</v>
      </c>
      <c r="AG49" s="452"/>
      <c r="AH49" s="166" t="s">
        <v>136</v>
      </c>
      <c r="AI49" s="165" t="s">
        <v>136</v>
      </c>
      <c r="AJ49" s="164" t="s">
        <v>136</v>
      </c>
      <c r="AK49" s="164">
        <v>74.8</v>
      </c>
      <c r="AL49" s="164">
        <v>92.9</v>
      </c>
      <c r="AM49" s="164">
        <v>95.9</v>
      </c>
      <c r="AN49" s="164">
        <v>92.57</v>
      </c>
      <c r="AO49" s="452"/>
      <c r="AP49" s="166" t="s">
        <v>136</v>
      </c>
      <c r="AQ49" s="164" t="s">
        <v>136</v>
      </c>
      <c r="AR49" s="164" t="s">
        <v>136</v>
      </c>
      <c r="AS49" s="164">
        <v>9.9</v>
      </c>
      <c r="AT49" s="164">
        <v>23.3</v>
      </c>
      <c r="AU49" s="164">
        <v>17.100000000000001</v>
      </c>
      <c r="AV49" s="164">
        <v>20.52</v>
      </c>
      <c r="AW49" s="164"/>
      <c r="AX49" s="167"/>
    </row>
    <row r="50" spans="1:50" ht="12.75" customHeight="1" x14ac:dyDescent="0.2">
      <c r="A50" s="246" t="s">
        <v>41</v>
      </c>
      <c r="B50" s="454">
        <v>25.699720784287443</v>
      </c>
      <c r="C50" s="454">
        <v>36.459379812003419</v>
      </c>
      <c r="D50" s="454">
        <v>41.9</v>
      </c>
      <c r="E50" s="454">
        <v>53.2</v>
      </c>
      <c r="F50" s="454">
        <v>67</v>
      </c>
      <c r="G50" s="454">
        <v>75.7</v>
      </c>
      <c r="H50" s="454">
        <v>82.97</v>
      </c>
      <c r="I50" s="454"/>
      <c r="J50" s="166">
        <v>4.4559210952607735</v>
      </c>
      <c r="K50" s="164">
        <v>5.8402816819337904</v>
      </c>
      <c r="L50" s="164">
        <v>7</v>
      </c>
      <c r="M50" s="164">
        <v>9.3000000000000007</v>
      </c>
      <c r="N50" s="164">
        <v>13.7</v>
      </c>
      <c r="O50" s="164">
        <v>17</v>
      </c>
      <c r="P50" s="164">
        <v>21.1</v>
      </c>
      <c r="Q50" s="454"/>
      <c r="R50" s="166">
        <v>26.423260453692144</v>
      </c>
      <c r="S50" s="165">
        <v>37.58286101881977</v>
      </c>
      <c r="T50" s="164">
        <v>43.3</v>
      </c>
      <c r="U50" s="164">
        <v>54.8</v>
      </c>
      <c r="V50" s="164">
        <v>68.2</v>
      </c>
      <c r="W50" s="164">
        <v>76.900000000000006</v>
      </c>
      <c r="X50" s="164">
        <v>84.2</v>
      </c>
      <c r="Y50" s="454"/>
      <c r="Z50" s="166">
        <v>4.5966238850771539</v>
      </c>
      <c r="AA50" s="164">
        <v>6.0686570939149034</v>
      </c>
      <c r="AB50" s="164">
        <v>7.3</v>
      </c>
      <c r="AC50" s="164">
        <v>9.6999999999999993</v>
      </c>
      <c r="AD50" s="164">
        <v>14.1</v>
      </c>
      <c r="AE50" s="164">
        <v>17.600000000000001</v>
      </c>
      <c r="AF50" s="164">
        <v>21.78</v>
      </c>
      <c r="AG50" s="454"/>
      <c r="AH50" s="166">
        <v>11.468973734863685</v>
      </c>
      <c r="AI50" s="165">
        <v>19.281407653500676</v>
      </c>
      <c r="AJ50" s="164">
        <v>25.184665033899094</v>
      </c>
      <c r="AK50" s="164">
        <v>35.6</v>
      </c>
      <c r="AL50" s="164">
        <v>54.7</v>
      </c>
      <c r="AM50" s="164">
        <v>64.599999999999994</v>
      </c>
      <c r="AN50" s="164">
        <v>73.89</v>
      </c>
      <c r="AO50" s="454"/>
      <c r="AP50" s="166">
        <v>1.688545793402654</v>
      </c>
      <c r="AQ50" s="164">
        <v>2.3484329132169663</v>
      </c>
      <c r="AR50" s="164">
        <v>3.1875668256209124</v>
      </c>
      <c r="AS50" s="164">
        <v>3.9</v>
      </c>
      <c r="AT50" s="164">
        <v>7</v>
      </c>
      <c r="AU50" s="164">
        <v>9.1</v>
      </c>
      <c r="AV50" s="164">
        <v>11.92</v>
      </c>
      <c r="AW50" s="164"/>
      <c r="AX50" s="167"/>
    </row>
    <row r="51" spans="1:50" ht="12.75" customHeight="1" x14ac:dyDescent="0.2">
      <c r="A51" s="246" t="s">
        <v>45</v>
      </c>
      <c r="B51" s="454">
        <v>25.068913202980443</v>
      </c>
      <c r="C51" s="454">
        <v>34.500157228209602</v>
      </c>
      <c r="D51" s="454">
        <v>42.2</v>
      </c>
      <c r="E51" s="454">
        <v>53.3</v>
      </c>
      <c r="F51" s="454">
        <v>67.900000000000006</v>
      </c>
      <c r="G51" s="454">
        <v>77.099999999999994</v>
      </c>
      <c r="H51" s="454">
        <v>84.57</v>
      </c>
      <c r="I51" s="454"/>
      <c r="J51" s="166">
        <v>3.8059380818890549</v>
      </c>
      <c r="K51" s="164">
        <v>5.0184385809439407</v>
      </c>
      <c r="L51" s="164">
        <v>5.7</v>
      </c>
      <c r="M51" s="164">
        <v>8.6</v>
      </c>
      <c r="N51" s="164">
        <v>14</v>
      </c>
      <c r="O51" s="164">
        <v>17.2</v>
      </c>
      <c r="P51" s="164">
        <v>21.51</v>
      </c>
      <c r="Q51" s="454"/>
      <c r="R51" s="166">
        <v>25.553937877137994</v>
      </c>
      <c r="S51" s="165">
        <v>35.143381004767143</v>
      </c>
      <c r="T51" s="164">
        <v>42.9</v>
      </c>
      <c r="U51" s="164">
        <v>54.2</v>
      </c>
      <c r="V51" s="164">
        <v>68.8</v>
      </c>
      <c r="W51" s="164">
        <v>77.8</v>
      </c>
      <c r="X51" s="164">
        <v>85.66</v>
      </c>
      <c r="Y51" s="454"/>
      <c r="Z51" s="166">
        <v>3.9011785656272751</v>
      </c>
      <c r="AA51" s="164">
        <v>5.1191785845251196</v>
      </c>
      <c r="AB51" s="164">
        <v>5.8</v>
      </c>
      <c r="AC51" s="164">
        <v>8.8000000000000007</v>
      </c>
      <c r="AD51" s="164">
        <v>14.4</v>
      </c>
      <c r="AE51" s="164">
        <v>17.600000000000001</v>
      </c>
      <c r="AF51" s="164">
        <v>22.31</v>
      </c>
      <c r="AG51" s="454"/>
      <c r="AH51" s="166" t="s">
        <v>136</v>
      </c>
      <c r="AI51" s="165" t="s">
        <v>136</v>
      </c>
      <c r="AJ51" s="164" t="s">
        <v>136</v>
      </c>
      <c r="AK51" s="164">
        <v>63.1</v>
      </c>
      <c r="AL51" s="164">
        <v>85.7</v>
      </c>
      <c r="AM51" s="164">
        <v>82.2</v>
      </c>
      <c r="AN51" s="164">
        <v>84.08</v>
      </c>
      <c r="AO51" s="454"/>
      <c r="AP51" s="166" t="s">
        <v>136</v>
      </c>
      <c r="AQ51" s="164" t="s">
        <v>136</v>
      </c>
      <c r="AR51" s="164" t="s">
        <v>136</v>
      </c>
      <c r="AS51" s="164">
        <v>10.5</v>
      </c>
      <c r="AT51" s="164">
        <v>17.7</v>
      </c>
      <c r="AU51" s="164">
        <v>24.1</v>
      </c>
      <c r="AV51" s="164">
        <v>19.34</v>
      </c>
      <c r="AW51" s="164"/>
      <c r="AX51" s="167"/>
    </row>
    <row r="52" spans="1:50" ht="12.75" customHeight="1" x14ac:dyDescent="0.2">
      <c r="A52" s="245" t="s">
        <v>49</v>
      </c>
      <c r="B52" s="453">
        <v>22.354407730530301</v>
      </c>
      <c r="C52" s="453">
        <v>33.647749212478409</v>
      </c>
      <c r="D52" s="453">
        <v>41.5</v>
      </c>
      <c r="E52" s="453">
        <v>54.5</v>
      </c>
      <c r="F52" s="453">
        <v>69.599999999999994</v>
      </c>
      <c r="G52" s="453">
        <v>78.599999999999994</v>
      </c>
      <c r="H52" s="453">
        <v>85.09</v>
      </c>
      <c r="I52" s="453"/>
      <c r="J52" s="173">
        <v>3.9198725677739028</v>
      </c>
      <c r="K52" s="171">
        <v>5.4735291128950303</v>
      </c>
      <c r="L52" s="171">
        <v>6.7</v>
      </c>
      <c r="M52" s="171">
        <v>9.8000000000000007</v>
      </c>
      <c r="N52" s="171">
        <v>14.8</v>
      </c>
      <c r="O52" s="171">
        <v>17.7</v>
      </c>
      <c r="P52" s="171">
        <v>22.42</v>
      </c>
      <c r="Q52" s="453"/>
      <c r="R52" s="173">
        <v>22.443071205155526</v>
      </c>
      <c r="S52" s="172">
        <v>33.833427925001217</v>
      </c>
      <c r="T52" s="171">
        <v>41.8</v>
      </c>
      <c r="U52" s="171">
        <v>55</v>
      </c>
      <c r="V52" s="171">
        <v>70.2</v>
      </c>
      <c r="W52" s="171">
        <v>79.599999999999994</v>
      </c>
      <c r="X52" s="171">
        <v>86.61</v>
      </c>
      <c r="Y52" s="453"/>
      <c r="Z52" s="173">
        <v>3.9395013402136789</v>
      </c>
      <c r="AA52" s="171">
        <v>5.5021533514983574</v>
      </c>
      <c r="AB52" s="171">
        <v>6.7</v>
      </c>
      <c r="AC52" s="171">
        <v>9.9</v>
      </c>
      <c r="AD52" s="171">
        <v>15</v>
      </c>
      <c r="AE52" s="171">
        <v>18.100000000000001</v>
      </c>
      <c r="AF52" s="171">
        <v>23.03</v>
      </c>
      <c r="AG52" s="453"/>
      <c r="AH52" s="173">
        <v>9.8522167487684733</v>
      </c>
      <c r="AI52" s="172">
        <v>17.462192816635159</v>
      </c>
      <c r="AJ52" s="171">
        <v>26.065199793950988</v>
      </c>
      <c r="AK52" s="171">
        <v>34</v>
      </c>
      <c r="AL52" s="171">
        <v>54.4</v>
      </c>
      <c r="AM52" s="171">
        <v>61.3</v>
      </c>
      <c r="AN52" s="171">
        <v>68.47</v>
      </c>
      <c r="AO52" s="453"/>
      <c r="AP52" s="173">
        <v>1.1520737327188941</v>
      </c>
      <c r="AQ52" s="171">
        <v>2.5756143667296785</v>
      </c>
      <c r="AR52" s="171">
        <v>4.0792798096499618</v>
      </c>
      <c r="AS52" s="171">
        <v>3.9</v>
      </c>
      <c r="AT52" s="171">
        <v>8.3000000000000007</v>
      </c>
      <c r="AU52" s="171">
        <v>8.3000000000000007</v>
      </c>
      <c r="AV52" s="171">
        <v>10.53</v>
      </c>
      <c r="AW52" s="171"/>
      <c r="AX52" s="167"/>
    </row>
    <row r="53" spans="1:50" ht="12.75" customHeight="1" x14ac:dyDescent="0.2">
      <c r="A53" s="462" t="s">
        <v>185</v>
      </c>
      <c r="B53" s="463">
        <v>23.954445494781989</v>
      </c>
      <c r="C53" s="463">
        <v>35.67682478202407</v>
      </c>
      <c r="D53" s="463">
        <v>41.01</v>
      </c>
      <c r="E53" s="463">
        <v>52.947589069454651</v>
      </c>
      <c r="F53" s="463">
        <v>67.099999999999994</v>
      </c>
      <c r="G53" s="463">
        <v>76.2</v>
      </c>
      <c r="H53" s="463">
        <v>81.59360114984328</v>
      </c>
      <c r="I53" s="463"/>
      <c r="J53" s="464">
        <v>5.0493164092397675</v>
      </c>
      <c r="K53" s="465">
        <v>6.8379958899591529</v>
      </c>
      <c r="L53" s="465">
        <v>8.0940097147455816</v>
      </c>
      <c r="M53" s="465">
        <v>11.171170468292861</v>
      </c>
      <c r="N53" s="465">
        <v>17.242802647626444</v>
      </c>
      <c r="O53" s="465">
        <v>22.8</v>
      </c>
      <c r="P53" s="465">
        <v>27.455754319915769</v>
      </c>
      <c r="Q53" s="463"/>
      <c r="R53" s="464">
        <v>24.442380238104519</v>
      </c>
      <c r="S53" s="465">
        <v>36.451645744298233</v>
      </c>
      <c r="T53" s="465">
        <v>41.926873806680781</v>
      </c>
      <c r="U53" s="465">
        <v>54.205761390753459</v>
      </c>
      <c r="V53" s="465">
        <v>68.7</v>
      </c>
      <c r="W53" s="465">
        <v>78.386957362799563</v>
      </c>
      <c r="X53" s="465">
        <v>84.560566871897763</v>
      </c>
      <c r="Y53" s="463"/>
      <c r="Z53" s="464">
        <v>5.181025138827045</v>
      </c>
      <c r="AA53" s="465">
        <v>7.0564479380015612</v>
      </c>
      <c r="AB53" s="465">
        <v>8.4006113903670716</v>
      </c>
      <c r="AC53" s="465">
        <v>11.668528315507608</v>
      </c>
      <c r="AD53" s="465">
        <v>18</v>
      </c>
      <c r="AE53" s="465">
        <v>21.545783415758677</v>
      </c>
      <c r="AF53" s="465">
        <v>29.017157610302718</v>
      </c>
      <c r="AG53" s="463"/>
      <c r="AH53" s="464">
        <v>11.689715364786579</v>
      </c>
      <c r="AI53" s="465">
        <v>20.599430761378283</v>
      </c>
      <c r="AJ53" s="465">
        <v>27.569974697912269</v>
      </c>
      <c r="AK53" s="465">
        <v>37.814461058031831</v>
      </c>
      <c r="AL53" s="465">
        <v>56.4</v>
      </c>
      <c r="AM53" s="465">
        <v>65.3</v>
      </c>
      <c r="AN53" s="465">
        <v>72.119101229729367</v>
      </c>
      <c r="AO53" s="463"/>
      <c r="AP53" s="464">
        <v>1.7386851286041032</v>
      </c>
      <c r="AQ53" s="465">
        <v>2.5870943742268131</v>
      </c>
      <c r="AR53" s="465">
        <v>3.603133406753424</v>
      </c>
      <c r="AS53" s="465">
        <v>4.0814366929611339</v>
      </c>
      <c r="AT53" s="465">
        <v>8.4</v>
      </c>
      <c r="AU53" s="465">
        <v>12.5</v>
      </c>
      <c r="AV53" s="465">
        <v>15.268201059339621</v>
      </c>
      <c r="AW53" s="465"/>
      <c r="AX53" s="167"/>
    </row>
    <row r="54" spans="1:50" ht="12.75" customHeight="1" x14ac:dyDescent="0.2">
      <c r="A54" s="241" t="s">
        <v>182</v>
      </c>
      <c r="B54" s="452"/>
      <c r="C54" s="452"/>
      <c r="D54" s="452"/>
      <c r="E54" s="452"/>
      <c r="F54" s="452"/>
      <c r="G54" s="452"/>
      <c r="H54" s="452"/>
      <c r="I54" s="452"/>
      <c r="J54" s="166"/>
      <c r="K54" s="164"/>
      <c r="L54" s="174"/>
      <c r="M54" s="174"/>
      <c r="N54" s="174"/>
      <c r="O54" s="174"/>
      <c r="P54" s="174"/>
      <c r="Q54" s="452"/>
      <c r="R54" s="166"/>
      <c r="S54" s="164"/>
      <c r="T54" s="174"/>
      <c r="U54" s="174"/>
      <c r="V54" s="174"/>
      <c r="W54" s="174"/>
      <c r="X54" s="164"/>
      <c r="Y54" s="452"/>
      <c r="Z54" s="166"/>
      <c r="AA54" s="164"/>
      <c r="AB54" s="174"/>
      <c r="AC54" s="174"/>
      <c r="AD54" s="174"/>
      <c r="AE54" s="174"/>
      <c r="AF54" s="174"/>
      <c r="AG54" s="452"/>
      <c r="AH54" s="166"/>
      <c r="AI54" s="164"/>
      <c r="AJ54" s="174"/>
      <c r="AK54" s="174"/>
      <c r="AL54" s="174"/>
      <c r="AM54" s="174"/>
      <c r="AN54" s="164"/>
      <c r="AO54" s="452"/>
      <c r="AP54" s="166"/>
      <c r="AQ54" s="164"/>
      <c r="AR54" s="174"/>
      <c r="AS54" s="174"/>
      <c r="AT54" s="174"/>
      <c r="AU54" s="174"/>
      <c r="AV54" s="174"/>
      <c r="AW54" s="174"/>
      <c r="AX54" s="167"/>
    </row>
    <row r="55" spans="1:50" ht="12.75" customHeight="1" x14ac:dyDescent="0.2">
      <c r="A55" s="241" t="s">
        <v>21</v>
      </c>
      <c r="B55" s="452">
        <v>25.062990296813854</v>
      </c>
      <c r="C55" s="452">
        <v>37.267722950812896</v>
      </c>
      <c r="D55" s="452">
        <v>43.8</v>
      </c>
      <c r="E55" s="452">
        <v>56</v>
      </c>
      <c r="F55" s="452">
        <v>70.3</v>
      </c>
      <c r="G55" s="452">
        <v>79.2</v>
      </c>
      <c r="H55" s="452">
        <v>83.98</v>
      </c>
      <c r="I55" s="452"/>
      <c r="J55" s="166">
        <v>4.9383598498160426</v>
      </c>
      <c r="K55" s="164">
        <v>7.2116001009135982</v>
      </c>
      <c r="L55" s="164">
        <v>9.5</v>
      </c>
      <c r="M55" s="164">
        <v>13.7</v>
      </c>
      <c r="N55" s="164">
        <v>20.7</v>
      </c>
      <c r="O55" s="164">
        <v>27.2</v>
      </c>
      <c r="P55" s="164">
        <v>31.41</v>
      </c>
      <c r="Q55" s="452"/>
      <c r="R55" s="166">
        <v>25.306872384165089</v>
      </c>
      <c r="S55" s="165">
        <v>37.701220572087522</v>
      </c>
      <c r="T55" s="164">
        <v>44.4</v>
      </c>
      <c r="U55" s="164">
        <v>56.9</v>
      </c>
      <c r="V55" s="164">
        <v>71.5</v>
      </c>
      <c r="W55" s="164">
        <v>80.900000000000006</v>
      </c>
      <c r="X55" s="164">
        <v>86.31</v>
      </c>
      <c r="Y55" s="452"/>
      <c r="Z55" s="166">
        <v>4.9996511377459854</v>
      </c>
      <c r="AA55" s="164">
        <v>7.33063979344817</v>
      </c>
      <c r="AB55" s="164">
        <v>9.6999999999999993</v>
      </c>
      <c r="AC55" s="164">
        <v>14.1</v>
      </c>
      <c r="AD55" s="164">
        <v>21.4</v>
      </c>
      <c r="AE55" s="164">
        <v>28.5</v>
      </c>
      <c r="AF55" s="164">
        <v>33.5</v>
      </c>
      <c r="AG55" s="452"/>
      <c r="AH55" s="166">
        <v>11.933148238880722</v>
      </c>
      <c r="AI55" s="165">
        <v>19.989861439675565</v>
      </c>
      <c r="AJ55" s="164">
        <v>27.075374669409346</v>
      </c>
      <c r="AK55" s="164">
        <v>38.1</v>
      </c>
      <c r="AL55" s="164">
        <v>56.8</v>
      </c>
      <c r="AM55" s="164">
        <v>67</v>
      </c>
      <c r="AN55" s="164">
        <v>73.94</v>
      </c>
      <c r="AO55" s="452"/>
      <c r="AP55" s="166">
        <v>1.6386303010506833</v>
      </c>
      <c r="AQ55" s="164">
        <v>2.4670496789455898</v>
      </c>
      <c r="AR55" s="164">
        <v>3.3444754628269173</v>
      </c>
      <c r="AS55" s="164">
        <v>4.3</v>
      </c>
      <c r="AT55" s="164">
        <v>8.6</v>
      </c>
      <c r="AU55" s="164">
        <v>12.3</v>
      </c>
      <c r="AV55" s="164">
        <v>13.74</v>
      </c>
      <c r="AW55" s="164"/>
      <c r="AX55" s="167"/>
    </row>
    <row r="56" spans="1:50" ht="12.75" customHeight="1" x14ac:dyDescent="0.2">
      <c r="A56" s="241" t="s">
        <v>28</v>
      </c>
      <c r="B56" s="452">
        <v>28.804271255869509</v>
      </c>
      <c r="C56" s="452">
        <v>37.631527093596056</v>
      </c>
      <c r="D56" s="452">
        <v>43.2</v>
      </c>
      <c r="E56" s="452">
        <v>54.7</v>
      </c>
      <c r="F56" s="452">
        <v>68.7</v>
      </c>
      <c r="G56" s="452">
        <v>78.8</v>
      </c>
      <c r="H56" s="452">
        <v>85.37</v>
      </c>
      <c r="I56" s="452"/>
      <c r="J56" s="166">
        <v>3.3544246568717129</v>
      </c>
      <c r="K56" s="164">
        <v>4.9201970443349747</v>
      </c>
      <c r="L56" s="164">
        <v>5.5</v>
      </c>
      <c r="M56" s="164">
        <v>8.4</v>
      </c>
      <c r="N56" s="164">
        <v>14.4</v>
      </c>
      <c r="O56" s="164">
        <v>18.8</v>
      </c>
      <c r="P56" s="164">
        <v>22.87</v>
      </c>
      <c r="Q56" s="452"/>
      <c r="R56" s="166">
        <v>28.854832723162318</v>
      </c>
      <c r="S56" s="165">
        <v>37.698295106580531</v>
      </c>
      <c r="T56" s="164">
        <v>43.2</v>
      </c>
      <c r="U56" s="164">
        <v>54.7</v>
      </c>
      <c r="V56" s="164">
        <v>68.7</v>
      </c>
      <c r="W56" s="164">
        <v>78.900000000000006</v>
      </c>
      <c r="X56" s="164">
        <v>85.53</v>
      </c>
      <c r="Y56" s="452"/>
      <c r="Z56" s="166">
        <v>3.3605098442798575</v>
      </c>
      <c r="AA56" s="164">
        <v>4.9299670084355682</v>
      </c>
      <c r="AB56" s="164">
        <v>5.5</v>
      </c>
      <c r="AC56" s="164">
        <v>8.4</v>
      </c>
      <c r="AD56" s="164">
        <v>14.4</v>
      </c>
      <c r="AE56" s="164">
        <v>18.8</v>
      </c>
      <c r="AF56" s="164">
        <v>22.92</v>
      </c>
      <c r="AG56" s="452"/>
      <c r="AH56" s="166" t="s">
        <v>136</v>
      </c>
      <c r="AI56" s="165" t="s">
        <v>136</v>
      </c>
      <c r="AJ56" s="164" t="s">
        <v>136</v>
      </c>
      <c r="AK56" s="164">
        <v>64.400000000000006</v>
      </c>
      <c r="AL56" s="164">
        <v>74.2</v>
      </c>
      <c r="AM56" s="164">
        <v>87.6</v>
      </c>
      <c r="AN56" s="164">
        <v>84.66</v>
      </c>
      <c r="AO56" s="452"/>
      <c r="AP56" s="166" t="s">
        <v>136</v>
      </c>
      <c r="AQ56" s="164" t="s">
        <v>136</v>
      </c>
      <c r="AR56" s="164" t="s">
        <v>136</v>
      </c>
      <c r="AS56" s="164">
        <v>5.9</v>
      </c>
      <c r="AT56" s="164">
        <v>12.5</v>
      </c>
      <c r="AU56" s="164">
        <v>22.3</v>
      </c>
      <c r="AV56" s="164">
        <v>22.48</v>
      </c>
      <c r="AW56" s="164"/>
      <c r="AX56" s="167"/>
    </row>
    <row r="57" spans="1:50" ht="12.75" customHeight="1" x14ac:dyDescent="0.2">
      <c r="A57" s="241" t="s">
        <v>29</v>
      </c>
      <c r="B57" s="452">
        <v>30.989697253690728</v>
      </c>
      <c r="C57" s="452">
        <v>42.696657042572461</v>
      </c>
      <c r="D57" s="452">
        <v>47</v>
      </c>
      <c r="E57" s="452">
        <v>58.5</v>
      </c>
      <c r="F57" s="452">
        <v>72.2</v>
      </c>
      <c r="G57" s="452">
        <v>80</v>
      </c>
      <c r="H57" s="452">
        <v>84.76</v>
      </c>
      <c r="I57" s="452"/>
      <c r="J57" s="166">
        <v>5.5537609383002806</v>
      </c>
      <c r="K57" s="164">
        <v>7.39356884057971</v>
      </c>
      <c r="L57" s="164">
        <v>8.8000000000000007</v>
      </c>
      <c r="M57" s="164">
        <v>12.6</v>
      </c>
      <c r="N57" s="164">
        <v>20</v>
      </c>
      <c r="O57" s="164">
        <v>27.2</v>
      </c>
      <c r="P57" s="164">
        <v>33.19</v>
      </c>
      <c r="Q57" s="452"/>
      <c r="R57" s="166">
        <v>31.164075227519117</v>
      </c>
      <c r="S57" s="165">
        <v>42.900860202301182</v>
      </c>
      <c r="T57" s="164">
        <v>47.3</v>
      </c>
      <c r="U57" s="164">
        <v>58.8</v>
      </c>
      <c r="V57" s="164">
        <v>72.8</v>
      </c>
      <c r="W57" s="164">
        <v>81.2</v>
      </c>
      <c r="X57" s="164">
        <v>86.79</v>
      </c>
      <c r="Y57" s="452"/>
      <c r="Z57" s="166">
        <v>5.5937147659383664</v>
      </c>
      <c r="AA57" s="164">
        <v>7.4471201102611513</v>
      </c>
      <c r="AB57" s="164">
        <v>8.9</v>
      </c>
      <c r="AC57" s="164">
        <v>12.7</v>
      </c>
      <c r="AD57" s="164">
        <v>20.2</v>
      </c>
      <c r="AE57" s="164">
        <v>27.7</v>
      </c>
      <c r="AF57" s="164">
        <v>34.25</v>
      </c>
      <c r="AG57" s="452"/>
      <c r="AH57" s="166">
        <v>17.865305274405628</v>
      </c>
      <c r="AI57" s="165">
        <v>29.710890183978972</v>
      </c>
      <c r="AJ57" s="164">
        <v>36.911955114372027</v>
      </c>
      <c r="AK57" s="164">
        <v>46.9</v>
      </c>
      <c r="AL57" s="164">
        <v>64.5</v>
      </c>
      <c r="AM57" s="164">
        <v>70</v>
      </c>
      <c r="AN57" s="164">
        <v>76.33</v>
      </c>
      <c r="AO57" s="452"/>
      <c r="AP57" s="166">
        <v>2.5466741859843873</v>
      </c>
      <c r="AQ57" s="164">
        <v>3.9881156439264083</v>
      </c>
      <c r="AR57" s="164">
        <v>6.2473025463962024</v>
      </c>
      <c r="AS57" s="164">
        <v>5.6</v>
      </c>
      <c r="AT57" s="164">
        <v>11.9</v>
      </c>
      <c r="AU57" s="164">
        <v>17</v>
      </c>
      <c r="AV57" s="164">
        <v>19.73</v>
      </c>
      <c r="AW57" s="164"/>
      <c r="AX57" s="167"/>
    </row>
    <row r="58" spans="1:50" ht="12.75" customHeight="1" x14ac:dyDescent="0.2">
      <c r="A58" s="241" t="s">
        <v>36</v>
      </c>
      <c r="B58" s="452">
        <v>26.849168379419336</v>
      </c>
      <c r="C58" s="452">
        <v>37.2251631970381</v>
      </c>
      <c r="D58" s="452">
        <v>42.9</v>
      </c>
      <c r="E58" s="452">
        <v>57.6</v>
      </c>
      <c r="F58" s="452">
        <v>72.3</v>
      </c>
      <c r="G58" s="452">
        <v>82.2</v>
      </c>
      <c r="H58" s="452">
        <v>87.41</v>
      </c>
      <c r="I58" s="452"/>
      <c r="J58" s="166">
        <v>4.3396259002746165</v>
      </c>
      <c r="K58" s="164">
        <v>6.1121756357377155</v>
      </c>
      <c r="L58" s="164">
        <v>7.1</v>
      </c>
      <c r="M58" s="164">
        <v>10.9</v>
      </c>
      <c r="N58" s="164">
        <v>18.2</v>
      </c>
      <c r="O58" s="164">
        <v>24.4</v>
      </c>
      <c r="P58" s="164">
        <v>28.65</v>
      </c>
      <c r="Q58" s="452"/>
      <c r="R58" s="166">
        <v>26.858012310671555</v>
      </c>
      <c r="S58" s="165">
        <v>37.198726693951798</v>
      </c>
      <c r="T58" s="164">
        <v>42.9</v>
      </c>
      <c r="U58" s="164">
        <v>57.6</v>
      </c>
      <c r="V58" s="164">
        <v>72.2</v>
      </c>
      <c r="W58" s="164">
        <v>82.2</v>
      </c>
      <c r="X58" s="164">
        <v>87.62</v>
      </c>
      <c r="Y58" s="452"/>
      <c r="Z58" s="166">
        <v>4.3415865550867974</v>
      </c>
      <c r="AA58" s="164">
        <v>6.131033586695251</v>
      </c>
      <c r="AB58" s="164">
        <v>7.1</v>
      </c>
      <c r="AC58" s="164">
        <v>10.8</v>
      </c>
      <c r="AD58" s="164">
        <v>18.100000000000001</v>
      </c>
      <c r="AE58" s="164">
        <v>24.2</v>
      </c>
      <c r="AF58" s="164">
        <v>28.49</v>
      </c>
      <c r="AG58" s="452"/>
      <c r="AH58" s="166" t="s">
        <v>136</v>
      </c>
      <c r="AI58" s="165" t="s">
        <v>136</v>
      </c>
      <c r="AJ58" s="164" t="s">
        <v>136</v>
      </c>
      <c r="AK58" s="164">
        <v>65.3</v>
      </c>
      <c r="AL58" s="164">
        <v>79.599999999999994</v>
      </c>
      <c r="AM58" s="164">
        <v>86.1</v>
      </c>
      <c r="AN58" s="164">
        <v>84.38</v>
      </c>
      <c r="AO58" s="452"/>
      <c r="AP58" s="166" t="s">
        <v>136</v>
      </c>
      <c r="AQ58" s="164" t="s">
        <v>136</v>
      </c>
      <c r="AR58" s="164" t="s">
        <v>136</v>
      </c>
      <c r="AS58" s="164">
        <v>16.5</v>
      </c>
      <c r="AT58" s="164">
        <v>22.7</v>
      </c>
      <c r="AU58" s="164">
        <v>25.7</v>
      </c>
      <c r="AV58" s="164">
        <v>27.77</v>
      </c>
      <c r="AW58" s="164"/>
      <c r="AX58" s="167"/>
    </row>
    <row r="59" spans="1:50" s="167" customFormat="1" ht="12.75" customHeight="1" x14ac:dyDescent="0.2">
      <c r="A59" s="241" t="s">
        <v>37</v>
      </c>
      <c r="B59" s="452">
        <v>22.955613252457219</v>
      </c>
      <c r="C59" s="452">
        <v>34.774755216645772</v>
      </c>
      <c r="D59" s="452">
        <v>40.700000000000003</v>
      </c>
      <c r="E59" s="452">
        <v>52.5</v>
      </c>
      <c r="F59" s="452">
        <v>67.400000000000006</v>
      </c>
      <c r="G59" s="452">
        <v>76.7</v>
      </c>
      <c r="H59" s="452">
        <v>82.07</v>
      </c>
      <c r="I59" s="452"/>
      <c r="J59" s="166">
        <v>5.1433204759738773</v>
      </c>
      <c r="K59" s="164">
        <v>6.9356838415001292</v>
      </c>
      <c r="L59" s="164">
        <v>8.4</v>
      </c>
      <c r="M59" s="164">
        <v>11.8</v>
      </c>
      <c r="N59" s="164">
        <v>18.3</v>
      </c>
      <c r="O59" s="164">
        <v>24.9</v>
      </c>
      <c r="P59" s="164">
        <v>29.78</v>
      </c>
      <c r="Q59" s="452"/>
      <c r="R59" s="166">
        <v>23.687216892161256</v>
      </c>
      <c r="S59" s="165">
        <v>35.926161519873283</v>
      </c>
      <c r="T59" s="164">
        <v>42</v>
      </c>
      <c r="U59" s="164">
        <v>54.1</v>
      </c>
      <c r="V59" s="164">
        <v>69</v>
      </c>
      <c r="W59" s="164">
        <v>78.599999999999994</v>
      </c>
      <c r="X59" s="164">
        <v>84.65</v>
      </c>
      <c r="Y59" s="452"/>
      <c r="Z59" s="166">
        <v>5.3345188197383484</v>
      </c>
      <c r="AA59" s="164">
        <v>7.2339221646985887</v>
      </c>
      <c r="AB59" s="164">
        <v>8.8000000000000007</v>
      </c>
      <c r="AC59" s="164">
        <v>12.5</v>
      </c>
      <c r="AD59" s="164">
        <v>19.100000000000001</v>
      </c>
      <c r="AE59" s="164">
        <v>25.8</v>
      </c>
      <c r="AF59" s="164">
        <v>31.01</v>
      </c>
      <c r="AG59" s="452"/>
      <c r="AH59" s="166">
        <v>9.162079216647836</v>
      </c>
      <c r="AI59" s="165">
        <v>16.340661242859618</v>
      </c>
      <c r="AJ59" s="164">
        <v>24.494704154919507</v>
      </c>
      <c r="AK59" s="164">
        <v>36.200000000000003</v>
      </c>
      <c r="AL59" s="164">
        <v>56.4</v>
      </c>
      <c r="AM59" s="164">
        <v>67</v>
      </c>
      <c r="AN59" s="164">
        <v>74.510000000000005</v>
      </c>
      <c r="AO59" s="452"/>
      <c r="AP59" s="166">
        <v>1.538498521599077</v>
      </c>
      <c r="AQ59" s="164">
        <v>2.1608678091281521</v>
      </c>
      <c r="AR59" s="164">
        <v>3.1459776141017226</v>
      </c>
      <c r="AS59" s="164">
        <v>4.0999999999999996</v>
      </c>
      <c r="AT59" s="164">
        <v>8.6</v>
      </c>
      <c r="AU59" s="164">
        <v>13.6</v>
      </c>
      <c r="AV59" s="164">
        <v>16.149999999999999</v>
      </c>
      <c r="AW59" s="164"/>
    </row>
    <row r="60" spans="1:50" s="167" customFormat="1" ht="12.75" customHeight="1" x14ac:dyDescent="0.2">
      <c r="A60" s="241" t="s">
        <v>39</v>
      </c>
      <c r="B60" s="452">
        <v>23.420746300127192</v>
      </c>
      <c r="C60" s="452">
        <v>36.066239389422954</v>
      </c>
      <c r="D60" s="452">
        <v>40.9</v>
      </c>
      <c r="E60" s="452">
        <v>52.7</v>
      </c>
      <c r="F60" s="452">
        <v>66.3</v>
      </c>
      <c r="G60" s="452">
        <v>74.8</v>
      </c>
      <c r="H60" s="452">
        <v>79.06</v>
      </c>
      <c r="I60" s="452"/>
      <c r="J60" s="166">
        <v>5.6090810245667084</v>
      </c>
      <c r="K60" s="164">
        <v>7.6651924460093852</v>
      </c>
      <c r="L60" s="164">
        <v>8.9</v>
      </c>
      <c r="M60" s="164">
        <v>11.9</v>
      </c>
      <c r="N60" s="164">
        <v>17.899999999999999</v>
      </c>
      <c r="O60" s="164">
        <v>23.1</v>
      </c>
      <c r="P60" s="164">
        <v>27.37</v>
      </c>
      <c r="Q60" s="452"/>
      <c r="R60" s="166">
        <v>23.846813927092178</v>
      </c>
      <c r="S60" s="165">
        <v>36.867582696482629</v>
      </c>
      <c r="T60" s="164">
        <v>41.8</v>
      </c>
      <c r="U60" s="164">
        <v>54.2</v>
      </c>
      <c r="V60" s="164">
        <v>68.7</v>
      </c>
      <c r="W60" s="164">
        <v>78.5</v>
      </c>
      <c r="X60" s="164">
        <v>83.99</v>
      </c>
      <c r="Y60" s="452"/>
      <c r="Z60" s="166">
        <v>5.7702907585688257</v>
      </c>
      <c r="AA60" s="164">
        <v>7.9646480955061367</v>
      </c>
      <c r="AB60" s="164">
        <v>9.3000000000000007</v>
      </c>
      <c r="AC60" s="164">
        <v>12.7</v>
      </c>
      <c r="AD60" s="164">
        <v>19.399999999999999</v>
      </c>
      <c r="AE60" s="164">
        <v>25.3</v>
      </c>
      <c r="AF60" s="164">
        <v>30.46</v>
      </c>
      <c r="AG60" s="452"/>
      <c r="AH60" s="166">
        <v>14.136789423566668</v>
      </c>
      <c r="AI60" s="165">
        <v>23.687294996320155</v>
      </c>
      <c r="AJ60" s="164">
        <v>29.967938414583106</v>
      </c>
      <c r="AK60" s="164">
        <v>39.799999999999997</v>
      </c>
      <c r="AL60" s="164">
        <v>57.6</v>
      </c>
      <c r="AM60" s="164">
        <v>64.7</v>
      </c>
      <c r="AN60" s="164">
        <v>70.64</v>
      </c>
      <c r="AO60" s="452"/>
      <c r="AP60" s="166">
        <v>2.0962973625351551</v>
      </c>
      <c r="AQ60" s="164">
        <v>3.0392789322090876</v>
      </c>
      <c r="AR60" s="164">
        <v>4.0158864367241618</v>
      </c>
      <c r="AS60" s="164">
        <v>4.2</v>
      </c>
      <c r="AT60" s="164">
        <v>8.8000000000000007</v>
      </c>
      <c r="AU60" s="164">
        <v>12.6</v>
      </c>
      <c r="AV60" s="164">
        <v>15.84</v>
      </c>
      <c r="AW60" s="164"/>
    </row>
    <row r="61" spans="1:50" s="167" customFormat="1" ht="12.75" customHeight="1" x14ac:dyDescent="0.2">
      <c r="A61" s="147" t="s">
        <v>43</v>
      </c>
      <c r="B61" s="457">
        <v>21.240920505329605</v>
      </c>
      <c r="C61" s="457">
        <v>32.00325832599421</v>
      </c>
      <c r="D61" s="457">
        <v>38.1</v>
      </c>
      <c r="E61" s="457">
        <v>50.2</v>
      </c>
      <c r="F61" s="457">
        <v>64.7</v>
      </c>
      <c r="G61" s="457">
        <v>74.7</v>
      </c>
      <c r="H61" s="457">
        <v>81.900000000000006</v>
      </c>
      <c r="I61" s="457"/>
      <c r="J61" s="166">
        <v>4.2200654470399925</v>
      </c>
      <c r="K61" s="164">
        <v>5.5318898862116166</v>
      </c>
      <c r="L61" s="164">
        <v>6.4</v>
      </c>
      <c r="M61" s="164">
        <v>8.6999999999999993</v>
      </c>
      <c r="N61" s="164">
        <v>13.6</v>
      </c>
      <c r="O61" s="164">
        <v>17.899999999999999</v>
      </c>
      <c r="P61" s="164">
        <v>22.35</v>
      </c>
      <c r="Q61" s="457"/>
      <c r="R61" s="166">
        <v>21.868785886050315</v>
      </c>
      <c r="S61" s="165">
        <v>32.924771893742864</v>
      </c>
      <c r="T61" s="164">
        <v>39.200000000000003</v>
      </c>
      <c r="U61" s="164">
        <v>51.6</v>
      </c>
      <c r="V61" s="164">
        <v>65.8</v>
      </c>
      <c r="W61" s="164">
        <v>75.900000000000006</v>
      </c>
      <c r="X61" s="164">
        <v>83.41</v>
      </c>
      <c r="Y61" s="457"/>
      <c r="Z61" s="166">
        <v>4.369292890652007</v>
      </c>
      <c r="AA61" s="164">
        <v>5.7487710696952146</v>
      </c>
      <c r="AB61" s="164">
        <v>6.7</v>
      </c>
      <c r="AC61" s="164">
        <v>9.1</v>
      </c>
      <c r="AD61" s="164">
        <v>14</v>
      </c>
      <c r="AE61" s="164">
        <v>18.5</v>
      </c>
      <c r="AF61" s="164">
        <v>23.1</v>
      </c>
      <c r="AG61" s="457"/>
      <c r="AH61" s="166">
        <v>8.7657302083841877</v>
      </c>
      <c r="AI61" s="165">
        <v>16.772061348288887</v>
      </c>
      <c r="AJ61" s="164">
        <v>23.719472920010041</v>
      </c>
      <c r="AK61" s="164">
        <v>33.200000000000003</v>
      </c>
      <c r="AL61" s="164">
        <v>52.1</v>
      </c>
      <c r="AM61" s="164">
        <v>63.5</v>
      </c>
      <c r="AN61" s="164">
        <v>71.84</v>
      </c>
      <c r="AO61" s="457"/>
      <c r="AP61" s="166">
        <v>1.2550368587276135</v>
      </c>
      <c r="AQ61" s="164">
        <v>1.9471786654458052</v>
      </c>
      <c r="AR61" s="164">
        <v>2.7605104859223353</v>
      </c>
      <c r="AS61" s="164">
        <v>3.4</v>
      </c>
      <c r="AT61" s="164">
        <v>6.5</v>
      </c>
      <c r="AU61" s="164">
        <v>10</v>
      </c>
      <c r="AV61" s="164">
        <v>11.95</v>
      </c>
      <c r="AW61" s="164"/>
    </row>
    <row r="62" spans="1:50" s="167" customFormat="1" ht="12.75" customHeight="1" x14ac:dyDescent="0.2">
      <c r="A62" s="2" t="s">
        <v>44</v>
      </c>
      <c r="B62" s="456">
        <v>21.116529197969253</v>
      </c>
      <c r="C62" s="456">
        <v>31.613992814268194</v>
      </c>
      <c r="D62" s="456">
        <v>35</v>
      </c>
      <c r="E62" s="456">
        <v>46.4</v>
      </c>
      <c r="F62" s="456">
        <v>61.1</v>
      </c>
      <c r="G62" s="456">
        <v>72</v>
      </c>
      <c r="H62" s="456">
        <v>77.959999999999994</v>
      </c>
      <c r="I62" s="456"/>
      <c r="J62" s="166">
        <v>4.5195122766631162</v>
      </c>
      <c r="K62" s="164">
        <v>5.9540457391192101</v>
      </c>
      <c r="L62" s="164">
        <v>6.6</v>
      </c>
      <c r="M62" s="164">
        <v>9.4</v>
      </c>
      <c r="N62" s="164">
        <v>15.4</v>
      </c>
      <c r="O62" s="164">
        <v>21.3</v>
      </c>
      <c r="P62" s="164">
        <v>25.6</v>
      </c>
      <c r="Q62" s="456"/>
      <c r="R62" s="166">
        <v>21.265348050664315</v>
      </c>
      <c r="S62" s="165">
        <v>31.782083169699348</v>
      </c>
      <c r="T62" s="164">
        <v>35.200000000000003</v>
      </c>
      <c r="U62" s="164">
        <v>46.5</v>
      </c>
      <c r="V62" s="164">
        <v>61.3</v>
      </c>
      <c r="W62" s="164">
        <v>73</v>
      </c>
      <c r="X62" s="164">
        <v>80.11</v>
      </c>
      <c r="Y62" s="456"/>
      <c r="Z62" s="166">
        <v>4.5608058998536665</v>
      </c>
      <c r="AA62" s="164">
        <v>6.0140943404459568</v>
      </c>
      <c r="AB62" s="164">
        <v>6.6</v>
      </c>
      <c r="AC62" s="164">
        <v>9.5</v>
      </c>
      <c r="AD62" s="164">
        <v>15.6</v>
      </c>
      <c r="AE62" s="164">
        <v>21.8</v>
      </c>
      <c r="AF62" s="164">
        <v>26.84</v>
      </c>
      <c r="AG62" s="456"/>
      <c r="AH62" s="166">
        <v>10.88911088911089</v>
      </c>
      <c r="AI62" s="165">
        <v>19.446320054017555</v>
      </c>
      <c r="AJ62" s="164">
        <v>25.662393162393158</v>
      </c>
      <c r="AK62" s="164">
        <v>37.4</v>
      </c>
      <c r="AL62" s="164">
        <v>58</v>
      </c>
      <c r="AM62" s="164">
        <v>65.900000000000006</v>
      </c>
      <c r="AN62" s="164">
        <v>70.95</v>
      </c>
      <c r="AO62" s="456"/>
      <c r="AP62" s="166">
        <v>1.6816516816516816</v>
      </c>
      <c r="AQ62" s="164">
        <v>1.6880486158001351</v>
      </c>
      <c r="AR62" s="164">
        <v>3.8782051282051282</v>
      </c>
      <c r="AS62" s="164">
        <v>3.5</v>
      </c>
      <c r="AT62" s="164">
        <v>8.4</v>
      </c>
      <c r="AU62" s="164">
        <v>12.7</v>
      </c>
      <c r="AV62" s="164">
        <v>16.690000000000001</v>
      </c>
      <c r="AW62" s="164"/>
    </row>
    <row r="63" spans="1:50" s="167" customFormat="1" ht="12.75" customHeight="1" x14ac:dyDescent="0.2">
      <c r="A63" s="4" t="s">
        <v>47</v>
      </c>
      <c r="B63" s="458">
        <v>27.899344624738443</v>
      </c>
      <c r="C63" s="458">
        <v>37.088247254981695</v>
      </c>
      <c r="D63" s="458">
        <v>42.9</v>
      </c>
      <c r="E63" s="458">
        <v>57.1</v>
      </c>
      <c r="F63" s="458">
        <v>71</v>
      </c>
      <c r="G63" s="458">
        <v>80.8</v>
      </c>
      <c r="H63" s="458">
        <v>86.42</v>
      </c>
      <c r="I63" s="456"/>
      <c r="J63" s="166">
        <v>4.1395238659244349</v>
      </c>
      <c r="K63" s="171">
        <v>5.9373729158194388</v>
      </c>
      <c r="L63" s="171">
        <v>7.3</v>
      </c>
      <c r="M63" s="171">
        <v>11.5</v>
      </c>
      <c r="N63" s="171">
        <v>19</v>
      </c>
      <c r="O63" s="171">
        <v>24.3</v>
      </c>
      <c r="P63" s="171">
        <v>29.45</v>
      </c>
      <c r="Q63" s="456"/>
      <c r="R63" s="166">
        <v>27.915468461257202</v>
      </c>
      <c r="S63" s="172">
        <v>37.052097785006936</v>
      </c>
      <c r="T63" s="171">
        <v>42.9</v>
      </c>
      <c r="U63" s="171">
        <v>57</v>
      </c>
      <c r="V63" s="171">
        <v>71</v>
      </c>
      <c r="W63" s="171">
        <v>80.8</v>
      </c>
      <c r="X63" s="171">
        <v>86.58</v>
      </c>
      <c r="Y63" s="456"/>
      <c r="Z63" s="166">
        <v>4.1425790321464921</v>
      </c>
      <c r="AA63" s="171">
        <v>5.9608668612160933</v>
      </c>
      <c r="AB63" s="171">
        <v>7.3</v>
      </c>
      <c r="AC63" s="171">
        <v>11.4</v>
      </c>
      <c r="AD63" s="171">
        <v>18.899999999999999</v>
      </c>
      <c r="AE63" s="171">
        <v>24.2</v>
      </c>
      <c r="AF63" s="171">
        <v>29.46</v>
      </c>
      <c r="AG63" s="456"/>
      <c r="AH63" s="166" t="s">
        <v>136</v>
      </c>
      <c r="AI63" s="172" t="s">
        <v>136</v>
      </c>
      <c r="AJ63" s="171" t="s">
        <v>136</v>
      </c>
      <c r="AK63" s="171">
        <v>55</v>
      </c>
      <c r="AL63" s="171">
        <v>83.7</v>
      </c>
      <c r="AM63" s="171">
        <v>85.9</v>
      </c>
      <c r="AN63" s="171">
        <v>84.16</v>
      </c>
      <c r="AO63" s="456"/>
      <c r="AP63" s="166" t="s">
        <v>136</v>
      </c>
      <c r="AQ63" s="171" t="s">
        <v>136</v>
      </c>
      <c r="AR63" s="171" t="s">
        <v>136</v>
      </c>
      <c r="AS63" s="171">
        <v>25.4</v>
      </c>
      <c r="AT63" s="171">
        <v>31.1</v>
      </c>
      <c r="AU63" s="171">
        <v>30.5</v>
      </c>
      <c r="AV63" s="171">
        <v>34.82</v>
      </c>
      <c r="AW63" s="171"/>
    </row>
    <row r="64" spans="1:50" s="167" customFormat="1" ht="12.75" customHeight="1" x14ac:dyDescent="0.2">
      <c r="A64" s="191" t="s">
        <v>62</v>
      </c>
      <c r="B64" s="459">
        <v>41.18037057325769</v>
      </c>
      <c r="C64" s="459">
        <v>50.188207027730499</v>
      </c>
      <c r="D64" s="459">
        <v>47.8</v>
      </c>
      <c r="E64" s="459">
        <v>55.2</v>
      </c>
      <c r="F64" s="459">
        <v>67.099999999999994</v>
      </c>
      <c r="G64" s="459">
        <v>73.099999999999994</v>
      </c>
      <c r="H64" s="459">
        <v>77.83</v>
      </c>
      <c r="I64" s="459"/>
      <c r="J64" s="460">
        <v>11.109204144439403</v>
      </c>
      <c r="K64" s="460">
        <v>13.638001801982181</v>
      </c>
      <c r="L64" s="460">
        <v>14.3</v>
      </c>
      <c r="M64" s="460">
        <v>17.8</v>
      </c>
      <c r="N64" s="460">
        <v>27.5</v>
      </c>
      <c r="O64" s="460">
        <v>33.299999999999997</v>
      </c>
      <c r="P64" s="460">
        <v>39.07</v>
      </c>
      <c r="Q64" s="459"/>
      <c r="R64" s="460">
        <v>49.669442309470888</v>
      </c>
      <c r="S64" s="461">
        <v>60.612487023580009</v>
      </c>
      <c r="T64" s="460">
        <v>61.1</v>
      </c>
      <c r="U64" s="460">
        <v>75</v>
      </c>
      <c r="V64" s="460">
        <v>88.7</v>
      </c>
      <c r="W64" s="460">
        <v>93.1</v>
      </c>
      <c r="X64" s="460">
        <v>94.43</v>
      </c>
      <c r="Y64" s="459"/>
      <c r="Z64" s="460">
        <v>13.632116238945532</v>
      </c>
      <c r="AA64" s="460">
        <v>17.244549903603737</v>
      </c>
      <c r="AB64" s="460">
        <v>20.9</v>
      </c>
      <c r="AC64" s="460">
        <v>35.299999999999997</v>
      </c>
      <c r="AD64" s="460">
        <v>57.6</v>
      </c>
      <c r="AE64" s="460">
        <v>69</v>
      </c>
      <c r="AF64" s="460">
        <v>77.3</v>
      </c>
      <c r="AG64" s="459"/>
      <c r="AH64" s="460">
        <v>17.367149758454108</v>
      </c>
      <c r="AI64" s="461">
        <v>28.5335797905114</v>
      </c>
      <c r="AJ64" s="460">
        <v>33.533551562197481</v>
      </c>
      <c r="AK64" s="460">
        <v>43.9</v>
      </c>
      <c r="AL64" s="460">
        <v>56.3</v>
      </c>
      <c r="AM64" s="460">
        <v>63.8</v>
      </c>
      <c r="AN64" s="460">
        <v>70.37</v>
      </c>
      <c r="AO64" s="459"/>
      <c r="AP64" s="460">
        <v>4.0320271962784036</v>
      </c>
      <c r="AQ64" s="460">
        <v>6.1460258780036972</v>
      </c>
      <c r="AR64" s="460">
        <v>7.1583269920888286</v>
      </c>
      <c r="AS64" s="460">
        <v>7.8</v>
      </c>
      <c r="AT64" s="460">
        <v>12.2</v>
      </c>
      <c r="AU64" s="460">
        <v>15.3</v>
      </c>
      <c r="AV64" s="460">
        <v>17.5</v>
      </c>
      <c r="AW64" s="460"/>
    </row>
    <row r="65" spans="1:49" s="167" customFormat="1" ht="12.75" customHeight="1" x14ac:dyDescent="0.2">
      <c r="A65" s="2"/>
      <c r="B65" s="456"/>
      <c r="C65" s="456"/>
      <c r="D65" s="456"/>
      <c r="E65" s="456"/>
      <c r="F65" s="456"/>
      <c r="G65" s="456"/>
      <c r="H65" s="456"/>
      <c r="I65" s="456"/>
      <c r="J65" s="164"/>
      <c r="K65" s="164"/>
      <c r="L65" s="164"/>
      <c r="M65" s="164"/>
      <c r="N65" s="164"/>
      <c r="O65" s="164"/>
      <c r="P65" s="164"/>
      <c r="Q65" s="164"/>
      <c r="R65" s="164"/>
      <c r="S65" s="165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5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</row>
    <row r="66" spans="1:49" ht="12.75" customHeight="1" x14ac:dyDescent="0.2">
      <c r="B66" s="2" t="s">
        <v>144</v>
      </c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</row>
    <row r="67" spans="1:49" x14ac:dyDescent="0.2">
      <c r="B67" s="2" t="s">
        <v>145</v>
      </c>
      <c r="R67" s="175"/>
      <c r="AH67" s="175"/>
    </row>
    <row r="68" spans="1:49" ht="12.75" customHeight="1" x14ac:dyDescent="0.2">
      <c r="B68" s="2" t="s">
        <v>138</v>
      </c>
      <c r="J68" s="175" t="s">
        <v>139</v>
      </c>
      <c r="K68" s="177"/>
      <c r="L68" s="177"/>
      <c r="M68" s="177"/>
      <c r="N68" s="177"/>
      <c r="O68" s="177"/>
      <c r="P68" s="177"/>
      <c r="Q68" s="177"/>
      <c r="R68" s="175" t="s">
        <v>140</v>
      </c>
      <c r="S68" s="176"/>
      <c r="T68" s="177"/>
      <c r="U68" s="177"/>
      <c r="V68" s="177"/>
      <c r="W68" s="177"/>
      <c r="X68" s="177"/>
      <c r="Y68" s="177"/>
      <c r="Z68" s="175" t="s">
        <v>141</v>
      </c>
      <c r="AA68" s="177"/>
      <c r="AB68" s="177"/>
      <c r="AC68" s="177"/>
      <c r="AD68" s="177"/>
      <c r="AE68" s="177"/>
      <c r="AF68" s="177"/>
      <c r="AG68" s="177"/>
      <c r="AH68" s="175" t="s">
        <v>142</v>
      </c>
      <c r="AI68" s="176"/>
      <c r="AJ68" s="177"/>
      <c r="AK68" s="177"/>
      <c r="AL68" s="177"/>
      <c r="AM68" s="177"/>
      <c r="AN68" s="177"/>
      <c r="AO68" s="177"/>
      <c r="AP68" s="175" t="s">
        <v>143</v>
      </c>
      <c r="AQ68" s="177"/>
      <c r="AR68" s="177"/>
      <c r="AS68" s="177"/>
      <c r="AT68" s="177"/>
      <c r="AU68" s="177"/>
      <c r="AV68" s="177"/>
      <c r="AW68" s="177"/>
    </row>
    <row r="69" spans="1:49" x14ac:dyDescent="0.2">
      <c r="B69" s="2" t="s">
        <v>146</v>
      </c>
    </row>
  </sheetData>
  <phoneticPr fontId="8" type="noConversion"/>
  <pageMargins left="0.75" right="0.75" top="1" bottom="1" header="0.5" footer="0.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Table 2</vt:lpstr>
      <vt:lpstr>Table 7</vt:lpstr>
      <vt:lpstr>Pop 25+ by race &amp; gender</vt:lpstr>
      <vt:lpstr>Attainment 25+ by race &amp; gender</vt:lpstr>
      <vt:lpstr>Attainment by Race Trends</vt:lpstr>
      <vt:lpstr>Historical Attainment Rates</vt:lpstr>
      <vt:lpstr>Sheet1</vt:lpstr>
      <vt:lpstr>'Table 2'!Print_Area</vt:lpstr>
      <vt:lpstr>'Table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Jessie Jenkins</cp:lastModifiedBy>
  <cp:lastPrinted>2013-04-17T14:17:52Z</cp:lastPrinted>
  <dcterms:created xsi:type="dcterms:W3CDTF">2000-07-31T12:56:33Z</dcterms:created>
  <dcterms:modified xsi:type="dcterms:W3CDTF">2016-05-10T16:38:44Z</dcterms:modified>
</cp:coreProperties>
</file>