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bookViews>
    <workbookView xWindow="-90" yWindow="300" windowWidth="11310" windowHeight="12525"/>
  </bookViews>
  <sheets>
    <sheet name="Table 15" sheetId="8" r:id="rId1"/>
    <sheet name="Table 18" sheetId="9" r:id="rId2"/>
    <sheet name="Expenditure DATA" sheetId="1" r:id="rId3"/>
    <sheet name="% distribution trends" sheetId="5" r:id="rId4"/>
    <sheet name="Per-Capita Data" sheetId="7" r:id="rId5"/>
  </sheets>
  <externalReferences>
    <externalReference r:id="rId6"/>
  </externalReferences>
  <definedNames>
    <definedName name="__123Graph_ASHARE_R" localSheetId="0" hidden="1">'Table 15'!$D$8:$D$8</definedName>
    <definedName name="__123Graph_ASHARE_R" hidden="1">#REF!</definedName>
    <definedName name="__123Graph_BSHARE_N" localSheetId="0" hidden="1">'Table 15'!$C$7:$C$7</definedName>
    <definedName name="__123Graph_BSHARE_N" hidden="1">#REF!</definedName>
    <definedName name="__123Graph_BSHARE_R" localSheetId="0" hidden="1">'Table 15'!$C$8:$C$8</definedName>
    <definedName name="__123Graph_BSHARE_R" hidden="1">#REF!</definedName>
    <definedName name="__123Graph_CSHARE_N" localSheetId="0" hidden="1">'Table 15'!$F$7:$F$7</definedName>
    <definedName name="__123Graph_CSHARE_N" hidden="1">#REF!</definedName>
    <definedName name="__123Graph_CSHARE_R" localSheetId="0" hidden="1">'Table 15'!$F$8:$F$8</definedName>
    <definedName name="__123Graph_CSHARE_R" hidden="1">#REF!</definedName>
    <definedName name="__123Graph_DSHARE_N" localSheetId="0" hidden="1">'Table 15'!$G$7:$G$7</definedName>
    <definedName name="__123Graph_DSHARE_N" hidden="1">#REF!</definedName>
    <definedName name="__123Graph_DSHARE_R" localSheetId="0" hidden="1">'Table 15'!$G$8:$G$8</definedName>
    <definedName name="__123Graph_DSHARE_R" hidden="1">#REF!</definedName>
    <definedName name="__123Graph_ESHARE_N" localSheetId="0" hidden="1">'Table 15'!$H$7:$H$7</definedName>
    <definedName name="__123Graph_ESHARE_N" hidden="1">#REF!</definedName>
    <definedName name="__123Graph_ESHARE_R" localSheetId="0" hidden="1">'Table 15'!$H$8:$H$8</definedName>
    <definedName name="__123Graph_ESHARE_R" hidden="1">#REF!</definedName>
    <definedName name="__123Graph_FSHARE_N" localSheetId="0" hidden="1">'Table 15'!$I$7:$I$7</definedName>
    <definedName name="__123Graph_FSHARE_N" hidden="1">#REF!</definedName>
    <definedName name="__123Graph_FSHARE_R" localSheetId="0" hidden="1">'Table 15'!$I$8:$I$8</definedName>
    <definedName name="__123Graph_FSHARE_R" hidden="1">#REF!</definedName>
    <definedName name="_1__123Graph_A_GROW_N" hidden="1">'Expenditure DATA'!$BL$5:$BM$5</definedName>
    <definedName name="_2__123Graph_A_GROW_R" localSheetId="0" hidden="1">'Expenditure DATA'!#REF!</definedName>
    <definedName name="_2__123Graph_A_GROW_R" localSheetId="1" hidden="1">'Expenditure DATA'!#REF!</definedName>
    <definedName name="_2__123Graph_A_GROW_R" hidden="1">'Expenditure DATA'!#REF!</definedName>
    <definedName name="_3__123Graph_B_GROW_N" hidden="1">'Expenditure DATA'!$CQ$5:$CR$5</definedName>
    <definedName name="_4__123Graph_B_GROW_R" localSheetId="0" hidden="1">'Expenditure DATA'!#REF!</definedName>
    <definedName name="_4__123Graph_B_GROW_R" localSheetId="1" hidden="1">'Expenditure DATA'!#REF!</definedName>
    <definedName name="_4__123Graph_B_GROW_R" hidden="1">'Expenditure DATA'!#REF!</definedName>
    <definedName name="_5__123Graph_C_GROW_N" hidden="1">'Expenditure DATA'!$FA$5:$FB$5</definedName>
    <definedName name="_6__123Graph_C_GROW_R" localSheetId="0" hidden="1">'Expenditure DATA'!#REF!</definedName>
    <definedName name="_6__123Graph_C_GROW_R" localSheetId="1" hidden="1">'Expenditure DATA'!#REF!</definedName>
    <definedName name="_6__123Graph_C_GROW_R" hidden="1">'Expenditure DATA'!#REF!</definedName>
    <definedName name="_7__123Graph_D_GROW_N" hidden="1">'Expenditure DATA'!$GF$5:$GG$5</definedName>
    <definedName name="_8__123Graph_D_GROW_R" localSheetId="0" hidden="1">'Expenditure DATA'!#REF!</definedName>
    <definedName name="_8__123Graph_D_GROW_R" localSheetId="1" hidden="1">'Expenditure DATA'!#REF!</definedName>
    <definedName name="_8__123Graph_D_GROW_R" hidden="1">'Expenditure DATA'!#REF!</definedName>
    <definedName name="_9__123Graph_X_GROW_R" hidden="1">'Expenditure DATA'!$B$4:$C$4</definedName>
    <definedName name="_xlnm.Print_Area" localSheetId="0">'Table 15'!$A$1:$S$72</definedName>
    <definedName name="_xlnm.Print_Area" localSheetId="1">'Table 18'!$A$1:$I$69</definedName>
  </definedNames>
  <calcPr calcId="152511"/>
</workbook>
</file>

<file path=xl/calcChain.xml><?xml version="1.0" encoding="utf-8"?>
<calcChain xmlns="http://schemas.openxmlformats.org/spreadsheetml/2006/main">
  <c r="P65" i="7" l="1"/>
  <c r="O65" i="7"/>
  <c r="N65" i="7"/>
  <c r="M65" i="7"/>
  <c r="L65" i="7"/>
  <c r="K65" i="7"/>
  <c r="J65" i="7"/>
  <c r="I65" i="7"/>
  <c r="H65" i="7"/>
  <c r="G65" i="7"/>
  <c r="F65" i="7"/>
  <c r="E65" i="7"/>
  <c r="D65" i="7"/>
  <c r="C65" i="7"/>
  <c r="B65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C64" i="7"/>
  <c r="B64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B63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B62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B61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B60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B59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B58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B57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D66" i="9" l="1"/>
  <c r="D65" i="9"/>
  <c r="D64" i="9"/>
  <c r="D63" i="9"/>
  <c r="D62" i="9"/>
  <c r="D61" i="9"/>
  <c r="D60" i="9"/>
  <c r="D59" i="9"/>
  <c r="D58" i="9"/>
  <c r="D57" i="9"/>
  <c r="D54" i="9"/>
  <c r="D53" i="9"/>
  <c r="D52" i="9"/>
  <c r="D51" i="9"/>
  <c r="D50" i="9"/>
  <c r="D49" i="9"/>
  <c r="D48" i="9"/>
  <c r="D47" i="9"/>
  <c r="D46" i="9"/>
  <c r="D45" i="9"/>
  <c r="D44" i="9"/>
  <c r="D43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7" i="9"/>
  <c r="C66" i="9"/>
  <c r="C65" i="9"/>
  <c r="C64" i="9"/>
  <c r="C63" i="9"/>
  <c r="C62" i="9"/>
  <c r="C61" i="9"/>
  <c r="C60" i="9"/>
  <c r="C59" i="9"/>
  <c r="C58" i="9"/>
  <c r="C57" i="9"/>
  <c r="C54" i="9"/>
  <c r="C53" i="9"/>
  <c r="C52" i="9"/>
  <c r="C51" i="9"/>
  <c r="C50" i="9"/>
  <c r="C49" i="9"/>
  <c r="C48" i="9"/>
  <c r="C47" i="9"/>
  <c r="C46" i="9"/>
  <c r="C45" i="9"/>
  <c r="C44" i="9"/>
  <c r="C43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7" i="9"/>
  <c r="AE2" i="1" l="1"/>
  <c r="AE1" i="1"/>
  <c r="HJ16" i="5"/>
  <c r="HK16" i="5"/>
  <c r="GE16" i="5"/>
  <c r="GF16" i="5"/>
  <c r="EZ16" i="5"/>
  <c r="FA16" i="5"/>
  <c r="DU16" i="5"/>
  <c r="DV16" i="5"/>
  <c r="CP16" i="5"/>
  <c r="CQ16" i="5"/>
  <c r="BK16" i="5"/>
  <c r="BL16" i="5"/>
  <c r="AE16" i="5"/>
  <c r="AF16" i="5"/>
  <c r="AG16" i="5"/>
  <c r="HI15" i="5"/>
  <c r="HJ15" i="5"/>
  <c r="HK15" i="5"/>
  <c r="GE15" i="5"/>
  <c r="GF15" i="5"/>
  <c r="EY15" i="5"/>
  <c r="EZ15" i="5"/>
  <c r="FA15" i="5"/>
  <c r="DT15" i="5"/>
  <c r="DU15" i="5"/>
  <c r="DV15" i="5"/>
  <c r="CO15" i="5"/>
  <c r="CP15" i="5"/>
  <c r="CQ15" i="5"/>
  <c r="BJ15" i="5"/>
  <c r="BK15" i="5"/>
  <c r="BL15" i="5"/>
  <c r="AE15" i="5"/>
  <c r="AF15" i="5"/>
  <c r="AG15" i="5"/>
  <c r="HK3" i="5"/>
  <c r="HK6" i="5"/>
  <c r="HK7" i="5"/>
  <c r="HK8" i="5"/>
  <c r="HK9" i="5"/>
  <c r="HK10" i="5"/>
  <c r="HK11" i="5"/>
  <c r="HK12" i="5"/>
  <c r="HK13" i="5"/>
  <c r="HK14" i="5"/>
  <c r="HK17" i="5"/>
  <c r="HK18" i="5"/>
  <c r="HK19" i="5"/>
  <c r="HK20" i="5"/>
  <c r="HK21" i="5"/>
  <c r="HK24" i="5"/>
  <c r="HK25" i="5"/>
  <c r="HK26" i="5"/>
  <c r="HK27" i="5"/>
  <c r="HK28" i="5"/>
  <c r="HK29" i="5"/>
  <c r="HK30" i="5"/>
  <c r="HK31" i="5"/>
  <c r="HK32" i="5"/>
  <c r="HK33" i="5"/>
  <c r="HK34" i="5"/>
  <c r="HK35" i="5"/>
  <c r="HK36" i="5"/>
  <c r="HK39" i="5"/>
  <c r="HK40" i="5"/>
  <c r="HK41" i="5"/>
  <c r="HK42" i="5"/>
  <c r="HK43" i="5"/>
  <c r="HK44" i="5"/>
  <c r="HK45" i="5"/>
  <c r="HK46" i="5"/>
  <c r="HK47" i="5"/>
  <c r="HK48" i="5"/>
  <c r="HK49" i="5"/>
  <c r="HK50" i="5"/>
  <c r="HK53" i="5"/>
  <c r="HK54" i="5"/>
  <c r="HK55" i="5"/>
  <c r="HK56" i="5"/>
  <c r="HK57" i="5"/>
  <c r="HK58" i="5"/>
  <c r="HK59" i="5"/>
  <c r="HK60" i="5"/>
  <c r="HK61" i="5"/>
  <c r="HK62" i="5"/>
  <c r="GF3" i="5"/>
  <c r="GF6" i="5"/>
  <c r="GF7" i="5"/>
  <c r="GF8" i="5"/>
  <c r="GF9" i="5"/>
  <c r="GF10" i="5"/>
  <c r="GF11" i="5"/>
  <c r="GF12" i="5"/>
  <c r="GF13" i="5"/>
  <c r="GF14" i="5"/>
  <c r="GF17" i="5"/>
  <c r="GF18" i="5"/>
  <c r="GF19" i="5"/>
  <c r="GF20" i="5"/>
  <c r="GF21" i="5"/>
  <c r="GF24" i="5"/>
  <c r="GF25" i="5"/>
  <c r="GF26" i="5"/>
  <c r="GF27" i="5"/>
  <c r="GF28" i="5"/>
  <c r="GF29" i="5"/>
  <c r="GF30" i="5"/>
  <c r="GF31" i="5"/>
  <c r="GF32" i="5"/>
  <c r="GF33" i="5"/>
  <c r="GF34" i="5"/>
  <c r="GF35" i="5"/>
  <c r="GF36" i="5"/>
  <c r="GF39" i="5"/>
  <c r="GF40" i="5"/>
  <c r="GF41" i="5"/>
  <c r="GF42" i="5"/>
  <c r="GF43" i="5"/>
  <c r="GF44" i="5"/>
  <c r="GF45" i="5"/>
  <c r="GF46" i="5"/>
  <c r="GF47" i="5"/>
  <c r="GF48" i="5"/>
  <c r="GF49" i="5"/>
  <c r="GF50" i="5"/>
  <c r="GF53" i="5"/>
  <c r="GF54" i="5"/>
  <c r="GF55" i="5"/>
  <c r="GF56" i="5"/>
  <c r="GF57" i="5"/>
  <c r="GF58" i="5"/>
  <c r="GF59" i="5"/>
  <c r="GF60" i="5"/>
  <c r="GF61" i="5"/>
  <c r="GF62" i="5"/>
  <c r="H66" i="8" s="1"/>
  <c r="FA3" i="5"/>
  <c r="FA6" i="5"/>
  <c r="FA7" i="5"/>
  <c r="FA8" i="5"/>
  <c r="FA9" i="5"/>
  <c r="FA10" i="5"/>
  <c r="FA11" i="5"/>
  <c r="FA12" i="5"/>
  <c r="FA13" i="5"/>
  <c r="FA14" i="5"/>
  <c r="FA17" i="5"/>
  <c r="FA18" i="5"/>
  <c r="FA19" i="5"/>
  <c r="FA20" i="5"/>
  <c r="FA21" i="5"/>
  <c r="FA24" i="5"/>
  <c r="FA25" i="5"/>
  <c r="FA26" i="5"/>
  <c r="FA27" i="5"/>
  <c r="FA28" i="5"/>
  <c r="FA29" i="5"/>
  <c r="FA30" i="5"/>
  <c r="FA31" i="5"/>
  <c r="FA32" i="5"/>
  <c r="FA33" i="5"/>
  <c r="FA34" i="5"/>
  <c r="FA35" i="5"/>
  <c r="FA36" i="5"/>
  <c r="FA39" i="5"/>
  <c r="FA40" i="5"/>
  <c r="FA41" i="5"/>
  <c r="FA42" i="5"/>
  <c r="FA43" i="5"/>
  <c r="FA44" i="5"/>
  <c r="IP44" i="5" s="1"/>
  <c r="FA45" i="5"/>
  <c r="IP45" i="5" s="1"/>
  <c r="FA46" i="5"/>
  <c r="FA47" i="5"/>
  <c r="FA48" i="5"/>
  <c r="FA49" i="5"/>
  <c r="FA50" i="5"/>
  <c r="FA53" i="5"/>
  <c r="FA54" i="5"/>
  <c r="FA55" i="5"/>
  <c r="FA56" i="5"/>
  <c r="FA57" i="5"/>
  <c r="FA58" i="5"/>
  <c r="FA59" i="5"/>
  <c r="FA60" i="5"/>
  <c r="FA61" i="5"/>
  <c r="FA62" i="5"/>
  <c r="DV3" i="5"/>
  <c r="DV6" i="5"/>
  <c r="DV7" i="5"/>
  <c r="DV8" i="5"/>
  <c r="DV9" i="5"/>
  <c r="DV10" i="5"/>
  <c r="DV11" i="5"/>
  <c r="DV12" i="5"/>
  <c r="DV13" i="5"/>
  <c r="DV14" i="5"/>
  <c r="DV17" i="5"/>
  <c r="DV18" i="5"/>
  <c r="DV19" i="5"/>
  <c r="DV20" i="5"/>
  <c r="DV21" i="5"/>
  <c r="DV24" i="5"/>
  <c r="DV25" i="5"/>
  <c r="DV26" i="5"/>
  <c r="DV27" i="5"/>
  <c r="DV28" i="5"/>
  <c r="DV29" i="5"/>
  <c r="DV30" i="5"/>
  <c r="DV31" i="5"/>
  <c r="DV32" i="5"/>
  <c r="DV33" i="5"/>
  <c r="DV34" i="5"/>
  <c r="DV35" i="5"/>
  <c r="DV36" i="5"/>
  <c r="DV39" i="5"/>
  <c r="DV40" i="5"/>
  <c r="DV41" i="5"/>
  <c r="DV42" i="5"/>
  <c r="DV43" i="5"/>
  <c r="DV44" i="5"/>
  <c r="DV45" i="5"/>
  <c r="DV46" i="5"/>
  <c r="DV47" i="5"/>
  <c r="DV48" i="5"/>
  <c r="IP48" i="5" s="1"/>
  <c r="DV49" i="5"/>
  <c r="DV50" i="5"/>
  <c r="DV53" i="5"/>
  <c r="DV54" i="5"/>
  <c r="DV55" i="5"/>
  <c r="DV56" i="5"/>
  <c r="DV57" i="5"/>
  <c r="DV58" i="5"/>
  <c r="DV59" i="5"/>
  <c r="DV60" i="5"/>
  <c r="DV61" i="5"/>
  <c r="DV62" i="5"/>
  <c r="CQ3" i="5"/>
  <c r="CQ6" i="5"/>
  <c r="CQ7" i="5"/>
  <c r="CQ8" i="5"/>
  <c r="CQ9" i="5"/>
  <c r="CQ10" i="5"/>
  <c r="CQ11" i="5"/>
  <c r="CQ12" i="5"/>
  <c r="CQ13" i="5"/>
  <c r="CQ14" i="5"/>
  <c r="CQ17" i="5"/>
  <c r="CQ18" i="5"/>
  <c r="CQ19" i="5"/>
  <c r="CQ20" i="5"/>
  <c r="CQ21" i="5"/>
  <c r="CQ24" i="5"/>
  <c r="CQ25" i="5"/>
  <c r="CQ26" i="5"/>
  <c r="CQ27" i="5"/>
  <c r="CQ28" i="5"/>
  <c r="CQ29" i="5"/>
  <c r="CQ30" i="5"/>
  <c r="CQ31" i="5"/>
  <c r="CQ32" i="5"/>
  <c r="CQ33" i="5"/>
  <c r="CQ34" i="5"/>
  <c r="CQ35" i="5"/>
  <c r="CQ36" i="5"/>
  <c r="CQ39" i="5"/>
  <c r="CQ40" i="5"/>
  <c r="CQ41" i="5"/>
  <c r="IP41" i="5" s="1"/>
  <c r="CQ42" i="5"/>
  <c r="CQ43" i="5"/>
  <c r="CQ44" i="5"/>
  <c r="CQ45" i="5"/>
  <c r="CQ46" i="5"/>
  <c r="CQ47" i="5"/>
  <c r="CQ48" i="5"/>
  <c r="CQ49" i="5"/>
  <c r="CQ50" i="5"/>
  <c r="CQ53" i="5"/>
  <c r="CQ54" i="5"/>
  <c r="CQ55" i="5"/>
  <c r="CQ56" i="5"/>
  <c r="CQ57" i="5"/>
  <c r="CQ58" i="5"/>
  <c r="CQ59" i="5"/>
  <c r="IP59" i="5" s="1"/>
  <c r="CQ60" i="5"/>
  <c r="CQ61" i="5"/>
  <c r="CQ62" i="5"/>
  <c r="BL3" i="5"/>
  <c r="BL6" i="5"/>
  <c r="BL7" i="5"/>
  <c r="BL8" i="5"/>
  <c r="BL9" i="5"/>
  <c r="BL10" i="5"/>
  <c r="BL11" i="5"/>
  <c r="BL12" i="5"/>
  <c r="BL13" i="5"/>
  <c r="BL14" i="5"/>
  <c r="BL17" i="5"/>
  <c r="BL18" i="5"/>
  <c r="BL19" i="5"/>
  <c r="BL20" i="5"/>
  <c r="BL21" i="5"/>
  <c r="BL24" i="5"/>
  <c r="BL25" i="5"/>
  <c r="BL26" i="5"/>
  <c r="BL27" i="5"/>
  <c r="BL28" i="5"/>
  <c r="BL29" i="5"/>
  <c r="BL30" i="5"/>
  <c r="BL31" i="5"/>
  <c r="BL32" i="5"/>
  <c r="BL33" i="5"/>
  <c r="BL34" i="5"/>
  <c r="BL35" i="5"/>
  <c r="BL36" i="5"/>
  <c r="BL39" i="5"/>
  <c r="BL40" i="5"/>
  <c r="BL41" i="5"/>
  <c r="BL42" i="5"/>
  <c r="BL43" i="5"/>
  <c r="BL44" i="5"/>
  <c r="BL45" i="5"/>
  <c r="BL46" i="5"/>
  <c r="BL47" i="5"/>
  <c r="BL48" i="5"/>
  <c r="BL49" i="5"/>
  <c r="BL50" i="5"/>
  <c r="BL53" i="5"/>
  <c r="BL54" i="5"/>
  <c r="BL55" i="5"/>
  <c r="BL56" i="5"/>
  <c r="BL57" i="5"/>
  <c r="BL58" i="5"/>
  <c r="BL59" i="5"/>
  <c r="BL60" i="5"/>
  <c r="BL61" i="5"/>
  <c r="BL62" i="5"/>
  <c r="AG3" i="5"/>
  <c r="AG6" i="5"/>
  <c r="AG7" i="5"/>
  <c r="AG8" i="5"/>
  <c r="AG9" i="5"/>
  <c r="AG10" i="5"/>
  <c r="AG11" i="5"/>
  <c r="AG12" i="5"/>
  <c r="AG13" i="5"/>
  <c r="AG14" i="5"/>
  <c r="AG17" i="5"/>
  <c r="AG18" i="5"/>
  <c r="AG19" i="5"/>
  <c r="AG20" i="5"/>
  <c r="AG21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3" i="5"/>
  <c r="AG54" i="5"/>
  <c r="AG55" i="5"/>
  <c r="AG56" i="5"/>
  <c r="AG57" i="5"/>
  <c r="AG58" i="5"/>
  <c r="AG59" i="5"/>
  <c r="AG60" i="5"/>
  <c r="AG61" i="5"/>
  <c r="AG62" i="5"/>
  <c r="AE5" i="7"/>
  <c r="E7" i="9" s="1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3" i="7"/>
  <c r="AE44" i="7"/>
  <c r="AE45" i="7"/>
  <c r="AE46" i="7"/>
  <c r="AE47" i="7"/>
  <c r="AE48" i="7"/>
  <c r="AE49" i="7"/>
  <c r="AE50" i="7"/>
  <c r="AE51" i="7"/>
  <c r="AE52" i="7"/>
  <c r="AE53" i="7"/>
  <c r="AE54" i="7"/>
  <c r="AE56" i="7"/>
  <c r="AE57" i="7"/>
  <c r="AE58" i="7"/>
  <c r="AE59" i="7"/>
  <c r="AE60" i="7"/>
  <c r="AE61" i="7"/>
  <c r="AE62" i="7"/>
  <c r="AE63" i="7"/>
  <c r="AE64" i="7"/>
  <c r="AE65" i="7"/>
  <c r="JT6" i="1"/>
  <c r="JT24" i="1"/>
  <c r="JT39" i="1"/>
  <c r="JT53" i="1"/>
  <c r="IO6" i="1"/>
  <c r="IO24" i="1"/>
  <c r="IO39" i="1"/>
  <c r="IO53" i="1"/>
  <c r="IX41" i="1"/>
  <c r="IY41" i="1"/>
  <c r="HJ6" i="1"/>
  <c r="HJ24" i="1"/>
  <c r="HJ39" i="1"/>
  <c r="HJ53" i="1"/>
  <c r="GE6" i="1"/>
  <c r="GE24" i="1"/>
  <c r="GD39" i="1"/>
  <c r="GE39" i="1"/>
  <c r="GE53" i="1"/>
  <c r="GF8" i="1"/>
  <c r="GG8" i="1"/>
  <c r="GH8" i="1"/>
  <c r="GI8" i="1"/>
  <c r="GJ8" i="1"/>
  <c r="GK8" i="1"/>
  <c r="GL8" i="1"/>
  <c r="GM8" i="1"/>
  <c r="GN8" i="1"/>
  <c r="GO8" i="1" s="1"/>
  <c r="EZ5" i="1"/>
  <c r="EZ8" i="1"/>
  <c r="EZ9" i="1"/>
  <c r="EZ10" i="1"/>
  <c r="EZ11" i="1"/>
  <c r="EZ12" i="1"/>
  <c r="EZ13" i="1"/>
  <c r="EZ14" i="1"/>
  <c r="EZ15" i="1"/>
  <c r="EZ16" i="1"/>
  <c r="EZ17" i="1"/>
  <c r="EZ18" i="1"/>
  <c r="EZ19" i="1"/>
  <c r="EZ20" i="1"/>
  <c r="EZ21" i="1"/>
  <c r="EZ22" i="1"/>
  <c r="EZ23" i="1"/>
  <c r="EZ26" i="1"/>
  <c r="EZ27" i="1"/>
  <c r="EZ28" i="1"/>
  <c r="EZ29" i="1"/>
  <c r="EZ30" i="1"/>
  <c r="EZ31" i="1"/>
  <c r="EZ32" i="1"/>
  <c r="EZ33" i="1"/>
  <c r="EZ34" i="1"/>
  <c r="EZ35" i="1"/>
  <c r="EZ36" i="1"/>
  <c r="EZ37" i="1"/>
  <c r="EZ38" i="1"/>
  <c r="EZ41" i="1"/>
  <c r="EZ42" i="1"/>
  <c r="EZ43" i="1"/>
  <c r="EZ44" i="1"/>
  <c r="EZ45" i="1"/>
  <c r="EZ46" i="1"/>
  <c r="EZ47" i="1"/>
  <c r="EZ48" i="1"/>
  <c r="EZ49" i="1"/>
  <c r="EZ50" i="1"/>
  <c r="EZ51" i="1"/>
  <c r="EZ52" i="1"/>
  <c r="EZ55" i="1"/>
  <c r="EZ56" i="1"/>
  <c r="EZ57" i="1"/>
  <c r="EZ58" i="1"/>
  <c r="EZ59" i="1"/>
  <c r="EZ60" i="1"/>
  <c r="EZ61" i="1"/>
  <c r="EZ62" i="1"/>
  <c r="EZ63" i="1"/>
  <c r="EZ64" i="1"/>
  <c r="DU6" i="1"/>
  <c r="DU24" i="1"/>
  <c r="DU39" i="1"/>
  <c r="DU53" i="1"/>
  <c r="CP6" i="1"/>
  <c r="CP24" i="1"/>
  <c r="CP39" i="1"/>
  <c r="CP53" i="1"/>
  <c r="BK6" i="1"/>
  <c r="BK24" i="1"/>
  <c r="BK39" i="1"/>
  <c r="BK53" i="1"/>
  <c r="C45" i="8" l="1"/>
  <c r="D40" i="8"/>
  <c r="E47" i="8"/>
  <c r="F44" i="8"/>
  <c r="G39" i="8"/>
  <c r="H46" i="8"/>
  <c r="IP47" i="5"/>
  <c r="I51" i="8"/>
  <c r="G20" i="8"/>
  <c r="C44" i="8"/>
  <c r="D49" i="8"/>
  <c r="E54" i="8"/>
  <c r="F51" i="8"/>
  <c r="G57" i="8"/>
  <c r="H62" i="8"/>
  <c r="IP46" i="5"/>
  <c r="I50" i="8"/>
  <c r="C51" i="8"/>
  <c r="D48" i="8"/>
  <c r="E53" i="8"/>
  <c r="F50" i="8"/>
  <c r="G47" i="8"/>
  <c r="H61" i="8"/>
  <c r="IP62" i="5"/>
  <c r="I66" i="8"/>
  <c r="IP17" i="5"/>
  <c r="I21" i="8"/>
  <c r="C59" i="8"/>
  <c r="C50" i="8"/>
  <c r="C40" i="8"/>
  <c r="C23" i="8"/>
  <c r="C13" i="8"/>
  <c r="D64" i="8"/>
  <c r="D47" i="8"/>
  <c r="D37" i="8"/>
  <c r="D29" i="8"/>
  <c r="D18" i="8"/>
  <c r="D10" i="8"/>
  <c r="E61" i="8"/>
  <c r="E52" i="8"/>
  <c r="E44" i="8"/>
  <c r="E34" i="8"/>
  <c r="E25" i="8"/>
  <c r="E15" i="8"/>
  <c r="F66" i="8"/>
  <c r="F58" i="8"/>
  <c r="F49" i="8"/>
  <c r="F39" i="8"/>
  <c r="F31" i="8"/>
  <c r="F22" i="8"/>
  <c r="F12" i="8"/>
  <c r="G63" i="8"/>
  <c r="G54" i="8"/>
  <c r="G46" i="8"/>
  <c r="G36" i="8"/>
  <c r="G28" i="8"/>
  <c r="G17" i="8"/>
  <c r="H60" i="8"/>
  <c r="H51" i="8"/>
  <c r="H43" i="8"/>
  <c r="H33" i="8"/>
  <c r="H24" i="8"/>
  <c r="H14" i="8"/>
  <c r="IP61" i="5"/>
  <c r="I65" i="8"/>
  <c r="IP53" i="5"/>
  <c r="I57" i="8"/>
  <c r="I48" i="8"/>
  <c r="IP34" i="5"/>
  <c r="I38" i="8"/>
  <c r="IP26" i="5"/>
  <c r="I30" i="8"/>
  <c r="IP14" i="5"/>
  <c r="I18" i="8"/>
  <c r="IP6" i="5"/>
  <c r="I10" i="8"/>
  <c r="C19" i="8"/>
  <c r="D59" i="8"/>
  <c r="D23" i="8"/>
  <c r="E37" i="8"/>
  <c r="F61" i="8"/>
  <c r="F34" i="8"/>
  <c r="G58" i="8"/>
  <c r="G12" i="8"/>
  <c r="H36" i="8"/>
  <c r="IP56" i="5"/>
  <c r="I60" i="8"/>
  <c r="IP9" i="5"/>
  <c r="I13" i="8"/>
  <c r="C34" i="8"/>
  <c r="D66" i="8"/>
  <c r="D22" i="8"/>
  <c r="E36" i="8"/>
  <c r="F60" i="8"/>
  <c r="F14" i="8"/>
  <c r="G38" i="8"/>
  <c r="H45" i="8"/>
  <c r="I59" i="8"/>
  <c r="IP8" i="5"/>
  <c r="I12" i="8"/>
  <c r="E19" i="8"/>
  <c r="C60" i="8"/>
  <c r="C14" i="8"/>
  <c r="D21" i="8"/>
  <c r="E35" i="8"/>
  <c r="F59" i="8"/>
  <c r="F13" i="8"/>
  <c r="G29" i="8"/>
  <c r="H44" i="8"/>
  <c r="H15" i="8"/>
  <c r="IP27" i="5"/>
  <c r="I31" i="8"/>
  <c r="H19" i="8"/>
  <c r="C32" i="8"/>
  <c r="C66" i="8"/>
  <c r="C58" i="8"/>
  <c r="C49" i="8"/>
  <c r="C39" i="8"/>
  <c r="C31" i="8"/>
  <c r="C22" i="8"/>
  <c r="C12" i="8"/>
  <c r="D63" i="8"/>
  <c r="D54" i="8"/>
  <c r="D46" i="8"/>
  <c r="D36" i="8"/>
  <c r="D28" i="8"/>
  <c r="D17" i="8"/>
  <c r="E60" i="8"/>
  <c r="E51" i="8"/>
  <c r="E43" i="8"/>
  <c r="E33" i="8"/>
  <c r="E24" i="8"/>
  <c r="E14" i="8"/>
  <c r="F65" i="8"/>
  <c r="F57" i="8"/>
  <c r="F48" i="8"/>
  <c r="F38" i="8"/>
  <c r="F30" i="8"/>
  <c r="F21" i="8"/>
  <c r="F11" i="8"/>
  <c r="G62" i="8"/>
  <c r="G53" i="8"/>
  <c r="G45" i="8"/>
  <c r="G35" i="8"/>
  <c r="G16" i="8"/>
  <c r="G7" i="8"/>
  <c r="H59" i="8"/>
  <c r="H50" i="8"/>
  <c r="H40" i="8"/>
  <c r="H32" i="8"/>
  <c r="H23" i="8"/>
  <c r="H13" i="8"/>
  <c r="IP60" i="5"/>
  <c r="I64" i="8"/>
  <c r="IP43" i="5"/>
  <c r="I47" i="8"/>
  <c r="IP33" i="5"/>
  <c r="I37" i="8"/>
  <c r="IP25" i="5"/>
  <c r="I29" i="8"/>
  <c r="IP13" i="5"/>
  <c r="I17" i="8"/>
  <c r="IP3" i="5"/>
  <c r="I7" i="8"/>
  <c r="IP40" i="5"/>
  <c r="F19" i="8"/>
  <c r="I19" i="8"/>
  <c r="E20" i="8"/>
  <c r="IP16" i="5"/>
  <c r="I20" i="8"/>
  <c r="C53" i="8"/>
  <c r="C7" i="8"/>
  <c r="E64" i="8"/>
  <c r="E18" i="8"/>
  <c r="F15" i="8"/>
  <c r="G22" i="8"/>
  <c r="H28" i="8"/>
  <c r="IP29" i="5"/>
  <c r="I33" i="8"/>
  <c r="D58" i="8"/>
  <c r="E46" i="8"/>
  <c r="F33" i="8"/>
  <c r="G30" i="8"/>
  <c r="H35" i="8"/>
  <c r="IP36" i="5"/>
  <c r="I40" i="8"/>
  <c r="C24" i="8"/>
  <c r="D30" i="8"/>
  <c r="F32" i="8"/>
  <c r="G37" i="8"/>
  <c r="H52" i="8"/>
  <c r="IP54" i="5"/>
  <c r="I58" i="8"/>
  <c r="IP7" i="5"/>
  <c r="I11" i="8"/>
  <c r="EZ53" i="1"/>
  <c r="C65" i="8"/>
  <c r="C57" i="8"/>
  <c r="C48" i="8"/>
  <c r="C38" i="8"/>
  <c r="C30" i="8"/>
  <c r="C21" i="8"/>
  <c r="C11" i="8"/>
  <c r="D62" i="8"/>
  <c r="D53" i="8"/>
  <c r="D45" i="8"/>
  <c r="D35" i="8"/>
  <c r="D16" i="8"/>
  <c r="D7" i="8"/>
  <c r="E59" i="8"/>
  <c r="E50" i="8"/>
  <c r="E40" i="8"/>
  <c r="E32" i="8"/>
  <c r="E23" i="8"/>
  <c r="E13" i="8"/>
  <c r="F64" i="8"/>
  <c r="F47" i="8"/>
  <c r="F37" i="8"/>
  <c r="F29" i="8"/>
  <c r="F18" i="8"/>
  <c r="F10" i="8"/>
  <c r="G61" i="8"/>
  <c r="G52" i="8"/>
  <c r="G44" i="8"/>
  <c r="G34" i="8"/>
  <c r="G25" i="8"/>
  <c r="G15" i="8"/>
  <c r="H58" i="8"/>
  <c r="H49" i="8"/>
  <c r="H39" i="8"/>
  <c r="H31" i="8"/>
  <c r="H22" i="8"/>
  <c r="H12" i="8"/>
  <c r="I63" i="8"/>
  <c r="IP50" i="5"/>
  <c r="I54" i="8"/>
  <c r="IP42" i="5"/>
  <c r="I46" i="8"/>
  <c r="IP32" i="5"/>
  <c r="I36" i="8"/>
  <c r="IP24" i="5"/>
  <c r="I28" i="8"/>
  <c r="IP12" i="5"/>
  <c r="I16" i="8"/>
  <c r="C62" i="8"/>
  <c r="C16" i="8"/>
  <c r="D32" i="8"/>
  <c r="E10" i="8"/>
  <c r="G66" i="8"/>
  <c r="G31" i="8"/>
  <c r="H54" i="8"/>
  <c r="H17" i="8"/>
  <c r="IP39" i="5"/>
  <c r="I43" i="8"/>
  <c r="C52" i="8"/>
  <c r="C15" i="8"/>
  <c r="D31" i="8"/>
  <c r="E63" i="8"/>
  <c r="E17" i="8"/>
  <c r="F43" i="8"/>
  <c r="G65" i="8"/>
  <c r="G21" i="8"/>
  <c r="H53" i="8"/>
  <c r="H7" i="8"/>
  <c r="IP18" i="5"/>
  <c r="I22" i="8"/>
  <c r="C43" i="8"/>
  <c r="D57" i="8"/>
  <c r="D11" i="8"/>
  <c r="E45" i="8"/>
  <c r="E7" i="8"/>
  <c r="F23" i="8"/>
  <c r="G10" i="8"/>
  <c r="H34" i="8"/>
  <c r="I49" i="8"/>
  <c r="D20" i="8"/>
  <c r="C64" i="8"/>
  <c r="C47" i="8"/>
  <c r="C37" i="8"/>
  <c r="C29" i="8"/>
  <c r="C18" i="8"/>
  <c r="C10" i="8"/>
  <c r="D61" i="8"/>
  <c r="D52" i="8"/>
  <c r="D44" i="8"/>
  <c r="D34" i="8"/>
  <c r="D25" i="8"/>
  <c r="D15" i="8"/>
  <c r="E66" i="8"/>
  <c r="E58" i="8"/>
  <c r="E49" i="8"/>
  <c r="E39" i="8"/>
  <c r="E31" i="8"/>
  <c r="E22" i="8"/>
  <c r="E12" i="8"/>
  <c r="F63" i="8"/>
  <c r="F54" i="8"/>
  <c r="F46" i="8"/>
  <c r="F36" i="8"/>
  <c r="F28" i="8"/>
  <c r="F17" i="8"/>
  <c r="G60" i="8"/>
  <c r="G51" i="8"/>
  <c r="G43" i="8"/>
  <c r="G33" i="8"/>
  <c r="G24" i="8"/>
  <c r="G14" i="8"/>
  <c r="H65" i="8"/>
  <c r="H57" i="8"/>
  <c r="H48" i="8"/>
  <c r="H38" i="8"/>
  <c r="H30" i="8"/>
  <c r="H21" i="8"/>
  <c r="H11" i="8"/>
  <c r="IP58" i="5"/>
  <c r="I62" i="8"/>
  <c r="I53" i="8"/>
  <c r="I45" i="8"/>
  <c r="IP31" i="5"/>
  <c r="I35" i="8"/>
  <c r="IP21" i="5"/>
  <c r="I25" i="8"/>
  <c r="IP11" i="5"/>
  <c r="I15" i="8"/>
  <c r="IP55" i="5"/>
  <c r="D19" i="8"/>
  <c r="F20" i="8"/>
  <c r="C35" i="8"/>
  <c r="D50" i="8"/>
  <c r="D13" i="8"/>
  <c r="E29" i="8"/>
  <c r="F52" i="8"/>
  <c r="F25" i="8"/>
  <c r="G49" i="8"/>
  <c r="H63" i="8"/>
  <c r="IP19" i="5"/>
  <c r="I23" i="8"/>
  <c r="C61" i="8"/>
  <c r="C25" i="8"/>
  <c r="D39" i="8"/>
  <c r="D12" i="8"/>
  <c r="E28" i="8"/>
  <c r="F24" i="8"/>
  <c r="G48" i="8"/>
  <c r="G11" i="8"/>
  <c r="H16" i="8"/>
  <c r="IP28" i="5"/>
  <c r="I32" i="8"/>
  <c r="C33" i="8"/>
  <c r="D65" i="8"/>
  <c r="D38" i="8"/>
  <c r="E62" i="8"/>
  <c r="E16" i="8"/>
  <c r="F40" i="8"/>
  <c r="G64" i="8"/>
  <c r="G18" i="8"/>
  <c r="H25" i="8"/>
  <c r="IP35" i="5"/>
  <c r="I39" i="8"/>
  <c r="H20" i="8"/>
  <c r="EZ39" i="1"/>
  <c r="C63" i="8"/>
  <c r="C54" i="8"/>
  <c r="C46" i="8"/>
  <c r="C36" i="8"/>
  <c r="C28" i="8"/>
  <c r="C17" i="8"/>
  <c r="D60" i="8"/>
  <c r="D51" i="8"/>
  <c r="D43" i="8"/>
  <c r="D33" i="8"/>
  <c r="D24" i="8"/>
  <c r="D14" i="8"/>
  <c r="E65" i="8"/>
  <c r="E57" i="8"/>
  <c r="E48" i="8"/>
  <c r="E38" i="8"/>
  <c r="E30" i="8"/>
  <c r="E21" i="8"/>
  <c r="E11" i="8"/>
  <c r="F62" i="8"/>
  <c r="F53" i="8"/>
  <c r="F45" i="8"/>
  <c r="F35" i="8"/>
  <c r="F16" i="8"/>
  <c r="F7" i="8"/>
  <c r="G59" i="8"/>
  <c r="G50" i="8"/>
  <c r="G40" i="8"/>
  <c r="G32" i="8"/>
  <c r="G23" i="8"/>
  <c r="G13" i="8"/>
  <c r="H64" i="8"/>
  <c r="H47" i="8"/>
  <c r="H37" i="8"/>
  <c r="H29" i="8"/>
  <c r="H18" i="8"/>
  <c r="H10" i="8"/>
  <c r="IP57" i="5"/>
  <c r="I61" i="8"/>
  <c r="I52" i="8"/>
  <c r="I44" i="8"/>
  <c r="IP30" i="5"/>
  <c r="I34" i="8"/>
  <c r="IP20" i="5"/>
  <c r="I24" i="8"/>
  <c r="IP10" i="5"/>
  <c r="I14" i="8"/>
  <c r="IP49" i="5"/>
  <c r="G19" i="8"/>
  <c r="C20" i="8"/>
  <c r="G53" i="9"/>
  <c r="E53" i="9"/>
  <c r="AT53" i="7"/>
  <c r="I53" i="9" s="1"/>
  <c r="G65" i="9"/>
  <c r="E65" i="9"/>
  <c r="AT64" i="7"/>
  <c r="I65" i="9" s="1"/>
  <c r="G57" i="9"/>
  <c r="E57" i="9"/>
  <c r="AT56" i="7"/>
  <c r="I57" i="9" s="1"/>
  <c r="E51" i="9"/>
  <c r="G51" i="9"/>
  <c r="AT51" i="7"/>
  <c r="I51" i="9" s="1"/>
  <c r="E43" i="9"/>
  <c r="G43" i="9"/>
  <c r="AT43" i="7"/>
  <c r="I43" i="9" s="1"/>
  <c r="E37" i="9"/>
  <c r="G37" i="9"/>
  <c r="AT38" i="7"/>
  <c r="I37" i="9" s="1"/>
  <c r="E29" i="9"/>
  <c r="G29" i="9"/>
  <c r="AT30" i="7"/>
  <c r="I29" i="9" s="1"/>
  <c r="G23" i="9"/>
  <c r="E23" i="9"/>
  <c r="AT25" i="7"/>
  <c r="I23" i="9" s="1"/>
  <c r="G19" i="9"/>
  <c r="E19" i="9"/>
  <c r="AT21" i="7"/>
  <c r="I19" i="9" s="1"/>
  <c r="G15" i="9"/>
  <c r="E15" i="9"/>
  <c r="AT17" i="7"/>
  <c r="I15" i="9" s="1"/>
  <c r="G11" i="9"/>
  <c r="E11" i="9"/>
  <c r="AT13" i="7"/>
  <c r="I11" i="9" s="1"/>
  <c r="E64" i="9"/>
  <c r="G64" i="9"/>
  <c r="AT63" i="7"/>
  <c r="I64" i="9" s="1"/>
  <c r="E60" i="9"/>
  <c r="G60" i="9"/>
  <c r="AT59" i="7"/>
  <c r="I60" i="9" s="1"/>
  <c r="E54" i="9"/>
  <c r="G54" i="9"/>
  <c r="AT54" i="7"/>
  <c r="I54" i="9" s="1"/>
  <c r="E50" i="9"/>
  <c r="G50" i="9"/>
  <c r="AT50" i="7"/>
  <c r="I50" i="9" s="1"/>
  <c r="E46" i="9"/>
  <c r="G46" i="9"/>
  <c r="AT46" i="7"/>
  <c r="I46" i="9" s="1"/>
  <c r="G40" i="9"/>
  <c r="E40" i="9"/>
  <c r="AT41" i="7"/>
  <c r="I40" i="9" s="1"/>
  <c r="G36" i="9"/>
  <c r="E36" i="9"/>
  <c r="AT37" i="7"/>
  <c r="I36" i="9" s="1"/>
  <c r="G32" i="9"/>
  <c r="E32" i="9"/>
  <c r="AT33" i="7"/>
  <c r="I32" i="9" s="1"/>
  <c r="G28" i="9"/>
  <c r="E28" i="9"/>
  <c r="AT29" i="7"/>
  <c r="I28" i="9" s="1"/>
  <c r="G22" i="9"/>
  <c r="E22" i="9"/>
  <c r="AT24" i="7"/>
  <c r="I22" i="9" s="1"/>
  <c r="G18" i="9"/>
  <c r="E18" i="9"/>
  <c r="AT20" i="7"/>
  <c r="I18" i="9" s="1"/>
  <c r="G14" i="9"/>
  <c r="E14" i="9"/>
  <c r="AT16" i="7"/>
  <c r="I14" i="9" s="1"/>
  <c r="G10" i="9"/>
  <c r="E10" i="9"/>
  <c r="AT12" i="7"/>
  <c r="I10" i="9" s="1"/>
  <c r="E63" i="9"/>
  <c r="G63" i="9"/>
  <c r="AT62" i="7"/>
  <c r="I63" i="9" s="1"/>
  <c r="G49" i="9"/>
  <c r="E49" i="9"/>
  <c r="AT49" i="7"/>
  <c r="I49" i="9" s="1"/>
  <c r="G45" i="9"/>
  <c r="E45" i="9"/>
  <c r="AT45" i="7"/>
  <c r="I45" i="9" s="1"/>
  <c r="G39" i="9"/>
  <c r="E39" i="9"/>
  <c r="AT40" i="7"/>
  <c r="I39" i="9" s="1"/>
  <c r="G35" i="9"/>
  <c r="E35" i="9"/>
  <c r="AT36" i="7"/>
  <c r="I35" i="9" s="1"/>
  <c r="G31" i="9"/>
  <c r="E31" i="9"/>
  <c r="AT32" i="7"/>
  <c r="I31" i="9" s="1"/>
  <c r="E25" i="9"/>
  <c r="G25" i="9"/>
  <c r="AT27" i="7"/>
  <c r="I25" i="9" s="1"/>
  <c r="E21" i="9"/>
  <c r="G21" i="9"/>
  <c r="AT23" i="7"/>
  <c r="I21" i="9" s="1"/>
  <c r="E17" i="9"/>
  <c r="G17" i="9"/>
  <c r="AT19" i="7"/>
  <c r="I17" i="9" s="1"/>
  <c r="E13" i="9"/>
  <c r="G13" i="9"/>
  <c r="AT15" i="7"/>
  <c r="I13" i="9" s="1"/>
  <c r="G66" i="9"/>
  <c r="E66" i="9"/>
  <c r="AT65" i="7"/>
  <c r="I66" i="9" s="1"/>
  <c r="G62" i="9"/>
  <c r="E62" i="9"/>
  <c r="AT61" i="7"/>
  <c r="I62" i="9" s="1"/>
  <c r="G58" i="9"/>
  <c r="E58" i="9"/>
  <c r="AT57" i="7"/>
  <c r="I58" i="9" s="1"/>
  <c r="G52" i="9"/>
  <c r="E52" i="9"/>
  <c r="AT52" i="7"/>
  <c r="I52" i="9" s="1"/>
  <c r="G48" i="9"/>
  <c r="E48" i="9"/>
  <c r="AT48" i="7"/>
  <c r="I48" i="9" s="1"/>
  <c r="G44" i="9"/>
  <c r="E44" i="9"/>
  <c r="AT44" i="7"/>
  <c r="I44" i="9" s="1"/>
  <c r="E38" i="9"/>
  <c r="G38" i="9"/>
  <c r="AT39" i="7"/>
  <c r="I38" i="9" s="1"/>
  <c r="E34" i="9"/>
  <c r="G34" i="9"/>
  <c r="AT35" i="7"/>
  <c r="I34" i="9" s="1"/>
  <c r="E30" i="9"/>
  <c r="G30" i="9"/>
  <c r="AT31" i="7"/>
  <c r="I30" i="9" s="1"/>
  <c r="E24" i="9"/>
  <c r="G24" i="9"/>
  <c r="AT26" i="7"/>
  <c r="I24" i="9" s="1"/>
  <c r="E20" i="9"/>
  <c r="G20" i="9"/>
  <c r="AT22" i="7"/>
  <c r="I20" i="9" s="1"/>
  <c r="E16" i="9"/>
  <c r="G16" i="9"/>
  <c r="AT18" i="7"/>
  <c r="I16" i="9" s="1"/>
  <c r="E12" i="9"/>
  <c r="G12" i="9"/>
  <c r="AT14" i="7"/>
  <c r="I12" i="9" s="1"/>
  <c r="E59" i="9"/>
  <c r="G59" i="9"/>
  <c r="AT58" i="7"/>
  <c r="I59" i="9" s="1"/>
  <c r="G61" i="9"/>
  <c r="E61" i="9"/>
  <c r="AT60" i="7"/>
  <c r="I61" i="9" s="1"/>
  <c r="E47" i="9"/>
  <c r="G47" i="9"/>
  <c r="AT47" i="7"/>
  <c r="I47" i="9" s="1"/>
  <c r="E33" i="9"/>
  <c r="G33" i="9"/>
  <c r="AT34" i="7"/>
  <c r="I33" i="9" s="1"/>
  <c r="IP15" i="5"/>
  <c r="EZ24" i="1"/>
  <c r="EZ6" i="1"/>
  <c r="AF53" i="1" l="1"/>
  <c r="AF39" i="1"/>
  <c r="AF24" i="1"/>
  <c r="AF6" i="1"/>
  <c r="AG8" i="1"/>
  <c r="AH8" i="1"/>
  <c r="AI8" i="1"/>
  <c r="AJ8" i="1"/>
  <c r="AK8" i="1"/>
  <c r="AL8" i="1"/>
  <c r="AM8" i="1"/>
  <c r="AN8" i="1"/>
  <c r="AO8" i="1"/>
  <c r="AP8" i="1" s="1"/>
  <c r="C8" i="9" l="1"/>
  <c r="AE6" i="7"/>
  <c r="CQ4" i="5"/>
  <c r="GF4" i="5"/>
  <c r="FA4" i="5"/>
  <c r="DV4" i="5"/>
  <c r="AG4" i="5"/>
  <c r="BL4" i="5"/>
  <c r="HK4" i="5"/>
  <c r="C55" i="9"/>
  <c r="AE10" i="7"/>
  <c r="FA51" i="5"/>
  <c r="CQ51" i="5"/>
  <c r="AG51" i="5"/>
  <c r="BL51" i="5"/>
  <c r="HK51" i="5"/>
  <c r="GF51" i="5"/>
  <c r="DV51" i="5"/>
  <c r="C26" i="9"/>
  <c r="GF22" i="5"/>
  <c r="AE8" i="7"/>
  <c r="AG22" i="5"/>
  <c r="CQ22" i="5"/>
  <c r="BL22" i="5"/>
  <c r="FA22" i="5"/>
  <c r="HK22" i="5"/>
  <c r="DV22" i="5"/>
  <c r="C41" i="9"/>
  <c r="AE9" i="7"/>
  <c r="FA37" i="5"/>
  <c r="BL37" i="5"/>
  <c r="GF37" i="5"/>
  <c r="DV37" i="5"/>
  <c r="AG37" i="5"/>
  <c r="HK37" i="5"/>
  <c r="CQ37" i="5"/>
  <c r="AD65" i="7"/>
  <c r="AD64" i="7"/>
  <c r="AD63" i="7"/>
  <c r="AD62" i="7"/>
  <c r="AD61" i="7"/>
  <c r="AD60" i="7"/>
  <c r="AD59" i="7"/>
  <c r="AD58" i="7"/>
  <c r="AD57" i="7"/>
  <c r="AD56" i="7"/>
  <c r="AD54" i="7"/>
  <c r="AD53" i="7"/>
  <c r="AD52" i="7"/>
  <c r="AD51" i="7"/>
  <c r="AD50" i="7"/>
  <c r="AD49" i="7"/>
  <c r="AD48" i="7"/>
  <c r="AD47" i="7"/>
  <c r="AD46" i="7"/>
  <c r="AD45" i="7"/>
  <c r="AD44" i="7"/>
  <c r="AD43" i="7"/>
  <c r="AD41" i="7"/>
  <c r="AD40" i="7"/>
  <c r="AD39" i="7"/>
  <c r="AD38" i="7"/>
  <c r="AD37" i="7"/>
  <c r="AD36" i="7"/>
  <c r="AD35" i="7"/>
  <c r="AD34" i="7"/>
  <c r="AD33" i="7"/>
  <c r="AD32" i="7"/>
  <c r="AD31" i="7"/>
  <c r="AD30" i="7"/>
  <c r="AD29" i="7"/>
  <c r="AD27" i="7"/>
  <c r="AD26" i="7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2" i="7"/>
  <c r="AD5" i="7"/>
  <c r="E41" i="8" l="1"/>
  <c r="IP37" i="5"/>
  <c r="G26" i="9"/>
  <c r="E26" i="9"/>
  <c r="C55" i="8"/>
  <c r="C8" i="8"/>
  <c r="I41" i="8"/>
  <c r="H26" i="8"/>
  <c r="E55" i="8"/>
  <c r="F8" i="8"/>
  <c r="G8" i="8"/>
  <c r="H41" i="8"/>
  <c r="G26" i="8"/>
  <c r="F55" i="8"/>
  <c r="E8" i="8"/>
  <c r="C41" i="8"/>
  <c r="G55" i="8"/>
  <c r="F41" i="8"/>
  <c r="E55" i="9"/>
  <c r="G55" i="9"/>
  <c r="H8" i="8"/>
  <c r="D41" i="8"/>
  <c r="D26" i="8"/>
  <c r="H55" i="8"/>
  <c r="G8" i="9"/>
  <c r="E8" i="9"/>
  <c r="F26" i="8"/>
  <c r="IP22" i="5"/>
  <c r="I26" i="8"/>
  <c r="G41" i="8"/>
  <c r="E26" i="8"/>
  <c r="IP51" i="5"/>
  <c r="I55" i="8"/>
  <c r="IP4" i="5"/>
  <c r="I8" i="8"/>
  <c r="E41" i="9"/>
  <c r="G41" i="9"/>
  <c r="C26" i="8"/>
  <c r="D55" i="8"/>
  <c r="D8" i="8"/>
  <c r="AS15" i="7"/>
  <c r="AS18" i="7"/>
  <c r="AS26" i="7"/>
  <c r="AS40" i="7"/>
  <c r="AS49" i="7"/>
  <c r="AS50" i="7"/>
  <c r="AS17" i="7"/>
  <c r="AS45" i="7"/>
  <c r="AS62" i="7"/>
  <c r="AS27" i="7"/>
  <c r="AS25" i="7"/>
  <c r="AS34" i="7"/>
  <c r="AS56" i="7"/>
  <c r="AS60" i="7"/>
  <c r="AS64" i="7"/>
  <c r="AS13" i="7"/>
  <c r="AS21" i="7"/>
  <c r="AS30" i="7"/>
  <c r="AS38" i="7"/>
  <c r="AS43" i="7"/>
  <c r="AS47" i="7"/>
  <c r="AS51" i="7"/>
  <c r="AS24" i="7"/>
  <c r="AS14" i="7"/>
  <c r="AS22" i="7"/>
  <c r="AS31" i="7"/>
  <c r="AS35" i="7"/>
  <c r="AS39" i="7"/>
  <c r="AS44" i="7"/>
  <c r="AS48" i="7"/>
  <c r="AS52" i="7"/>
  <c r="AS57" i="7"/>
  <c r="AS61" i="7"/>
  <c r="AS65" i="7"/>
  <c r="AS32" i="7"/>
  <c r="AS19" i="7"/>
  <c r="AS36" i="7"/>
  <c r="AS53" i="7"/>
  <c r="AS12" i="7"/>
  <c r="AS16" i="7"/>
  <c r="AS20" i="7"/>
  <c r="AS29" i="7"/>
  <c r="AS33" i="7"/>
  <c r="AS37" i="7"/>
  <c r="AS41" i="7"/>
  <c r="AS46" i="7"/>
  <c r="AS54" i="7"/>
  <c r="AS59" i="7"/>
  <c r="AS63" i="7"/>
  <c r="AS23" i="7"/>
  <c r="AS58" i="7"/>
  <c r="HJ3" i="5" l="1"/>
  <c r="HJ6" i="5"/>
  <c r="HJ7" i="5"/>
  <c r="HJ8" i="5"/>
  <c r="HJ9" i="5"/>
  <c r="HJ10" i="5"/>
  <c r="HJ11" i="5"/>
  <c r="HJ12" i="5"/>
  <c r="HJ13" i="5"/>
  <c r="HJ14" i="5"/>
  <c r="HJ17" i="5"/>
  <c r="HJ18" i="5"/>
  <c r="HJ19" i="5"/>
  <c r="HJ20" i="5"/>
  <c r="HJ21" i="5"/>
  <c r="HJ24" i="5"/>
  <c r="HJ25" i="5"/>
  <c r="HJ26" i="5"/>
  <c r="HJ27" i="5"/>
  <c r="HJ28" i="5"/>
  <c r="HJ29" i="5"/>
  <c r="HJ30" i="5"/>
  <c r="HJ31" i="5"/>
  <c r="HJ32" i="5"/>
  <c r="HJ33" i="5"/>
  <c r="HJ34" i="5"/>
  <c r="HJ35" i="5"/>
  <c r="HJ36" i="5"/>
  <c r="HJ39" i="5"/>
  <c r="HJ40" i="5"/>
  <c r="HJ41" i="5"/>
  <c r="HJ42" i="5"/>
  <c r="HJ43" i="5"/>
  <c r="HJ44" i="5"/>
  <c r="HJ45" i="5"/>
  <c r="HJ46" i="5"/>
  <c r="HJ47" i="5"/>
  <c r="HJ48" i="5"/>
  <c r="HJ49" i="5"/>
  <c r="HJ50" i="5"/>
  <c r="HJ53" i="5"/>
  <c r="HJ54" i="5"/>
  <c r="HJ55" i="5"/>
  <c r="HJ56" i="5"/>
  <c r="HJ57" i="5"/>
  <c r="HJ58" i="5"/>
  <c r="HJ59" i="5"/>
  <c r="HJ60" i="5"/>
  <c r="HJ61" i="5"/>
  <c r="HJ62" i="5"/>
  <c r="GE3" i="5"/>
  <c r="GE6" i="5"/>
  <c r="GE7" i="5"/>
  <c r="GE8" i="5"/>
  <c r="GE9" i="5"/>
  <c r="GE10" i="5"/>
  <c r="GE11" i="5"/>
  <c r="GE12" i="5"/>
  <c r="GE13" i="5"/>
  <c r="GE14" i="5"/>
  <c r="GE17" i="5"/>
  <c r="GE18" i="5"/>
  <c r="GE19" i="5"/>
  <c r="GE20" i="5"/>
  <c r="GE21" i="5"/>
  <c r="GE24" i="5"/>
  <c r="GE25" i="5"/>
  <c r="GE26" i="5"/>
  <c r="GE27" i="5"/>
  <c r="GE28" i="5"/>
  <c r="GE29" i="5"/>
  <c r="GE30" i="5"/>
  <c r="GE31" i="5"/>
  <c r="GE32" i="5"/>
  <c r="GE33" i="5"/>
  <c r="GE34" i="5"/>
  <c r="GE35" i="5"/>
  <c r="GE36" i="5"/>
  <c r="GE39" i="5"/>
  <c r="GE40" i="5"/>
  <c r="GE41" i="5"/>
  <c r="GE42" i="5"/>
  <c r="GE43" i="5"/>
  <c r="GE44" i="5"/>
  <c r="GE45" i="5"/>
  <c r="GE46" i="5"/>
  <c r="GE47" i="5"/>
  <c r="GE48" i="5"/>
  <c r="GE49" i="5"/>
  <c r="GE50" i="5"/>
  <c r="GE53" i="5"/>
  <c r="GE54" i="5"/>
  <c r="GE55" i="5"/>
  <c r="GE56" i="5"/>
  <c r="GE57" i="5"/>
  <c r="GE58" i="5"/>
  <c r="GE59" i="5"/>
  <c r="GE60" i="5"/>
  <c r="GE61" i="5"/>
  <c r="GE62" i="5"/>
  <c r="EZ3" i="5"/>
  <c r="EZ6" i="5"/>
  <c r="EZ7" i="5"/>
  <c r="EZ8" i="5"/>
  <c r="EZ9" i="5"/>
  <c r="EZ10" i="5"/>
  <c r="EZ11" i="5"/>
  <c r="EZ12" i="5"/>
  <c r="EZ13" i="5"/>
  <c r="EZ14" i="5"/>
  <c r="EZ17" i="5"/>
  <c r="EZ18" i="5"/>
  <c r="EZ19" i="5"/>
  <c r="EZ20" i="5"/>
  <c r="EZ21" i="5"/>
  <c r="EZ24" i="5"/>
  <c r="EZ25" i="5"/>
  <c r="EZ26" i="5"/>
  <c r="EZ27" i="5"/>
  <c r="EZ28" i="5"/>
  <c r="EZ29" i="5"/>
  <c r="EZ30" i="5"/>
  <c r="EZ31" i="5"/>
  <c r="EZ32" i="5"/>
  <c r="EZ33" i="5"/>
  <c r="EZ34" i="5"/>
  <c r="EZ35" i="5"/>
  <c r="EZ36" i="5"/>
  <c r="EZ39" i="5"/>
  <c r="EZ40" i="5"/>
  <c r="EZ41" i="5"/>
  <c r="EZ42" i="5"/>
  <c r="EZ43" i="5"/>
  <c r="EZ44" i="5"/>
  <c r="EZ45" i="5"/>
  <c r="EZ46" i="5"/>
  <c r="EZ47" i="5"/>
  <c r="EZ48" i="5"/>
  <c r="EZ49" i="5"/>
  <c r="EZ50" i="5"/>
  <c r="EZ53" i="5"/>
  <c r="EZ54" i="5"/>
  <c r="EZ55" i="5"/>
  <c r="EZ56" i="5"/>
  <c r="EZ57" i="5"/>
  <c r="EZ58" i="5"/>
  <c r="EZ59" i="5"/>
  <c r="EZ60" i="5"/>
  <c r="EZ61" i="5"/>
  <c r="EZ62" i="5"/>
  <c r="DU3" i="5"/>
  <c r="DU6" i="5"/>
  <c r="DU7" i="5"/>
  <c r="DU8" i="5"/>
  <c r="DU9" i="5"/>
  <c r="DU10" i="5"/>
  <c r="DU11" i="5"/>
  <c r="DU12" i="5"/>
  <c r="DU13" i="5"/>
  <c r="DU14" i="5"/>
  <c r="DU17" i="5"/>
  <c r="DU18" i="5"/>
  <c r="DU19" i="5"/>
  <c r="DU20" i="5"/>
  <c r="DU21" i="5"/>
  <c r="DU24" i="5"/>
  <c r="DU25" i="5"/>
  <c r="DU26" i="5"/>
  <c r="DU27" i="5"/>
  <c r="DU28" i="5"/>
  <c r="DU29" i="5"/>
  <c r="DU30" i="5"/>
  <c r="DU31" i="5"/>
  <c r="DU32" i="5"/>
  <c r="DU33" i="5"/>
  <c r="DU34" i="5"/>
  <c r="DU35" i="5"/>
  <c r="DU36" i="5"/>
  <c r="DU39" i="5"/>
  <c r="DU40" i="5"/>
  <c r="DU41" i="5"/>
  <c r="DU42" i="5"/>
  <c r="DU43" i="5"/>
  <c r="DU44" i="5"/>
  <c r="DU45" i="5"/>
  <c r="DU46" i="5"/>
  <c r="DU47" i="5"/>
  <c r="DU48" i="5"/>
  <c r="DU49" i="5"/>
  <c r="DU50" i="5"/>
  <c r="DU53" i="5"/>
  <c r="DU54" i="5"/>
  <c r="DU55" i="5"/>
  <c r="DU56" i="5"/>
  <c r="DU57" i="5"/>
  <c r="DU58" i="5"/>
  <c r="DU59" i="5"/>
  <c r="DU60" i="5"/>
  <c r="DU61" i="5"/>
  <c r="DU62" i="5"/>
  <c r="CP3" i="5"/>
  <c r="CP6" i="5"/>
  <c r="CP7" i="5"/>
  <c r="CP8" i="5"/>
  <c r="CP9" i="5"/>
  <c r="CP10" i="5"/>
  <c r="CP11" i="5"/>
  <c r="CP12" i="5"/>
  <c r="CP13" i="5"/>
  <c r="CP14" i="5"/>
  <c r="IO15" i="5"/>
  <c r="CP17" i="5"/>
  <c r="CP18" i="5"/>
  <c r="CP19" i="5"/>
  <c r="IO19" i="5" s="1"/>
  <c r="CP20" i="5"/>
  <c r="CP21" i="5"/>
  <c r="CP24" i="5"/>
  <c r="CP25" i="5"/>
  <c r="CP26" i="5"/>
  <c r="CP27" i="5"/>
  <c r="CP28" i="5"/>
  <c r="CP29" i="5"/>
  <c r="CP30" i="5"/>
  <c r="CP31" i="5"/>
  <c r="CP32" i="5"/>
  <c r="CP33" i="5"/>
  <c r="CP34" i="5"/>
  <c r="CP35" i="5"/>
  <c r="CP36" i="5"/>
  <c r="CP39" i="5"/>
  <c r="CP40" i="5"/>
  <c r="CP41" i="5"/>
  <c r="IO41" i="5" s="1"/>
  <c r="CP42" i="5"/>
  <c r="CP43" i="5"/>
  <c r="CP44" i="5"/>
  <c r="CP45" i="5"/>
  <c r="CP46" i="5"/>
  <c r="CP47" i="5"/>
  <c r="CP48" i="5"/>
  <c r="CP49" i="5"/>
  <c r="IO49" i="5" s="1"/>
  <c r="CP50" i="5"/>
  <c r="CP53" i="5"/>
  <c r="CP54" i="5"/>
  <c r="CP55" i="5"/>
  <c r="CP56" i="5"/>
  <c r="CP57" i="5"/>
  <c r="CP58" i="5"/>
  <c r="CP59" i="5"/>
  <c r="CP60" i="5"/>
  <c r="CP61" i="5"/>
  <c r="CP62" i="5"/>
  <c r="BK3" i="5"/>
  <c r="BK6" i="5"/>
  <c r="BK7" i="5"/>
  <c r="BK8" i="5"/>
  <c r="BK9" i="5"/>
  <c r="BK10" i="5"/>
  <c r="BK11" i="5"/>
  <c r="BK12" i="5"/>
  <c r="BK13" i="5"/>
  <c r="BK14" i="5"/>
  <c r="BK17" i="5"/>
  <c r="BK18" i="5"/>
  <c r="BK19" i="5"/>
  <c r="BK20" i="5"/>
  <c r="BK21" i="5"/>
  <c r="BK24" i="5"/>
  <c r="BK25" i="5"/>
  <c r="BK26" i="5"/>
  <c r="BK27" i="5"/>
  <c r="BK28" i="5"/>
  <c r="BK29" i="5"/>
  <c r="BK30" i="5"/>
  <c r="BK31" i="5"/>
  <c r="BK32" i="5"/>
  <c r="BK33" i="5"/>
  <c r="BK34" i="5"/>
  <c r="BK35" i="5"/>
  <c r="BK36" i="5"/>
  <c r="BK39" i="5"/>
  <c r="BK40" i="5"/>
  <c r="BK41" i="5"/>
  <c r="BK42" i="5"/>
  <c r="BK43" i="5"/>
  <c r="BK44" i="5"/>
  <c r="BK45" i="5"/>
  <c r="BK46" i="5"/>
  <c r="BK47" i="5"/>
  <c r="BK48" i="5"/>
  <c r="BK49" i="5"/>
  <c r="BK50" i="5"/>
  <c r="BK53" i="5"/>
  <c r="BK54" i="5"/>
  <c r="BK55" i="5"/>
  <c r="BK56" i="5"/>
  <c r="BK57" i="5"/>
  <c r="BK58" i="5"/>
  <c r="BK59" i="5"/>
  <c r="BK60" i="5"/>
  <c r="BK61" i="5"/>
  <c r="BK62" i="5"/>
  <c r="AF6" i="5"/>
  <c r="AF7" i="5"/>
  <c r="AF8" i="5"/>
  <c r="AF9" i="5"/>
  <c r="AF10" i="5"/>
  <c r="AF11" i="5"/>
  <c r="AF12" i="5"/>
  <c r="AF13" i="5"/>
  <c r="AF14" i="5"/>
  <c r="AF17" i="5"/>
  <c r="AF18" i="5"/>
  <c r="AF19" i="5"/>
  <c r="AF20" i="5"/>
  <c r="AF21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3" i="5"/>
  <c r="AF54" i="5"/>
  <c r="AF55" i="5"/>
  <c r="AF56" i="5"/>
  <c r="AF57" i="5"/>
  <c r="AF58" i="5"/>
  <c r="AF59" i="5"/>
  <c r="AF60" i="5"/>
  <c r="AF61" i="5"/>
  <c r="AF62" i="5"/>
  <c r="AF3" i="5"/>
  <c r="HI6" i="1"/>
  <c r="HI24" i="1"/>
  <c r="HI39" i="1"/>
  <c r="HI53" i="1"/>
  <c r="JS6" i="1"/>
  <c r="JS24" i="1"/>
  <c r="JS39" i="1"/>
  <c r="HJ37" i="5" s="1"/>
  <c r="JS53" i="1"/>
  <c r="IN53" i="1"/>
  <c r="IN39" i="1"/>
  <c r="IN24" i="1"/>
  <c r="IN6" i="1"/>
  <c r="GD53" i="1"/>
  <c r="GD24" i="1"/>
  <c r="GD6" i="1"/>
  <c r="EY64" i="1"/>
  <c r="EY63" i="1"/>
  <c r="EY62" i="1"/>
  <c r="EY61" i="1"/>
  <c r="EY60" i="1"/>
  <c r="EY59" i="1"/>
  <c r="EY58" i="1"/>
  <c r="EY57" i="1"/>
  <c r="EY56" i="1"/>
  <c r="EY55" i="1"/>
  <c r="EY52" i="1"/>
  <c r="EY51" i="1"/>
  <c r="EY50" i="1"/>
  <c r="EY49" i="1"/>
  <c r="EY48" i="1"/>
  <c r="EY47" i="1"/>
  <c r="EY46" i="1"/>
  <c r="EY45" i="1"/>
  <c r="EY44" i="1"/>
  <c r="EY43" i="1"/>
  <c r="EY42" i="1"/>
  <c r="EY41" i="1"/>
  <c r="EY38" i="1"/>
  <c r="EY37" i="1"/>
  <c r="EY36" i="1"/>
  <c r="EY35" i="1"/>
  <c r="EY34" i="1"/>
  <c r="EY33" i="1"/>
  <c r="EY32" i="1"/>
  <c r="EY31" i="1"/>
  <c r="EY30" i="1"/>
  <c r="EY29" i="1"/>
  <c r="EY28" i="1"/>
  <c r="EY27" i="1"/>
  <c r="EY26" i="1"/>
  <c r="EY23" i="1"/>
  <c r="EY22" i="1"/>
  <c r="EY21" i="1"/>
  <c r="EY20" i="1"/>
  <c r="EY19" i="1"/>
  <c r="EY18" i="1"/>
  <c r="EY17" i="1"/>
  <c r="EY16" i="1"/>
  <c r="EY15" i="1"/>
  <c r="EY14" i="1"/>
  <c r="EY13" i="1"/>
  <c r="EY12" i="1"/>
  <c r="EY11" i="1"/>
  <c r="EY10" i="1"/>
  <c r="EY9" i="1"/>
  <c r="EY8" i="1"/>
  <c r="EY5" i="1"/>
  <c r="DT6" i="1"/>
  <c r="DT24" i="1"/>
  <c r="DT39" i="1"/>
  <c r="AF37" i="5" s="1"/>
  <c r="DT53" i="1"/>
  <c r="CO6" i="1"/>
  <c r="CO24" i="1"/>
  <c r="CO39" i="1"/>
  <c r="CO53" i="1"/>
  <c r="BJ6" i="1"/>
  <c r="BJ24" i="1"/>
  <c r="BJ39" i="1"/>
  <c r="CP37" i="5" s="1"/>
  <c r="BJ53" i="1"/>
  <c r="AE6" i="1"/>
  <c r="AE24" i="1"/>
  <c r="AE39" i="1"/>
  <c r="DU37" i="5" s="1"/>
  <c r="AE53" i="1"/>
  <c r="IO58" i="5" l="1"/>
  <c r="IO11" i="5"/>
  <c r="IO36" i="5"/>
  <c r="IO45" i="5"/>
  <c r="IO62" i="5"/>
  <c r="IO54" i="5"/>
  <c r="IO7" i="5"/>
  <c r="EZ37" i="5"/>
  <c r="IO28" i="5"/>
  <c r="BK37" i="5"/>
  <c r="GE37" i="5"/>
  <c r="IO32" i="5"/>
  <c r="IO24" i="5"/>
  <c r="CP22" i="5"/>
  <c r="DU22" i="5"/>
  <c r="GE22" i="5"/>
  <c r="AF22" i="5"/>
  <c r="EZ22" i="5"/>
  <c r="CP4" i="5"/>
  <c r="BK4" i="5"/>
  <c r="AF4" i="5"/>
  <c r="DU51" i="5"/>
  <c r="GE51" i="5"/>
  <c r="HJ4" i="5"/>
  <c r="EZ4" i="5"/>
  <c r="BK22" i="5"/>
  <c r="HJ22" i="5"/>
  <c r="CP51" i="5"/>
  <c r="BK51" i="5"/>
  <c r="AF51" i="5"/>
  <c r="DU4" i="5"/>
  <c r="GE4" i="5"/>
  <c r="HJ51" i="5"/>
  <c r="EZ51" i="5"/>
  <c r="AD9" i="7"/>
  <c r="IO61" i="5"/>
  <c r="IO57" i="5"/>
  <c r="IO53" i="5"/>
  <c r="IO48" i="5"/>
  <c r="IO44" i="5"/>
  <c r="IO40" i="5"/>
  <c r="IO35" i="5"/>
  <c r="IO31" i="5"/>
  <c r="IO27" i="5"/>
  <c r="IO18" i="5"/>
  <c r="IO14" i="5"/>
  <c r="IO10" i="5"/>
  <c r="IO6" i="5"/>
  <c r="AD10" i="7"/>
  <c r="AD8" i="7"/>
  <c r="IO60" i="5"/>
  <c r="IO56" i="5"/>
  <c r="IO47" i="5"/>
  <c r="IO43" i="5"/>
  <c r="IO39" i="5"/>
  <c r="IO34" i="5"/>
  <c r="IO30" i="5"/>
  <c r="IO26" i="5"/>
  <c r="IO21" i="5"/>
  <c r="IO17" i="5"/>
  <c r="IO13" i="5"/>
  <c r="IO9" i="5"/>
  <c r="AD6" i="7"/>
  <c r="IO59" i="5"/>
  <c r="IO55" i="5"/>
  <c r="IO50" i="5"/>
  <c r="IO46" i="5"/>
  <c r="IO42" i="5"/>
  <c r="IO33" i="5"/>
  <c r="IO29" i="5"/>
  <c r="IO25" i="5"/>
  <c r="IO20" i="5"/>
  <c r="IO16" i="5"/>
  <c r="IO12" i="5"/>
  <c r="IO8" i="5"/>
  <c r="IO3" i="5"/>
  <c r="EY6" i="1"/>
  <c r="EY24" i="1"/>
  <c r="EY53" i="1"/>
  <c r="EY39" i="1"/>
  <c r="IO37" i="5" l="1"/>
  <c r="IO22" i="5"/>
  <c r="IO4" i="5"/>
  <c r="IO51" i="5"/>
  <c r="AC13" i="7" l="1"/>
  <c r="AC30" i="7"/>
  <c r="AC34" i="7"/>
  <c r="AC35" i="7"/>
  <c r="AC36" i="7"/>
  <c r="AC51" i="7"/>
  <c r="AC52" i="7"/>
  <c r="AC60" i="7"/>
  <c r="AC5" i="7"/>
  <c r="AC12" i="7"/>
  <c r="AC14" i="7"/>
  <c r="AC15" i="7"/>
  <c r="AC16" i="7"/>
  <c r="AC17" i="7"/>
  <c r="AC18" i="7"/>
  <c r="AC19" i="7"/>
  <c r="AC20" i="7"/>
  <c r="AC21" i="7"/>
  <c r="AC22" i="7"/>
  <c r="AC23" i="7"/>
  <c r="AC24" i="7"/>
  <c r="AC25" i="7"/>
  <c r="AC26" i="7"/>
  <c r="AC27" i="7"/>
  <c r="AC29" i="7"/>
  <c r="AC31" i="7"/>
  <c r="AC32" i="7"/>
  <c r="AC33" i="7"/>
  <c r="AC37" i="7"/>
  <c r="AC38" i="7"/>
  <c r="AC39" i="7"/>
  <c r="AC40" i="7"/>
  <c r="AC41" i="7"/>
  <c r="AC43" i="7"/>
  <c r="AC44" i="7"/>
  <c r="AC45" i="7"/>
  <c r="AC46" i="7"/>
  <c r="AC47" i="7"/>
  <c r="AC48" i="7"/>
  <c r="AC49" i="7"/>
  <c r="AC50" i="7"/>
  <c r="AC53" i="7"/>
  <c r="AC54" i="7"/>
  <c r="AC56" i="7"/>
  <c r="AC57" i="7"/>
  <c r="AC58" i="7"/>
  <c r="AC59" i="7"/>
  <c r="AC61" i="7"/>
  <c r="AC62" i="7"/>
  <c r="AC63" i="7"/>
  <c r="AC64" i="7"/>
  <c r="AC65" i="7"/>
  <c r="AD53" i="1"/>
  <c r="AD39" i="1"/>
  <c r="AD24" i="1"/>
  <c r="AD6" i="1"/>
  <c r="AR57" i="7" l="1"/>
  <c r="AC10" i="7"/>
  <c r="AC8" i="7"/>
  <c r="AR24" i="7"/>
  <c r="AR59" i="7"/>
  <c r="AR48" i="7"/>
  <c r="AR39" i="7"/>
  <c r="AR26" i="7"/>
  <c r="AR18" i="7"/>
  <c r="AR13" i="7"/>
  <c r="AR58" i="7"/>
  <c r="AR47" i="7"/>
  <c r="AR38" i="7"/>
  <c r="AR25" i="7"/>
  <c r="AR17" i="7"/>
  <c r="AR60" i="7"/>
  <c r="AR16" i="7"/>
  <c r="AR56" i="7"/>
  <c r="AR33" i="7"/>
  <c r="AR51" i="7"/>
  <c r="AR54" i="7"/>
  <c r="AR32" i="7"/>
  <c r="AR14" i="7"/>
  <c r="AR63" i="7"/>
  <c r="AR43" i="7"/>
  <c r="AR31" i="7"/>
  <c r="AR21" i="7"/>
  <c r="AR35" i="7"/>
  <c r="AR46" i="7"/>
  <c r="AR52" i="7"/>
  <c r="AR45" i="7"/>
  <c r="AR23" i="7"/>
  <c r="AR15" i="7"/>
  <c r="AR64" i="7"/>
  <c r="AR44" i="7"/>
  <c r="AR22" i="7"/>
  <c r="AR36" i="7"/>
  <c r="AR53" i="7"/>
  <c r="AR62" i="7"/>
  <c r="AR50" i="7"/>
  <c r="AR41" i="7"/>
  <c r="AR29" i="7"/>
  <c r="AR20" i="7"/>
  <c r="AR34" i="7"/>
  <c r="AR37" i="7"/>
  <c r="AR65" i="7"/>
  <c r="AR61" i="7"/>
  <c r="AR49" i="7"/>
  <c r="AR40" i="7"/>
  <c r="AR27" i="7"/>
  <c r="AR19" i="7"/>
  <c r="AR30" i="7"/>
  <c r="AC6" i="7"/>
  <c r="AR12" i="7"/>
  <c r="AC9" i="7"/>
  <c r="HI3" i="5"/>
  <c r="HI6" i="5"/>
  <c r="HI7" i="5"/>
  <c r="HI8" i="5"/>
  <c r="HI9" i="5"/>
  <c r="HI10" i="5"/>
  <c r="HI11" i="5"/>
  <c r="HI12" i="5"/>
  <c r="HI13" i="5"/>
  <c r="HI14" i="5"/>
  <c r="HI16" i="5"/>
  <c r="HI17" i="5"/>
  <c r="HI18" i="5"/>
  <c r="HI19" i="5"/>
  <c r="HI20" i="5"/>
  <c r="HI21" i="5"/>
  <c r="HI24" i="5"/>
  <c r="HI25" i="5"/>
  <c r="HI26" i="5"/>
  <c r="HI27" i="5"/>
  <c r="HI28" i="5"/>
  <c r="HI29" i="5"/>
  <c r="HI30" i="5"/>
  <c r="HI31" i="5"/>
  <c r="HI32" i="5"/>
  <c r="HI33" i="5"/>
  <c r="HI34" i="5"/>
  <c r="HI35" i="5"/>
  <c r="HI36" i="5"/>
  <c r="HI39" i="5"/>
  <c r="HI40" i="5"/>
  <c r="HI41" i="5"/>
  <c r="HI42" i="5"/>
  <c r="HI43" i="5"/>
  <c r="HI44" i="5"/>
  <c r="HI45" i="5"/>
  <c r="HI46" i="5"/>
  <c r="HI47" i="5"/>
  <c r="HI48" i="5"/>
  <c r="HI49" i="5"/>
  <c r="HI50" i="5"/>
  <c r="HI53" i="5"/>
  <c r="HI54" i="5"/>
  <c r="HI55" i="5"/>
  <c r="HI56" i="5"/>
  <c r="HI57" i="5"/>
  <c r="HI58" i="5"/>
  <c r="HI59" i="5"/>
  <c r="HI60" i="5"/>
  <c r="HI61" i="5"/>
  <c r="HI62" i="5"/>
  <c r="GD3" i="5"/>
  <c r="GD6" i="5"/>
  <c r="GD7" i="5"/>
  <c r="GD8" i="5"/>
  <c r="GD9" i="5"/>
  <c r="GD10" i="5"/>
  <c r="GD11" i="5"/>
  <c r="GD12" i="5"/>
  <c r="GD13" i="5"/>
  <c r="GD14" i="5"/>
  <c r="GD15" i="5"/>
  <c r="GD16" i="5"/>
  <c r="GD17" i="5"/>
  <c r="GD18" i="5"/>
  <c r="GD19" i="5"/>
  <c r="GD20" i="5"/>
  <c r="GD21" i="5"/>
  <c r="GD24" i="5"/>
  <c r="GD25" i="5"/>
  <c r="GD26" i="5"/>
  <c r="GD27" i="5"/>
  <c r="GD28" i="5"/>
  <c r="GD29" i="5"/>
  <c r="GD30" i="5"/>
  <c r="GD31" i="5"/>
  <c r="GD32" i="5"/>
  <c r="GD33" i="5"/>
  <c r="GD34" i="5"/>
  <c r="GD35" i="5"/>
  <c r="GD36" i="5"/>
  <c r="GD39" i="5"/>
  <c r="GD40" i="5"/>
  <c r="GD41" i="5"/>
  <c r="GD42" i="5"/>
  <c r="GD43" i="5"/>
  <c r="GD44" i="5"/>
  <c r="GD45" i="5"/>
  <c r="GD46" i="5"/>
  <c r="GD47" i="5"/>
  <c r="GD48" i="5"/>
  <c r="GD49" i="5"/>
  <c r="GD50" i="5"/>
  <c r="GD53" i="5"/>
  <c r="GD54" i="5"/>
  <c r="GD55" i="5"/>
  <c r="GD56" i="5"/>
  <c r="GD57" i="5"/>
  <c r="GD58" i="5"/>
  <c r="GD59" i="5"/>
  <c r="GD60" i="5"/>
  <c r="GD61" i="5"/>
  <c r="GD62" i="5"/>
  <c r="EY3" i="5"/>
  <c r="EY6" i="5"/>
  <c r="EY7" i="5"/>
  <c r="EY8" i="5"/>
  <c r="EY9" i="5"/>
  <c r="EY10" i="5"/>
  <c r="EY11" i="5"/>
  <c r="EY12" i="5"/>
  <c r="EY13" i="5"/>
  <c r="EY14" i="5"/>
  <c r="EY16" i="5"/>
  <c r="EY17" i="5"/>
  <c r="EY18" i="5"/>
  <c r="EY19" i="5"/>
  <c r="EY20" i="5"/>
  <c r="EY21" i="5"/>
  <c r="EY24" i="5"/>
  <c r="EY25" i="5"/>
  <c r="EY26" i="5"/>
  <c r="EY27" i="5"/>
  <c r="EY28" i="5"/>
  <c r="EY29" i="5"/>
  <c r="EY30" i="5"/>
  <c r="EY31" i="5"/>
  <c r="EY32" i="5"/>
  <c r="EY33" i="5"/>
  <c r="EY34" i="5"/>
  <c r="EY35" i="5"/>
  <c r="EY36" i="5"/>
  <c r="EY39" i="5"/>
  <c r="EY40" i="5"/>
  <c r="EY41" i="5"/>
  <c r="EY42" i="5"/>
  <c r="EY43" i="5"/>
  <c r="EY44" i="5"/>
  <c r="EY45" i="5"/>
  <c r="EY46" i="5"/>
  <c r="EY47" i="5"/>
  <c r="EY48" i="5"/>
  <c r="EY49" i="5"/>
  <c r="EY50" i="5"/>
  <c r="EY53" i="5"/>
  <c r="EY54" i="5"/>
  <c r="EY55" i="5"/>
  <c r="EY56" i="5"/>
  <c r="EY57" i="5"/>
  <c r="EY58" i="5"/>
  <c r="EY59" i="5"/>
  <c r="EY60" i="5"/>
  <c r="EY61" i="5"/>
  <c r="EY62" i="5"/>
  <c r="DT3" i="5"/>
  <c r="DT6" i="5"/>
  <c r="DT7" i="5"/>
  <c r="DT8" i="5"/>
  <c r="DT9" i="5"/>
  <c r="DT10" i="5"/>
  <c r="DT11" i="5"/>
  <c r="DT12" i="5"/>
  <c r="DT13" i="5"/>
  <c r="DT14" i="5"/>
  <c r="DT16" i="5"/>
  <c r="DT17" i="5"/>
  <c r="DT18" i="5"/>
  <c r="DT19" i="5"/>
  <c r="DT20" i="5"/>
  <c r="DT21" i="5"/>
  <c r="DT24" i="5"/>
  <c r="DT25" i="5"/>
  <c r="DT26" i="5"/>
  <c r="DT27" i="5"/>
  <c r="DT28" i="5"/>
  <c r="DT29" i="5"/>
  <c r="DT30" i="5"/>
  <c r="DT31" i="5"/>
  <c r="DT32" i="5"/>
  <c r="DT33" i="5"/>
  <c r="DT34" i="5"/>
  <c r="DT35" i="5"/>
  <c r="DT36" i="5"/>
  <c r="DT39" i="5"/>
  <c r="DT40" i="5"/>
  <c r="DT41" i="5"/>
  <c r="DT42" i="5"/>
  <c r="DT43" i="5"/>
  <c r="DT44" i="5"/>
  <c r="DT45" i="5"/>
  <c r="DT46" i="5"/>
  <c r="DT47" i="5"/>
  <c r="DT48" i="5"/>
  <c r="DT49" i="5"/>
  <c r="DT50" i="5"/>
  <c r="DT53" i="5"/>
  <c r="DT54" i="5"/>
  <c r="DT55" i="5"/>
  <c r="DT56" i="5"/>
  <c r="DT57" i="5"/>
  <c r="DT58" i="5"/>
  <c r="DT59" i="5"/>
  <c r="DT60" i="5"/>
  <c r="DT61" i="5"/>
  <c r="DT62" i="5"/>
  <c r="CO3" i="5"/>
  <c r="CO6" i="5"/>
  <c r="CO7" i="5"/>
  <c r="CO8" i="5"/>
  <c r="CO9" i="5"/>
  <c r="CO10" i="5"/>
  <c r="CO11" i="5"/>
  <c r="CO12" i="5"/>
  <c r="CO13" i="5"/>
  <c r="CO14" i="5"/>
  <c r="CO16" i="5"/>
  <c r="CO17" i="5"/>
  <c r="CO18" i="5"/>
  <c r="CO19" i="5"/>
  <c r="CO20" i="5"/>
  <c r="CO21" i="5"/>
  <c r="CO24" i="5"/>
  <c r="CO25" i="5"/>
  <c r="CO26" i="5"/>
  <c r="CO27" i="5"/>
  <c r="CO28" i="5"/>
  <c r="CO29" i="5"/>
  <c r="CO30" i="5"/>
  <c r="CO31" i="5"/>
  <c r="CO32" i="5"/>
  <c r="CO33" i="5"/>
  <c r="CO34" i="5"/>
  <c r="CO35" i="5"/>
  <c r="CO36" i="5"/>
  <c r="CO39" i="5"/>
  <c r="CO40" i="5"/>
  <c r="CO41" i="5"/>
  <c r="CO42" i="5"/>
  <c r="CO43" i="5"/>
  <c r="CO44" i="5"/>
  <c r="CO45" i="5"/>
  <c r="CO46" i="5"/>
  <c r="CO47" i="5"/>
  <c r="CO48" i="5"/>
  <c r="CO49" i="5"/>
  <c r="CO50" i="5"/>
  <c r="CO53" i="5"/>
  <c r="CO54" i="5"/>
  <c r="CO55" i="5"/>
  <c r="CO56" i="5"/>
  <c r="CO57" i="5"/>
  <c r="CO58" i="5"/>
  <c r="CO59" i="5"/>
  <c r="CO60" i="5"/>
  <c r="CO61" i="5"/>
  <c r="CO62" i="5"/>
  <c r="BJ3" i="5"/>
  <c r="BJ6" i="5"/>
  <c r="BJ7" i="5"/>
  <c r="BJ8" i="5"/>
  <c r="BJ9" i="5"/>
  <c r="BJ10" i="5"/>
  <c r="BJ11" i="5"/>
  <c r="BJ12" i="5"/>
  <c r="BJ13" i="5"/>
  <c r="BJ14" i="5"/>
  <c r="BJ16" i="5"/>
  <c r="BJ17" i="5"/>
  <c r="BJ18" i="5"/>
  <c r="BJ19" i="5"/>
  <c r="BJ20" i="5"/>
  <c r="BJ21" i="5"/>
  <c r="BJ24" i="5"/>
  <c r="BJ25" i="5"/>
  <c r="BJ26" i="5"/>
  <c r="BJ27" i="5"/>
  <c r="BJ28" i="5"/>
  <c r="BJ29" i="5"/>
  <c r="BJ30" i="5"/>
  <c r="BJ31" i="5"/>
  <c r="BJ32" i="5"/>
  <c r="BJ33" i="5"/>
  <c r="BJ34" i="5"/>
  <c r="BJ35" i="5"/>
  <c r="BJ36" i="5"/>
  <c r="BJ39" i="5"/>
  <c r="BJ40" i="5"/>
  <c r="BJ41" i="5"/>
  <c r="BJ42" i="5"/>
  <c r="BJ43" i="5"/>
  <c r="BJ44" i="5"/>
  <c r="BJ45" i="5"/>
  <c r="BJ46" i="5"/>
  <c r="BJ47" i="5"/>
  <c r="BJ48" i="5"/>
  <c r="BJ49" i="5"/>
  <c r="BJ50" i="5"/>
  <c r="BJ53" i="5"/>
  <c r="BJ54" i="5"/>
  <c r="BJ55" i="5"/>
  <c r="BJ56" i="5"/>
  <c r="BJ57" i="5"/>
  <c r="BJ58" i="5"/>
  <c r="BJ59" i="5"/>
  <c r="BJ60" i="5"/>
  <c r="BJ61" i="5"/>
  <c r="BJ62" i="5"/>
  <c r="AE3" i="5"/>
  <c r="AE6" i="5"/>
  <c r="AE7" i="5"/>
  <c r="AE8" i="5"/>
  <c r="AE9" i="5"/>
  <c r="AE10" i="5"/>
  <c r="AE11" i="5"/>
  <c r="AE12" i="5"/>
  <c r="AE13" i="5"/>
  <c r="AE14" i="5"/>
  <c r="AE17" i="5"/>
  <c r="AE18" i="5"/>
  <c r="AE19" i="5"/>
  <c r="AE20" i="5"/>
  <c r="AE21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3" i="5"/>
  <c r="AE54" i="5"/>
  <c r="AE55" i="5"/>
  <c r="AE56" i="5"/>
  <c r="AE57" i="5"/>
  <c r="AE58" i="5"/>
  <c r="AE59" i="5"/>
  <c r="AE60" i="5"/>
  <c r="AE61" i="5"/>
  <c r="AE62" i="5"/>
  <c r="JR53" i="1"/>
  <c r="HI51" i="5" s="1"/>
  <c r="JR39" i="1"/>
  <c r="HI37" i="5" s="1"/>
  <c r="JR24" i="1"/>
  <c r="HI22" i="5" s="1"/>
  <c r="JR6" i="1"/>
  <c r="HI4" i="5" s="1"/>
  <c r="IM53" i="1"/>
  <c r="GD51" i="5" s="1"/>
  <c r="IM39" i="1"/>
  <c r="GD37" i="5" s="1"/>
  <c r="IM24" i="1"/>
  <c r="GD22" i="5" s="1"/>
  <c r="IM6" i="1"/>
  <c r="GD4" i="5" s="1"/>
  <c r="HH53" i="1"/>
  <c r="EY51" i="5" s="1"/>
  <c r="HH39" i="1"/>
  <c r="EY37" i="5" s="1"/>
  <c r="HH24" i="1"/>
  <c r="EY22" i="5" s="1"/>
  <c r="HH6" i="1"/>
  <c r="EY4" i="5" s="1"/>
  <c r="GC53" i="1"/>
  <c r="DT51" i="5" s="1"/>
  <c r="GC39" i="1"/>
  <c r="DT37" i="5" s="1"/>
  <c r="GC24" i="1"/>
  <c r="DT22" i="5" s="1"/>
  <c r="GC6" i="1"/>
  <c r="DT4" i="5" s="1"/>
  <c r="EX5" i="1"/>
  <c r="EX8" i="1"/>
  <c r="EX9" i="1"/>
  <c r="EX10" i="1"/>
  <c r="EX11" i="1"/>
  <c r="EX12" i="1"/>
  <c r="EX13" i="1"/>
  <c r="EX14" i="1"/>
  <c r="EX15" i="1"/>
  <c r="EX16" i="1"/>
  <c r="EX17" i="1"/>
  <c r="EX18" i="1"/>
  <c r="EX19" i="1"/>
  <c r="EX20" i="1"/>
  <c r="EX21" i="1"/>
  <c r="EX22" i="1"/>
  <c r="EX23" i="1"/>
  <c r="EX26" i="1"/>
  <c r="EX27" i="1"/>
  <c r="EX28" i="1"/>
  <c r="EX29" i="1"/>
  <c r="EX30" i="1"/>
  <c r="EX31" i="1"/>
  <c r="EX32" i="1"/>
  <c r="EX33" i="1"/>
  <c r="EX34" i="1"/>
  <c r="EX35" i="1"/>
  <c r="EX36" i="1"/>
  <c r="EX37" i="1"/>
  <c r="EX38" i="1"/>
  <c r="EX41" i="1"/>
  <c r="EX42" i="1"/>
  <c r="EX43" i="1"/>
  <c r="EX44" i="1"/>
  <c r="EX45" i="1"/>
  <c r="EX46" i="1"/>
  <c r="EX47" i="1"/>
  <c r="EX48" i="1"/>
  <c r="EX49" i="1"/>
  <c r="EX50" i="1"/>
  <c r="EX51" i="1"/>
  <c r="EX52" i="1"/>
  <c r="EX55" i="1"/>
  <c r="EX56" i="1"/>
  <c r="EX57" i="1"/>
  <c r="EX58" i="1"/>
  <c r="EX59" i="1"/>
  <c r="EX60" i="1"/>
  <c r="EX61" i="1"/>
  <c r="EX62" i="1"/>
  <c r="EX63" i="1"/>
  <c r="EX64" i="1"/>
  <c r="DS53" i="1"/>
  <c r="AE51" i="5" s="1"/>
  <c r="DS39" i="1"/>
  <c r="AE37" i="5" s="1"/>
  <c r="DS24" i="1"/>
  <c r="AE22" i="5" s="1"/>
  <c r="DS6" i="1"/>
  <c r="AE4" i="5" s="1"/>
  <c r="CN53" i="1"/>
  <c r="BJ51" i="5" s="1"/>
  <c r="CN39" i="1"/>
  <c r="BJ37" i="5" s="1"/>
  <c r="CN24" i="1"/>
  <c r="BJ22" i="5" s="1"/>
  <c r="CN6" i="1"/>
  <c r="BJ4" i="5" s="1"/>
  <c r="BI53" i="1"/>
  <c r="CO51" i="5" s="1"/>
  <c r="BI39" i="1"/>
  <c r="CO37" i="5" s="1"/>
  <c r="BI24" i="1"/>
  <c r="CO22" i="5" s="1"/>
  <c r="BI6" i="1"/>
  <c r="CO4" i="5" s="1"/>
  <c r="CN3" i="5"/>
  <c r="CN6" i="5"/>
  <c r="CN7" i="5"/>
  <c r="CN8" i="5"/>
  <c r="CN9" i="5"/>
  <c r="CN10" i="5"/>
  <c r="CN11" i="5"/>
  <c r="CN12" i="5"/>
  <c r="CN13" i="5"/>
  <c r="CN14" i="5"/>
  <c r="CN15" i="5"/>
  <c r="CN16" i="5"/>
  <c r="CN17" i="5"/>
  <c r="CN18" i="5"/>
  <c r="CN19" i="5"/>
  <c r="CN20" i="5"/>
  <c r="CN21" i="5"/>
  <c r="CN24" i="5"/>
  <c r="CN25" i="5"/>
  <c r="CN26" i="5"/>
  <c r="CN27" i="5"/>
  <c r="CN28" i="5"/>
  <c r="CN29" i="5"/>
  <c r="CN30" i="5"/>
  <c r="CN31" i="5"/>
  <c r="CN32" i="5"/>
  <c r="CN33" i="5"/>
  <c r="CN34" i="5"/>
  <c r="CN35" i="5"/>
  <c r="CN36" i="5"/>
  <c r="CN39" i="5"/>
  <c r="CN40" i="5"/>
  <c r="CN41" i="5"/>
  <c r="CN42" i="5"/>
  <c r="CN43" i="5"/>
  <c r="CN44" i="5"/>
  <c r="CN45" i="5"/>
  <c r="CN46" i="5"/>
  <c r="CN47" i="5"/>
  <c r="CN48" i="5"/>
  <c r="CN49" i="5"/>
  <c r="CN50" i="5"/>
  <c r="CN53" i="5"/>
  <c r="CN54" i="5"/>
  <c r="CN55" i="5"/>
  <c r="CN56" i="5"/>
  <c r="CN57" i="5"/>
  <c r="CN58" i="5"/>
  <c r="CN59" i="5"/>
  <c r="CN60" i="5"/>
  <c r="CN61" i="5"/>
  <c r="CN62" i="5"/>
  <c r="S33" i="7"/>
  <c r="X45" i="7"/>
  <c r="AA62" i="7"/>
  <c r="AB65" i="7"/>
  <c r="AA65" i="7"/>
  <c r="Z65" i="7"/>
  <c r="Y65" i="7"/>
  <c r="X65" i="7"/>
  <c r="W65" i="7"/>
  <c r="U65" i="7"/>
  <c r="S65" i="7"/>
  <c r="R65" i="7"/>
  <c r="AB64" i="7"/>
  <c r="AA64" i="7"/>
  <c r="Z64" i="7"/>
  <c r="Y64" i="7"/>
  <c r="X64" i="7"/>
  <c r="W64" i="7"/>
  <c r="U64" i="7"/>
  <c r="S64" i="7"/>
  <c r="R64" i="7"/>
  <c r="AB63" i="7"/>
  <c r="AA63" i="7"/>
  <c r="Z63" i="7"/>
  <c r="Y63" i="7"/>
  <c r="X63" i="7"/>
  <c r="W63" i="7"/>
  <c r="U63" i="7"/>
  <c r="S63" i="7"/>
  <c r="R63" i="7"/>
  <c r="AB62" i="7"/>
  <c r="Z62" i="7"/>
  <c r="Y62" i="7"/>
  <c r="X62" i="7"/>
  <c r="W62" i="7"/>
  <c r="U62" i="7"/>
  <c r="S62" i="7"/>
  <c r="R62" i="7"/>
  <c r="AB61" i="7"/>
  <c r="AA61" i="7"/>
  <c r="Z61" i="7"/>
  <c r="Y61" i="7"/>
  <c r="X61" i="7"/>
  <c r="W61" i="7"/>
  <c r="U61" i="7"/>
  <c r="S61" i="7"/>
  <c r="R61" i="7"/>
  <c r="AB60" i="7"/>
  <c r="AA60" i="7"/>
  <c r="Z60" i="7"/>
  <c r="Y60" i="7"/>
  <c r="X60" i="7"/>
  <c r="W60" i="7"/>
  <c r="U60" i="7"/>
  <c r="S60" i="7"/>
  <c r="R60" i="7"/>
  <c r="AB59" i="7"/>
  <c r="AA59" i="7"/>
  <c r="Z59" i="7"/>
  <c r="Y59" i="7"/>
  <c r="X59" i="7"/>
  <c r="W59" i="7"/>
  <c r="U59" i="7"/>
  <c r="S59" i="7"/>
  <c r="R59" i="7"/>
  <c r="AB58" i="7"/>
  <c r="AA58" i="7"/>
  <c r="Z58" i="7"/>
  <c r="Y58" i="7"/>
  <c r="X58" i="7"/>
  <c r="W58" i="7"/>
  <c r="U58" i="7"/>
  <c r="S58" i="7"/>
  <c r="R58" i="7"/>
  <c r="AB57" i="7"/>
  <c r="AA57" i="7"/>
  <c r="Z57" i="7"/>
  <c r="Y57" i="7"/>
  <c r="X57" i="7"/>
  <c r="W57" i="7"/>
  <c r="U57" i="7"/>
  <c r="S57" i="7"/>
  <c r="R57" i="7"/>
  <c r="AB56" i="7"/>
  <c r="AA56" i="7"/>
  <c r="Z56" i="7"/>
  <c r="Y56" i="7"/>
  <c r="X56" i="7"/>
  <c r="W56" i="7"/>
  <c r="U56" i="7"/>
  <c r="S56" i="7"/>
  <c r="R56" i="7"/>
  <c r="AB54" i="7"/>
  <c r="AA54" i="7"/>
  <c r="Z54" i="7"/>
  <c r="Y54" i="7"/>
  <c r="X54" i="7"/>
  <c r="W54" i="7"/>
  <c r="U54" i="7"/>
  <c r="S54" i="7"/>
  <c r="R54" i="7"/>
  <c r="AB53" i="7"/>
  <c r="AA53" i="7"/>
  <c r="Z53" i="7"/>
  <c r="Y53" i="7"/>
  <c r="X53" i="7"/>
  <c r="W53" i="7"/>
  <c r="U53" i="7"/>
  <c r="S53" i="7"/>
  <c r="R53" i="7"/>
  <c r="AB52" i="7"/>
  <c r="AA52" i="7"/>
  <c r="Z52" i="7"/>
  <c r="Y52" i="7"/>
  <c r="X52" i="7"/>
  <c r="W52" i="7"/>
  <c r="U52" i="7"/>
  <c r="S52" i="7"/>
  <c r="R52" i="7"/>
  <c r="AB51" i="7"/>
  <c r="AA51" i="7"/>
  <c r="Z51" i="7"/>
  <c r="Y51" i="7"/>
  <c r="X51" i="7"/>
  <c r="W51" i="7"/>
  <c r="U51" i="7"/>
  <c r="S51" i="7"/>
  <c r="R51" i="7"/>
  <c r="AB50" i="7"/>
  <c r="AA50" i="7"/>
  <c r="Z50" i="7"/>
  <c r="Y50" i="7"/>
  <c r="X50" i="7"/>
  <c r="W50" i="7"/>
  <c r="U50" i="7"/>
  <c r="S50" i="7"/>
  <c r="R50" i="7"/>
  <c r="AB49" i="7"/>
  <c r="AA49" i="7"/>
  <c r="Z49" i="7"/>
  <c r="Y49" i="7"/>
  <c r="X49" i="7"/>
  <c r="W49" i="7"/>
  <c r="U49" i="7"/>
  <c r="S49" i="7"/>
  <c r="R49" i="7"/>
  <c r="AB48" i="7"/>
  <c r="AA48" i="7"/>
  <c r="Z48" i="7"/>
  <c r="Y48" i="7"/>
  <c r="X48" i="7"/>
  <c r="W48" i="7"/>
  <c r="U48" i="7"/>
  <c r="S48" i="7"/>
  <c r="R48" i="7"/>
  <c r="AB47" i="7"/>
  <c r="AA47" i="7"/>
  <c r="Z47" i="7"/>
  <c r="Y47" i="7"/>
  <c r="X47" i="7"/>
  <c r="W47" i="7"/>
  <c r="U47" i="7"/>
  <c r="S47" i="7"/>
  <c r="R47" i="7"/>
  <c r="AB46" i="7"/>
  <c r="AA46" i="7"/>
  <c r="Z46" i="7"/>
  <c r="Y46" i="7"/>
  <c r="X46" i="7"/>
  <c r="W46" i="7"/>
  <c r="U46" i="7"/>
  <c r="S46" i="7"/>
  <c r="R46" i="7"/>
  <c r="AB45" i="7"/>
  <c r="AA45" i="7"/>
  <c r="Z45" i="7"/>
  <c r="Y45" i="7"/>
  <c r="W45" i="7"/>
  <c r="U45" i="7"/>
  <c r="S45" i="7"/>
  <c r="R45" i="7"/>
  <c r="AB44" i="7"/>
  <c r="AA44" i="7"/>
  <c r="Z44" i="7"/>
  <c r="Y44" i="7"/>
  <c r="X44" i="7"/>
  <c r="W44" i="7"/>
  <c r="U44" i="7"/>
  <c r="S44" i="7"/>
  <c r="R44" i="7"/>
  <c r="AB43" i="7"/>
  <c r="AA43" i="7"/>
  <c r="Z43" i="7"/>
  <c r="Y43" i="7"/>
  <c r="X43" i="7"/>
  <c r="W43" i="7"/>
  <c r="U43" i="7"/>
  <c r="S43" i="7"/>
  <c r="R43" i="7"/>
  <c r="AB41" i="7"/>
  <c r="AA41" i="7"/>
  <c r="Z41" i="7"/>
  <c r="Y41" i="7"/>
  <c r="X41" i="7"/>
  <c r="W41" i="7"/>
  <c r="U41" i="7"/>
  <c r="S41" i="7"/>
  <c r="R41" i="7"/>
  <c r="AB40" i="7"/>
  <c r="AA40" i="7"/>
  <c r="Z40" i="7"/>
  <c r="Y40" i="7"/>
  <c r="X40" i="7"/>
  <c r="W40" i="7"/>
  <c r="U40" i="7"/>
  <c r="S40" i="7"/>
  <c r="R40" i="7"/>
  <c r="AB39" i="7"/>
  <c r="AA39" i="7"/>
  <c r="Z39" i="7"/>
  <c r="Y39" i="7"/>
  <c r="X39" i="7"/>
  <c r="W39" i="7"/>
  <c r="U39" i="7"/>
  <c r="S39" i="7"/>
  <c r="R39" i="7"/>
  <c r="AB38" i="7"/>
  <c r="AA38" i="7"/>
  <c r="Z38" i="7"/>
  <c r="Y38" i="7"/>
  <c r="X38" i="7"/>
  <c r="W38" i="7"/>
  <c r="U38" i="7"/>
  <c r="S38" i="7"/>
  <c r="R38" i="7"/>
  <c r="AB37" i="7"/>
  <c r="AA37" i="7"/>
  <c r="Z37" i="7"/>
  <c r="Y37" i="7"/>
  <c r="X37" i="7"/>
  <c r="W37" i="7"/>
  <c r="U37" i="7"/>
  <c r="S37" i="7"/>
  <c r="R37" i="7"/>
  <c r="AB36" i="7"/>
  <c r="AA36" i="7"/>
  <c r="Z36" i="7"/>
  <c r="Y36" i="7"/>
  <c r="X36" i="7"/>
  <c r="W36" i="7"/>
  <c r="U36" i="7"/>
  <c r="S36" i="7"/>
  <c r="R36" i="7"/>
  <c r="AB35" i="7"/>
  <c r="AA35" i="7"/>
  <c r="Z35" i="7"/>
  <c r="Y35" i="7"/>
  <c r="X35" i="7"/>
  <c r="W35" i="7"/>
  <c r="U35" i="7"/>
  <c r="S35" i="7"/>
  <c r="R35" i="7"/>
  <c r="AB34" i="7"/>
  <c r="AA34" i="7"/>
  <c r="Z34" i="7"/>
  <c r="Y34" i="7"/>
  <c r="X34" i="7"/>
  <c r="W34" i="7"/>
  <c r="U34" i="7"/>
  <c r="S34" i="7"/>
  <c r="R34" i="7"/>
  <c r="AB33" i="7"/>
  <c r="AA33" i="7"/>
  <c r="Z33" i="7"/>
  <c r="Y33" i="7"/>
  <c r="X33" i="7"/>
  <c r="W33" i="7"/>
  <c r="U33" i="7"/>
  <c r="R33" i="7"/>
  <c r="AB32" i="7"/>
  <c r="AA32" i="7"/>
  <c r="Z32" i="7"/>
  <c r="Y32" i="7"/>
  <c r="X32" i="7"/>
  <c r="W32" i="7"/>
  <c r="U32" i="7"/>
  <c r="S32" i="7"/>
  <c r="R32" i="7"/>
  <c r="AB31" i="7"/>
  <c r="AA31" i="7"/>
  <c r="Z31" i="7"/>
  <c r="Y31" i="7"/>
  <c r="X31" i="7"/>
  <c r="W31" i="7"/>
  <c r="U31" i="7"/>
  <c r="S31" i="7"/>
  <c r="R31" i="7"/>
  <c r="AB30" i="7"/>
  <c r="AA30" i="7"/>
  <c r="Z30" i="7"/>
  <c r="Y30" i="7"/>
  <c r="X30" i="7"/>
  <c r="W30" i="7"/>
  <c r="U30" i="7"/>
  <c r="S30" i="7"/>
  <c r="R30" i="7"/>
  <c r="AB29" i="7"/>
  <c r="AA29" i="7"/>
  <c r="Z29" i="7"/>
  <c r="Y29" i="7"/>
  <c r="X29" i="7"/>
  <c r="W29" i="7"/>
  <c r="U29" i="7"/>
  <c r="S29" i="7"/>
  <c r="R29" i="7"/>
  <c r="AB27" i="7"/>
  <c r="AA27" i="7"/>
  <c r="Z27" i="7"/>
  <c r="Y27" i="7"/>
  <c r="X27" i="7"/>
  <c r="W27" i="7"/>
  <c r="U27" i="7"/>
  <c r="S27" i="7"/>
  <c r="R27" i="7"/>
  <c r="AB26" i="7"/>
  <c r="AA26" i="7"/>
  <c r="Z26" i="7"/>
  <c r="Y26" i="7"/>
  <c r="X26" i="7"/>
  <c r="W26" i="7"/>
  <c r="U26" i="7"/>
  <c r="S26" i="7"/>
  <c r="R26" i="7"/>
  <c r="AB25" i="7"/>
  <c r="AA25" i="7"/>
  <c r="Z25" i="7"/>
  <c r="Y25" i="7"/>
  <c r="X25" i="7"/>
  <c r="W25" i="7"/>
  <c r="U25" i="7"/>
  <c r="S25" i="7"/>
  <c r="R25" i="7"/>
  <c r="AB24" i="7"/>
  <c r="AA24" i="7"/>
  <c r="Z24" i="7"/>
  <c r="Y24" i="7"/>
  <c r="X24" i="7"/>
  <c r="W24" i="7"/>
  <c r="U24" i="7"/>
  <c r="S24" i="7"/>
  <c r="R24" i="7"/>
  <c r="AB23" i="7"/>
  <c r="AA23" i="7"/>
  <c r="Z23" i="7"/>
  <c r="Y23" i="7"/>
  <c r="X23" i="7"/>
  <c r="W23" i="7"/>
  <c r="U23" i="7"/>
  <c r="S23" i="7"/>
  <c r="R23" i="7"/>
  <c r="AB22" i="7"/>
  <c r="AA22" i="7"/>
  <c r="Z22" i="7"/>
  <c r="Y22" i="7"/>
  <c r="X22" i="7"/>
  <c r="W22" i="7"/>
  <c r="U22" i="7"/>
  <c r="S22" i="7"/>
  <c r="R22" i="7"/>
  <c r="AB21" i="7"/>
  <c r="AA21" i="7"/>
  <c r="Z21" i="7"/>
  <c r="Y21" i="7"/>
  <c r="X21" i="7"/>
  <c r="W21" i="7"/>
  <c r="U21" i="7"/>
  <c r="S21" i="7"/>
  <c r="R21" i="7"/>
  <c r="AB20" i="7"/>
  <c r="AA20" i="7"/>
  <c r="Z20" i="7"/>
  <c r="Y20" i="7"/>
  <c r="X20" i="7"/>
  <c r="W20" i="7"/>
  <c r="U20" i="7"/>
  <c r="S20" i="7"/>
  <c r="R20" i="7"/>
  <c r="AB19" i="7"/>
  <c r="AA19" i="7"/>
  <c r="Z19" i="7"/>
  <c r="Y19" i="7"/>
  <c r="X19" i="7"/>
  <c r="W19" i="7"/>
  <c r="U19" i="7"/>
  <c r="S19" i="7"/>
  <c r="R19" i="7"/>
  <c r="AB18" i="7"/>
  <c r="AA18" i="7"/>
  <c r="Z18" i="7"/>
  <c r="Y18" i="7"/>
  <c r="X18" i="7"/>
  <c r="W18" i="7"/>
  <c r="U18" i="7"/>
  <c r="S18" i="7"/>
  <c r="R18" i="7"/>
  <c r="AB17" i="7"/>
  <c r="AA17" i="7"/>
  <c r="Z17" i="7"/>
  <c r="Y17" i="7"/>
  <c r="X17" i="7"/>
  <c r="W17" i="7"/>
  <c r="U17" i="7"/>
  <c r="S17" i="7"/>
  <c r="R17" i="7"/>
  <c r="AB16" i="7"/>
  <c r="AA16" i="7"/>
  <c r="Z16" i="7"/>
  <c r="Y16" i="7"/>
  <c r="X16" i="7"/>
  <c r="W16" i="7"/>
  <c r="U16" i="7"/>
  <c r="S16" i="7"/>
  <c r="R16" i="7"/>
  <c r="AB15" i="7"/>
  <c r="AA15" i="7"/>
  <c r="Z15" i="7"/>
  <c r="Y15" i="7"/>
  <c r="X15" i="7"/>
  <c r="W15" i="7"/>
  <c r="U15" i="7"/>
  <c r="S15" i="7"/>
  <c r="R15" i="7"/>
  <c r="AB14" i="7"/>
  <c r="AA14" i="7"/>
  <c r="Z14" i="7"/>
  <c r="Y14" i="7"/>
  <c r="X14" i="7"/>
  <c r="W14" i="7"/>
  <c r="U14" i="7"/>
  <c r="S14" i="7"/>
  <c r="R14" i="7"/>
  <c r="AB13" i="7"/>
  <c r="AA13" i="7"/>
  <c r="Z13" i="7"/>
  <c r="Y13" i="7"/>
  <c r="X13" i="7"/>
  <c r="W13" i="7"/>
  <c r="U13" i="7"/>
  <c r="S13" i="7"/>
  <c r="R13" i="7"/>
  <c r="AB12" i="7"/>
  <c r="AA12" i="7"/>
  <c r="Z12" i="7"/>
  <c r="Y12" i="7"/>
  <c r="X12" i="7"/>
  <c r="W12" i="7"/>
  <c r="U12" i="7"/>
  <c r="S12" i="7"/>
  <c r="R12" i="7"/>
  <c r="AB5" i="7"/>
  <c r="AA5" i="7"/>
  <c r="Z5" i="7"/>
  <c r="Y5" i="7"/>
  <c r="X5" i="7"/>
  <c r="W5" i="7"/>
  <c r="V5" i="7"/>
  <c r="U5" i="7"/>
  <c r="T5" i="7"/>
  <c r="S5" i="7"/>
  <c r="R5" i="7"/>
  <c r="Q65" i="7"/>
  <c r="Q64" i="7"/>
  <c r="Q63" i="7"/>
  <c r="Q62" i="7"/>
  <c r="Q61" i="7"/>
  <c r="Q60" i="7"/>
  <c r="Q59" i="7"/>
  <c r="Q58" i="7"/>
  <c r="Q57" i="7"/>
  <c r="Q56" i="7"/>
  <c r="Q54" i="7"/>
  <c r="Q53" i="7"/>
  <c r="Q52" i="7"/>
  <c r="Q51" i="7"/>
  <c r="Q50" i="7"/>
  <c r="Q49" i="7"/>
  <c r="Q48" i="7"/>
  <c r="Q47" i="7"/>
  <c r="Q46" i="7"/>
  <c r="Q45" i="7"/>
  <c r="Q44" i="7"/>
  <c r="Q43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F12" i="9" l="1"/>
  <c r="F16" i="9"/>
  <c r="F20" i="9"/>
  <c r="F24" i="9"/>
  <c r="F30" i="9"/>
  <c r="F35" i="9"/>
  <c r="F39" i="9"/>
  <c r="F46" i="9"/>
  <c r="F50" i="9"/>
  <c r="F54" i="9"/>
  <c r="F60" i="9"/>
  <c r="F65" i="9"/>
  <c r="F11" i="9"/>
  <c r="F15" i="9"/>
  <c r="F19" i="9"/>
  <c r="F23" i="9"/>
  <c r="F29" i="9"/>
  <c r="F34" i="9"/>
  <c r="F38" i="9"/>
  <c r="F44" i="9"/>
  <c r="F45" i="9"/>
  <c r="F49" i="9"/>
  <c r="F53" i="9"/>
  <c r="F59" i="9"/>
  <c r="F63" i="9"/>
  <c r="F64" i="9"/>
  <c r="F13" i="9"/>
  <c r="F17" i="9"/>
  <c r="F21" i="9"/>
  <c r="F25" i="9"/>
  <c r="F31" i="9"/>
  <c r="F32" i="9"/>
  <c r="F36" i="9"/>
  <c r="F40" i="9"/>
  <c r="F47" i="9"/>
  <c r="F51" i="9"/>
  <c r="F57" i="9"/>
  <c r="F61" i="9"/>
  <c r="F66" i="9"/>
  <c r="F10" i="9"/>
  <c r="F14" i="9"/>
  <c r="F18" i="9"/>
  <c r="F22" i="9"/>
  <c r="F28" i="9"/>
  <c r="F33" i="9"/>
  <c r="F37" i="9"/>
  <c r="F43" i="9"/>
  <c r="F48" i="9"/>
  <c r="F52" i="9"/>
  <c r="F58" i="9"/>
  <c r="F62" i="9"/>
  <c r="EX39" i="1"/>
  <c r="AM18" i="7"/>
  <c r="AL19" i="7"/>
  <c r="AG14" i="7"/>
  <c r="AP15" i="7"/>
  <c r="AN17" i="7"/>
  <c r="AQ15" i="7"/>
  <c r="AO38" i="7"/>
  <c r="H37" i="9" s="1"/>
  <c r="AH47" i="7"/>
  <c r="AF37" i="7"/>
  <c r="AF63" i="7"/>
  <c r="AQ14" i="7"/>
  <c r="AH21" i="7"/>
  <c r="AP23" i="7"/>
  <c r="AL27" i="7"/>
  <c r="AG31" i="7"/>
  <c r="AP33" i="7"/>
  <c r="AL37" i="7"/>
  <c r="AG40" i="7"/>
  <c r="AN44" i="7"/>
  <c r="AM46" i="7"/>
  <c r="AG50" i="7"/>
  <c r="AN53" i="7"/>
  <c r="AM64" i="7"/>
  <c r="AF16" i="7"/>
  <c r="AF24" i="7"/>
  <c r="AF33" i="7"/>
  <c r="AF41" i="7"/>
  <c r="AF50" i="7"/>
  <c r="AF59" i="7"/>
  <c r="AN13" i="7"/>
  <c r="AM14" i="7"/>
  <c r="AL15" i="7"/>
  <c r="AJ16" i="7"/>
  <c r="AH17" i="7"/>
  <c r="AG18" i="7"/>
  <c r="AQ18" i="7"/>
  <c r="AP19" i="7"/>
  <c r="AO20" i="7"/>
  <c r="H18" i="9" s="1"/>
  <c r="AN21" i="7"/>
  <c r="AM22" i="7"/>
  <c r="AL23" i="7"/>
  <c r="AJ24" i="7"/>
  <c r="AH25" i="7"/>
  <c r="AG26" i="7"/>
  <c r="AQ26" i="7"/>
  <c r="AP27" i="7"/>
  <c r="AO29" i="7"/>
  <c r="H28" i="9" s="1"/>
  <c r="AN30" i="7"/>
  <c r="AM31" i="7"/>
  <c r="AL32" i="7"/>
  <c r="AL33" i="7"/>
  <c r="AJ34" i="7"/>
  <c r="AH35" i="7"/>
  <c r="AG36" i="7"/>
  <c r="AQ36" i="7"/>
  <c r="AP37" i="7"/>
  <c r="AL41" i="7"/>
  <c r="AF46" i="7"/>
  <c r="AJ20" i="7"/>
  <c r="AQ22" i="7"/>
  <c r="AM26" i="7"/>
  <c r="AH30" i="7"/>
  <c r="AP32" i="7"/>
  <c r="AO34" i="7"/>
  <c r="H33" i="9" s="1"/>
  <c r="AM36" i="7"/>
  <c r="AH39" i="7"/>
  <c r="AP41" i="7"/>
  <c r="AN45" i="7"/>
  <c r="AJ48" i="7"/>
  <c r="AQ50" i="7"/>
  <c r="AO52" i="7"/>
  <c r="H52" i="9" s="1"/>
  <c r="AL56" i="7"/>
  <c r="AG59" i="7"/>
  <c r="AN62" i="7"/>
  <c r="AF18" i="7"/>
  <c r="AF26" i="7"/>
  <c r="AF35" i="7"/>
  <c r="AF44" i="7"/>
  <c r="AF52" i="7"/>
  <c r="AF61" i="7"/>
  <c r="AP13" i="7"/>
  <c r="AO14" i="7"/>
  <c r="H12" i="9" s="1"/>
  <c r="AN15" i="7"/>
  <c r="AM16" i="7"/>
  <c r="AL17" i="7"/>
  <c r="AJ18" i="7"/>
  <c r="AH19" i="7"/>
  <c r="AG20" i="7"/>
  <c r="AQ20" i="7"/>
  <c r="AP21" i="7"/>
  <c r="AO22" i="7"/>
  <c r="H20" i="9" s="1"/>
  <c r="AN23" i="7"/>
  <c r="AM24" i="7"/>
  <c r="AL25" i="7"/>
  <c r="AJ26" i="7"/>
  <c r="AH27" i="7"/>
  <c r="AG29" i="7"/>
  <c r="AQ29" i="7"/>
  <c r="AP30" i="7"/>
  <c r="AO31" i="7"/>
  <c r="H30" i="9" s="1"/>
  <c r="AN32" i="7"/>
  <c r="AN33" i="7"/>
  <c r="AM34" i="7"/>
  <c r="AL35" i="7"/>
  <c r="AJ36" i="7"/>
  <c r="AH37" i="7"/>
  <c r="AG38" i="7"/>
  <c r="AQ38" i="7"/>
  <c r="AP39" i="7"/>
  <c r="AO40" i="7"/>
  <c r="H39" i="9" s="1"/>
  <c r="AN41" i="7"/>
  <c r="AM43" i="7"/>
  <c r="AL44" i="7"/>
  <c r="AJ45" i="7"/>
  <c r="AJ46" i="7"/>
  <c r="AF20" i="7"/>
  <c r="AF54" i="7"/>
  <c r="AG22" i="7"/>
  <c r="AN25" i="7"/>
  <c r="AJ29" i="7"/>
  <c r="AQ31" i="7"/>
  <c r="AN35" i="7"/>
  <c r="AJ38" i="7"/>
  <c r="AQ40" i="7"/>
  <c r="AO43" i="7"/>
  <c r="H43" i="9" s="1"/>
  <c r="AL47" i="7"/>
  <c r="AH49" i="7"/>
  <c r="AP51" i="7"/>
  <c r="AM54" i="7"/>
  <c r="AH58" i="7"/>
  <c r="AQ59" i="7"/>
  <c r="AP60" i="7"/>
  <c r="AO61" i="7"/>
  <c r="H62" i="9" s="1"/>
  <c r="AN63" i="7"/>
  <c r="AL65" i="7"/>
  <c r="AH33" i="7"/>
  <c r="AF13" i="7"/>
  <c r="AF21" i="7"/>
  <c r="AF30" i="7"/>
  <c r="AF38" i="7"/>
  <c r="AF47" i="7"/>
  <c r="AF56" i="7"/>
  <c r="AF64" i="7"/>
  <c r="AJ13" i="7"/>
  <c r="AH14" i="7"/>
  <c r="AG15" i="7"/>
  <c r="AP16" i="7"/>
  <c r="AF29" i="7"/>
  <c r="AH13" i="7"/>
  <c r="AO16" i="7"/>
  <c r="H14" i="9" s="1"/>
  <c r="AO24" i="7"/>
  <c r="H22" i="9" s="1"/>
  <c r="AJ57" i="7"/>
  <c r="AO17" i="7"/>
  <c r="H15" i="9" s="1"/>
  <c r="AN39" i="7"/>
  <c r="AM40" i="7"/>
  <c r="AJ43" i="7"/>
  <c r="AH44" i="7"/>
  <c r="AG45" i="7"/>
  <c r="AG46" i="7"/>
  <c r="AQ46" i="7"/>
  <c r="AP47" i="7"/>
  <c r="AO48" i="7"/>
  <c r="H48" i="9" s="1"/>
  <c r="AN49" i="7"/>
  <c r="AM50" i="7"/>
  <c r="AL51" i="7"/>
  <c r="AJ52" i="7"/>
  <c r="AH53" i="7"/>
  <c r="AG54" i="7"/>
  <c r="AQ54" i="7"/>
  <c r="AP56" i="7"/>
  <c r="AO57" i="7"/>
  <c r="H58" i="9" s="1"/>
  <c r="AN58" i="7"/>
  <c r="AM59" i="7"/>
  <c r="AL60" i="7"/>
  <c r="AJ61" i="7"/>
  <c r="AH62" i="7"/>
  <c r="AH63" i="7"/>
  <c r="AG64" i="7"/>
  <c r="AQ64" i="7"/>
  <c r="AP65" i="7"/>
  <c r="AF17" i="7"/>
  <c r="AF25" i="7"/>
  <c r="AF34" i="7"/>
  <c r="AF43" i="7"/>
  <c r="AF51" i="7"/>
  <c r="AF60" i="7"/>
  <c r="AO13" i="7"/>
  <c r="H11" i="9" s="1"/>
  <c r="AN14" i="7"/>
  <c r="AM15" i="7"/>
  <c r="AL16" i="7"/>
  <c r="AJ17" i="7"/>
  <c r="AH18" i="7"/>
  <c r="AG19" i="7"/>
  <c r="AQ19" i="7"/>
  <c r="AP20" i="7"/>
  <c r="AO21" i="7"/>
  <c r="H19" i="9" s="1"/>
  <c r="AN22" i="7"/>
  <c r="AM23" i="7"/>
  <c r="AL24" i="7"/>
  <c r="AJ25" i="7"/>
  <c r="AH26" i="7"/>
  <c r="AG27" i="7"/>
  <c r="AQ27" i="7"/>
  <c r="AP29" i="7"/>
  <c r="AO30" i="7"/>
  <c r="H29" i="9" s="1"/>
  <c r="AN31" i="7"/>
  <c r="AM32" i="7"/>
  <c r="AM33" i="7"/>
  <c r="AL34" i="7"/>
  <c r="AJ35" i="7"/>
  <c r="AH36" i="7"/>
  <c r="AG37" i="7"/>
  <c r="AQ37" i="7"/>
  <c r="AP38" i="7"/>
  <c r="AO39" i="7"/>
  <c r="H38" i="9" s="1"/>
  <c r="AN40" i="7"/>
  <c r="AM41" i="7"/>
  <c r="AL43" i="7"/>
  <c r="AJ44" i="7"/>
  <c r="AH45" i="7"/>
  <c r="AH46" i="7"/>
  <c r="AG47" i="7"/>
  <c r="AQ47" i="7"/>
  <c r="AP48" i="7"/>
  <c r="AO49" i="7"/>
  <c r="H49" i="9" s="1"/>
  <c r="AN50" i="7"/>
  <c r="AM51" i="7"/>
  <c r="AL52" i="7"/>
  <c r="AJ53" i="7"/>
  <c r="AH54" i="7"/>
  <c r="AG56" i="7"/>
  <c r="AQ56" i="7"/>
  <c r="AP57" i="7"/>
  <c r="AO58" i="7"/>
  <c r="H59" i="9" s="1"/>
  <c r="AN59" i="7"/>
  <c r="AM60" i="7"/>
  <c r="AL61" i="7"/>
  <c r="AJ62" i="7"/>
  <c r="AJ63" i="7"/>
  <c r="AH64" i="7"/>
  <c r="AG65" i="7"/>
  <c r="AQ65" i="7"/>
  <c r="AG48" i="7"/>
  <c r="AQ48" i="7"/>
  <c r="AP49" i="7"/>
  <c r="AO50" i="7"/>
  <c r="H50" i="9" s="1"/>
  <c r="AN51" i="7"/>
  <c r="AM52" i="7"/>
  <c r="AL53" i="7"/>
  <c r="AJ54" i="7"/>
  <c r="AH56" i="7"/>
  <c r="AG57" i="7"/>
  <c r="AQ57" i="7"/>
  <c r="AP58" i="7"/>
  <c r="AO59" i="7"/>
  <c r="H60" i="9" s="1"/>
  <c r="AN60" i="7"/>
  <c r="AM61" i="7"/>
  <c r="AL62" i="7"/>
  <c r="AL63" i="7"/>
  <c r="AJ64" i="7"/>
  <c r="AH65" i="7"/>
  <c r="AP62" i="7"/>
  <c r="AF19" i="7"/>
  <c r="AF27" i="7"/>
  <c r="AF36" i="7"/>
  <c r="AF45" i="7"/>
  <c r="AF53" i="7"/>
  <c r="AF62" i="7"/>
  <c r="AG13" i="7"/>
  <c r="AQ13" i="7"/>
  <c r="AP14" i="7"/>
  <c r="AO15" i="7"/>
  <c r="H13" i="9" s="1"/>
  <c r="AN16" i="7"/>
  <c r="AM17" i="7"/>
  <c r="AL18" i="7"/>
  <c r="AJ19" i="7"/>
  <c r="AH20" i="7"/>
  <c r="AG21" i="7"/>
  <c r="AQ21" i="7"/>
  <c r="AP22" i="7"/>
  <c r="AO23" i="7"/>
  <c r="H21" i="9" s="1"/>
  <c r="AN24" i="7"/>
  <c r="AM25" i="7"/>
  <c r="AL26" i="7"/>
  <c r="AJ27" i="7"/>
  <c r="AH29" i="7"/>
  <c r="AG30" i="7"/>
  <c r="AQ30" i="7"/>
  <c r="AP31" i="7"/>
  <c r="AO32" i="7"/>
  <c r="H31" i="9" s="1"/>
  <c r="AO33" i="7"/>
  <c r="H32" i="9" s="1"/>
  <c r="AN34" i="7"/>
  <c r="AM35" i="7"/>
  <c r="AL36" i="7"/>
  <c r="AJ37" i="7"/>
  <c r="AH38" i="7"/>
  <c r="AG39" i="7"/>
  <c r="AQ39" i="7"/>
  <c r="AP40" i="7"/>
  <c r="AO41" i="7"/>
  <c r="H40" i="9" s="1"/>
  <c r="AN43" i="7"/>
  <c r="AM44" i="7"/>
  <c r="AL45" i="7"/>
  <c r="AL46" i="7"/>
  <c r="AJ47" i="7"/>
  <c r="AH48" i="7"/>
  <c r="AG49" i="7"/>
  <c r="AQ49" i="7"/>
  <c r="AP50" i="7"/>
  <c r="AO51" i="7"/>
  <c r="H51" i="9" s="1"/>
  <c r="AN52" i="7"/>
  <c r="AM53" i="7"/>
  <c r="AL54" i="7"/>
  <c r="AJ56" i="7"/>
  <c r="AH57" i="7"/>
  <c r="AG58" i="7"/>
  <c r="AQ58" i="7"/>
  <c r="AP59" i="7"/>
  <c r="AO60" i="7"/>
  <c r="H61" i="9" s="1"/>
  <c r="AN61" i="7"/>
  <c r="AM62" i="7"/>
  <c r="AM63" i="7"/>
  <c r="AL64" i="7"/>
  <c r="AJ65" i="7"/>
  <c r="AM45" i="7"/>
  <c r="AN18" i="7"/>
  <c r="AL20" i="7"/>
  <c r="AH22" i="7"/>
  <c r="AQ23" i="7"/>
  <c r="AO25" i="7"/>
  <c r="H23" i="9" s="1"/>
  <c r="AM27" i="7"/>
  <c r="AJ30" i="7"/>
  <c r="AG32" i="7"/>
  <c r="AQ33" i="7"/>
  <c r="AO35" i="7"/>
  <c r="H34" i="9" s="1"/>
  <c r="AM37" i="7"/>
  <c r="AJ39" i="7"/>
  <c r="AG41" i="7"/>
  <c r="AP43" i="7"/>
  <c r="AO45" i="7"/>
  <c r="H45" i="9" s="1"/>
  <c r="AM47" i="7"/>
  <c r="AJ49" i="7"/>
  <c r="AG51" i="7"/>
  <c r="AP52" i="7"/>
  <c r="AN54" i="7"/>
  <c r="AL57" i="7"/>
  <c r="AH59" i="7"/>
  <c r="AQ60" i="7"/>
  <c r="AO62" i="7"/>
  <c r="H63" i="9" s="1"/>
  <c r="AN64" i="7"/>
  <c r="AF14" i="7"/>
  <c r="AF22" i="7"/>
  <c r="AF31" i="7"/>
  <c r="AF39" i="7"/>
  <c r="AF48" i="7"/>
  <c r="AF57" i="7"/>
  <c r="AF65" i="7"/>
  <c r="AL13" i="7"/>
  <c r="AJ14" i="7"/>
  <c r="AH15" i="7"/>
  <c r="AG16" i="7"/>
  <c r="AQ16" i="7"/>
  <c r="AP17" i="7"/>
  <c r="AO18" i="7"/>
  <c r="H16" i="9" s="1"/>
  <c r="AN19" i="7"/>
  <c r="AM20" i="7"/>
  <c r="AL21" i="7"/>
  <c r="AJ22" i="7"/>
  <c r="AH23" i="7"/>
  <c r="AG24" i="7"/>
  <c r="AQ24" i="7"/>
  <c r="AP25" i="7"/>
  <c r="AO26" i="7"/>
  <c r="H24" i="9" s="1"/>
  <c r="AN27" i="7"/>
  <c r="AM29" i="7"/>
  <c r="AL30" i="7"/>
  <c r="AJ31" i="7"/>
  <c r="AH32" i="7"/>
  <c r="AG33" i="7"/>
  <c r="AG34" i="7"/>
  <c r="AQ34" i="7"/>
  <c r="AP35" i="7"/>
  <c r="AO36" i="7"/>
  <c r="H35" i="9" s="1"/>
  <c r="AN37" i="7"/>
  <c r="AM38" i="7"/>
  <c r="AL39" i="7"/>
  <c r="AJ40" i="7"/>
  <c r="AH41" i="7"/>
  <c r="AG43" i="7"/>
  <c r="AQ43" i="7"/>
  <c r="AP44" i="7"/>
  <c r="AP45" i="7"/>
  <c r="AO46" i="7"/>
  <c r="H46" i="9" s="1"/>
  <c r="AN47" i="7"/>
  <c r="AM48" i="7"/>
  <c r="AL49" i="7"/>
  <c r="AJ50" i="7"/>
  <c r="AH51" i="7"/>
  <c r="AG52" i="7"/>
  <c r="AQ52" i="7"/>
  <c r="AP53" i="7"/>
  <c r="AO54" i="7"/>
  <c r="H54" i="9" s="1"/>
  <c r="AN56" i="7"/>
  <c r="AM57" i="7"/>
  <c r="AL58" i="7"/>
  <c r="AJ59" i="7"/>
  <c r="AH60" i="7"/>
  <c r="AG61" i="7"/>
  <c r="AQ61" i="7"/>
  <c r="AQ62" i="7"/>
  <c r="AP63" i="7"/>
  <c r="AO64" i="7"/>
  <c r="H65" i="9" s="1"/>
  <c r="AN65" i="7"/>
  <c r="AM19" i="7"/>
  <c r="AJ21" i="7"/>
  <c r="AG23" i="7"/>
  <c r="AP24" i="7"/>
  <c r="AN26" i="7"/>
  <c r="AL29" i="7"/>
  <c r="AH31" i="7"/>
  <c r="AQ32" i="7"/>
  <c r="AP34" i="7"/>
  <c r="AN36" i="7"/>
  <c r="AL38" i="7"/>
  <c r="AH40" i="7"/>
  <c r="AQ41" i="7"/>
  <c r="AO44" i="7"/>
  <c r="H44" i="9" s="1"/>
  <c r="AN46" i="7"/>
  <c r="AL48" i="7"/>
  <c r="AH50" i="7"/>
  <c r="AQ51" i="7"/>
  <c r="AO53" i="7"/>
  <c r="H53" i="9" s="1"/>
  <c r="AM56" i="7"/>
  <c r="AJ58" i="7"/>
  <c r="AG60" i="7"/>
  <c r="AP61" i="7"/>
  <c r="AO63" i="7"/>
  <c r="H64" i="9" s="1"/>
  <c r="AM65" i="7"/>
  <c r="AF15" i="7"/>
  <c r="AF23" i="7"/>
  <c r="AF32" i="7"/>
  <c r="AF40" i="7"/>
  <c r="AF49" i="7"/>
  <c r="AF58" i="7"/>
  <c r="AM13" i="7"/>
  <c r="AL14" i="7"/>
  <c r="AJ15" i="7"/>
  <c r="AH16" i="7"/>
  <c r="AG17" i="7"/>
  <c r="AQ17" i="7"/>
  <c r="AP18" i="7"/>
  <c r="AO19" i="7"/>
  <c r="H17" i="9" s="1"/>
  <c r="AN20" i="7"/>
  <c r="AM21" i="7"/>
  <c r="AL22" i="7"/>
  <c r="AJ23" i="7"/>
  <c r="AH24" i="7"/>
  <c r="AG25" i="7"/>
  <c r="AQ25" i="7"/>
  <c r="AP26" i="7"/>
  <c r="AO27" i="7"/>
  <c r="H25" i="9" s="1"/>
  <c r="AN29" i="7"/>
  <c r="AM30" i="7"/>
  <c r="AL31" i="7"/>
  <c r="AJ32" i="7"/>
  <c r="AJ33" i="7"/>
  <c r="AH34" i="7"/>
  <c r="AG35" i="7"/>
  <c r="AQ35" i="7"/>
  <c r="AP36" i="7"/>
  <c r="AO37" i="7"/>
  <c r="H36" i="9" s="1"/>
  <c r="AN38" i="7"/>
  <c r="AM39" i="7"/>
  <c r="AL40" i="7"/>
  <c r="AJ41" i="7"/>
  <c r="AH43" i="7"/>
  <c r="AG44" i="7"/>
  <c r="AQ44" i="7"/>
  <c r="AQ45" i="7"/>
  <c r="AP46" i="7"/>
  <c r="AO47" i="7"/>
  <c r="H47" i="9" s="1"/>
  <c r="AN48" i="7"/>
  <c r="AM49" i="7"/>
  <c r="AL50" i="7"/>
  <c r="AJ51" i="7"/>
  <c r="AH52" i="7"/>
  <c r="AG53" i="7"/>
  <c r="AQ53" i="7"/>
  <c r="AP54" i="7"/>
  <c r="AO56" i="7"/>
  <c r="H57" i="9" s="1"/>
  <c r="AN57" i="7"/>
  <c r="AM58" i="7"/>
  <c r="AL59" i="7"/>
  <c r="AJ60" i="7"/>
  <c r="AH61" i="7"/>
  <c r="AG62" i="7"/>
  <c r="AG63" i="7"/>
  <c r="AQ63" i="7"/>
  <c r="AP64" i="7"/>
  <c r="AO65" i="7"/>
  <c r="H66" i="9" s="1"/>
  <c r="IN22" i="5"/>
  <c r="IN21" i="5"/>
  <c r="IN13" i="5"/>
  <c r="IN30" i="5"/>
  <c r="IN20" i="5"/>
  <c r="IN12" i="5"/>
  <c r="IN3" i="5"/>
  <c r="IN56" i="5"/>
  <c r="IN46" i="5"/>
  <c r="IN37" i="5"/>
  <c r="IN29" i="5"/>
  <c r="IN51" i="5"/>
  <c r="IN55" i="5"/>
  <c r="EX24" i="1"/>
  <c r="IN54" i="5"/>
  <c r="IN28" i="5"/>
  <c r="IN11" i="5"/>
  <c r="IN61" i="5"/>
  <c r="IN53" i="5"/>
  <c r="IN44" i="5"/>
  <c r="IN35" i="5"/>
  <c r="IN27" i="5"/>
  <c r="IN18" i="5"/>
  <c r="IN10" i="5"/>
  <c r="IN62" i="5"/>
  <c r="IN36" i="5"/>
  <c r="IN60" i="5"/>
  <c r="IN43" i="5"/>
  <c r="IN34" i="5"/>
  <c r="IN26" i="5"/>
  <c r="IN17" i="5"/>
  <c r="IN9" i="5"/>
  <c r="IN45" i="5"/>
  <c r="IN19" i="5"/>
  <c r="IN59" i="5"/>
  <c r="IN50" i="5"/>
  <c r="IN42" i="5"/>
  <c r="IN33" i="5"/>
  <c r="IN25" i="5"/>
  <c r="IN16" i="5"/>
  <c r="IN8" i="5"/>
  <c r="IN58" i="5"/>
  <c r="IN49" i="5"/>
  <c r="IN41" i="5"/>
  <c r="IN32" i="5"/>
  <c r="IN24" i="5"/>
  <c r="IN15" i="5"/>
  <c r="IN7" i="5"/>
  <c r="EX53" i="1"/>
  <c r="EX6" i="1"/>
  <c r="IN57" i="5"/>
  <c r="IN48" i="5"/>
  <c r="IN40" i="5"/>
  <c r="IN31" i="5"/>
  <c r="IN14" i="5"/>
  <c r="IN6" i="5"/>
  <c r="IN47" i="5"/>
  <c r="IN39" i="5"/>
  <c r="IN4" i="5"/>
  <c r="AJ12" i="7"/>
  <c r="AN12" i="7"/>
  <c r="AQ12" i="7"/>
  <c r="AO12" i="7"/>
  <c r="H10" i="9" s="1"/>
  <c r="AG12" i="7"/>
  <c r="AP12" i="7"/>
  <c r="AH12" i="7"/>
  <c r="AM12" i="7"/>
  <c r="AF12" i="7"/>
  <c r="AL12" i="7"/>
  <c r="HH3" i="5"/>
  <c r="HH6" i="5"/>
  <c r="HH7" i="5"/>
  <c r="HH8" i="5"/>
  <c r="HH9" i="5"/>
  <c r="HH10" i="5"/>
  <c r="HH11" i="5"/>
  <c r="HH12" i="5"/>
  <c r="HH13" i="5"/>
  <c r="HH14" i="5"/>
  <c r="HH15" i="5"/>
  <c r="HH16" i="5"/>
  <c r="HH17" i="5"/>
  <c r="HH18" i="5"/>
  <c r="HH19" i="5"/>
  <c r="HH20" i="5"/>
  <c r="HH21" i="5"/>
  <c r="HH24" i="5"/>
  <c r="HH25" i="5"/>
  <c r="HH26" i="5"/>
  <c r="HH27" i="5"/>
  <c r="HH28" i="5"/>
  <c r="HH29" i="5"/>
  <c r="HH30" i="5"/>
  <c r="HH31" i="5"/>
  <c r="HH32" i="5"/>
  <c r="HH33" i="5"/>
  <c r="HH34" i="5"/>
  <c r="HH35" i="5"/>
  <c r="HH36" i="5"/>
  <c r="HH39" i="5"/>
  <c r="HH40" i="5"/>
  <c r="HH41" i="5"/>
  <c r="HH42" i="5"/>
  <c r="HH43" i="5"/>
  <c r="HH44" i="5"/>
  <c r="HH45" i="5"/>
  <c r="HH46" i="5"/>
  <c r="HH47" i="5"/>
  <c r="HH48" i="5"/>
  <c r="HH49" i="5"/>
  <c r="HH50" i="5"/>
  <c r="HH53" i="5"/>
  <c r="HH54" i="5"/>
  <c r="HH55" i="5"/>
  <c r="HH56" i="5"/>
  <c r="HH57" i="5"/>
  <c r="HH58" i="5"/>
  <c r="HH59" i="5"/>
  <c r="HH60" i="5"/>
  <c r="HH61" i="5"/>
  <c r="HH62" i="5"/>
  <c r="GC3" i="5"/>
  <c r="GC6" i="5"/>
  <c r="GC7" i="5"/>
  <c r="GC8" i="5"/>
  <c r="GC9" i="5"/>
  <c r="GC10" i="5"/>
  <c r="GC11" i="5"/>
  <c r="GC12" i="5"/>
  <c r="GC13" i="5"/>
  <c r="GC14" i="5"/>
  <c r="GC15" i="5"/>
  <c r="GC16" i="5"/>
  <c r="GC17" i="5"/>
  <c r="GC18" i="5"/>
  <c r="GC19" i="5"/>
  <c r="GC20" i="5"/>
  <c r="GC21" i="5"/>
  <c r="GC24" i="5"/>
  <c r="GC25" i="5"/>
  <c r="GC26" i="5"/>
  <c r="GC27" i="5"/>
  <c r="GC28" i="5"/>
  <c r="GC29" i="5"/>
  <c r="GC30" i="5"/>
  <c r="GC31" i="5"/>
  <c r="GC32" i="5"/>
  <c r="GC33" i="5"/>
  <c r="GC34" i="5"/>
  <c r="GC35" i="5"/>
  <c r="GC36" i="5"/>
  <c r="GC39" i="5"/>
  <c r="GC40" i="5"/>
  <c r="GC41" i="5"/>
  <c r="GC42" i="5"/>
  <c r="GC43" i="5"/>
  <c r="GC44" i="5"/>
  <c r="GC45" i="5"/>
  <c r="GC46" i="5"/>
  <c r="GC47" i="5"/>
  <c r="GC48" i="5"/>
  <c r="GC49" i="5"/>
  <c r="GC50" i="5"/>
  <c r="GC53" i="5"/>
  <c r="GC54" i="5"/>
  <c r="GC55" i="5"/>
  <c r="GC56" i="5"/>
  <c r="GC57" i="5"/>
  <c r="GC58" i="5"/>
  <c r="GC59" i="5"/>
  <c r="GC60" i="5"/>
  <c r="GC61" i="5"/>
  <c r="GC62" i="5"/>
  <c r="EX3" i="5"/>
  <c r="EX6" i="5"/>
  <c r="EX7" i="5"/>
  <c r="EX8" i="5"/>
  <c r="EX9" i="5"/>
  <c r="EX10" i="5"/>
  <c r="EX11" i="5"/>
  <c r="EX12" i="5"/>
  <c r="EX13" i="5"/>
  <c r="EX14" i="5"/>
  <c r="EX15" i="5"/>
  <c r="EX16" i="5"/>
  <c r="EX17" i="5"/>
  <c r="EX18" i="5"/>
  <c r="EX19" i="5"/>
  <c r="EX20" i="5"/>
  <c r="EX21" i="5"/>
  <c r="EX24" i="5"/>
  <c r="EX25" i="5"/>
  <c r="EX26" i="5"/>
  <c r="EX27" i="5"/>
  <c r="EX28" i="5"/>
  <c r="EX29" i="5"/>
  <c r="EX30" i="5"/>
  <c r="EX31" i="5"/>
  <c r="EX32" i="5"/>
  <c r="EX33" i="5"/>
  <c r="EX34" i="5"/>
  <c r="EX35" i="5"/>
  <c r="EX36" i="5"/>
  <c r="EX39" i="5"/>
  <c r="EX40" i="5"/>
  <c r="EX41" i="5"/>
  <c r="EX42" i="5"/>
  <c r="EX43" i="5"/>
  <c r="EX44" i="5"/>
  <c r="EX45" i="5"/>
  <c r="EX46" i="5"/>
  <c r="EX47" i="5"/>
  <c r="EX48" i="5"/>
  <c r="EX49" i="5"/>
  <c r="EX50" i="5"/>
  <c r="EX53" i="5"/>
  <c r="EX54" i="5"/>
  <c r="EX55" i="5"/>
  <c r="EX56" i="5"/>
  <c r="EX57" i="5"/>
  <c r="EX58" i="5"/>
  <c r="EX59" i="5"/>
  <c r="EX60" i="5"/>
  <c r="EX61" i="5"/>
  <c r="EX62" i="5"/>
  <c r="DS3" i="5"/>
  <c r="DS6" i="5"/>
  <c r="DS7" i="5"/>
  <c r="DS8" i="5"/>
  <c r="DS9" i="5"/>
  <c r="DS10" i="5"/>
  <c r="DS11" i="5"/>
  <c r="DS12" i="5"/>
  <c r="DS13" i="5"/>
  <c r="DS14" i="5"/>
  <c r="DS15" i="5"/>
  <c r="DS16" i="5"/>
  <c r="DS17" i="5"/>
  <c r="DS18" i="5"/>
  <c r="DS19" i="5"/>
  <c r="DS20" i="5"/>
  <c r="DS21" i="5"/>
  <c r="DS24" i="5"/>
  <c r="DS25" i="5"/>
  <c r="DS26" i="5"/>
  <c r="DS27" i="5"/>
  <c r="DS28" i="5"/>
  <c r="DS29" i="5"/>
  <c r="DS30" i="5"/>
  <c r="DS31" i="5"/>
  <c r="DS32" i="5"/>
  <c r="DS33" i="5"/>
  <c r="DS34" i="5"/>
  <c r="DS35" i="5"/>
  <c r="DS36" i="5"/>
  <c r="DS39" i="5"/>
  <c r="DS40" i="5"/>
  <c r="DS41" i="5"/>
  <c r="DS42" i="5"/>
  <c r="DS43" i="5"/>
  <c r="DS44" i="5"/>
  <c r="DS45" i="5"/>
  <c r="DS46" i="5"/>
  <c r="DS47" i="5"/>
  <c r="DS48" i="5"/>
  <c r="DS49" i="5"/>
  <c r="DS50" i="5"/>
  <c r="DS53" i="5"/>
  <c r="DS54" i="5"/>
  <c r="DS55" i="5"/>
  <c r="DS56" i="5"/>
  <c r="DS57" i="5"/>
  <c r="DS58" i="5"/>
  <c r="DS59" i="5"/>
  <c r="DS60" i="5"/>
  <c r="DS61" i="5"/>
  <c r="DS62" i="5"/>
  <c r="BI3" i="5"/>
  <c r="BI6" i="5"/>
  <c r="BI7" i="5"/>
  <c r="BI8" i="5"/>
  <c r="BI9" i="5"/>
  <c r="BI10" i="5"/>
  <c r="BI11" i="5"/>
  <c r="BI12" i="5"/>
  <c r="BI13" i="5"/>
  <c r="BI14" i="5"/>
  <c r="BI15" i="5"/>
  <c r="BI16" i="5"/>
  <c r="BI17" i="5"/>
  <c r="BI18" i="5"/>
  <c r="BI19" i="5"/>
  <c r="BI20" i="5"/>
  <c r="BI21" i="5"/>
  <c r="BI24" i="5"/>
  <c r="BI25" i="5"/>
  <c r="BI26" i="5"/>
  <c r="BI27" i="5"/>
  <c r="BI28" i="5"/>
  <c r="BI29" i="5"/>
  <c r="BI30" i="5"/>
  <c r="BI31" i="5"/>
  <c r="BI32" i="5"/>
  <c r="BI33" i="5"/>
  <c r="BI34" i="5"/>
  <c r="BI35" i="5"/>
  <c r="BI36" i="5"/>
  <c r="BI39" i="5"/>
  <c r="BI40" i="5"/>
  <c r="BI41" i="5"/>
  <c r="BI42" i="5"/>
  <c r="BI43" i="5"/>
  <c r="BI44" i="5"/>
  <c r="BI45" i="5"/>
  <c r="BI46" i="5"/>
  <c r="BI47" i="5"/>
  <c r="BI48" i="5"/>
  <c r="BI49" i="5"/>
  <c r="BI50" i="5"/>
  <c r="BI53" i="5"/>
  <c r="BI54" i="5"/>
  <c r="BI55" i="5"/>
  <c r="BI56" i="5"/>
  <c r="BI57" i="5"/>
  <c r="BI58" i="5"/>
  <c r="BI59" i="5"/>
  <c r="BI60" i="5"/>
  <c r="BI61" i="5"/>
  <c r="BI62" i="5"/>
  <c r="AD3" i="5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3" i="5"/>
  <c r="AD54" i="5"/>
  <c r="AD55" i="5"/>
  <c r="AD56" i="5"/>
  <c r="AD57" i="5"/>
  <c r="AD58" i="5"/>
  <c r="AD59" i="5"/>
  <c r="AD60" i="5"/>
  <c r="AD61" i="5"/>
  <c r="AD62" i="5"/>
  <c r="JQ53" i="1"/>
  <c r="JQ39" i="1"/>
  <c r="JQ24" i="1"/>
  <c r="JQ6" i="1"/>
  <c r="IL53" i="1"/>
  <c r="IL39" i="1"/>
  <c r="IL24" i="1"/>
  <c r="IL6" i="1"/>
  <c r="HG53" i="1"/>
  <c r="HG39" i="1"/>
  <c r="HG24" i="1"/>
  <c r="HG6" i="1"/>
  <c r="GB53" i="1"/>
  <c r="GB39" i="1"/>
  <c r="GB24" i="1"/>
  <c r="GB6" i="1"/>
  <c r="EW5" i="1"/>
  <c r="EW8" i="1"/>
  <c r="EW9" i="1"/>
  <c r="EW10" i="1"/>
  <c r="EW11" i="1"/>
  <c r="EW12" i="1"/>
  <c r="EW13" i="1"/>
  <c r="EW14" i="1"/>
  <c r="EW15" i="1"/>
  <c r="EW16" i="1"/>
  <c r="EW17" i="1"/>
  <c r="EW18" i="1"/>
  <c r="EW19" i="1"/>
  <c r="EW20" i="1"/>
  <c r="EW21" i="1"/>
  <c r="EW22" i="1"/>
  <c r="EW23" i="1"/>
  <c r="EW26" i="1"/>
  <c r="EW27" i="1"/>
  <c r="EW28" i="1"/>
  <c r="EW29" i="1"/>
  <c r="EW30" i="1"/>
  <c r="EW31" i="1"/>
  <c r="EW32" i="1"/>
  <c r="EW33" i="1"/>
  <c r="EW34" i="1"/>
  <c r="EW35" i="1"/>
  <c r="EW36" i="1"/>
  <c r="EW37" i="1"/>
  <c r="EW38" i="1"/>
  <c r="EW41" i="1"/>
  <c r="EW42" i="1"/>
  <c r="EW43" i="1"/>
  <c r="EW44" i="1"/>
  <c r="EW45" i="1"/>
  <c r="EW46" i="1"/>
  <c r="EW47" i="1"/>
  <c r="EW48" i="1"/>
  <c r="EW49" i="1"/>
  <c r="EW50" i="1"/>
  <c r="EW51" i="1"/>
  <c r="EW52" i="1"/>
  <c r="EW55" i="1"/>
  <c r="EW56" i="1"/>
  <c r="EW57" i="1"/>
  <c r="EW58" i="1"/>
  <c r="EW59" i="1"/>
  <c r="EW60" i="1"/>
  <c r="EW61" i="1"/>
  <c r="EW62" i="1"/>
  <c r="EW63" i="1"/>
  <c r="EW64" i="1"/>
  <c r="DR53" i="1"/>
  <c r="DR39" i="1"/>
  <c r="DR24" i="1"/>
  <c r="DR6" i="1"/>
  <c r="CM53" i="1"/>
  <c r="CM39" i="1"/>
  <c r="CM24" i="1"/>
  <c r="CM6" i="1"/>
  <c r="BH53" i="1"/>
  <c r="BH39" i="1"/>
  <c r="BH24" i="1"/>
  <c r="BH6" i="1"/>
  <c r="AC53" i="1"/>
  <c r="AB10" i="7" s="1"/>
  <c r="AC39" i="1"/>
  <c r="AB9" i="7" s="1"/>
  <c r="AC24" i="1"/>
  <c r="AB8" i="7" s="1"/>
  <c r="AC6" i="1"/>
  <c r="AB6" i="7" s="1"/>
  <c r="HH37" i="5" l="1"/>
  <c r="CN4" i="5"/>
  <c r="AD4" i="5"/>
  <c r="DS4" i="5"/>
  <c r="GC4" i="5"/>
  <c r="EX37" i="5"/>
  <c r="CN22" i="5"/>
  <c r="AD22" i="5"/>
  <c r="DS22" i="5"/>
  <c r="GC22" i="5"/>
  <c r="DS37" i="5"/>
  <c r="IM21" i="5"/>
  <c r="IM47" i="5"/>
  <c r="CN37" i="5"/>
  <c r="AD37" i="5"/>
  <c r="GC37" i="5"/>
  <c r="AD51" i="5"/>
  <c r="EX51" i="5"/>
  <c r="BI51" i="5"/>
  <c r="EX4" i="5"/>
  <c r="BI37" i="5"/>
  <c r="IM16" i="5"/>
  <c r="BI4" i="5"/>
  <c r="HH4" i="5"/>
  <c r="BI22" i="5"/>
  <c r="EX22" i="5"/>
  <c r="HH22" i="5"/>
  <c r="IM42" i="5"/>
  <c r="HH51" i="5"/>
  <c r="GC51" i="5"/>
  <c r="IM17" i="5"/>
  <c r="IM60" i="5"/>
  <c r="DS51" i="5"/>
  <c r="IM43" i="5"/>
  <c r="IM34" i="5"/>
  <c r="EW53" i="1"/>
  <c r="CN51" i="5"/>
  <c r="EW24" i="1"/>
  <c r="EW6" i="1"/>
  <c r="EW39" i="1"/>
  <c r="IM30" i="5"/>
  <c r="IM57" i="5"/>
  <c r="IM48" i="5"/>
  <c r="IM40" i="5"/>
  <c r="IM31" i="5"/>
  <c r="IM14" i="5"/>
  <c r="IM6" i="5"/>
  <c r="IM58" i="5"/>
  <c r="IM49" i="5"/>
  <c r="IM41" i="5"/>
  <c r="IM32" i="5"/>
  <c r="IM24" i="5"/>
  <c r="IM15" i="5"/>
  <c r="IM7" i="5"/>
  <c r="IM50" i="5"/>
  <c r="IM61" i="5"/>
  <c r="IM53" i="5"/>
  <c r="IM44" i="5"/>
  <c r="IM35" i="5"/>
  <c r="IM27" i="5"/>
  <c r="IM18" i="5"/>
  <c r="IM10" i="5"/>
  <c r="IM62" i="5"/>
  <c r="IM54" i="5"/>
  <c r="IM45" i="5"/>
  <c r="IM36" i="5"/>
  <c r="IM28" i="5"/>
  <c r="IM19" i="5"/>
  <c r="IM11" i="5"/>
  <c r="IM56" i="5"/>
  <c r="IM39" i="5"/>
  <c r="IM13" i="5"/>
  <c r="IM59" i="5"/>
  <c r="IM33" i="5"/>
  <c r="IM25" i="5"/>
  <c r="IM8" i="5"/>
  <c r="IM26" i="5"/>
  <c r="IM9" i="5"/>
  <c r="IM55" i="5"/>
  <c r="IM46" i="5"/>
  <c r="IM29" i="5"/>
  <c r="IM20" i="5"/>
  <c r="IM12" i="5"/>
  <c r="IM3" i="5"/>
  <c r="EG6" i="5"/>
  <c r="EH6" i="5"/>
  <c r="EI6" i="5"/>
  <c r="EJ6" i="5"/>
  <c r="EK6" i="5"/>
  <c r="EL6" i="5"/>
  <c r="EM6" i="5"/>
  <c r="EN6" i="5"/>
  <c r="EO6" i="5"/>
  <c r="EQ6" i="5"/>
  <c r="ES6" i="5"/>
  <c r="ET6" i="5"/>
  <c r="EU6" i="5"/>
  <c r="EV6" i="5"/>
  <c r="O10" i="8" s="1"/>
  <c r="EW6" i="5"/>
  <c r="FL6" i="5"/>
  <c r="FM6" i="5"/>
  <c r="FN6" i="5"/>
  <c r="FO6" i="5"/>
  <c r="FP6" i="5"/>
  <c r="FQ6" i="5"/>
  <c r="FR6" i="5"/>
  <c r="FS6" i="5"/>
  <c r="FT6" i="5"/>
  <c r="FV6" i="5"/>
  <c r="FX6" i="5"/>
  <c r="FY6" i="5"/>
  <c r="FZ6" i="5"/>
  <c r="GA6" i="5"/>
  <c r="P10" i="8" s="1"/>
  <c r="GB6" i="5"/>
  <c r="GQ6" i="5"/>
  <c r="GR6" i="5"/>
  <c r="GS6" i="5"/>
  <c r="GT6" i="5"/>
  <c r="GU6" i="5"/>
  <c r="GV6" i="5"/>
  <c r="GW6" i="5"/>
  <c r="GX6" i="5"/>
  <c r="GY6" i="5"/>
  <c r="HA6" i="5"/>
  <c r="HC6" i="5"/>
  <c r="HD6" i="5"/>
  <c r="HE6" i="5"/>
  <c r="HF6" i="5"/>
  <c r="Q10" i="8" s="1"/>
  <c r="HG6" i="5"/>
  <c r="EG7" i="5"/>
  <c r="EH7" i="5"/>
  <c r="EI7" i="5"/>
  <c r="EJ7" i="5"/>
  <c r="EK7" i="5"/>
  <c r="EL7" i="5"/>
  <c r="EM7" i="5"/>
  <c r="EN7" i="5"/>
  <c r="EO7" i="5"/>
  <c r="EQ7" i="5"/>
  <c r="ES7" i="5"/>
  <c r="ET7" i="5"/>
  <c r="EU7" i="5"/>
  <c r="EV7" i="5"/>
  <c r="O11" i="8" s="1"/>
  <c r="EW7" i="5"/>
  <c r="FL7" i="5"/>
  <c r="FM7" i="5"/>
  <c r="FN7" i="5"/>
  <c r="FO7" i="5"/>
  <c r="FP7" i="5"/>
  <c r="FQ7" i="5"/>
  <c r="FR7" i="5"/>
  <c r="FS7" i="5"/>
  <c r="FT7" i="5"/>
  <c r="FV7" i="5"/>
  <c r="FX7" i="5"/>
  <c r="FY7" i="5"/>
  <c r="FZ7" i="5"/>
  <c r="GA7" i="5"/>
  <c r="P11" i="8" s="1"/>
  <c r="GB7" i="5"/>
  <c r="GQ7" i="5"/>
  <c r="GR7" i="5"/>
  <c r="GS7" i="5"/>
  <c r="GT7" i="5"/>
  <c r="GU7" i="5"/>
  <c r="GV7" i="5"/>
  <c r="GW7" i="5"/>
  <c r="GX7" i="5"/>
  <c r="GY7" i="5"/>
  <c r="HA7" i="5"/>
  <c r="HC7" i="5"/>
  <c r="HD7" i="5"/>
  <c r="HE7" i="5"/>
  <c r="HF7" i="5"/>
  <c r="Q11" i="8" s="1"/>
  <c r="HG7" i="5"/>
  <c r="DW8" i="5"/>
  <c r="DX8" i="5"/>
  <c r="DY8" i="5"/>
  <c r="EG8" i="5"/>
  <c r="EH8" i="5"/>
  <c r="EI8" i="5"/>
  <c r="EJ8" i="5"/>
  <c r="EK8" i="5"/>
  <c r="EL8" i="5"/>
  <c r="EM8" i="5"/>
  <c r="EN8" i="5"/>
  <c r="EO8" i="5"/>
  <c r="EQ8" i="5"/>
  <c r="ES8" i="5"/>
  <c r="ET8" i="5"/>
  <c r="EU8" i="5"/>
  <c r="EV8" i="5"/>
  <c r="O12" i="8" s="1"/>
  <c r="EW8" i="5"/>
  <c r="FB8" i="5"/>
  <c r="FC8" i="5"/>
  <c r="FD8" i="5"/>
  <c r="FL8" i="5"/>
  <c r="FM8" i="5"/>
  <c r="FN8" i="5"/>
  <c r="FO8" i="5"/>
  <c r="FP8" i="5"/>
  <c r="FQ8" i="5"/>
  <c r="FR8" i="5"/>
  <c r="FS8" i="5"/>
  <c r="FT8" i="5"/>
  <c r="FV8" i="5"/>
  <c r="FX8" i="5"/>
  <c r="FY8" i="5"/>
  <c r="FZ8" i="5"/>
  <c r="GA8" i="5"/>
  <c r="P12" i="8" s="1"/>
  <c r="GB8" i="5"/>
  <c r="GG8" i="5"/>
  <c r="GH8" i="5"/>
  <c r="GI8" i="5"/>
  <c r="GQ8" i="5"/>
  <c r="GR8" i="5"/>
  <c r="GS8" i="5"/>
  <c r="GT8" i="5"/>
  <c r="GU8" i="5"/>
  <c r="GV8" i="5"/>
  <c r="GW8" i="5"/>
  <c r="GX8" i="5"/>
  <c r="GY8" i="5"/>
  <c r="HA8" i="5"/>
  <c r="HC8" i="5"/>
  <c r="HD8" i="5"/>
  <c r="HE8" i="5"/>
  <c r="HF8" i="5"/>
  <c r="Q12" i="8" s="1"/>
  <c r="HG8" i="5"/>
  <c r="EG9" i="5"/>
  <c r="EH9" i="5"/>
  <c r="EI9" i="5"/>
  <c r="EJ9" i="5"/>
  <c r="EK9" i="5"/>
  <c r="EL9" i="5"/>
  <c r="EM9" i="5"/>
  <c r="EN9" i="5"/>
  <c r="EO9" i="5"/>
  <c r="EQ9" i="5"/>
  <c r="ES9" i="5"/>
  <c r="ET9" i="5"/>
  <c r="EU9" i="5"/>
  <c r="EV9" i="5"/>
  <c r="O13" i="8" s="1"/>
  <c r="EW9" i="5"/>
  <c r="FL9" i="5"/>
  <c r="FM9" i="5"/>
  <c r="FN9" i="5"/>
  <c r="FO9" i="5"/>
  <c r="FP9" i="5"/>
  <c r="FQ9" i="5"/>
  <c r="FR9" i="5"/>
  <c r="FS9" i="5"/>
  <c r="FT9" i="5"/>
  <c r="FV9" i="5"/>
  <c r="FX9" i="5"/>
  <c r="FY9" i="5"/>
  <c r="FZ9" i="5"/>
  <c r="GA9" i="5"/>
  <c r="P13" i="8" s="1"/>
  <c r="GB9" i="5"/>
  <c r="GQ9" i="5"/>
  <c r="GR9" i="5"/>
  <c r="GS9" i="5"/>
  <c r="GT9" i="5"/>
  <c r="GU9" i="5"/>
  <c r="GV9" i="5"/>
  <c r="GW9" i="5"/>
  <c r="GX9" i="5"/>
  <c r="GY9" i="5"/>
  <c r="HA9" i="5"/>
  <c r="HC9" i="5"/>
  <c r="HD9" i="5"/>
  <c r="HE9" i="5"/>
  <c r="HF9" i="5"/>
  <c r="Q13" i="8" s="1"/>
  <c r="HG9" i="5"/>
  <c r="EG10" i="5"/>
  <c r="EH10" i="5"/>
  <c r="EI10" i="5"/>
  <c r="EJ10" i="5"/>
  <c r="EK10" i="5"/>
  <c r="EL10" i="5"/>
  <c r="EM10" i="5"/>
  <c r="EN10" i="5"/>
  <c r="EO10" i="5"/>
  <c r="EQ10" i="5"/>
  <c r="ES10" i="5"/>
  <c r="ET10" i="5"/>
  <c r="EU10" i="5"/>
  <c r="EV10" i="5"/>
  <c r="O14" i="8" s="1"/>
  <c r="EW10" i="5"/>
  <c r="FL10" i="5"/>
  <c r="FM10" i="5"/>
  <c r="FN10" i="5"/>
  <c r="FO10" i="5"/>
  <c r="FP10" i="5"/>
  <c r="FQ10" i="5"/>
  <c r="FR10" i="5"/>
  <c r="FS10" i="5"/>
  <c r="FT10" i="5"/>
  <c r="FV10" i="5"/>
  <c r="FX10" i="5"/>
  <c r="FY10" i="5"/>
  <c r="FZ10" i="5"/>
  <c r="GA10" i="5"/>
  <c r="P14" i="8" s="1"/>
  <c r="GB10" i="5"/>
  <c r="GQ10" i="5"/>
  <c r="GR10" i="5"/>
  <c r="GS10" i="5"/>
  <c r="GT10" i="5"/>
  <c r="GU10" i="5"/>
  <c r="GV10" i="5"/>
  <c r="GW10" i="5"/>
  <c r="GX10" i="5"/>
  <c r="GY10" i="5"/>
  <c r="HA10" i="5"/>
  <c r="HC10" i="5"/>
  <c r="HD10" i="5"/>
  <c r="HE10" i="5"/>
  <c r="HF10" i="5"/>
  <c r="Q14" i="8" s="1"/>
  <c r="HG10" i="5"/>
  <c r="EG11" i="5"/>
  <c r="EH11" i="5"/>
  <c r="EI11" i="5"/>
  <c r="EJ11" i="5"/>
  <c r="EK11" i="5"/>
  <c r="EL11" i="5"/>
  <c r="EM11" i="5"/>
  <c r="EN11" i="5"/>
  <c r="EO11" i="5"/>
  <c r="EQ11" i="5"/>
  <c r="ES11" i="5"/>
  <c r="ET11" i="5"/>
  <c r="EU11" i="5"/>
  <c r="EV11" i="5"/>
  <c r="O15" i="8" s="1"/>
  <c r="EW11" i="5"/>
  <c r="FL11" i="5"/>
  <c r="FM11" i="5"/>
  <c r="FN11" i="5"/>
  <c r="FO11" i="5"/>
  <c r="FP11" i="5"/>
  <c r="FQ11" i="5"/>
  <c r="FR11" i="5"/>
  <c r="FS11" i="5"/>
  <c r="FT11" i="5"/>
  <c r="FV11" i="5"/>
  <c r="FX11" i="5"/>
  <c r="FY11" i="5"/>
  <c r="FZ11" i="5"/>
  <c r="GA11" i="5"/>
  <c r="P15" i="8" s="1"/>
  <c r="GB11" i="5"/>
  <c r="GQ11" i="5"/>
  <c r="GR11" i="5"/>
  <c r="GS11" i="5"/>
  <c r="GT11" i="5"/>
  <c r="GU11" i="5"/>
  <c r="GV11" i="5"/>
  <c r="GW11" i="5"/>
  <c r="GX11" i="5"/>
  <c r="GY11" i="5"/>
  <c r="HA11" i="5"/>
  <c r="HC11" i="5"/>
  <c r="HD11" i="5"/>
  <c r="HE11" i="5"/>
  <c r="HF11" i="5"/>
  <c r="Q15" i="8" s="1"/>
  <c r="HG11" i="5"/>
  <c r="EG12" i="5"/>
  <c r="EH12" i="5"/>
  <c r="EI12" i="5"/>
  <c r="EJ12" i="5"/>
  <c r="EK12" i="5"/>
  <c r="EL12" i="5"/>
  <c r="EM12" i="5"/>
  <c r="EN12" i="5"/>
  <c r="EO12" i="5"/>
  <c r="EQ12" i="5"/>
  <c r="ES12" i="5"/>
  <c r="ET12" i="5"/>
  <c r="EU12" i="5"/>
  <c r="EV12" i="5"/>
  <c r="O16" i="8" s="1"/>
  <c r="EW12" i="5"/>
  <c r="FL12" i="5"/>
  <c r="FM12" i="5"/>
  <c r="FN12" i="5"/>
  <c r="FO12" i="5"/>
  <c r="FP12" i="5"/>
  <c r="FQ12" i="5"/>
  <c r="FR12" i="5"/>
  <c r="FS12" i="5"/>
  <c r="FT12" i="5"/>
  <c r="FV12" i="5"/>
  <c r="FX12" i="5"/>
  <c r="FY12" i="5"/>
  <c r="FZ12" i="5"/>
  <c r="GA12" i="5"/>
  <c r="P16" i="8" s="1"/>
  <c r="GB12" i="5"/>
  <c r="GQ12" i="5"/>
  <c r="GR12" i="5"/>
  <c r="GS12" i="5"/>
  <c r="GT12" i="5"/>
  <c r="GU12" i="5"/>
  <c r="GV12" i="5"/>
  <c r="GW12" i="5"/>
  <c r="GX12" i="5"/>
  <c r="GY12" i="5"/>
  <c r="HA12" i="5"/>
  <c r="HC12" i="5"/>
  <c r="HD12" i="5"/>
  <c r="HE12" i="5"/>
  <c r="HF12" i="5"/>
  <c r="Q16" i="8" s="1"/>
  <c r="HG12" i="5"/>
  <c r="EG13" i="5"/>
  <c r="EH13" i="5"/>
  <c r="EI13" i="5"/>
  <c r="EJ13" i="5"/>
  <c r="EK13" i="5"/>
  <c r="EL13" i="5"/>
  <c r="EM13" i="5"/>
  <c r="EN13" i="5"/>
  <c r="EO13" i="5"/>
  <c r="EQ13" i="5"/>
  <c r="ES13" i="5"/>
  <c r="ET13" i="5"/>
  <c r="EU13" i="5"/>
  <c r="EV13" i="5"/>
  <c r="O17" i="8" s="1"/>
  <c r="EW13" i="5"/>
  <c r="FL13" i="5"/>
  <c r="FM13" i="5"/>
  <c r="FN13" i="5"/>
  <c r="FO13" i="5"/>
  <c r="FP13" i="5"/>
  <c r="FQ13" i="5"/>
  <c r="FR13" i="5"/>
  <c r="FS13" i="5"/>
  <c r="FT13" i="5"/>
  <c r="FV13" i="5"/>
  <c r="FX13" i="5"/>
  <c r="FY13" i="5"/>
  <c r="FZ13" i="5"/>
  <c r="GA13" i="5"/>
  <c r="P17" i="8" s="1"/>
  <c r="GB13" i="5"/>
  <c r="GQ13" i="5"/>
  <c r="GR13" i="5"/>
  <c r="GS13" i="5"/>
  <c r="GT13" i="5"/>
  <c r="GU13" i="5"/>
  <c r="GV13" i="5"/>
  <c r="GW13" i="5"/>
  <c r="GX13" i="5"/>
  <c r="GY13" i="5"/>
  <c r="HA13" i="5"/>
  <c r="HC13" i="5"/>
  <c r="HD13" i="5"/>
  <c r="HE13" i="5"/>
  <c r="HF13" i="5"/>
  <c r="Q17" i="8" s="1"/>
  <c r="HG13" i="5"/>
  <c r="EG14" i="5"/>
  <c r="EH14" i="5"/>
  <c r="EI14" i="5"/>
  <c r="EJ14" i="5"/>
  <c r="EK14" i="5"/>
  <c r="EL14" i="5"/>
  <c r="EM14" i="5"/>
  <c r="EN14" i="5"/>
  <c r="EO14" i="5"/>
  <c r="EQ14" i="5"/>
  <c r="ES14" i="5"/>
  <c r="ET14" i="5"/>
  <c r="EU14" i="5"/>
  <c r="EV14" i="5"/>
  <c r="O18" i="8" s="1"/>
  <c r="EW14" i="5"/>
  <c r="FL14" i="5"/>
  <c r="FM14" i="5"/>
  <c r="FN14" i="5"/>
  <c r="FO14" i="5"/>
  <c r="FP14" i="5"/>
  <c r="FQ14" i="5"/>
  <c r="FR14" i="5"/>
  <c r="FS14" i="5"/>
  <c r="FT14" i="5"/>
  <c r="FV14" i="5"/>
  <c r="FX14" i="5"/>
  <c r="FY14" i="5"/>
  <c r="FZ14" i="5"/>
  <c r="GA14" i="5"/>
  <c r="P18" i="8" s="1"/>
  <c r="GB14" i="5"/>
  <c r="GQ14" i="5"/>
  <c r="GR14" i="5"/>
  <c r="GS14" i="5"/>
  <c r="GT14" i="5"/>
  <c r="GU14" i="5"/>
  <c r="GV14" i="5"/>
  <c r="GW14" i="5"/>
  <c r="GX14" i="5"/>
  <c r="GY14" i="5"/>
  <c r="HA14" i="5"/>
  <c r="HC14" i="5"/>
  <c r="HD14" i="5"/>
  <c r="HE14" i="5"/>
  <c r="HF14" i="5"/>
  <c r="Q18" i="8" s="1"/>
  <c r="HG14" i="5"/>
  <c r="EG15" i="5"/>
  <c r="EH15" i="5"/>
  <c r="EI15" i="5"/>
  <c r="EJ15" i="5"/>
  <c r="EK15" i="5"/>
  <c r="EL15" i="5"/>
  <c r="EM15" i="5"/>
  <c r="EN15" i="5"/>
  <c r="EO15" i="5"/>
  <c r="EQ15" i="5"/>
  <c r="ES15" i="5"/>
  <c r="ET15" i="5"/>
  <c r="EU15" i="5"/>
  <c r="EV15" i="5"/>
  <c r="O19" i="8" s="1"/>
  <c r="EW15" i="5"/>
  <c r="FL15" i="5"/>
  <c r="FM15" i="5"/>
  <c r="FN15" i="5"/>
  <c r="FO15" i="5"/>
  <c r="FP15" i="5"/>
  <c r="FQ15" i="5"/>
  <c r="FR15" i="5"/>
  <c r="FS15" i="5"/>
  <c r="FT15" i="5"/>
  <c r="FV15" i="5"/>
  <c r="FX15" i="5"/>
  <c r="FY15" i="5"/>
  <c r="FZ15" i="5"/>
  <c r="GA15" i="5"/>
  <c r="P19" i="8" s="1"/>
  <c r="GB15" i="5"/>
  <c r="GQ15" i="5"/>
  <c r="GR15" i="5"/>
  <c r="GS15" i="5"/>
  <c r="GT15" i="5"/>
  <c r="GU15" i="5"/>
  <c r="GV15" i="5"/>
  <c r="GW15" i="5"/>
  <c r="GX15" i="5"/>
  <c r="GY15" i="5"/>
  <c r="HA15" i="5"/>
  <c r="HC15" i="5"/>
  <c r="HD15" i="5"/>
  <c r="HE15" i="5"/>
  <c r="HF15" i="5"/>
  <c r="Q19" i="8" s="1"/>
  <c r="HG15" i="5"/>
  <c r="EG16" i="5"/>
  <c r="EH16" i="5"/>
  <c r="EI16" i="5"/>
  <c r="EJ16" i="5"/>
  <c r="EK16" i="5"/>
  <c r="EL16" i="5"/>
  <c r="EM16" i="5"/>
  <c r="EN16" i="5"/>
  <c r="EO16" i="5"/>
  <c r="EQ16" i="5"/>
  <c r="ES16" i="5"/>
  <c r="ET16" i="5"/>
  <c r="EU16" i="5"/>
  <c r="EV16" i="5"/>
  <c r="O20" i="8" s="1"/>
  <c r="EW16" i="5"/>
  <c r="FL16" i="5"/>
  <c r="FM16" i="5"/>
  <c r="FN16" i="5"/>
  <c r="FO16" i="5"/>
  <c r="FP16" i="5"/>
  <c r="FQ16" i="5"/>
  <c r="FR16" i="5"/>
  <c r="FS16" i="5"/>
  <c r="FT16" i="5"/>
  <c r="FV16" i="5"/>
  <c r="FX16" i="5"/>
  <c r="FY16" i="5"/>
  <c r="FZ16" i="5"/>
  <c r="GA16" i="5"/>
  <c r="P20" i="8" s="1"/>
  <c r="GB16" i="5"/>
  <c r="GQ16" i="5"/>
  <c r="GR16" i="5"/>
  <c r="GS16" i="5"/>
  <c r="GT16" i="5"/>
  <c r="GU16" i="5"/>
  <c r="GV16" i="5"/>
  <c r="GW16" i="5"/>
  <c r="GX16" i="5"/>
  <c r="GY16" i="5"/>
  <c r="HA16" i="5"/>
  <c r="HC16" i="5"/>
  <c r="HD16" i="5"/>
  <c r="HE16" i="5"/>
  <c r="HF16" i="5"/>
  <c r="Q20" i="8" s="1"/>
  <c r="HG16" i="5"/>
  <c r="EG17" i="5"/>
  <c r="EH17" i="5"/>
  <c r="EI17" i="5"/>
  <c r="EJ17" i="5"/>
  <c r="EK17" i="5"/>
  <c r="EL17" i="5"/>
  <c r="EM17" i="5"/>
  <c r="EN17" i="5"/>
  <c r="EO17" i="5"/>
  <c r="EQ17" i="5"/>
  <c r="ES17" i="5"/>
  <c r="ET17" i="5"/>
  <c r="EU17" i="5"/>
  <c r="EV17" i="5"/>
  <c r="O21" i="8" s="1"/>
  <c r="EW17" i="5"/>
  <c r="FL17" i="5"/>
  <c r="FM17" i="5"/>
  <c r="FN17" i="5"/>
  <c r="FO17" i="5"/>
  <c r="FP17" i="5"/>
  <c r="FQ17" i="5"/>
  <c r="FR17" i="5"/>
  <c r="FS17" i="5"/>
  <c r="FT17" i="5"/>
  <c r="FV17" i="5"/>
  <c r="FX17" i="5"/>
  <c r="FY17" i="5"/>
  <c r="FZ17" i="5"/>
  <c r="GA17" i="5"/>
  <c r="P21" i="8" s="1"/>
  <c r="GB17" i="5"/>
  <c r="GQ17" i="5"/>
  <c r="GR17" i="5"/>
  <c r="GS17" i="5"/>
  <c r="GT17" i="5"/>
  <c r="GU17" i="5"/>
  <c r="GV17" i="5"/>
  <c r="GW17" i="5"/>
  <c r="GX17" i="5"/>
  <c r="GY17" i="5"/>
  <c r="HA17" i="5"/>
  <c r="HC17" i="5"/>
  <c r="HD17" i="5"/>
  <c r="HE17" i="5"/>
  <c r="HF17" i="5"/>
  <c r="Q21" i="8" s="1"/>
  <c r="HG17" i="5"/>
  <c r="EG18" i="5"/>
  <c r="EH18" i="5"/>
  <c r="EI18" i="5"/>
  <c r="EJ18" i="5"/>
  <c r="EK18" i="5"/>
  <c r="EL18" i="5"/>
  <c r="EM18" i="5"/>
  <c r="EN18" i="5"/>
  <c r="EO18" i="5"/>
  <c r="EQ18" i="5"/>
  <c r="ES18" i="5"/>
  <c r="ET18" i="5"/>
  <c r="EU18" i="5"/>
  <c r="EV18" i="5"/>
  <c r="O22" i="8" s="1"/>
  <c r="EW18" i="5"/>
  <c r="FL18" i="5"/>
  <c r="FM18" i="5"/>
  <c r="FN18" i="5"/>
  <c r="FO18" i="5"/>
  <c r="FP18" i="5"/>
  <c r="FQ18" i="5"/>
  <c r="FR18" i="5"/>
  <c r="FS18" i="5"/>
  <c r="FT18" i="5"/>
  <c r="FV18" i="5"/>
  <c r="FX18" i="5"/>
  <c r="FY18" i="5"/>
  <c r="FZ18" i="5"/>
  <c r="GA18" i="5"/>
  <c r="P22" i="8" s="1"/>
  <c r="GB18" i="5"/>
  <c r="GQ18" i="5"/>
  <c r="GR18" i="5"/>
  <c r="GS18" i="5"/>
  <c r="GT18" i="5"/>
  <c r="GU18" i="5"/>
  <c r="GV18" i="5"/>
  <c r="GW18" i="5"/>
  <c r="GX18" i="5"/>
  <c r="GY18" i="5"/>
  <c r="HA18" i="5"/>
  <c r="HC18" i="5"/>
  <c r="HD18" i="5"/>
  <c r="HE18" i="5"/>
  <c r="HF18" i="5"/>
  <c r="Q22" i="8" s="1"/>
  <c r="HG18" i="5"/>
  <c r="EG19" i="5"/>
  <c r="EH19" i="5"/>
  <c r="EI19" i="5"/>
  <c r="EJ19" i="5"/>
  <c r="EK19" i="5"/>
  <c r="EL19" i="5"/>
  <c r="EM19" i="5"/>
  <c r="EN19" i="5"/>
  <c r="EO19" i="5"/>
  <c r="EQ19" i="5"/>
  <c r="ES19" i="5"/>
  <c r="ET19" i="5"/>
  <c r="EU19" i="5"/>
  <c r="EV19" i="5"/>
  <c r="O23" i="8" s="1"/>
  <c r="EW19" i="5"/>
  <c r="FL19" i="5"/>
  <c r="FM19" i="5"/>
  <c r="FN19" i="5"/>
  <c r="FO19" i="5"/>
  <c r="FP19" i="5"/>
  <c r="FQ19" i="5"/>
  <c r="FR19" i="5"/>
  <c r="FS19" i="5"/>
  <c r="FT19" i="5"/>
  <c r="FV19" i="5"/>
  <c r="FX19" i="5"/>
  <c r="FY19" i="5"/>
  <c r="FZ19" i="5"/>
  <c r="GA19" i="5"/>
  <c r="P23" i="8" s="1"/>
  <c r="GB19" i="5"/>
  <c r="GQ19" i="5"/>
  <c r="GR19" i="5"/>
  <c r="GS19" i="5"/>
  <c r="GT19" i="5"/>
  <c r="GU19" i="5"/>
  <c r="GV19" i="5"/>
  <c r="GW19" i="5"/>
  <c r="GX19" i="5"/>
  <c r="GY19" i="5"/>
  <c r="HA19" i="5"/>
  <c r="HC19" i="5"/>
  <c r="HD19" i="5"/>
  <c r="HE19" i="5"/>
  <c r="HF19" i="5"/>
  <c r="Q23" i="8" s="1"/>
  <c r="HG19" i="5"/>
  <c r="EG20" i="5"/>
  <c r="EH20" i="5"/>
  <c r="EI20" i="5"/>
  <c r="EJ20" i="5"/>
  <c r="EK20" i="5"/>
  <c r="EL20" i="5"/>
  <c r="EM20" i="5"/>
  <c r="EN20" i="5"/>
  <c r="EO20" i="5"/>
  <c r="EQ20" i="5"/>
  <c r="ES20" i="5"/>
  <c r="ET20" i="5"/>
  <c r="EU20" i="5"/>
  <c r="EV20" i="5"/>
  <c r="O24" i="8" s="1"/>
  <c r="EW20" i="5"/>
  <c r="FL20" i="5"/>
  <c r="FM20" i="5"/>
  <c r="FN20" i="5"/>
  <c r="FO20" i="5"/>
  <c r="FP20" i="5"/>
  <c r="FQ20" i="5"/>
  <c r="FR20" i="5"/>
  <c r="FS20" i="5"/>
  <c r="FT20" i="5"/>
  <c r="FV20" i="5"/>
  <c r="FX20" i="5"/>
  <c r="FY20" i="5"/>
  <c r="FZ20" i="5"/>
  <c r="GA20" i="5"/>
  <c r="P24" i="8" s="1"/>
  <c r="GB20" i="5"/>
  <c r="GQ20" i="5"/>
  <c r="GR20" i="5"/>
  <c r="GS20" i="5"/>
  <c r="GT20" i="5"/>
  <c r="GU20" i="5"/>
  <c r="GV20" i="5"/>
  <c r="GW20" i="5"/>
  <c r="GX20" i="5"/>
  <c r="GY20" i="5"/>
  <c r="HA20" i="5"/>
  <c r="HC20" i="5"/>
  <c r="HD20" i="5"/>
  <c r="HE20" i="5"/>
  <c r="HF20" i="5"/>
  <c r="Q24" i="8" s="1"/>
  <c r="HG20" i="5"/>
  <c r="EG21" i="5"/>
  <c r="EH21" i="5"/>
  <c r="EI21" i="5"/>
  <c r="EJ21" i="5"/>
  <c r="EK21" i="5"/>
  <c r="EL21" i="5"/>
  <c r="EM21" i="5"/>
  <c r="EN21" i="5"/>
  <c r="EO21" i="5"/>
  <c r="EQ21" i="5"/>
  <c r="ES21" i="5"/>
  <c r="ET21" i="5"/>
  <c r="EU21" i="5"/>
  <c r="EV21" i="5"/>
  <c r="O25" i="8" s="1"/>
  <c r="EW21" i="5"/>
  <c r="FL21" i="5"/>
  <c r="FM21" i="5"/>
  <c r="FN21" i="5"/>
  <c r="FO21" i="5"/>
  <c r="FP21" i="5"/>
  <c r="FQ21" i="5"/>
  <c r="FR21" i="5"/>
  <c r="FS21" i="5"/>
  <c r="FT21" i="5"/>
  <c r="FV21" i="5"/>
  <c r="FX21" i="5"/>
  <c r="FY21" i="5"/>
  <c r="FZ21" i="5"/>
  <c r="GA21" i="5"/>
  <c r="P25" i="8" s="1"/>
  <c r="GB21" i="5"/>
  <c r="GQ21" i="5"/>
  <c r="GR21" i="5"/>
  <c r="GS21" i="5"/>
  <c r="GT21" i="5"/>
  <c r="GU21" i="5"/>
  <c r="GV21" i="5"/>
  <c r="GW21" i="5"/>
  <c r="GX21" i="5"/>
  <c r="GY21" i="5"/>
  <c r="HA21" i="5"/>
  <c r="HC21" i="5"/>
  <c r="HD21" i="5"/>
  <c r="HE21" i="5"/>
  <c r="HF21" i="5"/>
  <c r="Q25" i="8" s="1"/>
  <c r="HG21" i="5"/>
  <c r="DW24" i="5"/>
  <c r="DX24" i="5"/>
  <c r="DY24" i="5"/>
  <c r="DZ24" i="5"/>
  <c r="EA24" i="5"/>
  <c r="EB24" i="5"/>
  <c r="EC24" i="5"/>
  <c r="ED24" i="5"/>
  <c r="EG24" i="5"/>
  <c r="EH24" i="5"/>
  <c r="EI24" i="5"/>
  <c r="EJ24" i="5"/>
  <c r="EK24" i="5"/>
  <c r="EL24" i="5"/>
  <c r="EM24" i="5"/>
  <c r="EN24" i="5"/>
  <c r="EO24" i="5"/>
  <c r="EQ24" i="5"/>
  <c r="ES24" i="5"/>
  <c r="ET24" i="5"/>
  <c r="EU24" i="5"/>
  <c r="EV24" i="5"/>
  <c r="O28" i="8" s="1"/>
  <c r="EW24" i="5"/>
  <c r="FB24" i="5"/>
  <c r="FC24" i="5"/>
  <c r="FD24" i="5"/>
  <c r="FE24" i="5"/>
  <c r="FF24" i="5"/>
  <c r="FG24" i="5"/>
  <c r="FH24" i="5"/>
  <c r="FI24" i="5"/>
  <c r="FL24" i="5"/>
  <c r="FM24" i="5"/>
  <c r="FN24" i="5"/>
  <c r="FO24" i="5"/>
  <c r="FP24" i="5"/>
  <c r="FQ24" i="5"/>
  <c r="FR24" i="5"/>
  <c r="FS24" i="5"/>
  <c r="FT24" i="5"/>
  <c r="FV24" i="5"/>
  <c r="FX24" i="5"/>
  <c r="FY24" i="5"/>
  <c r="FZ24" i="5"/>
  <c r="GA24" i="5"/>
  <c r="P28" i="8" s="1"/>
  <c r="GB24" i="5"/>
  <c r="GG24" i="5"/>
  <c r="GH24" i="5"/>
  <c r="GI24" i="5"/>
  <c r="GJ24" i="5"/>
  <c r="GK24" i="5"/>
  <c r="GL24" i="5"/>
  <c r="GM24" i="5"/>
  <c r="GN24" i="5"/>
  <c r="GQ24" i="5"/>
  <c r="GR24" i="5"/>
  <c r="GS24" i="5"/>
  <c r="GT24" i="5"/>
  <c r="GU24" i="5"/>
  <c r="GV24" i="5"/>
  <c r="GW24" i="5"/>
  <c r="GX24" i="5"/>
  <c r="GY24" i="5"/>
  <c r="HA24" i="5"/>
  <c r="HC24" i="5"/>
  <c r="HD24" i="5"/>
  <c r="HE24" i="5"/>
  <c r="HF24" i="5"/>
  <c r="Q28" i="8" s="1"/>
  <c r="HG24" i="5"/>
  <c r="DW25" i="5"/>
  <c r="DX25" i="5"/>
  <c r="DY25" i="5"/>
  <c r="DZ25" i="5"/>
  <c r="EA25" i="5"/>
  <c r="EB25" i="5"/>
  <c r="EC25" i="5"/>
  <c r="ED25" i="5"/>
  <c r="EG25" i="5"/>
  <c r="EH25" i="5"/>
  <c r="EI25" i="5"/>
  <c r="EJ25" i="5"/>
  <c r="EK25" i="5"/>
  <c r="EL25" i="5"/>
  <c r="EM25" i="5"/>
  <c r="EN25" i="5"/>
  <c r="EO25" i="5"/>
  <c r="EQ25" i="5"/>
  <c r="ES25" i="5"/>
  <c r="ET25" i="5"/>
  <c r="EU25" i="5"/>
  <c r="EV25" i="5"/>
  <c r="O29" i="8" s="1"/>
  <c r="EW25" i="5"/>
  <c r="FB25" i="5"/>
  <c r="FC25" i="5"/>
  <c r="FD25" i="5"/>
  <c r="FE25" i="5"/>
  <c r="FF25" i="5"/>
  <c r="FG25" i="5"/>
  <c r="FH25" i="5"/>
  <c r="FI25" i="5"/>
  <c r="FL25" i="5"/>
  <c r="FM25" i="5"/>
  <c r="FN25" i="5"/>
  <c r="FO25" i="5"/>
  <c r="FP25" i="5"/>
  <c r="FQ25" i="5"/>
  <c r="FR25" i="5"/>
  <c r="FS25" i="5"/>
  <c r="FT25" i="5"/>
  <c r="FV25" i="5"/>
  <c r="FX25" i="5"/>
  <c r="FY25" i="5"/>
  <c r="FZ25" i="5"/>
  <c r="GA25" i="5"/>
  <c r="P29" i="8" s="1"/>
  <c r="GB25" i="5"/>
  <c r="GG25" i="5"/>
  <c r="GH25" i="5"/>
  <c r="GI25" i="5"/>
  <c r="GJ25" i="5"/>
  <c r="GK25" i="5"/>
  <c r="GL25" i="5"/>
  <c r="GM25" i="5"/>
  <c r="GN25" i="5"/>
  <c r="GQ25" i="5"/>
  <c r="GR25" i="5"/>
  <c r="GS25" i="5"/>
  <c r="GT25" i="5"/>
  <c r="GU25" i="5"/>
  <c r="GV25" i="5"/>
  <c r="GW25" i="5"/>
  <c r="GX25" i="5"/>
  <c r="GY25" i="5"/>
  <c r="HA25" i="5"/>
  <c r="HC25" i="5"/>
  <c r="HD25" i="5"/>
  <c r="HE25" i="5"/>
  <c r="HF25" i="5"/>
  <c r="Q29" i="8" s="1"/>
  <c r="HG25" i="5"/>
  <c r="DW26" i="5"/>
  <c r="DX26" i="5"/>
  <c r="DY26" i="5"/>
  <c r="DZ26" i="5"/>
  <c r="EA26" i="5"/>
  <c r="EB26" i="5"/>
  <c r="EC26" i="5"/>
  <c r="ED26" i="5"/>
  <c r="EG26" i="5"/>
  <c r="EH26" i="5"/>
  <c r="EI26" i="5"/>
  <c r="EJ26" i="5"/>
  <c r="EK26" i="5"/>
  <c r="EL26" i="5"/>
  <c r="EM26" i="5"/>
  <c r="EN26" i="5"/>
  <c r="EO26" i="5"/>
  <c r="EQ26" i="5"/>
  <c r="ES26" i="5"/>
  <c r="ET26" i="5"/>
  <c r="EU26" i="5"/>
  <c r="EV26" i="5"/>
  <c r="O30" i="8" s="1"/>
  <c r="EW26" i="5"/>
  <c r="FB26" i="5"/>
  <c r="FC26" i="5"/>
  <c r="FD26" i="5"/>
  <c r="FE26" i="5"/>
  <c r="FF26" i="5"/>
  <c r="FG26" i="5"/>
  <c r="FH26" i="5"/>
  <c r="FI26" i="5"/>
  <c r="FL26" i="5"/>
  <c r="FM26" i="5"/>
  <c r="FN26" i="5"/>
  <c r="FO26" i="5"/>
  <c r="FP26" i="5"/>
  <c r="FQ26" i="5"/>
  <c r="FR26" i="5"/>
  <c r="FS26" i="5"/>
  <c r="FT26" i="5"/>
  <c r="FV26" i="5"/>
  <c r="FX26" i="5"/>
  <c r="FY26" i="5"/>
  <c r="FZ26" i="5"/>
  <c r="GA26" i="5"/>
  <c r="P30" i="8" s="1"/>
  <c r="GB26" i="5"/>
  <c r="GG26" i="5"/>
  <c r="GH26" i="5"/>
  <c r="GI26" i="5"/>
  <c r="GJ26" i="5"/>
  <c r="GK26" i="5"/>
  <c r="GL26" i="5"/>
  <c r="GM26" i="5"/>
  <c r="GN26" i="5"/>
  <c r="GQ26" i="5"/>
  <c r="GR26" i="5"/>
  <c r="GS26" i="5"/>
  <c r="GT26" i="5"/>
  <c r="GU26" i="5"/>
  <c r="GV26" i="5"/>
  <c r="GW26" i="5"/>
  <c r="GX26" i="5"/>
  <c r="GY26" i="5"/>
  <c r="HA26" i="5"/>
  <c r="HC26" i="5"/>
  <c r="HD26" i="5"/>
  <c r="HE26" i="5"/>
  <c r="HF26" i="5"/>
  <c r="Q30" i="8" s="1"/>
  <c r="HG26" i="5"/>
  <c r="DW27" i="5"/>
  <c r="DX27" i="5"/>
  <c r="DY27" i="5"/>
  <c r="DZ27" i="5"/>
  <c r="EA27" i="5"/>
  <c r="EB27" i="5"/>
  <c r="EC27" i="5"/>
  <c r="ED27" i="5"/>
  <c r="EG27" i="5"/>
  <c r="EH27" i="5"/>
  <c r="EI27" i="5"/>
  <c r="EJ27" i="5"/>
  <c r="EK27" i="5"/>
  <c r="EL27" i="5"/>
  <c r="EM27" i="5"/>
  <c r="EN27" i="5"/>
  <c r="EO27" i="5"/>
  <c r="EQ27" i="5"/>
  <c r="ES27" i="5"/>
  <c r="ET27" i="5"/>
  <c r="EU27" i="5"/>
  <c r="EV27" i="5"/>
  <c r="O31" i="8" s="1"/>
  <c r="EW27" i="5"/>
  <c r="FB27" i="5"/>
  <c r="FC27" i="5"/>
  <c r="FD27" i="5"/>
  <c r="FE27" i="5"/>
  <c r="FF27" i="5"/>
  <c r="FG27" i="5"/>
  <c r="FH27" i="5"/>
  <c r="FI27" i="5"/>
  <c r="FL27" i="5"/>
  <c r="FM27" i="5"/>
  <c r="FN27" i="5"/>
  <c r="FO27" i="5"/>
  <c r="FP27" i="5"/>
  <c r="FQ27" i="5"/>
  <c r="FR27" i="5"/>
  <c r="FS27" i="5"/>
  <c r="FT27" i="5"/>
  <c r="FV27" i="5"/>
  <c r="FX27" i="5"/>
  <c r="FY27" i="5"/>
  <c r="FZ27" i="5"/>
  <c r="GA27" i="5"/>
  <c r="P31" i="8" s="1"/>
  <c r="GB27" i="5"/>
  <c r="GG27" i="5"/>
  <c r="GH27" i="5"/>
  <c r="GI27" i="5"/>
  <c r="GJ27" i="5"/>
  <c r="GK27" i="5"/>
  <c r="GL27" i="5"/>
  <c r="GM27" i="5"/>
  <c r="GN27" i="5"/>
  <c r="GQ27" i="5"/>
  <c r="GR27" i="5"/>
  <c r="GS27" i="5"/>
  <c r="GT27" i="5"/>
  <c r="GU27" i="5"/>
  <c r="GV27" i="5"/>
  <c r="GW27" i="5"/>
  <c r="GX27" i="5"/>
  <c r="GY27" i="5"/>
  <c r="HA27" i="5"/>
  <c r="HC27" i="5"/>
  <c r="HD27" i="5"/>
  <c r="HE27" i="5"/>
  <c r="HF27" i="5"/>
  <c r="Q31" i="8" s="1"/>
  <c r="HG27" i="5"/>
  <c r="DW28" i="5"/>
  <c r="DX28" i="5"/>
  <c r="DY28" i="5"/>
  <c r="DZ28" i="5"/>
  <c r="EA28" i="5"/>
  <c r="EB28" i="5"/>
  <c r="EC28" i="5"/>
  <c r="ED28" i="5"/>
  <c r="EG28" i="5"/>
  <c r="EH28" i="5"/>
  <c r="EI28" i="5"/>
  <c r="EJ28" i="5"/>
  <c r="EK28" i="5"/>
  <c r="EL28" i="5"/>
  <c r="EM28" i="5"/>
  <c r="EN28" i="5"/>
  <c r="EO28" i="5"/>
  <c r="EQ28" i="5"/>
  <c r="ES28" i="5"/>
  <c r="ET28" i="5"/>
  <c r="EU28" i="5"/>
  <c r="EV28" i="5"/>
  <c r="O32" i="8" s="1"/>
  <c r="EW28" i="5"/>
  <c r="FB28" i="5"/>
  <c r="FC28" i="5"/>
  <c r="FD28" i="5"/>
  <c r="FE28" i="5"/>
  <c r="FF28" i="5"/>
  <c r="FG28" i="5"/>
  <c r="FH28" i="5"/>
  <c r="FI28" i="5"/>
  <c r="FL28" i="5"/>
  <c r="FM28" i="5"/>
  <c r="FN28" i="5"/>
  <c r="FO28" i="5"/>
  <c r="FP28" i="5"/>
  <c r="FQ28" i="5"/>
  <c r="FR28" i="5"/>
  <c r="FS28" i="5"/>
  <c r="FT28" i="5"/>
  <c r="FV28" i="5"/>
  <c r="FX28" i="5"/>
  <c r="FY28" i="5"/>
  <c r="FZ28" i="5"/>
  <c r="GA28" i="5"/>
  <c r="P32" i="8" s="1"/>
  <c r="GB28" i="5"/>
  <c r="GG28" i="5"/>
  <c r="GH28" i="5"/>
  <c r="GI28" i="5"/>
  <c r="GJ28" i="5"/>
  <c r="GK28" i="5"/>
  <c r="GL28" i="5"/>
  <c r="GM28" i="5"/>
  <c r="GN28" i="5"/>
  <c r="GQ28" i="5"/>
  <c r="GR28" i="5"/>
  <c r="GS28" i="5"/>
  <c r="GT28" i="5"/>
  <c r="GU28" i="5"/>
  <c r="GV28" i="5"/>
  <c r="GW28" i="5"/>
  <c r="GX28" i="5"/>
  <c r="GY28" i="5"/>
  <c r="HA28" i="5"/>
  <c r="HC28" i="5"/>
  <c r="HD28" i="5"/>
  <c r="HE28" i="5"/>
  <c r="HF28" i="5"/>
  <c r="Q32" i="8" s="1"/>
  <c r="HG28" i="5"/>
  <c r="DW29" i="5"/>
  <c r="DX29" i="5"/>
  <c r="DY29" i="5"/>
  <c r="DZ29" i="5"/>
  <c r="EA29" i="5"/>
  <c r="EB29" i="5"/>
  <c r="EC29" i="5"/>
  <c r="ED29" i="5"/>
  <c r="EG29" i="5"/>
  <c r="EH29" i="5"/>
  <c r="EI29" i="5"/>
  <c r="EJ29" i="5"/>
  <c r="EK29" i="5"/>
  <c r="EL29" i="5"/>
  <c r="EM29" i="5"/>
  <c r="EN29" i="5"/>
  <c r="EO29" i="5"/>
  <c r="EQ29" i="5"/>
  <c r="ES29" i="5"/>
  <c r="ET29" i="5"/>
  <c r="EU29" i="5"/>
  <c r="EV29" i="5"/>
  <c r="O33" i="8" s="1"/>
  <c r="EW29" i="5"/>
  <c r="FB29" i="5"/>
  <c r="FC29" i="5"/>
  <c r="FD29" i="5"/>
  <c r="FE29" i="5"/>
  <c r="FF29" i="5"/>
  <c r="FG29" i="5"/>
  <c r="FH29" i="5"/>
  <c r="FI29" i="5"/>
  <c r="FL29" i="5"/>
  <c r="FM29" i="5"/>
  <c r="FN29" i="5"/>
  <c r="FO29" i="5"/>
  <c r="FP29" i="5"/>
  <c r="FQ29" i="5"/>
  <c r="FR29" i="5"/>
  <c r="FS29" i="5"/>
  <c r="FT29" i="5"/>
  <c r="FV29" i="5"/>
  <c r="FX29" i="5"/>
  <c r="FY29" i="5"/>
  <c r="FZ29" i="5"/>
  <c r="GA29" i="5"/>
  <c r="P33" i="8" s="1"/>
  <c r="GB29" i="5"/>
  <c r="GG29" i="5"/>
  <c r="GH29" i="5"/>
  <c r="GI29" i="5"/>
  <c r="GJ29" i="5"/>
  <c r="GK29" i="5"/>
  <c r="GL29" i="5"/>
  <c r="GM29" i="5"/>
  <c r="GN29" i="5"/>
  <c r="GQ29" i="5"/>
  <c r="GR29" i="5"/>
  <c r="GS29" i="5"/>
  <c r="GT29" i="5"/>
  <c r="GU29" i="5"/>
  <c r="GV29" i="5"/>
  <c r="GW29" i="5"/>
  <c r="GX29" i="5"/>
  <c r="GY29" i="5"/>
  <c r="HA29" i="5"/>
  <c r="HC29" i="5"/>
  <c r="HD29" i="5"/>
  <c r="HE29" i="5"/>
  <c r="HF29" i="5"/>
  <c r="Q33" i="8" s="1"/>
  <c r="HG29" i="5"/>
  <c r="DW30" i="5"/>
  <c r="DX30" i="5"/>
  <c r="DY30" i="5"/>
  <c r="DZ30" i="5"/>
  <c r="EA30" i="5"/>
  <c r="EB30" i="5"/>
  <c r="EC30" i="5"/>
  <c r="ED30" i="5"/>
  <c r="EG30" i="5"/>
  <c r="EH30" i="5"/>
  <c r="EI30" i="5"/>
  <c r="EJ30" i="5"/>
  <c r="EK30" i="5"/>
  <c r="EL30" i="5"/>
  <c r="EM30" i="5"/>
  <c r="EN30" i="5"/>
  <c r="EO30" i="5"/>
  <c r="EQ30" i="5"/>
  <c r="ES30" i="5"/>
  <c r="ET30" i="5"/>
  <c r="EU30" i="5"/>
  <c r="EV30" i="5"/>
  <c r="O34" i="8" s="1"/>
  <c r="EW30" i="5"/>
  <c r="FB30" i="5"/>
  <c r="FC30" i="5"/>
  <c r="FD30" i="5"/>
  <c r="FE30" i="5"/>
  <c r="FF30" i="5"/>
  <c r="FG30" i="5"/>
  <c r="FH30" i="5"/>
  <c r="FI30" i="5"/>
  <c r="FL30" i="5"/>
  <c r="FM30" i="5"/>
  <c r="FN30" i="5"/>
  <c r="FO30" i="5"/>
  <c r="FP30" i="5"/>
  <c r="FQ30" i="5"/>
  <c r="FR30" i="5"/>
  <c r="FS30" i="5"/>
  <c r="FT30" i="5"/>
  <c r="FV30" i="5"/>
  <c r="FX30" i="5"/>
  <c r="FY30" i="5"/>
  <c r="FZ30" i="5"/>
  <c r="GA30" i="5"/>
  <c r="P34" i="8" s="1"/>
  <c r="GB30" i="5"/>
  <c r="GG30" i="5"/>
  <c r="GH30" i="5"/>
  <c r="GI30" i="5"/>
  <c r="GJ30" i="5"/>
  <c r="GK30" i="5"/>
  <c r="GL30" i="5"/>
  <c r="GM30" i="5"/>
  <c r="GN30" i="5"/>
  <c r="GQ30" i="5"/>
  <c r="GR30" i="5"/>
  <c r="GS30" i="5"/>
  <c r="GT30" i="5"/>
  <c r="GU30" i="5"/>
  <c r="GV30" i="5"/>
  <c r="GW30" i="5"/>
  <c r="GX30" i="5"/>
  <c r="GY30" i="5"/>
  <c r="HA30" i="5"/>
  <c r="HC30" i="5"/>
  <c r="HD30" i="5"/>
  <c r="HE30" i="5"/>
  <c r="HF30" i="5"/>
  <c r="Q34" i="8" s="1"/>
  <c r="HG30" i="5"/>
  <c r="DW31" i="5"/>
  <c r="DX31" i="5"/>
  <c r="DY31" i="5"/>
  <c r="DZ31" i="5"/>
  <c r="EA31" i="5"/>
  <c r="EB31" i="5"/>
  <c r="EC31" i="5"/>
  <c r="ED31" i="5"/>
  <c r="EG31" i="5"/>
  <c r="EH31" i="5"/>
  <c r="EI31" i="5"/>
  <c r="EJ31" i="5"/>
  <c r="EK31" i="5"/>
  <c r="EL31" i="5"/>
  <c r="EM31" i="5"/>
  <c r="EN31" i="5"/>
  <c r="EO31" i="5"/>
  <c r="EQ31" i="5"/>
  <c r="ES31" i="5"/>
  <c r="ET31" i="5"/>
  <c r="EU31" i="5"/>
  <c r="EV31" i="5"/>
  <c r="O35" i="8" s="1"/>
  <c r="EW31" i="5"/>
  <c r="FB31" i="5"/>
  <c r="FC31" i="5"/>
  <c r="FD31" i="5"/>
  <c r="FE31" i="5"/>
  <c r="FF31" i="5"/>
  <c r="FG31" i="5"/>
  <c r="FH31" i="5"/>
  <c r="FI31" i="5"/>
  <c r="FL31" i="5"/>
  <c r="FM31" i="5"/>
  <c r="FN31" i="5"/>
  <c r="FO31" i="5"/>
  <c r="FP31" i="5"/>
  <c r="FQ31" i="5"/>
  <c r="FR31" i="5"/>
  <c r="FS31" i="5"/>
  <c r="FT31" i="5"/>
  <c r="FV31" i="5"/>
  <c r="FX31" i="5"/>
  <c r="FY31" i="5"/>
  <c r="FZ31" i="5"/>
  <c r="GA31" i="5"/>
  <c r="P35" i="8" s="1"/>
  <c r="GB31" i="5"/>
  <c r="GG31" i="5"/>
  <c r="GH31" i="5"/>
  <c r="GI31" i="5"/>
  <c r="GJ31" i="5"/>
  <c r="GK31" i="5"/>
  <c r="GL31" i="5"/>
  <c r="GM31" i="5"/>
  <c r="GN31" i="5"/>
  <c r="GQ31" i="5"/>
  <c r="GR31" i="5"/>
  <c r="GS31" i="5"/>
  <c r="GT31" i="5"/>
  <c r="GU31" i="5"/>
  <c r="GV31" i="5"/>
  <c r="GW31" i="5"/>
  <c r="GX31" i="5"/>
  <c r="GY31" i="5"/>
  <c r="HA31" i="5"/>
  <c r="HC31" i="5"/>
  <c r="HD31" i="5"/>
  <c r="HE31" i="5"/>
  <c r="HF31" i="5"/>
  <c r="Q35" i="8" s="1"/>
  <c r="HG31" i="5"/>
  <c r="DW32" i="5"/>
  <c r="DX32" i="5"/>
  <c r="DY32" i="5"/>
  <c r="DZ32" i="5"/>
  <c r="EA32" i="5"/>
  <c r="EB32" i="5"/>
  <c r="EC32" i="5"/>
  <c r="ED32" i="5"/>
  <c r="EG32" i="5"/>
  <c r="EH32" i="5"/>
  <c r="EI32" i="5"/>
  <c r="EJ32" i="5"/>
  <c r="EK32" i="5"/>
  <c r="EL32" i="5"/>
  <c r="EM32" i="5"/>
  <c r="EN32" i="5"/>
  <c r="EO32" i="5"/>
  <c r="EQ32" i="5"/>
  <c r="ES32" i="5"/>
  <c r="ET32" i="5"/>
  <c r="EU32" i="5"/>
  <c r="EV32" i="5"/>
  <c r="O36" i="8" s="1"/>
  <c r="EW32" i="5"/>
  <c r="FB32" i="5"/>
  <c r="FC32" i="5"/>
  <c r="FD32" i="5"/>
  <c r="FE32" i="5"/>
  <c r="FF32" i="5"/>
  <c r="FG32" i="5"/>
  <c r="FH32" i="5"/>
  <c r="FI32" i="5"/>
  <c r="FL32" i="5"/>
  <c r="FM32" i="5"/>
  <c r="FN32" i="5"/>
  <c r="FO32" i="5"/>
  <c r="FP32" i="5"/>
  <c r="FQ32" i="5"/>
  <c r="FR32" i="5"/>
  <c r="FS32" i="5"/>
  <c r="FT32" i="5"/>
  <c r="FV32" i="5"/>
  <c r="FX32" i="5"/>
  <c r="FY32" i="5"/>
  <c r="FZ32" i="5"/>
  <c r="GA32" i="5"/>
  <c r="P36" i="8" s="1"/>
  <c r="GB32" i="5"/>
  <c r="GG32" i="5"/>
  <c r="GH32" i="5"/>
  <c r="GI32" i="5"/>
  <c r="GJ32" i="5"/>
  <c r="GK32" i="5"/>
  <c r="GL32" i="5"/>
  <c r="GM32" i="5"/>
  <c r="GN32" i="5"/>
  <c r="GQ32" i="5"/>
  <c r="GR32" i="5"/>
  <c r="GS32" i="5"/>
  <c r="GT32" i="5"/>
  <c r="GU32" i="5"/>
  <c r="GV32" i="5"/>
  <c r="GW32" i="5"/>
  <c r="GX32" i="5"/>
  <c r="GY32" i="5"/>
  <c r="HA32" i="5"/>
  <c r="HC32" i="5"/>
  <c r="HD32" i="5"/>
  <c r="HE32" i="5"/>
  <c r="HF32" i="5"/>
  <c r="Q36" i="8" s="1"/>
  <c r="HG32" i="5"/>
  <c r="DW33" i="5"/>
  <c r="DX33" i="5"/>
  <c r="DY33" i="5"/>
  <c r="DZ33" i="5"/>
  <c r="EA33" i="5"/>
  <c r="EB33" i="5"/>
  <c r="EC33" i="5"/>
  <c r="ED33" i="5"/>
  <c r="EG33" i="5"/>
  <c r="EH33" i="5"/>
  <c r="EI33" i="5"/>
  <c r="EJ33" i="5"/>
  <c r="EK33" i="5"/>
  <c r="EL33" i="5"/>
  <c r="EM33" i="5"/>
  <c r="EN33" i="5"/>
  <c r="EO33" i="5"/>
  <c r="EQ33" i="5"/>
  <c r="ES33" i="5"/>
  <c r="ET33" i="5"/>
  <c r="EU33" i="5"/>
  <c r="EV33" i="5"/>
  <c r="O37" i="8" s="1"/>
  <c r="EW33" i="5"/>
  <c r="FB33" i="5"/>
  <c r="FC33" i="5"/>
  <c r="FD33" i="5"/>
  <c r="FE33" i="5"/>
  <c r="FF33" i="5"/>
  <c r="FG33" i="5"/>
  <c r="FH33" i="5"/>
  <c r="FI33" i="5"/>
  <c r="FL33" i="5"/>
  <c r="FM33" i="5"/>
  <c r="FN33" i="5"/>
  <c r="FO33" i="5"/>
  <c r="FP33" i="5"/>
  <c r="FQ33" i="5"/>
  <c r="FR33" i="5"/>
  <c r="FS33" i="5"/>
  <c r="FT33" i="5"/>
  <c r="FV33" i="5"/>
  <c r="FX33" i="5"/>
  <c r="FY33" i="5"/>
  <c r="FZ33" i="5"/>
  <c r="GA33" i="5"/>
  <c r="P37" i="8" s="1"/>
  <c r="GB33" i="5"/>
  <c r="GG33" i="5"/>
  <c r="GH33" i="5"/>
  <c r="GI33" i="5"/>
  <c r="GJ33" i="5"/>
  <c r="GK33" i="5"/>
  <c r="GL33" i="5"/>
  <c r="GM33" i="5"/>
  <c r="GN33" i="5"/>
  <c r="GQ33" i="5"/>
  <c r="GR33" i="5"/>
  <c r="GS33" i="5"/>
  <c r="GT33" i="5"/>
  <c r="GU33" i="5"/>
  <c r="GV33" i="5"/>
  <c r="GW33" i="5"/>
  <c r="GX33" i="5"/>
  <c r="GY33" i="5"/>
  <c r="HA33" i="5"/>
  <c r="HC33" i="5"/>
  <c r="HD33" i="5"/>
  <c r="HE33" i="5"/>
  <c r="HF33" i="5"/>
  <c r="Q37" i="8" s="1"/>
  <c r="HG33" i="5"/>
  <c r="DW34" i="5"/>
  <c r="DX34" i="5"/>
  <c r="DY34" i="5"/>
  <c r="DZ34" i="5"/>
  <c r="EA34" i="5"/>
  <c r="EB34" i="5"/>
  <c r="EC34" i="5"/>
  <c r="ED34" i="5"/>
  <c r="EG34" i="5"/>
  <c r="EH34" i="5"/>
  <c r="EI34" i="5"/>
  <c r="EJ34" i="5"/>
  <c r="EK34" i="5"/>
  <c r="EL34" i="5"/>
  <c r="EM34" i="5"/>
  <c r="EN34" i="5"/>
  <c r="EO34" i="5"/>
  <c r="EQ34" i="5"/>
  <c r="ES34" i="5"/>
  <c r="ET34" i="5"/>
  <c r="EU34" i="5"/>
  <c r="EV34" i="5"/>
  <c r="O38" i="8" s="1"/>
  <c r="EW34" i="5"/>
  <c r="FB34" i="5"/>
  <c r="FC34" i="5"/>
  <c r="FD34" i="5"/>
  <c r="FE34" i="5"/>
  <c r="FF34" i="5"/>
  <c r="FG34" i="5"/>
  <c r="FH34" i="5"/>
  <c r="FI34" i="5"/>
  <c r="FL34" i="5"/>
  <c r="FM34" i="5"/>
  <c r="FN34" i="5"/>
  <c r="FO34" i="5"/>
  <c r="FP34" i="5"/>
  <c r="FQ34" i="5"/>
  <c r="FR34" i="5"/>
  <c r="FS34" i="5"/>
  <c r="FT34" i="5"/>
  <c r="FV34" i="5"/>
  <c r="FX34" i="5"/>
  <c r="FY34" i="5"/>
  <c r="FZ34" i="5"/>
  <c r="GA34" i="5"/>
  <c r="P38" i="8" s="1"/>
  <c r="GB34" i="5"/>
  <c r="GG34" i="5"/>
  <c r="GH34" i="5"/>
  <c r="GI34" i="5"/>
  <c r="GJ34" i="5"/>
  <c r="GK34" i="5"/>
  <c r="GL34" i="5"/>
  <c r="GM34" i="5"/>
  <c r="GN34" i="5"/>
  <c r="GQ34" i="5"/>
  <c r="GR34" i="5"/>
  <c r="GS34" i="5"/>
  <c r="GT34" i="5"/>
  <c r="GU34" i="5"/>
  <c r="GV34" i="5"/>
  <c r="GW34" i="5"/>
  <c r="GX34" i="5"/>
  <c r="GY34" i="5"/>
  <c r="HA34" i="5"/>
  <c r="HC34" i="5"/>
  <c r="HD34" i="5"/>
  <c r="HE34" i="5"/>
  <c r="HF34" i="5"/>
  <c r="Q38" i="8" s="1"/>
  <c r="HG34" i="5"/>
  <c r="DW35" i="5"/>
  <c r="DX35" i="5"/>
  <c r="DY35" i="5"/>
  <c r="DZ35" i="5"/>
  <c r="EA35" i="5"/>
  <c r="EB35" i="5"/>
  <c r="EC35" i="5"/>
  <c r="ED35" i="5"/>
  <c r="EG35" i="5"/>
  <c r="EH35" i="5"/>
  <c r="EI35" i="5"/>
  <c r="EJ35" i="5"/>
  <c r="EK35" i="5"/>
  <c r="EL35" i="5"/>
  <c r="EM35" i="5"/>
  <c r="EN35" i="5"/>
  <c r="EO35" i="5"/>
  <c r="EQ35" i="5"/>
  <c r="ES35" i="5"/>
  <c r="ET35" i="5"/>
  <c r="EU35" i="5"/>
  <c r="EV35" i="5"/>
  <c r="O39" i="8" s="1"/>
  <c r="EW35" i="5"/>
  <c r="FB35" i="5"/>
  <c r="FC35" i="5"/>
  <c r="FD35" i="5"/>
  <c r="FE35" i="5"/>
  <c r="FF35" i="5"/>
  <c r="FG35" i="5"/>
  <c r="FH35" i="5"/>
  <c r="FI35" i="5"/>
  <c r="FL35" i="5"/>
  <c r="FM35" i="5"/>
  <c r="FN35" i="5"/>
  <c r="FO35" i="5"/>
  <c r="FP35" i="5"/>
  <c r="FQ35" i="5"/>
  <c r="FR35" i="5"/>
  <c r="FS35" i="5"/>
  <c r="FT35" i="5"/>
  <c r="FV35" i="5"/>
  <c r="FX35" i="5"/>
  <c r="FY35" i="5"/>
  <c r="FZ35" i="5"/>
  <c r="GA35" i="5"/>
  <c r="P39" i="8" s="1"/>
  <c r="GB35" i="5"/>
  <c r="GG35" i="5"/>
  <c r="GH35" i="5"/>
  <c r="GI35" i="5"/>
  <c r="GJ35" i="5"/>
  <c r="GK35" i="5"/>
  <c r="GL35" i="5"/>
  <c r="GM35" i="5"/>
  <c r="GN35" i="5"/>
  <c r="GQ35" i="5"/>
  <c r="GR35" i="5"/>
  <c r="GS35" i="5"/>
  <c r="GT35" i="5"/>
  <c r="GU35" i="5"/>
  <c r="GV35" i="5"/>
  <c r="GW35" i="5"/>
  <c r="GX35" i="5"/>
  <c r="GY35" i="5"/>
  <c r="HA35" i="5"/>
  <c r="HC35" i="5"/>
  <c r="HD35" i="5"/>
  <c r="HE35" i="5"/>
  <c r="HF35" i="5"/>
  <c r="Q39" i="8" s="1"/>
  <c r="HG35" i="5"/>
  <c r="DW36" i="5"/>
  <c r="DX36" i="5"/>
  <c r="DY36" i="5"/>
  <c r="DZ36" i="5"/>
  <c r="EA36" i="5"/>
  <c r="EB36" i="5"/>
  <c r="EC36" i="5"/>
  <c r="ED36" i="5"/>
  <c r="EG36" i="5"/>
  <c r="EH36" i="5"/>
  <c r="EI36" i="5"/>
  <c r="EJ36" i="5"/>
  <c r="EK36" i="5"/>
  <c r="EL36" i="5"/>
  <c r="EM36" i="5"/>
  <c r="EN36" i="5"/>
  <c r="EO36" i="5"/>
  <c r="EQ36" i="5"/>
  <c r="ES36" i="5"/>
  <c r="ET36" i="5"/>
  <c r="EU36" i="5"/>
  <c r="EV36" i="5"/>
  <c r="O40" i="8" s="1"/>
  <c r="EW36" i="5"/>
  <c r="FB36" i="5"/>
  <c r="FC36" i="5"/>
  <c r="FD36" i="5"/>
  <c r="FE36" i="5"/>
  <c r="FF36" i="5"/>
  <c r="FG36" i="5"/>
  <c r="FH36" i="5"/>
  <c r="FI36" i="5"/>
  <c r="FL36" i="5"/>
  <c r="FM36" i="5"/>
  <c r="FN36" i="5"/>
  <c r="FO36" i="5"/>
  <c r="FP36" i="5"/>
  <c r="FQ36" i="5"/>
  <c r="FR36" i="5"/>
  <c r="FS36" i="5"/>
  <c r="FT36" i="5"/>
  <c r="FV36" i="5"/>
  <c r="FX36" i="5"/>
  <c r="FY36" i="5"/>
  <c r="FZ36" i="5"/>
  <c r="GA36" i="5"/>
  <c r="P40" i="8" s="1"/>
  <c r="GB36" i="5"/>
  <c r="GG36" i="5"/>
  <c r="GH36" i="5"/>
  <c r="GI36" i="5"/>
  <c r="GJ36" i="5"/>
  <c r="GK36" i="5"/>
  <c r="GL36" i="5"/>
  <c r="GM36" i="5"/>
  <c r="GN36" i="5"/>
  <c r="GQ36" i="5"/>
  <c r="GR36" i="5"/>
  <c r="GS36" i="5"/>
  <c r="GT36" i="5"/>
  <c r="GU36" i="5"/>
  <c r="GV36" i="5"/>
  <c r="GW36" i="5"/>
  <c r="GX36" i="5"/>
  <c r="GY36" i="5"/>
  <c r="HA36" i="5"/>
  <c r="HC36" i="5"/>
  <c r="HD36" i="5"/>
  <c r="HE36" i="5"/>
  <c r="HF36" i="5"/>
  <c r="Q40" i="8" s="1"/>
  <c r="HG36" i="5"/>
  <c r="DW39" i="5"/>
  <c r="DX39" i="5"/>
  <c r="DY39" i="5"/>
  <c r="DZ39" i="5"/>
  <c r="EA39" i="5"/>
  <c r="EB39" i="5"/>
  <c r="EC39" i="5"/>
  <c r="ED39" i="5"/>
  <c r="EG39" i="5"/>
  <c r="EH39" i="5"/>
  <c r="EI39" i="5"/>
  <c r="EJ39" i="5"/>
  <c r="EK39" i="5"/>
  <c r="EL39" i="5"/>
  <c r="EM39" i="5"/>
  <c r="EN39" i="5"/>
  <c r="EO39" i="5"/>
  <c r="EQ39" i="5"/>
  <c r="ES39" i="5"/>
  <c r="ET39" i="5"/>
  <c r="EU39" i="5"/>
  <c r="EV39" i="5"/>
  <c r="O43" i="8" s="1"/>
  <c r="EW39" i="5"/>
  <c r="FB39" i="5"/>
  <c r="FC39" i="5"/>
  <c r="FD39" i="5"/>
  <c r="FE39" i="5"/>
  <c r="FF39" i="5"/>
  <c r="FG39" i="5"/>
  <c r="FH39" i="5"/>
  <c r="FI39" i="5"/>
  <c r="FL39" i="5"/>
  <c r="FM39" i="5"/>
  <c r="FN39" i="5"/>
  <c r="FO39" i="5"/>
  <c r="FP39" i="5"/>
  <c r="FQ39" i="5"/>
  <c r="FR39" i="5"/>
  <c r="FS39" i="5"/>
  <c r="FT39" i="5"/>
  <c r="FV39" i="5"/>
  <c r="FX39" i="5"/>
  <c r="FY39" i="5"/>
  <c r="FZ39" i="5"/>
  <c r="GA39" i="5"/>
  <c r="P43" i="8" s="1"/>
  <c r="GB39" i="5"/>
  <c r="GG39" i="5"/>
  <c r="GH39" i="5"/>
  <c r="GI39" i="5"/>
  <c r="GJ39" i="5"/>
  <c r="GK39" i="5"/>
  <c r="GL39" i="5"/>
  <c r="GM39" i="5"/>
  <c r="GN39" i="5"/>
  <c r="GQ39" i="5"/>
  <c r="GR39" i="5"/>
  <c r="GS39" i="5"/>
  <c r="GT39" i="5"/>
  <c r="GU39" i="5"/>
  <c r="GV39" i="5"/>
  <c r="GW39" i="5"/>
  <c r="GX39" i="5"/>
  <c r="GY39" i="5"/>
  <c r="HA39" i="5"/>
  <c r="HC39" i="5"/>
  <c r="HD39" i="5"/>
  <c r="HE39" i="5"/>
  <c r="HF39" i="5"/>
  <c r="Q43" i="8" s="1"/>
  <c r="HG39" i="5"/>
  <c r="DW40" i="5"/>
  <c r="DX40" i="5"/>
  <c r="DY40" i="5"/>
  <c r="DZ40" i="5"/>
  <c r="EA40" i="5"/>
  <c r="EB40" i="5"/>
  <c r="EC40" i="5"/>
  <c r="ED40" i="5"/>
  <c r="EG40" i="5"/>
  <c r="EH40" i="5"/>
  <c r="EI40" i="5"/>
  <c r="EJ40" i="5"/>
  <c r="EK40" i="5"/>
  <c r="EL40" i="5"/>
  <c r="EM40" i="5"/>
  <c r="EN40" i="5"/>
  <c r="EO40" i="5"/>
  <c r="EQ40" i="5"/>
  <c r="ES40" i="5"/>
  <c r="ET40" i="5"/>
  <c r="EU40" i="5"/>
  <c r="EV40" i="5"/>
  <c r="O44" i="8" s="1"/>
  <c r="EW40" i="5"/>
  <c r="FB40" i="5"/>
  <c r="FC40" i="5"/>
  <c r="FD40" i="5"/>
  <c r="FE40" i="5"/>
  <c r="FF40" i="5"/>
  <c r="FG40" i="5"/>
  <c r="FH40" i="5"/>
  <c r="FI40" i="5"/>
  <c r="FL40" i="5"/>
  <c r="FM40" i="5"/>
  <c r="FN40" i="5"/>
  <c r="FO40" i="5"/>
  <c r="FP40" i="5"/>
  <c r="FQ40" i="5"/>
  <c r="FR40" i="5"/>
  <c r="FS40" i="5"/>
  <c r="FT40" i="5"/>
  <c r="FV40" i="5"/>
  <c r="FX40" i="5"/>
  <c r="FY40" i="5"/>
  <c r="FZ40" i="5"/>
  <c r="GA40" i="5"/>
  <c r="P44" i="8" s="1"/>
  <c r="GB40" i="5"/>
  <c r="GG40" i="5"/>
  <c r="GH40" i="5"/>
  <c r="GI40" i="5"/>
  <c r="GJ40" i="5"/>
  <c r="GK40" i="5"/>
  <c r="GL40" i="5"/>
  <c r="GM40" i="5"/>
  <c r="GN40" i="5"/>
  <c r="GQ40" i="5"/>
  <c r="GR40" i="5"/>
  <c r="GS40" i="5"/>
  <c r="GT40" i="5"/>
  <c r="GU40" i="5"/>
  <c r="GV40" i="5"/>
  <c r="GW40" i="5"/>
  <c r="GX40" i="5"/>
  <c r="GY40" i="5"/>
  <c r="HA40" i="5"/>
  <c r="HC40" i="5"/>
  <c r="HD40" i="5"/>
  <c r="HE40" i="5"/>
  <c r="HF40" i="5"/>
  <c r="Q44" i="8" s="1"/>
  <c r="HG40" i="5"/>
  <c r="DW41" i="5"/>
  <c r="DX41" i="5"/>
  <c r="DY41" i="5"/>
  <c r="DZ41" i="5"/>
  <c r="EA41" i="5"/>
  <c r="EB41" i="5"/>
  <c r="EC41" i="5"/>
  <c r="ED41" i="5"/>
  <c r="EG41" i="5"/>
  <c r="EH41" i="5"/>
  <c r="EI41" i="5"/>
  <c r="EJ41" i="5"/>
  <c r="EK41" i="5"/>
  <c r="EL41" i="5"/>
  <c r="EM41" i="5"/>
  <c r="EN41" i="5"/>
  <c r="EO41" i="5"/>
  <c r="EQ41" i="5"/>
  <c r="ES41" i="5"/>
  <c r="ET41" i="5"/>
  <c r="EU41" i="5"/>
  <c r="EV41" i="5"/>
  <c r="O45" i="8" s="1"/>
  <c r="EW41" i="5"/>
  <c r="FB41" i="5"/>
  <c r="FC41" i="5"/>
  <c r="FD41" i="5"/>
  <c r="FE41" i="5"/>
  <c r="FF41" i="5"/>
  <c r="FG41" i="5"/>
  <c r="FH41" i="5"/>
  <c r="FI41" i="5"/>
  <c r="FL41" i="5"/>
  <c r="FM41" i="5"/>
  <c r="FN41" i="5"/>
  <c r="FO41" i="5"/>
  <c r="FP41" i="5"/>
  <c r="FQ41" i="5"/>
  <c r="FR41" i="5"/>
  <c r="FS41" i="5"/>
  <c r="FT41" i="5"/>
  <c r="FV41" i="5"/>
  <c r="FX41" i="5"/>
  <c r="FY41" i="5"/>
  <c r="FZ41" i="5"/>
  <c r="GA41" i="5"/>
  <c r="P45" i="8" s="1"/>
  <c r="GB41" i="5"/>
  <c r="GG41" i="5"/>
  <c r="GH41" i="5"/>
  <c r="GI41" i="5"/>
  <c r="GJ41" i="5"/>
  <c r="GK41" i="5"/>
  <c r="GL41" i="5"/>
  <c r="GM41" i="5"/>
  <c r="GN41" i="5"/>
  <c r="GQ41" i="5"/>
  <c r="GR41" i="5"/>
  <c r="GS41" i="5"/>
  <c r="GT41" i="5"/>
  <c r="GU41" i="5"/>
  <c r="GV41" i="5"/>
  <c r="GW41" i="5"/>
  <c r="GX41" i="5"/>
  <c r="GY41" i="5"/>
  <c r="HA41" i="5"/>
  <c r="HC41" i="5"/>
  <c r="HD41" i="5"/>
  <c r="HE41" i="5"/>
  <c r="HF41" i="5"/>
  <c r="Q45" i="8" s="1"/>
  <c r="HG41" i="5"/>
  <c r="DW42" i="5"/>
  <c r="DX42" i="5"/>
  <c r="DY42" i="5"/>
  <c r="DZ42" i="5"/>
  <c r="EA42" i="5"/>
  <c r="EB42" i="5"/>
  <c r="EC42" i="5"/>
  <c r="ED42" i="5"/>
  <c r="EG42" i="5"/>
  <c r="EH42" i="5"/>
  <c r="EI42" i="5"/>
  <c r="EJ42" i="5"/>
  <c r="EK42" i="5"/>
  <c r="EL42" i="5"/>
  <c r="EM42" i="5"/>
  <c r="EN42" i="5"/>
  <c r="EO42" i="5"/>
  <c r="EQ42" i="5"/>
  <c r="ES42" i="5"/>
  <c r="ET42" i="5"/>
  <c r="EU42" i="5"/>
  <c r="EV42" i="5"/>
  <c r="O46" i="8" s="1"/>
  <c r="EW42" i="5"/>
  <c r="FB42" i="5"/>
  <c r="FC42" i="5"/>
  <c r="FD42" i="5"/>
  <c r="FE42" i="5"/>
  <c r="FF42" i="5"/>
  <c r="FG42" i="5"/>
  <c r="FH42" i="5"/>
  <c r="FI42" i="5"/>
  <c r="FL42" i="5"/>
  <c r="FM42" i="5"/>
  <c r="FN42" i="5"/>
  <c r="FO42" i="5"/>
  <c r="FP42" i="5"/>
  <c r="FQ42" i="5"/>
  <c r="FR42" i="5"/>
  <c r="FS42" i="5"/>
  <c r="FT42" i="5"/>
  <c r="FV42" i="5"/>
  <c r="FX42" i="5"/>
  <c r="FY42" i="5"/>
  <c r="FZ42" i="5"/>
  <c r="GA42" i="5"/>
  <c r="P46" i="8" s="1"/>
  <c r="GB42" i="5"/>
  <c r="GG42" i="5"/>
  <c r="GH42" i="5"/>
  <c r="GI42" i="5"/>
  <c r="GJ42" i="5"/>
  <c r="GK42" i="5"/>
  <c r="GL42" i="5"/>
  <c r="GM42" i="5"/>
  <c r="GN42" i="5"/>
  <c r="GQ42" i="5"/>
  <c r="GR42" i="5"/>
  <c r="GS42" i="5"/>
  <c r="GT42" i="5"/>
  <c r="GU42" i="5"/>
  <c r="GV42" i="5"/>
  <c r="GW42" i="5"/>
  <c r="GX42" i="5"/>
  <c r="GY42" i="5"/>
  <c r="HA42" i="5"/>
  <c r="HC42" i="5"/>
  <c r="HD42" i="5"/>
  <c r="HE42" i="5"/>
  <c r="HF42" i="5"/>
  <c r="Q46" i="8" s="1"/>
  <c r="HG42" i="5"/>
  <c r="DW43" i="5"/>
  <c r="DX43" i="5"/>
  <c r="DY43" i="5"/>
  <c r="DZ43" i="5"/>
  <c r="EA43" i="5"/>
  <c r="EB43" i="5"/>
  <c r="EC43" i="5"/>
  <c r="ED43" i="5"/>
  <c r="EG43" i="5"/>
  <c r="EH43" i="5"/>
  <c r="EI43" i="5"/>
  <c r="EJ43" i="5"/>
  <c r="EK43" i="5"/>
  <c r="EL43" i="5"/>
  <c r="EM43" i="5"/>
  <c r="EN43" i="5"/>
  <c r="EO43" i="5"/>
  <c r="EQ43" i="5"/>
  <c r="ES43" i="5"/>
  <c r="ET43" i="5"/>
  <c r="EU43" i="5"/>
  <c r="EV43" i="5"/>
  <c r="O47" i="8" s="1"/>
  <c r="EW43" i="5"/>
  <c r="FB43" i="5"/>
  <c r="FC43" i="5"/>
  <c r="FD43" i="5"/>
  <c r="FE43" i="5"/>
  <c r="FF43" i="5"/>
  <c r="FG43" i="5"/>
  <c r="FH43" i="5"/>
  <c r="FI43" i="5"/>
  <c r="FL43" i="5"/>
  <c r="FM43" i="5"/>
  <c r="FN43" i="5"/>
  <c r="FO43" i="5"/>
  <c r="FP43" i="5"/>
  <c r="FQ43" i="5"/>
  <c r="FR43" i="5"/>
  <c r="FS43" i="5"/>
  <c r="FT43" i="5"/>
  <c r="FV43" i="5"/>
  <c r="FX43" i="5"/>
  <c r="FY43" i="5"/>
  <c r="FZ43" i="5"/>
  <c r="GA43" i="5"/>
  <c r="P47" i="8" s="1"/>
  <c r="GB43" i="5"/>
  <c r="GG43" i="5"/>
  <c r="GH43" i="5"/>
  <c r="GI43" i="5"/>
  <c r="GJ43" i="5"/>
  <c r="GK43" i="5"/>
  <c r="GL43" i="5"/>
  <c r="GM43" i="5"/>
  <c r="GN43" i="5"/>
  <c r="GQ43" i="5"/>
  <c r="GR43" i="5"/>
  <c r="GS43" i="5"/>
  <c r="GT43" i="5"/>
  <c r="GU43" i="5"/>
  <c r="GV43" i="5"/>
  <c r="GW43" i="5"/>
  <c r="GX43" i="5"/>
  <c r="GY43" i="5"/>
  <c r="HA43" i="5"/>
  <c r="HC43" i="5"/>
  <c r="HD43" i="5"/>
  <c r="HE43" i="5"/>
  <c r="HF43" i="5"/>
  <c r="Q47" i="8" s="1"/>
  <c r="HG43" i="5"/>
  <c r="DW44" i="5"/>
  <c r="DX44" i="5"/>
  <c r="DY44" i="5"/>
  <c r="DZ44" i="5"/>
  <c r="EA44" i="5"/>
  <c r="EB44" i="5"/>
  <c r="EC44" i="5"/>
  <c r="ED44" i="5"/>
  <c r="EG44" i="5"/>
  <c r="EH44" i="5"/>
  <c r="EI44" i="5"/>
  <c r="EJ44" i="5"/>
  <c r="EK44" i="5"/>
  <c r="EL44" i="5"/>
  <c r="EM44" i="5"/>
  <c r="EN44" i="5"/>
  <c r="EO44" i="5"/>
  <c r="EQ44" i="5"/>
  <c r="ES44" i="5"/>
  <c r="ET44" i="5"/>
  <c r="EU44" i="5"/>
  <c r="EV44" i="5"/>
  <c r="O48" i="8" s="1"/>
  <c r="EW44" i="5"/>
  <c r="FB44" i="5"/>
  <c r="FC44" i="5"/>
  <c r="FD44" i="5"/>
  <c r="FE44" i="5"/>
  <c r="FF44" i="5"/>
  <c r="FG44" i="5"/>
  <c r="FH44" i="5"/>
  <c r="FI44" i="5"/>
  <c r="FL44" i="5"/>
  <c r="FM44" i="5"/>
  <c r="FN44" i="5"/>
  <c r="FO44" i="5"/>
  <c r="FP44" i="5"/>
  <c r="FQ44" i="5"/>
  <c r="FR44" i="5"/>
  <c r="FS44" i="5"/>
  <c r="FT44" i="5"/>
  <c r="FV44" i="5"/>
  <c r="FX44" i="5"/>
  <c r="FY44" i="5"/>
  <c r="FZ44" i="5"/>
  <c r="GA44" i="5"/>
  <c r="P48" i="8" s="1"/>
  <c r="GB44" i="5"/>
  <c r="GG44" i="5"/>
  <c r="GH44" i="5"/>
  <c r="GI44" i="5"/>
  <c r="GJ44" i="5"/>
  <c r="GK44" i="5"/>
  <c r="GL44" i="5"/>
  <c r="GM44" i="5"/>
  <c r="GN44" i="5"/>
  <c r="GQ44" i="5"/>
  <c r="GR44" i="5"/>
  <c r="GS44" i="5"/>
  <c r="GT44" i="5"/>
  <c r="GU44" i="5"/>
  <c r="GV44" i="5"/>
  <c r="GW44" i="5"/>
  <c r="GX44" i="5"/>
  <c r="GY44" i="5"/>
  <c r="HA44" i="5"/>
  <c r="HC44" i="5"/>
  <c r="HD44" i="5"/>
  <c r="HE44" i="5"/>
  <c r="HF44" i="5"/>
  <c r="Q48" i="8" s="1"/>
  <c r="HG44" i="5"/>
  <c r="DW45" i="5"/>
  <c r="DX45" i="5"/>
  <c r="DY45" i="5"/>
  <c r="DZ45" i="5"/>
  <c r="EA45" i="5"/>
  <c r="EB45" i="5"/>
  <c r="EC45" i="5"/>
  <c r="ED45" i="5"/>
  <c r="EG45" i="5"/>
  <c r="EH45" i="5"/>
  <c r="EI45" i="5"/>
  <c r="EJ45" i="5"/>
  <c r="EK45" i="5"/>
  <c r="EL45" i="5"/>
  <c r="EM45" i="5"/>
  <c r="EN45" i="5"/>
  <c r="EO45" i="5"/>
  <c r="EQ45" i="5"/>
  <c r="ES45" i="5"/>
  <c r="ET45" i="5"/>
  <c r="EU45" i="5"/>
  <c r="EV45" i="5"/>
  <c r="O49" i="8" s="1"/>
  <c r="EW45" i="5"/>
  <c r="FB45" i="5"/>
  <c r="FC45" i="5"/>
  <c r="FD45" i="5"/>
  <c r="FE45" i="5"/>
  <c r="FF45" i="5"/>
  <c r="FG45" i="5"/>
  <c r="FH45" i="5"/>
  <c r="FI45" i="5"/>
  <c r="FL45" i="5"/>
  <c r="FM45" i="5"/>
  <c r="FN45" i="5"/>
  <c r="FO45" i="5"/>
  <c r="FP45" i="5"/>
  <c r="FQ45" i="5"/>
  <c r="FR45" i="5"/>
  <c r="FS45" i="5"/>
  <c r="FT45" i="5"/>
  <c r="FV45" i="5"/>
  <c r="FX45" i="5"/>
  <c r="FY45" i="5"/>
  <c r="FZ45" i="5"/>
  <c r="GA45" i="5"/>
  <c r="P49" i="8" s="1"/>
  <c r="GB45" i="5"/>
  <c r="GG45" i="5"/>
  <c r="GH45" i="5"/>
  <c r="GI45" i="5"/>
  <c r="GJ45" i="5"/>
  <c r="GK45" i="5"/>
  <c r="GL45" i="5"/>
  <c r="GM45" i="5"/>
  <c r="GN45" i="5"/>
  <c r="GQ45" i="5"/>
  <c r="GR45" i="5"/>
  <c r="GS45" i="5"/>
  <c r="GT45" i="5"/>
  <c r="GU45" i="5"/>
  <c r="GV45" i="5"/>
  <c r="GW45" i="5"/>
  <c r="GX45" i="5"/>
  <c r="GY45" i="5"/>
  <c r="HA45" i="5"/>
  <c r="HC45" i="5"/>
  <c r="HD45" i="5"/>
  <c r="HE45" i="5"/>
  <c r="HF45" i="5"/>
  <c r="Q49" i="8" s="1"/>
  <c r="HG45" i="5"/>
  <c r="DW46" i="5"/>
  <c r="DX46" i="5"/>
  <c r="DY46" i="5"/>
  <c r="DZ46" i="5"/>
  <c r="EA46" i="5"/>
  <c r="EB46" i="5"/>
  <c r="EC46" i="5"/>
  <c r="ED46" i="5"/>
  <c r="EG46" i="5"/>
  <c r="EH46" i="5"/>
  <c r="EI46" i="5"/>
  <c r="EJ46" i="5"/>
  <c r="EK46" i="5"/>
  <c r="EL46" i="5"/>
  <c r="EM46" i="5"/>
  <c r="EN46" i="5"/>
  <c r="EO46" i="5"/>
  <c r="EQ46" i="5"/>
  <c r="ES46" i="5"/>
  <c r="ET46" i="5"/>
  <c r="EU46" i="5"/>
  <c r="EV46" i="5"/>
  <c r="O50" i="8" s="1"/>
  <c r="EW46" i="5"/>
  <c r="FB46" i="5"/>
  <c r="FC46" i="5"/>
  <c r="FD46" i="5"/>
  <c r="FE46" i="5"/>
  <c r="FF46" i="5"/>
  <c r="FG46" i="5"/>
  <c r="FH46" i="5"/>
  <c r="FI46" i="5"/>
  <c r="FL46" i="5"/>
  <c r="FM46" i="5"/>
  <c r="FN46" i="5"/>
  <c r="FO46" i="5"/>
  <c r="FP46" i="5"/>
  <c r="FQ46" i="5"/>
  <c r="FR46" i="5"/>
  <c r="FS46" i="5"/>
  <c r="FT46" i="5"/>
  <c r="FV46" i="5"/>
  <c r="FX46" i="5"/>
  <c r="FY46" i="5"/>
  <c r="FZ46" i="5"/>
  <c r="GA46" i="5"/>
  <c r="P50" i="8" s="1"/>
  <c r="GB46" i="5"/>
  <c r="GG46" i="5"/>
  <c r="GH46" i="5"/>
  <c r="GI46" i="5"/>
  <c r="GJ46" i="5"/>
  <c r="GK46" i="5"/>
  <c r="GL46" i="5"/>
  <c r="GM46" i="5"/>
  <c r="GN46" i="5"/>
  <c r="GQ46" i="5"/>
  <c r="GR46" i="5"/>
  <c r="GS46" i="5"/>
  <c r="GT46" i="5"/>
  <c r="GU46" i="5"/>
  <c r="GV46" i="5"/>
  <c r="GW46" i="5"/>
  <c r="GX46" i="5"/>
  <c r="GY46" i="5"/>
  <c r="HA46" i="5"/>
  <c r="HC46" i="5"/>
  <c r="HD46" i="5"/>
  <c r="HE46" i="5"/>
  <c r="HF46" i="5"/>
  <c r="Q50" i="8" s="1"/>
  <c r="HG46" i="5"/>
  <c r="DW47" i="5"/>
  <c r="DX47" i="5"/>
  <c r="DY47" i="5"/>
  <c r="DZ47" i="5"/>
  <c r="EA47" i="5"/>
  <c r="EB47" i="5"/>
  <c r="EC47" i="5"/>
  <c r="ED47" i="5"/>
  <c r="EG47" i="5"/>
  <c r="EH47" i="5"/>
  <c r="EI47" i="5"/>
  <c r="EJ47" i="5"/>
  <c r="EK47" i="5"/>
  <c r="EL47" i="5"/>
  <c r="EM47" i="5"/>
  <c r="EN47" i="5"/>
  <c r="EO47" i="5"/>
  <c r="EQ47" i="5"/>
  <c r="ES47" i="5"/>
  <c r="ET47" i="5"/>
  <c r="EU47" i="5"/>
  <c r="EV47" i="5"/>
  <c r="O51" i="8" s="1"/>
  <c r="EW47" i="5"/>
  <c r="FB47" i="5"/>
  <c r="FC47" i="5"/>
  <c r="FD47" i="5"/>
  <c r="FE47" i="5"/>
  <c r="FF47" i="5"/>
  <c r="FG47" i="5"/>
  <c r="FH47" i="5"/>
  <c r="FI47" i="5"/>
  <c r="FL47" i="5"/>
  <c r="FM47" i="5"/>
  <c r="FN47" i="5"/>
  <c r="FO47" i="5"/>
  <c r="FP47" i="5"/>
  <c r="FQ47" i="5"/>
  <c r="FR47" i="5"/>
  <c r="FS47" i="5"/>
  <c r="FT47" i="5"/>
  <c r="FV47" i="5"/>
  <c r="FX47" i="5"/>
  <c r="FY47" i="5"/>
  <c r="FZ47" i="5"/>
  <c r="GA47" i="5"/>
  <c r="P51" i="8" s="1"/>
  <c r="GB47" i="5"/>
  <c r="GG47" i="5"/>
  <c r="GH47" i="5"/>
  <c r="GI47" i="5"/>
  <c r="GJ47" i="5"/>
  <c r="GK47" i="5"/>
  <c r="GL47" i="5"/>
  <c r="GM47" i="5"/>
  <c r="GN47" i="5"/>
  <c r="GQ47" i="5"/>
  <c r="GR47" i="5"/>
  <c r="GS47" i="5"/>
  <c r="GT47" i="5"/>
  <c r="GU47" i="5"/>
  <c r="GV47" i="5"/>
  <c r="GW47" i="5"/>
  <c r="GX47" i="5"/>
  <c r="GY47" i="5"/>
  <c r="HA47" i="5"/>
  <c r="HC47" i="5"/>
  <c r="HD47" i="5"/>
  <c r="HE47" i="5"/>
  <c r="HF47" i="5"/>
  <c r="Q51" i="8" s="1"/>
  <c r="HG47" i="5"/>
  <c r="DW48" i="5"/>
  <c r="DX48" i="5"/>
  <c r="DY48" i="5"/>
  <c r="DZ48" i="5"/>
  <c r="EA48" i="5"/>
  <c r="EB48" i="5"/>
  <c r="EC48" i="5"/>
  <c r="ED48" i="5"/>
  <c r="EG48" i="5"/>
  <c r="EH48" i="5"/>
  <c r="EI48" i="5"/>
  <c r="EJ48" i="5"/>
  <c r="EK48" i="5"/>
  <c r="EL48" i="5"/>
  <c r="EM48" i="5"/>
  <c r="EN48" i="5"/>
  <c r="EO48" i="5"/>
  <c r="EQ48" i="5"/>
  <c r="ES48" i="5"/>
  <c r="ET48" i="5"/>
  <c r="EU48" i="5"/>
  <c r="EV48" i="5"/>
  <c r="O52" i="8" s="1"/>
  <c r="EW48" i="5"/>
  <c r="FB48" i="5"/>
  <c r="FC48" i="5"/>
  <c r="FD48" i="5"/>
  <c r="FE48" i="5"/>
  <c r="FF48" i="5"/>
  <c r="FG48" i="5"/>
  <c r="FH48" i="5"/>
  <c r="FI48" i="5"/>
  <c r="FL48" i="5"/>
  <c r="FM48" i="5"/>
  <c r="FN48" i="5"/>
  <c r="FO48" i="5"/>
  <c r="FP48" i="5"/>
  <c r="FQ48" i="5"/>
  <c r="FR48" i="5"/>
  <c r="FS48" i="5"/>
  <c r="FT48" i="5"/>
  <c r="FV48" i="5"/>
  <c r="FX48" i="5"/>
  <c r="FY48" i="5"/>
  <c r="FZ48" i="5"/>
  <c r="GA48" i="5"/>
  <c r="P52" i="8" s="1"/>
  <c r="GB48" i="5"/>
  <c r="GG48" i="5"/>
  <c r="GH48" i="5"/>
  <c r="GI48" i="5"/>
  <c r="GJ48" i="5"/>
  <c r="GK48" i="5"/>
  <c r="GL48" i="5"/>
  <c r="GM48" i="5"/>
  <c r="GN48" i="5"/>
  <c r="GQ48" i="5"/>
  <c r="GR48" i="5"/>
  <c r="GS48" i="5"/>
  <c r="GT48" i="5"/>
  <c r="GU48" i="5"/>
  <c r="GV48" i="5"/>
  <c r="GW48" i="5"/>
  <c r="GX48" i="5"/>
  <c r="GY48" i="5"/>
  <c r="HA48" i="5"/>
  <c r="HC48" i="5"/>
  <c r="HD48" i="5"/>
  <c r="HE48" i="5"/>
  <c r="HF48" i="5"/>
  <c r="Q52" i="8" s="1"/>
  <c r="HG48" i="5"/>
  <c r="DW49" i="5"/>
  <c r="DX49" i="5"/>
  <c r="DY49" i="5"/>
  <c r="DZ49" i="5"/>
  <c r="EA49" i="5"/>
  <c r="EB49" i="5"/>
  <c r="EC49" i="5"/>
  <c r="ED49" i="5"/>
  <c r="EG49" i="5"/>
  <c r="EH49" i="5"/>
  <c r="EI49" i="5"/>
  <c r="EJ49" i="5"/>
  <c r="EK49" i="5"/>
  <c r="EL49" i="5"/>
  <c r="EM49" i="5"/>
  <c r="EN49" i="5"/>
  <c r="EO49" i="5"/>
  <c r="EQ49" i="5"/>
  <c r="ES49" i="5"/>
  <c r="ET49" i="5"/>
  <c r="EU49" i="5"/>
  <c r="EV49" i="5"/>
  <c r="O53" i="8" s="1"/>
  <c r="EW49" i="5"/>
  <c r="FB49" i="5"/>
  <c r="FC49" i="5"/>
  <c r="FD49" i="5"/>
  <c r="FE49" i="5"/>
  <c r="FF49" i="5"/>
  <c r="FG49" i="5"/>
  <c r="FH49" i="5"/>
  <c r="FI49" i="5"/>
  <c r="FL49" i="5"/>
  <c r="FM49" i="5"/>
  <c r="FN49" i="5"/>
  <c r="FO49" i="5"/>
  <c r="FP49" i="5"/>
  <c r="FQ49" i="5"/>
  <c r="FR49" i="5"/>
  <c r="FS49" i="5"/>
  <c r="FT49" i="5"/>
  <c r="FV49" i="5"/>
  <c r="FX49" i="5"/>
  <c r="FY49" i="5"/>
  <c r="FZ49" i="5"/>
  <c r="GA49" i="5"/>
  <c r="P53" i="8" s="1"/>
  <c r="GB49" i="5"/>
  <c r="GG49" i="5"/>
  <c r="GH49" i="5"/>
  <c r="GI49" i="5"/>
  <c r="GJ49" i="5"/>
  <c r="GK49" i="5"/>
  <c r="GL49" i="5"/>
  <c r="GM49" i="5"/>
  <c r="GN49" i="5"/>
  <c r="GQ49" i="5"/>
  <c r="GR49" i="5"/>
  <c r="GS49" i="5"/>
  <c r="GT49" i="5"/>
  <c r="GU49" i="5"/>
  <c r="GV49" i="5"/>
  <c r="GW49" i="5"/>
  <c r="GX49" i="5"/>
  <c r="GY49" i="5"/>
  <c r="HA49" i="5"/>
  <c r="HC49" i="5"/>
  <c r="HD49" i="5"/>
  <c r="HE49" i="5"/>
  <c r="HF49" i="5"/>
  <c r="Q53" i="8" s="1"/>
  <c r="HG49" i="5"/>
  <c r="DW50" i="5"/>
  <c r="DX50" i="5"/>
  <c r="DY50" i="5"/>
  <c r="DZ50" i="5"/>
  <c r="EA50" i="5"/>
  <c r="EB50" i="5"/>
  <c r="EC50" i="5"/>
  <c r="ED50" i="5"/>
  <c r="EG50" i="5"/>
  <c r="EH50" i="5"/>
  <c r="EI50" i="5"/>
  <c r="EJ50" i="5"/>
  <c r="EK50" i="5"/>
  <c r="EL50" i="5"/>
  <c r="EM50" i="5"/>
  <c r="EN50" i="5"/>
  <c r="EO50" i="5"/>
  <c r="EQ50" i="5"/>
  <c r="ES50" i="5"/>
  <c r="ET50" i="5"/>
  <c r="EU50" i="5"/>
  <c r="EV50" i="5"/>
  <c r="O54" i="8" s="1"/>
  <c r="EW50" i="5"/>
  <c r="FB50" i="5"/>
  <c r="FC50" i="5"/>
  <c r="FD50" i="5"/>
  <c r="FE50" i="5"/>
  <c r="FF50" i="5"/>
  <c r="FG50" i="5"/>
  <c r="FH50" i="5"/>
  <c r="FI50" i="5"/>
  <c r="FL50" i="5"/>
  <c r="FM50" i="5"/>
  <c r="FN50" i="5"/>
  <c r="FO50" i="5"/>
  <c r="FP50" i="5"/>
  <c r="FQ50" i="5"/>
  <c r="FR50" i="5"/>
  <c r="FS50" i="5"/>
  <c r="FT50" i="5"/>
  <c r="FV50" i="5"/>
  <c r="FX50" i="5"/>
  <c r="FY50" i="5"/>
  <c r="FZ50" i="5"/>
  <c r="GA50" i="5"/>
  <c r="P54" i="8" s="1"/>
  <c r="GB50" i="5"/>
  <c r="GG50" i="5"/>
  <c r="GH50" i="5"/>
  <c r="GI50" i="5"/>
  <c r="GJ50" i="5"/>
  <c r="GK50" i="5"/>
  <c r="GL50" i="5"/>
  <c r="GM50" i="5"/>
  <c r="GN50" i="5"/>
  <c r="GQ50" i="5"/>
  <c r="GR50" i="5"/>
  <c r="GS50" i="5"/>
  <c r="GT50" i="5"/>
  <c r="GU50" i="5"/>
  <c r="GV50" i="5"/>
  <c r="GW50" i="5"/>
  <c r="GX50" i="5"/>
  <c r="GY50" i="5"/>
  <c r="HA50" i="5"/>
  <c r="HC50" i="5"/>
  <c r="HD50" i="5"/>
  <c r="HE50" i="5"/>
  <c r="HF50" i="5"/>
  <c r="Q54" i="8" s="1"/>
  <c r="HG50" i="5"/>
  <c r="DW53" i="5"/>
  <c r="DX53" i="5"/>
  <c r="DY53" i="5"/>
  <c r="DZ53" i="5"/>
  <c r="EA53" i="5"/>
  <c r="EB53" i="5"/>
  <c r="EC53" i="5"/>
  <c r="ED53" i="5"/>
  <c r="EG53" i="5"/>
  <c r="EH53" i="5"/>
  <c r="EI53" i="5"/>
  <c r="EJ53" i="5"/>
  <c r="EK53" i="5"/>
  <c r="EL53" i="5"/>
  <c r="EM53" i="5"/>
  <c r="EN53" i="5"/>
  <c r="EO53" i="5"/>
  <c r="EQ53" i="5"/>
  <c r="ES53" i="5"/>
  <c r="ET53" i="5"/>
  <c r="EU53" i="5"/>
  <c r="EV53" i="5"/>
  <c r="O57" i="8" s="1"/>
  <c r="EW53" i="5"/>
  <c r="FB53" i="5"/>
  <c r="FC53" i="5"/>
  <c r="FD53" i="5"/>
  <c r="FE53" i="5"/>
  <c r="FF53" i="5"/>
  <c r="FG53" i="5"/>
  <c r="FH53" i="5"/>
  <c r="FI53" i="5"/>
  <c r="FL53" i="5"/>
  <c r="FM53" i="5"/>
  <c r="FN53" i="5"/>
  <c r="FO53" i="5"/>
  <c r="FP53" i="5"/>
  <c r="FQ53" i="5"/>
  <c r="FR53" i="5"/>
  <c r="FS53" i="5"/>
  <c r="FT53" i="5"/>
  <c r="FV53" i="5"/>
  <c r="FX53" i="5"/>
  <c r="FY53" i="5"/>
  <c r="FZ53" i="5"/>
  <c r="GA53" i="5"/>
  <c r="P57" i="8" s="1"/>
  <c r="GB53" i="5"/>
  <c r="GG53" i="5"/>
  <c r="GH53" i="5"/>
  <c r="GI53" i="5"/>
  <c r="GJ53" i="5"/>
  <c r="GK53" i="5"/>
  <c r="GL53" i="5"/>
  <c r="GM53" i="5"/>
  <c r="GN53" i="5"/>
  <c r="GQ53" i="5"/>
  <c r="GR53" i="5"/>
  <c r="GS53" i="5"/>
  <c r="GT53" i="5"/>
  <c r="GU53" i="5"/>
  <c r="GV53" i="5"/>
  <c r="GW53" i="5"/>
  <c r="GX53" i="5"/>
  <c r="GY53" i="5"/>
  <c r="HA53" i="5"/>
  <c r="HC53" i="5"/>
  <c r="HD53" i="5"/>
  <c r="HE53" i="5"/>
  <c r="HF53" i="5"/>
  <c r="Q57" i="8" s="1"/>
  <c r="HG53" i="5"/>
  <c r="DW54" i="5"/>
  <c r="DX54" i="5"/>
  <c r="DY54" i="5"/>
  <c r="DZ54" i="5"/>
  <c r="EA54" i="5"/>
  <c r="EB54" i="5"/>
  <c r="EC54" i="5"/>
  <c r="ED54" i="5"/>
  <c r="EG54" i="5"/>
  <c r="EH54" i="5"/>
  <c r="EI54" i="5"/>
  <c r="EJ54" i="5"/>
  <c r="EK54" i="5"/>
  <c r="EL54" i="5"/>
  <c r="EM54" i="5"/>
  <c r="EN54" i="5"/>
  <c r="EO54" i="5"/>
  <c r="EQ54" i="5"/>
  <c r="ES54" i="5"/>
  <c r="ET54" i="5"/>
  <c r="EU54" i="5"/>
  <c r="EV54" i="5"/>
  <c r="O58" i="8" s="1"/>
  <c r="EW54" i="5"/>
  <c r="FB54" i="5"/>
  <c r="FC54" i="5"/>
  <c r="FD54" i="5"/>
  <c r="FE54" i="5"/>
  <c r="FF54" i="5"/>
  <c r="FG54" i="5"/>
  <c r="FH54" i="5"/>
  <c r="FI54" i="5"/>
  <c r="FL54" i="5"/>
  <c r="FM54" i="5"/>
  <c r="FN54" i="5"/>
  <c r="FO54" i="5"/>
  <c r="FP54" i="5"/>
  <c r="FQ54" i="5"/>
  <c r="FR54" i="5"/>
  <c r="FS54" i="5"/>
  <c r="FT54" i="5"/>
  <c r="FV54" i="5"/>
  <c r="FX54" i="5"/>
  <c r="FY54" i="5"/>
  <c r="FZ54" i="5"/>
  <c r="GA54" i="5"/>
  <c r="P58" i="8" s="1"/>
  <c r="GB54" i="5"/>
  <c r="GG54" i="5"/>
  <c r="GH54" i="5"/>
  <c r="GI54" i="5"/>
  <c r="GJ54" i="5"/>
  <c r="GK54" i="5"/>
  <c r="GL54" i="5"/>
  <c r="GM54" i="5"/>
  <c r="GN54" i="5"/>
  <c r="GQ54" i="5"/>
  <c r="GR54" i="5"/>
  <c r="GS54" i="5"/>
  <c r="GT54" i="5"/>
  <c r="GU54" i="5"/>
  <c r="GV54" i="5"/>
  <c r="GW54" i="5"/>
  <c r="GX54" i="5"/>
  <c r="GY54" i="5"/>
  <c r="HA54" i="5"/>
  <c r="HC54" i="5"/>
  <c r="HD54" i="5"/>
  <c r="HE54" i="5"/>
  <c r="HF54" i="5"/>
  <c r="Q58" i="8" s="1"/>
  <c r="HG54" i="5"/>
  <c r="DW55" i="5"/>
  <c r="DX55" i="5"/>
  <c r="DY55" i="5"/>
  <c r="DZ55" i="5"/>
  <c r="EA55" i="5"/>
  <c r="EB55" i="5"/>
  <c r="EC55" i="5"/>
  <c r="ED55" i="5"/>
  <c r="EG55" i="5"/>
  <c r="EH55" i="5"/>
  <c r="EI55" i="5"/>
  <c r="EJ55" i="5"/>
  <c r="EK55" i="5"/>
  <c r="EL55" i="5"/>
  <c r="EM55" i="5"/>
  <c r="EN55" i="5"/>
  <c r="EO55" i="5"/>
  <c r="EQ55" i="5"/>
  <c r="ES55" i="5"/>
  <c r="ET55" i="5"/>
  <c r="EU55" i="5"/>
  <c r="EV55" i="5"/>
  <c r="O59" i="8" s="1"/>
  <c r="EW55" i="5"/>
  <c r="FB55" i="5"/>
  <c r="FC55" i="5"/>
  <c r="FD55" i="5"/>
  <c r="FE55" i="5"/>
  <c r="FF55" i="5"/>
  <c r="FG55" i="5"/>
  <c r="FH55" i="5"/>
  <c r="FI55" i="5"/>
  <c r="FL55" i="5"/>
  <c r="FM55" i="5"/>
  <c r="FN55" i="5"/>
  <c r="FO55" i="5"/>
  <c r="FP55" i="5"/>
  <c r="FQ55" i="5"/>
  <c r="FR55" i="5"/>
  <c r="FS55" i="5"/>
  <c r="FT55" i="5"/>
  <c r="FV55" i="5"/>
  <c r="FX55" i="5"/>
  <c r="FY55" i="5"/>
  <c r="FZ55" i="5"/>
  <c r="GA55" i="5"/>
  <c r="P59" i="8" s="1"/>
  <c r="GB55" i="5"/>
  <c r="GG55" i="5"/>
  <c r="GH55" i="5"/>
  <c r="GI55" i="5"/>
  <c r="GJ55" i="5"/>
  <c r="GK55" i="5"/>
  <c r="GL55" i="5"/>
  <c r="GM55" i="5"/>
  <c r="GN55" i="5"/>
  <c r="GQ55" i="5"/>
  <c r="GR55" i="5"/>
  <c r="GS55" i="5"/>
  <c r="GT55" i="5"/>
  <c r="GU55" i="5"/>
  <c r="GV55" i="5"/>
  <c r="GW55" i="5"/>
  <c r="GX55" i="5"/>
  <c r="GY55" i="5"/>
  <c r="HA55" i="5"/>
  <c r="HC55" i="5"/>
  <c r="HD55" i="5"/>
  <c r="HE55" i="5"/>
  <c r="HF55" i="5"/>
  <c r="Q59" i="8" s="1"/>
  <c r="HG55" i="5"/>
  <c r="DW56" i="5"/>
  <c r="DX56" i="5"/>
  <c r="DY56" i="5"/>
  <c r="DZ56" i="5"/>
  <c r="EA56" i="5"/>
  <c r="EB56" i="5"/>
  <c r="EC56" i="5"/>
  <c r="ED56" i="5"/>
  <c r="EG56" i="5"/>
  <c r="EH56" i="5"/>
  <c r="EI56" i="5"/>
  <c r="EJ56" i="5"/>
  <c r="EK56" i="5"/>
  <c r="EL56" i="5"/>
  <c r="EM56" i="5"/>
  <c r="EN56" i="5"/>
  <c r="EO56" i="5"/>
  <c r="EQ56" i="5"/>
  <c r="ES56" i="5"/>
  <c r="ET56" i="5"/>
  <c r="EU56" i="5"/>
  <c r="EV56" i="5"/>
  <c r="O60" i="8" s="1"/>
  <c r="EW56" i="5"/>
  <c r="FB56" i="5"/>
  <c r="FC56" i="5"/>
  <c r="FD56" i="5"/>
  <c r="FE56" i="5"/>
  <c r="FF56" i="5"/>
  <c r="FG56" i="5"/>
  <c r="FH56" i="5"/>
  <c r="FI56" i="5"/>
  <c r="FL56" i="5"/>
  <c r="FM56" i="5"/>
  <c r="FN56" i="5"/>
  <c r="FO56" i="5"/>
  <c r="FP56" i="5"/>
  <c r="FQ56" i="5"/>
  <c r="FR56" i="5"/>
  <c r="FS56" i="5"/>
  <c r="FT56" i="5"/>
  <c r="FV56" i="5"/>
  <c r="FX56" i="5"/>
  <c r="FY56" i="5"/>
  <c r="FZ56" i="5"/>
  <c r="GA56" i="5"/>
  <c r="P60" i="8" s="1"/>
  <c r="GB56" i="5"/>
  <c r="GG56" i="5"/>
  <c r="GH56" i="5"/>
  <c r="GI56" i="5"/>
  <c r="GJ56" i="5"/>
  <c r="GK56" i="5"/>
  <c r="GL56" i="5"/>
  <c r="GM56" i="5"/>
  <c r="GN56" i="5"/>
  <c r="GQ56" i="5"/>
  <c r="GR56" i="5"/>
  <c r="GS56" i="5"/>
  <c r="GT56" i="5"/>
  <c r="GU56" i="5"/>
  <c r="GV56" i="5"/>
  <c r="GW56" i="5"/>
  <c r="GX56" i="5"/>
  <c r="GY56" i="5"/>
  <c r="HA56" i="5"/>
  <c r="HC56" i="5"/>
  <c r="HD56" i="5"/>
  <c r="HE56" i="5"/>
  <c r="HF56" i="5"/>
  <c r="Q60" i="8" s="1"/>
  <c r="HG56" i="5"/>
  <c r="DW57" i="5"/>
  <c r="DX57" i="5"/>
  <c r="DY57" i="5"/>
  <c r="DZ57" i="5"/>
  <c r="EA57" i="5"/>
  <c r="EB57" i="5"/>
  <c r="EC57" i="5"/>
  <c r="ED57" i="5"/>
  <c r="EG57" i="5"/>
  <c r="EH57" i="5"/>
  <c r="EI57" i="5"/>
  <c r="EJ57" i="5"/>
  <c r="EK57" i="5"/>
  <c r="EL57" i="5"/>
  <c r="EM57" i="5"/>
  <c r="EN57" i="5"/>
  <c r="EO57" i="5"/>
  <c r="EQ57" i="5"/>
  <c r="ES57" i="5"/>
  <c r="ET57" i="5"/>
  <c r="EU57" i="5"/>
  <c r="EV57" i="5"/>
  <c r="O61" i="8" s="1"/>
  <c r="EW57" i="5"/>
  <c r="FB57" i="5"/>
  <c r="FC57" i="5"/>
  <c r="FD57" i="5"/>
  <c r="FE57" i="5"/>
  <c r="FF57" i="5"/>
  <c r="FG57" i="5"/>
  <c r="FH57" i="5"/>
  <c r="FI57" i="5"/>
  <c r="FL57" i="5"/>
  <c r="FM57" i="5"/>
  <c r="FN57" i="5"/>
  <c r="FO57" i="5"/>
  <c r="FP57" i="5"/>
  <c r="FQ57" i="5"/>
  <c r="FR57" i="5"/>
  <c r="FS57" i="5"/>
  <c r="FT57" i="5"/>
  <c r="FV57" i="5"/>
  <c r="FX57" i="5"/>
  <c r="FY57" i="5"/>
  <c r="FZ57" i="5"/>
  <c r="GA57" i="5"/>
  <c r="P61" i="8" s="1"/>
  <c r="GB57" i="5"/>
  <c r="GG57" i="5"/>
  <c r="GH57" i="5"/>
  <c r="GI57" i="5"/>
  <c r="GJ57" i="5"/>
  <c r="GK57" i="5"/>
  <c r="GL57" i="5"/>
  <c r="GM57" i="5"/>
  <c r="GN57" i="5"/>
  <c r="GQ57" i="5"/>
  <c r="GR57" i="5"/>
  <c r="GS57" i="5"/>
  <c r="GT57" i="5"/>
  <c r="GU57" i="5"/>
  <c r="GV57" i="5"/>
  <c r="GW57" i="5"/>
  <c r="GX57" i="5"/>
  <c r="GY57" i="5"/>
  <c r="HA57" i="5"/>
  <c r="HC57" i="5"/>
  <c r="HD57" i="5"/>
  <c r="HE57" i="5"/>
  <c r="HF57" i="5"/>
  <c r="Q61" i="8" s="1"/>
  <c r="HG57" i="5"/>
  <c r="DW58" i="5"/>
  <c r="DX58" i="5"/>
  <c r="DY58" i="5"/>
  <c r="DZ58" i="5"/>
  <c r="EA58" i="5"/>
  <c r="EB58" i="5"/>
  <c r="EC58" i="5"/>
  <c r="ED58" i="5"/>
  <c r="EG58" i="5"/>
  <c r="EH58" i="5"/>
  <c r="EI58" i="5"/>
  <c r="EJ58" i="5"/>
  <c r="EK58" i="5"/>
  <c r="EL58" i="5"/>
  <c r="EM58" i="5"/>
  <c r="EN58" i="5"/>
  <c r="EO58" i="5"/>
  <c r="EQ58" i="5"/>
  <c r="ES58" i="5"/>
  <c r="ET58" i="5"/>
  <c r="EU58" i="5"/>
  <c r="EV58" i="5"/>
  <c r="O62" i="8" s="1"/>
  <c r="EW58" i="5"/>
  <c r="FB58" i="5"/>
  <c r="FC58" i="5"/>
  <c r="FD58" i="5"/>
  <c r="FE58" i="5"/>
  <c r="FF58" i="5"/>
  <c r="FG58" i="5"/>
  <c r="FH58" i="5"/>
  <c r="FI58" i="5"/>
  <c r="FL58" i="5"/>
  <c r="FM58" i="5"/>
  <c r="FN58" i="5"/>
  <c r="FO58" i="5"/>
  <c r="FP58" i="5"/>
  <c r="FQ58" i="5"/>
  <c r="FR58" i="5"/>
  <c r="FS58" i="5"/>
  <c r="FT58" i="5"/>
  <c r="FV58" i="5"/>
  <c r="FX58" i="5"/>
  <c r="FY58" i="5"/>
  <c r="FZ58" i="5"/>
  <c r="GA58" i="5"/>
  <c r="P62" i="8" s="1"/>
  <c r="GB58" i="5"/>
  <c r="GG58" i="5"/>
  <c r="GH58" i="5"/>
  <c r="GI58" i="5"/>
  <c r="GJ58" i="5"/>
  <c r="GK58" i="5"/>
  <c r="GL58" i="5"/>
  <c r="GM58" i="5"/>
  <c r="GN58" i="5"/>
  <c r="GQ58" i="5"/>
  <c r="GR58" i="5"/>
  <c r="GS58" i="5"/>
  <c r="GT58" i="5"/>
  <c r="GU58" i="5"/>
  <c r="GV58" i="5"/>
  <c r="GW58" i="5"/>
  <c r="GX58" i="5"/>
  <c r="GY58" i="5"/>
  <c r="HA58" i="5"/>
  <c r="HC58" i="5"/>
  <c r="HD58" i="5"/>
  <c r="HE58" i="5"/>
  <c r="HF58" i="5"/>
  <c r="Q62" i="8" s="1"/>
  <c r="HG58" i="5"/>
  <c r="DW59" i="5"/>
  <c r="DX59" i="5"/>
  <c r="DY59" i="5"/>
  <c r="DZ59" i="5"/>
  <c r="EA59" i="5"/>
  <c r="EB59" i="5"/>
  <c r="EC59" i="5"/>
  <c r="ED59" i="5"/>
  <c r="EG59" i="5"/>
  <c r="EH59" i="5"/>
  <c r="EI59" i="5"/>
  <c r="EJ59" i="5"/>
  <c r="EK59" i="5"/>
  <c r="EL59" i="5"/>
  <c r="EM59" i="5"/>
  <c r="EN59" i="5"/>
  <c r="EO59" i="5"/>
  <c r="EQ59" i="5"/>
  <c r="ES59" i="5"/>
  <c r="ET59" i="5"/>
  <c r="EU59" i="5"/>
  <c r="EV59" i="5"/>
  <c r="O63" i="8" s="1"/>
  <c r="EW59" i="5"/>
  <c r="FB59" i="5"/>
  <c r="FC59" i="5"/>
  <c r="FD59" i="5"/>
  <c r="FE59" i="5"/>
  <c r="FF59" i="5"/>
  <c r="FG59" i="5"/>
  <c r="FH59" i="5"/>
  <c r="FI59" i="5"/>
  <c r="FL59" i="5"/>
  <c r="FM59" i="5"/>
  <c r="FN59" i="5"/>
  <c r="FO59" i="5"/>
  <c r="FP59" i="5"/>
  <c r="FQ59" i="5"/>
  <c r="FR59" i="5"/>
  <c r="FS59" i="5"/>
  <c r="FT59" i="5"/>
  <c r="FV59" i="5"/>
  <c r="FX59" i="5"/>
  <c r="FY59" i="5"/>
  <c r="FZ59" i="5"/>
  <c r="GA59" i="5"/>
  <c r="P63" i="8" s="1"/>
  <c r="GB59" i="5"/>
  <c r="GG59" i="5"/>
  <c r="GH59" i="5"/>
  <c r="GI59" i="5"/>
  <c r="GJ59" i="5"/>
  <c r="GK59" i="5"/>
  <c r="GL59" i="5"/>
  <c r="GM59" i="5"/>
  <c r="GN59" i="5"/>
  <c r="GQ59" i="5"/>
  <c r="GR59" i="5"/>
  <c r="GS59" i="5"/>
  <c r="GT59" i="5"/>
  <c r="GU59" i="5"/>
  <c r="GV59" i="5"/>
  <c r="GW59" i="5"/>
  <c r="GX59" i="5"/>
  <c r="GY59" i="5"/>
  <c r="HA59" i="5"/>
  <c r="HC59" i="5"/>
  <c r="HD59" i="5"/>
  <c r="HE59" i="5"/>
  <c r="HF59" i="5"/>
  <c r="Q63" i="8" s="1"/>
  <c r="HG59" i="5"/>
  <c r="DW60" i="5"/>
  <c r="DX60" i="5"/>
  <c r="DY60" i="5"/>
  <c r="DZ60" i="5"/>
  <c r="EA60" i="5"/>
  <c r="EB60" i="5"/>
  <c r="EC60" i="5"/>
  <c r="ED60" i="5"/>
  <c r="EG60" i="5"/>
  <c r="EH60" i="5"/>
  <c r="EI60" i="5"/>
  <c r="EJ60" i="5"/>
  <c r="EK60" i="5"/>
  <c r="EL60" i="5"/>
  <c r="EM60" i="5"/>
  <c r="EN60" i="5"/>
  <c r="EO60" i="5"/>
  <c r="EQ60" i="5"/>
  <c r="ES60" i="5"/>
  <c r="ET60" i="5"/>
  <c r="EU60" i="5"/>
  <c r="EV60" i="5"/>
  <c r="O64" i="8" s="1"/>
  <c r="EW60" i="5"/>
  <c r="FB60" i="5"/>
  <c r="FC60" i="5"/>
  <c r="FD60" i="5"/>
  <c r="FE60" i="5"/>
  <c r="FF60" i="5"/>
  <c r="FG60" i="5"/>
  <c r="FH60" i="5"/>
  <c r="FI60" i="5"/>
  <c r="FL60" i="5"/>
  <c r="FM60" i="5"/>
  <c r="FN60" i="5"/>
  <c r="FO60" i="5"/>
  <c r="FP60" i="5"/>
  <c r="FQ60" i="5"/>
  <c r="FR60" i="5"/>
  <c r="FS60" i="5"/>
  <c r="FT60" i="5"/>
  <c r="FV60" i="5"/>
  <c r="FX60" i="5"/>
  <c r="FY60" i="5"/>
  <c r="FZ60" i="5"/>
  <c r="GA60" i="5"/>
  <c r="P64" i="8" s="1"/>
  <c r="GB60" i="5"/>
  <c r="GG60" i="5"/>
  <c r="GH60" i="5"/>
  <c r="GI60" i="5"/>
  <c r="GJ60" i="5"/>
  <c r="GK60" i="5"/>
  <c r="GL60" i="5"/>
  <c r="GM60" i="5"/>
  <c r="GN60" i="5"/>
  <c r="GQ60" i="5"/>
  <c r="GR60" i="5"/>
  <c r="GS60" i="5"/>
  <c r="GT60" i="5"/>
  <c r="GU60" i="5"/>
  <c r="GV60" i="5"/>
  <c r="GW60" i="5"/>
  <c r="GX60" i="5"/>
  <c r="GY60" i="5"/>
  <c r="HA60" i="5"/>
  <c r="HC60" i="5"/>
  <c r="HD60" i="5"/>
  <c r="HE60" i="5"/>
  <c r="HF60" i="5"/>
  <c r="Q64" i="8" s="1"/>
  <c r="HG60" i="5"/>
  <c r="DW61" i="5"/>
  <c r="DX61" i="5"/>
  <c r="DY61" i="5"/>
  <c r="DZ61" i="5"/>
  <c r="EA61" i="5"/>
  <c r="EB61" i="5"/>
  <c r="EC61" i="5"/>
  <c r="ED61" i="5"/>
  <c r="EG61" i="5"/>
  <c r="EH61" i="5"/>
  <c r="EI61" i="5"/>
  <c r="EJ61" i="5"/>
  <c r="EK61" i="5"/>
  <c r="EL61" i="5"/>
  <c r="EM61" i="5"/>
  <c r="EN61" i="5"/>
  <c r="EO61" i="5"/>
  <c r="EQ61" i="5"/>
  <c r="ES61" i="5"/>
  <c r="ET61" i="5"/>
  <c r="EU61" i="5"/>
  <c r="EV61" i="5"/>
  <c r="O65" i="8" s="1"/>
  <c r="EW61" i="5"/>
  <c r="FB61" i="5"/>
  <c r="FC61" i="5"/>
  <c r="FD61" i="5"/>
  <c r="FE61" i="5"/>
  <c r="FF61" i="5"/>
  <c r="FG61" i="5"/>
  <c r="FH61" i="5"/>
  <c r="FI61" i="5"/>
  <c r="FL61" i="5"/>
  <c r="FM61" i="5"/>
  <c r="FN61" i="5"/>
  <c r="FO61" i="5"/>
  <c r="FP61" i="5"/>
  <c r="FQ61" i="5"/>
  <c r="FR61" i="5"/>
  <c r="FS61" i="5"/>
  <c r="FT61" i="5"/>
  <c r="FV61" i="5"/>
  <c r="FX61" i="5"/>
  <c r="FY61" i="5"/>
  <c r="FZ61" i="5"/>
  <c r="GA61" i="5"/>
  <c r="P65" i="8" s="1"/>
  <c r="GB61" i="5"/>
  <c r="GG61" i="5"/>
  <c r="GH61" i="5"/>
  <c r="GI61" i="5"/>
  <c r="GJ61" i="5"/>
  <c r="GK61" i="5"/>
  <c r="GL61" i="5"/>
  <c r="GM61" i="5"/>
  <c r="GN61" i="5"/>
  <c r="GQ61" i="5"/>
  <c r="GR61" i="5"/>
  <c r="GS61" i="5"/>
  <c r="GT61" i="5"/>
  <c r="GU61" i="5"/>
  <c r="GV61" i="5"/>
  <c r="GW61" i="5"/>
  <c r="GX61" i="5"/>
  <c r="GY61" i="5"/>
  <c r="HA61" i="5"/>
  <c r="HC61" i="5"/>
  <c r="HD61" i="5"/>
  <c r="HE61" i="5"/>
  <c r="HF61" i="5"/>
  <c r="Q65" i="8" s="1"/>
  <c r="HG61" i="5"/>
  <c r="DW62" i="5"/>
  <c r="DX62" i="5"/>
  <c r="DY62" i="5"/>
  <c r="DZ62" i="5"/>
  <c r="EA62" i="5"/>
  <c r="EB62" i="5"/>
  <c r="EC62" i="5"/>
  <c r="ED62" i="5"/>
  <c r="EG62" i="5"/>
  <c r="EH62" i="5"/>
  <c r="EI62" i="5"/>
  <c r="EJ62" i="5"/>
  <c r="EK62" i="5"/>
  <c r="EL62" i="5"/>
  <c r="EM62" i="5"/>
  <c r="EN62" i="5"/>
  <c r="EO62" i="5"/>
  <c r="EQ62" i="5"/>
  <c r="ES62" i="5"/>
  <c r="ET62" i="5"/>
  <c r="EU62" i="5"/>
  <c r="EV62" i="5"/>
  <c r="O66" i="8" s="1"/>
  <c r="EW62" i="5"/>
  <c r="FB62" i="5"/>
  <c r="FC62" i="5"/>
  <c r="FD62" i="5"/>
  <c r="FE62" i="5"/>
  <c r="FF62" i="5"/>
  <c r="FG62" i="5"/>
  <c r="FH62" i="5"/>
  <c r="FI62" i="5"/>
  <c r="FL62" i="5"/>
  <c r="FM62" i="5"/>
  <c r="FN62" i="5"/>
  <c r="FO62" i="5"/>
  <c r="FP62" i="5"/>
  <c r="FQ62" i="5"/>
  <c r="FR62" i="5"/>
  <c r="FS62" i="5"/>
  <c r="FT62" i="5"/>
  <c r="FV62" i="5"/>
  <c r="FX62" i="5"/>
  <c r="FY62" i="5"/>
  <c r="P66" i="8" s="1"/>
  <c r="FZ62" i="5"/>
  <c r="GA62" i="5"/>
  <c r="GB62" i="5"/>
  <c r="GG62" i="5"/>
  <c r="GH62" i="5"/>
  <c r="GI62" i="5"/>
  <c r="GJ62" i="5"/>
  <c r="GK62" i="5"/>
  <c r="GL62" i="5"/>
  <c r="GM62" i="5"/>
  <c r="GN62" i="5"/>
  <c r="GQ62" i="5"/>
  <c r="GR62" i="5"/>
  <c r="GS62" i="5"/>
  <c r="GT62" i="5"/>
  <c r="GU62" i="5"/>
  <c r="GV62" i="5"/>
  <c r="GW62" i="5"/>
  <c r="GX62" i="5"/>
  <c r="GY62" i="5"/>
  <c r="HA62" i="5"/>
  <c r="HC62" i="5"/>
  <c r="HD62" i="5"/>
  <c r="HE62" i="5"/>
  <c r="HF62" i="5"/>
  <c r="Q66" i="8" s="1"/>
  <c r="HG62" i="5"/>
  <c r="DB6" i="5"/>
  <c r="DC6" i="5"/>
  <c r="DD6" i="5"/>
  <c r="DE6" i="5"/>
  <c r="DF6" i="5"/>
  <c r="DG6" i="5"/>
  <c r="DH6" i="5"/>
  <c r="DI6" i="5"/>
  <c r="DJ6" i="5"/>
  <c r="DL6" i="5"/>
  <c r="DN6" i="5"/>
  <c r="DO6" i="5"/>
  <c r="DP6" i="5"/>
  <c r="DQ6" i="5"/>
  <c r="N10" i="8" s="1"/>
  <c r="DR6" i="5"/>
  <c r="DB7" i="5"/>
  <c r="DC7" i="5"/>
  <c r="DD7" i="5"/>
  <c r="DE7" i="5"/>
  <c r="DF7" i="5"/>
  <c r="DG7" i="5"/>
  <c r="DH7" i="5"/>
  <c r="DI7" i="5"/>
  <c r="DJ7" i="5"/>
  <c r="DL7" i="5"/>
  <c r="DN7" i="5"/>
  <c r="DO7" i="5"/>
  <c r="DP7" i="5"/>
  <c r="DQ7" i="5"/>
  <c r="N11" i="8" s="1"/>
  <c r="DR7" i="5"/>
  <c r="CR8" i="5"/>
  <c r="CS8" i="5"/>
  <c r="CT8" i="5"/>
  <c r="DB8" i="5"/>
  <c r="DC8" i="5"/>
  <c r="DD8" i="5"/>
  <c r="DE8" i="5"/>
  <c r="DF8" i="5"/>
  <c r="DG8" i="5"/>
  <c r="DH8" i="5"/>
  <c r="DI8" i="5"/>
  <c r="DJ8" i="5"/>
  <c r="DL8" i="5"/>
  <c r="DN8" i="5"/>
  <c r="DO8" i="5"/>
  <c r="DP8" i="5"/>
  <c r="DQ8" i="5"/>
  <c r="N12" i="8" s="1"/>
  <c r="DR8" i="5"/>
  <c r="DB9" i="5"/>
  <c r="DC9" i="5"/>
  <c r="DD9" i="5"/>
  <c r="DE9" i="5"/>
  <c r="DF9" i="5"/>
  <c r="DG9" i="5"/>
  <c r="DH9" i="5"/>
  <c r="DI9" i="5"/>
  <c r="DJ9" i="5"/>
  <c r="DL9" i="5"/>
  <c r="DN9" i="5"/>
  <c r="DO9" i="5"/>
  <c r="DP9" i="5"/>
  <c r="DQ9" i="5"/>
  <c r="N13" i="8" s="1"/>
  <c r="DR9" i="5"/>
  <c r="DB10" i="5"/>
  <c r="DC10" i="5"/>
  <c r="DD10" i="5"/>
  <c r="DE10" i="5"/>
  <c r="DF10" i="5"/>
  <c r="DG10" i="5"/>
  <c r="DH10" i="5"/>
  <c r="DI10" i="5"/>
  <c r="DJ10" i="5"/>
  <c r="DL10" i="5"/>
  <c r="DN10" i="5"/>
  <c r="DO10" i="5"/>
  <c r="DP10" i="5"/>
  <c r="DQ10" i="5"/>
  <c r="N14" i="8" s="1"/>
  <c r="DR10" i="5"/>
  <c r="DB11" i="5"/>
  <c r="DC11" i="5"/>
  <c r="DD11" i="5"/>
  <c r="DE11" i="5"/>
  <c r="DF11" i="5"/>
  <c r="DG11" i="5"/>
  <c r="DH11" i="5"/>
  <c r="DI11" i="5"/>
  <c r="DJ11" i="5"/>
  <c r="DL11" i="5"/>
  <c r="DN11" i="5"/>
  <c r="DO11" i="5"/>
  <c r="DP11" i="5"/>
  <c r="DQ11" i="5"/>
  <c r="N15" i="8" s="1"/>
  <c r="DR11" i="5"/>
  <c r="DB12" i="5"/>
  <c r="DC12" i="5"/>
  <c r="DD12" i="5"/>
  <c r="DE12" i="5"/>
  <c r="DF12" i="5"/>
  <c r="DG12" i="5"/>
  <c r="DH12" i="5"/>
  <c r="DI12" i="5"/>
  <c r="DJ12" i="5"/>
  <c r="DL12" i="5"/>
  <c r="DN12" i="5"/>
  <c r="DO12" i="5"/>
  <c r="DP12" i="5"/>
  <c r="DQ12" i="5"/>
  <c r="N16" i="8" s="1"/>
  <c r="DR12" i="5"/>
  <c r="DB13" i="5"/>
  <c r="DC13" i="5"/>
  <c r="DD13" i="5"/>
  <c r="DE13" i="5"/>
  <c r="DF13" i="5"/>
  <c r="DG13" i="5"/>
  <c r="DH13" i="5"/>
  <c r="DI13" i="5"/>
  <c r="DJ13" i="5"/>
  <c r="DL13" i="5"/>
  <c r="DN13" i="5"/>
  <c r="DO13" i="5"/>
  <c r="DP13" i="5"/>
  <c r="DQ13" i="5"/>
  <c r="N17" i="8" s="1"/>
  <c r="DR13" i="5"/>
  <c r="DB14" i="5"/>
  <c r="DC14" i="5"/>
  <c r="DD14" i="5"/>
  <c r="DE14" i="5"/>
  <c r="DF14" i="5"/>
  <c r="DG14" i="5"/>
  <c r="DH14" i="5"/>
  <c r="DI14" i="5"/>
  <c r="DJ14" i="5"/>
  <c r="DL14" i="5"/>
  <c r="DN14" i="5"/>
  <c r="DO14" i="5"/>
  <c r="DP14" i="5"/>
  <c r="DQ14" i="5"/>
  <c r="N18" i="8" s="1"/>
  <c r="DR14" i="5"/>
  <c r="DB15" i="5"/>
  <c r="DC15" i="5"/>
  <c r="DD15" i="5"/>
  <c r="DE15" i="5"/>
  <c r="DF15" i="5"/>
  <c r="DG15" i="5"/>
  <c r="DH15" i="5"/>
  <c r="DI15" i="5"/>
  <c r="DJ15" i="5"/>
  <c r="DL15" i="5"/>
  <c r="DN15" i="5"/>
  <c r="DO15" i="5"/>
  <c r="DP15" i="5"/>
  <c r="DQ15" i="5"/>
  <c r="N19" i="8" s="1"/>
  <c r="DR15" i="5"/>
  <c r="DB16" i="5"/>
  <c r="DC16" i="5"/>
  <c r="DD16" i="5"/>
  <c r="DE16" i="5"/>
  <c r="DF16" i="5"/>
  <c r="DG16" i="5"/>
  <c r="DH16" i="5"/>
  <c r="DI16" i="5"/>
  <c r="DJ16" i="5"/>
  <c r="DL16" i="5"/>
  <c r="DN16" i="5"/>
  <c r="DO16" i="5"/>
  <c r="DP16" i="5"/>
  <c r="DQ16" i="5"/>
  <c r="N20" i="8" s="1"/>
  <c r="DR16" i="5"/>
  <c r="DB17" i="5"/>
  <c r="DC17" i="5"/>
  <c r="DD17" i="5"/>
  <c r="DE17" i="5"/>
  <c r="DF17" i="5"/>
  <c r="DG17" i="5"/>
  <c r="DH17" i="5"/>
  <c r="DI17" i="5"/>
  <c r="DJ17" i="5"/>
  <c r="DL17" i="5"/>
  <c r="DN17" i="5"/>
  <c r="DO17" i="5"/>
  <c r="DP17" i="5"/>
  <c r="DQ17" i="5"/>
  <c r="N21" i="8" s="1"/>
  <c r="DR17" i="5"/>
  <c r="DB18" i="5"/>
  <c r="DC18" i="5"/>
  <c r="DD18" i="5"/>
  <c r="DE18" i="5"/>
  <c r="DF18" i="5"/>
  <c r="DG18" i="5"/>
  <c r="DH18" i="5"/>
  <c r="DI18" i="5"/>
  <c r="DJ18" i="5"/>
  <c r="DL18" i="5"/>
  <c r="DN18" i="5"/>
  <c r="DO18" i="5"/>
  <c r="DP18" i="5"/>
  <c r="DQ18" i="5"/>
  <c r="N22" i="8" s="1"/>
  <c r="DR18" i="5"/>
  <c r="DB19" i="5"/>
  <c r="DC19" i="5"/>
  <c r="DD19" i="5"/>
  <c r="DE19" i="5"/>
  <c r="DF19" i="5"/>
  <c r="DG19" i="5"/>
  <c r="DH19" i="5"/>
  <c r="DI19" i="5"/>
  <c r="DJ19" i="5"/>
  <c r="DL19" i="5"/>
  <c r="DN19" i="5"/>
  <c r="DO19" i="5"/>
  <c r="DP19" i="5"/>
  <c r="DQ19" i="5"/>
  <c r="N23" i="8" s="1"/>
  <c r="DR19" i="5"/>
  <c r="DB20" i="5"/>
  <c r="DC20" i="5"/>
  <c r="DD20" i="5"/>
  <c r="DE20" i="5"/>
  <c r="DF20" i="5"/>
  <c r="DG20" i="5"/>
  <c r="DH20" i="5"/>
  <c r="DI20" i="5"/>
  <c r="DJ20" i="5"/>
  <c r="DL20" i="5"/>
  <c r="DN20" i="5"/>
  <c r="DO20" i="5"/>
  <c r="DP20" i="5"/>
  <c r="DQ20" i="5"/>
  <c r="N24" i="8" s="1"/>
  <c r="DR20" i="5"/>
  <c r="DB21" i="5"/>
  <c r="DC21" i="5"/>
  <c r="DD21" i="5"/>
  <c r="DE21" i="5"/>
  <c r="DF21" i="5"/>
  <c r="DG21" i="5"/>
  <c r="DH21" i="5"/>
  <c r="DI21" i="5"/>
  <c r="DJ21" i="5"/>
  <c r="DL21" i="5"/>
  <c r="DN21" i="5"/>
  <c r="DO21" i="5"/>
  <c r="DP21" i="5"/>
  <c r="DQ21" i="5"/>
  <c r="N25" i="8" s="1"/>
  <c r="DR21" i="5"/>
  <c r="CR24" i="5"/>
  <c r="CS24" i="5"/>
  <c r="CT24" i="5"/>
  <c r="CU24" i="5"/>
  <c r="CV24" i="5"/>
  <c r="CW24" i="5"/>
  <c r="CX24" i="5"/>
  <c r="CY24" i="5"/>
  <c r="DB24" i="5"/>
  <c r="DC24" i="5"/>
  <c r="DD24" i="5"/>
  <c r="DE24" i="5"/>
  <c r="DF24" i="5"/>
  <c r="DG24" i="5"/>
  <c r="DH24" i="5"/>
  <c r="DI24" i="5"/>
  <c r="DJ24" i="5"/>
  <c r="DL24" i="5"/>
  <c r="DN24" i="5"/>
  <c r="DO24" i="5"/>
  <c r="DP24" i="5"/>
  <c r="DQ24" i="5"/>
  <c r="N28" i="8" s="1"/>
  <c r="DR24" i="5"/>
  <c r="CR25" i="5"/>
  <c r="CS25" i="5"/>
  <c r="CT25" i="5"/>
  <c r="CU25" i="5"/>
  <c r="CV25" i="5"/>
  <c r="CW25" i="5"/>
  <c r="CX25" i="5"/>
  <c r="CY25" i="5"/>
  <c r="DB25" i="5"/>
  <c r="DC25" i="5"/>
  <c r="DD25" i="5"/>
  <c r="DE25" i="5"/>
  <c r="DF25" i="5"/>
  <c r="DG25" i="5"/>
  <c r="DH25" i="5"/>
  <c r="DI25" i="5"/>
  <c r="DJ25" i="5"/>
  <c r="DL25" i="5"/>
  <c r="DN25" i="5"/>
  <c r="DO25" i="5"/>
  <c r="DP25" i="5"/>
  <c r="DQ25" i="5"/>
  <c r="N29" i="8" s="1"/>
  <c r="DR25" i="5"/>
  <c r="CR26" i="5"/>
  <c r="CS26" i="5"/>
  <c r="CT26" i="5"/>
  <c r="CU26" i="5"/>
  <c r="CV26" i="5"/>
  <c r="CW26" i="5"/>
  <c r="CX26" i="5"/>
  <c r="CY26" i="5"/>
  <c r="DB26" i="5"/>
  <c r="DC26" i="5"/>
  <c r="DD26" i="5"/>
  <c r="DE26" i="5"/>
  <c r="DF26" i="5"/>
  <c r="DG26" i="5"/>
  <c r="DH26" i="5"/>
  <c r="DI26" i="5"/>
  <c r="DJ26" i="5"/>
  <c r="DL26" i="5"/>
  <c r="DN26" i="5"/>
  <c r="DO26" i="5"/>
  <c r="DP26" i="5"/>
  <c r="DQ26" i="5"/>
  <c r="N30" i="8" s="1"/>
  <c r="DR26" i="5"/>
  <c r="CR27" i="5"/>
  <c r="CS27" i="5"/>
  <c r="CT27" i="5"/>
  <c r="CU27" i="5"/>
  <c r="CV27" i="5"/>
  <c r="CW27" i="5"/>
  <c r="CX27" i="5"/>
  <c r="CY27" i="5"/>
  <c r="DB27" i="5"/>
  <c r="DC27" i="5"/>
  <c r="DD27" i="5"/>
  <c r="DE27" i="5"/>
  <c r="DF27" i="5"/>
  <c r="DG27" i="5"/>
  <c r="DH27" i="5"/>
  <c r="DI27" i="5"/>
  <c r="DJ27" i="5"/>
  <c r="DL27" i="5"/>
  <c r="DN27" i="5"/>
  <c r="DO27" i="5"/>
  <c r="DP27" i="5"/>
  <c r="DQ27" i="5"/>
  <c r="N31" i="8" s="1"/>
  <c r="DR27" i="5"/>
  <c r="CR28" i="5"/>
  <c r="CS28" i="5"/>
  <c r="CT28" i="5"/>
  <c r="CU28" i="5"/>
  <c r="CV28" i="5"/>
  <c r="CW28" i="5"/>
  <c r="CX28" i="5"/>
  <c r="CY28" i="5"/>
  <c r="DB28" i="5"/>
  <c r="DC28" i="5"/>
  <c r="DD28" i="5"/>
  <c r="DE28" i="5"/>
  <c r="DF28" i="5"/>
  <c r="DG28" i="5"/>
  <c r="DH28" i="5"/>
  <c r="DI28" i="5"/>
  <c r="DJ28" i="5"/>
  <c r="DL28" i="5"/>
  <c r="DN28" i="5"/>
  <c r="DO28" i="5"/>
  <c r="DP28" i="5"/>
  <c r="DQ28" i="5"/>
  <c r="N32" i="8" s="1"/>
  <c r="DR28" i="5"/>
  <c r="CR29" i="5"/>
  <c r="CS29" i="5"/>
  <c r="CT29" i="5"/>
  <c r="CU29" i="5"/>
  <c r="CV29" i="5"/>
  <c r="CW29" i="5"/>
  <c r="CX29" i="5"/>
  <c r="CY29" i="5"/>
  <c r="DB29" i="5"/>
  <c r="DC29" i="5"/>
  <c r="DD29" i="5"/>
  <c r="DE29" i="5"/>
  <c r="DF29" i="5"/>
  <c r="DG29" i="5"/>
  <c r="DH29" i="5"/>
  <c r="DI29" i="5"/>
  <c r="DJ29" i="5"/>
  <c r="DL29" i="5"/>
  <c r="DN29" i="5"/>
  <c r="DO29" i="5"/>
  <c r="DP29" i="5"/>
  <c r="DQ29" i="5"/>
  <c r="N33" i="8" s="1"/>
  <c r="DR29" i="5"/>
  <c r="CR30" i="5"/>
  <c r="CS30" i="5"/>
  <c r="CT30" i="5"/>
  <c r="CU30" i="5"/>
  <c r="CV30" i="5"/>
  <c r="CW30" i="5"/>
  <c r="CX30" i="5"/>
  <c r="CY30" i="5"/>
  <c r="DB30" i="5"/>
  <c r="DC30" i="5"/>
  <c r="DD30" i="5"/>
  <c r="DE30" i="5"/>
  <c r="DF30" i="5"/>
  <c r="DG30" i="5"/>
  <c r="DH30" i="5"/>
  <c r="DI30" i="5"/>
  <c r="DJ30" i="5"/>
  <c r="DL30" i="5"/>
  <c r="DN30" i="5"/>
  <c r="DO30" i="5"/>
  <c r="DP30" i="5"/>
  <c r="DQ30" i="5"/>
  <c r="N34" i="8" s="1"/>
  <c r="DR30" i="5"/>
  <c r="CR31" i="5"/>
  <c r="CS31" i="5"/>
  <c r="CT31" i="5"/>
  <c r="CU31" i="5"/>
  <c r="CV31" i="5"/>
  <c r="CW31" i="5"/>
  <c r="CX31" i="5"/>
  <c r="CY31" i="5"/>
  <c r="DB31" i="5"/>
  <c r="DC31" i="5"/>
  <c r="DD31" i="5"/>
  <c r="DE31" i="5"/>
  <c r="DF31" i="5"/>
  <c r="DG31" i="5"/>
  <c r="DH31" i="5"/>
  <c r="DI31" i="5"/>
  <c r="DJ31" i="5"/>
  <c r="DL31" i="5"/>
  <c r="DN31" i="5"/>
  <c r="DO31" i="5"/>
  <c r="DP31" i="5"/>
  <c r="DQ31" i="5"/>
  <c r="N35" i="8" s="1"/>
  <c r="DR31" i="5"/>
  <c r="CR32" i="5"/>
  <c r="CS32" i="5"/>
  <c r="CT32" i="5"/>
  <c r="CU32" i="5"/>
  <c r="CV32" i="5"/>
  <c r="CW32" i="5"/>
  <c r="CX32" i="5"/>
  <c r="CY32" i="5"/>
  <c r="DB32" i="5"/>
  <c r="DC32" i="5"/>
  <c r="DD32" i="5"/>
  <c r="DE32" i="5"/>
  <c r="DF32" i="5"/>
  <c r="DG32" i="5"/>
  <c r="DH32" i="5"/>
  <c r="DI32" i="5"/>
  <c r="DJ32" i="5"/>
  <c r="DL32" i="5"/>
  <c r="DN32" i="5"/>
  <c r="DO32" i="5"/>
  <c r="DP32" i="5"/>
  <c r="DQ32" i="5"/>
  <c r="N36" i="8" s="1"/>
  <c r="DR32" i="5"/>
  <c r="CR33" i="5"/>
  <c r="CS33" i="5"/>
  <c r="CT33" i="5"/>
  <c r="CU33" i="5"/>
  <c r="CV33" i="5"/>
  <c r="CW33" i="5"/>
  <c r="CX33" i="5"/>
  <c r="CY33" i="5"/>
  <c r="DB33" i="5"/>
  <c r="DC33" i="5"/>
  <c r="DD33" i="5"/>
  <c r="DE33" i="5"/>
  <c r="DF33" i="5"/>
  <c r="DG33" i="5"/>
  <c r="DH33" i="5"/>
  <c r="DI33" i="5"/>
  <c r="DJ33" i="5"/>
  <c r="DL33" i="5"/>
  <c r="DN33" i="5"/>
  <c r="DO33" i="5"/>
  <c r="DP33" i="5"/>
  <c r="DQ33" i="5"/>
  <c r="N37" i="8" s="1"/>
  <c r="DR33" i="5"/>
  <c r="CR34" i="5"/>
  <c r="CS34" i="5"/>
  <c r="CT34" i="5"/>
  <c r="CU34" i="5"/>
  <c r="CV34" i="5"/>
  <c r="CW34" i="5"/>
  <c r="CX34" i="5"/>
  <c r="CY34" i="5"/>
  <c r="DB34" i="5"/>
  <c r="DC34" i="5"/>
  <c r="DD34" i="5"/>
  <c r="DE34" i="5"/>
  <c r="DF34" i="5"/>
  <c r="DG34" i="5"/>
  <c r="DH34" i="5"/>
  <c r="DI34" i="5"/>
  <c r="DJ34" i="5"/>
  <c r="DL34" i="5"/>
  <c r="DN34" i="5"/>
  <c r="DO34" i="5"/>
  <c r="DP34" i="5"/>
  <c r="DQ34" i="5"/>
  <c r="N38" i="8" s="1"/>
  <c r="DR34" i="5"/>
  <c r="CR35" i="5"/>
  <c r="CS35" i="5"/>
  <c r="CT35" i="5"/>
  <c r="CU35" i="5"/>
  <c r="CV35" i="5"/>
  <c r="CW35" i="5"/>
  <c r="CX35" i="5"/>
  <c r="CY35" i="5"/>
  <c r="DB35" i="5"/>
  <c r="DC35" i="5"/>
  <c r="DD35" i="5"/>
  <c r="DE35" i="5"/>
  <c r="DF35" i="5"/>
  <c r="DG35" i="5"/>
  <c r="DH35" i="5"/>
  <c r="DI35" i="5"/>
  <c r="DJ35" i="5"/>
  <c r="DL35" i="5"/>
  <c r="DN35" i="5"/>
  <c r="DO35" i="5"/>
  <c r="DP35" i="5"/>
  <c r="DQ35" i="5"/>
  <c r="N39" i="8" s="1"/>
  <c r="DR35" i="5"/>
  <c r="CR36" i="5"/>
  <c r="CS36" i="5"/>
  <c r="CT36" i="5"/>
  <c r="CU36" i="5"/>
  <c r="CV36" i="5"/>
  <c r="CW36" i="5"/>
  <c r="CX36" i="5"/>
  <c r="CY36" i="5"/>
  <c r="DB36" i="5"/>
  <c r="DC36" i="5"/>
  <c r="DD36" i="5"/>
  <c r="DE36" i="5"/>
  <c r="DF36" i="5"/>
  <c r="DG36" i="5"/>
  <c r="DH36" i="5"/>
  <c r="DI36" i="5"/>
  <c r="DJ36" i="5"/>
  <c r="DL36" i="5"/>
  <c r="DN36" i="5"/>
  <c r="DO36" i="5"/>
  <c r="DP36" i="5"/>
  <c r="DQ36" i="5"/>
  <c r="N40" i="8" s="1"/>
  <c r="DR36" i="5"/>
  <c r="CR39" i="5"/>
  <c r="CS39" i="5"/>
  <c r="CT39" i="5"/>
  <c r="CU39" i="5"/>
  <c r="CV39" i="5"/>
  <c r="CW39" i="5"/>
  <c r="CX39" i="5"/>
  <c r="CY39" i="5"/>
  <c r="DB39" i="5"/>
  <c r="DC39" i="5"/>
  <c r="DD39" i="5"/>
  <c r="DE39" i="5"/>
  <c r="DF39" i="5"/>
  <c r="DG39" i="5"/>
  <c r="DH39" i="5"/>
  <c r="DI39" i="5"/>
  <c r="DJ39" i="5"/>
  <c r="DL39" i="5"/>
  <c r="DN39" i="5"/>
  <c r="DO39" i="5"/>
  <c r="DP39" i="5"/>
  <c r="DQ39" i="5"/>
  <c r="N43" i="8" s="1"/>
  <c r="DR39" i="5"/>
  <c r="CR40" i="5"/>
  <c r="CS40" i="5"/>
  <c r="CT40" i="5"/>
  <c r="CU40" i="5"/>
  <c r="CV40" i="5"/>
  <c r="CW40" i="5"/>
  <c r="CX40" i="5"/>
  <c r="CY40" i="5"/>
  <c r="DB40" i="5"/>
  <c r="DC40" i="5"/>
  <c r="DD40" i="5"/>
  <c r="DE40" i="5"/>
  <c r="DF40" i="5"/>
  <c r="DG40" i="5"/>
  <c r="DH40" i="5"/>
  <c r="DI40" i="5"/>
  <c r="DJ40" i="5"/>
  <c r="DL40" i="5"/>
  <c r="DN40" i="5"/>
  <c r="DO40" i="5"/>
  <c r="DP40" i="5"/>
  <c r="DQ40" i="5"/>
  <c r="N44" i="8" s="1"/>
  <c r="DR40" i="5"/>
  <c r="CR41" i="5"/>
  <c r="CS41" i="5"/>
  <c r="CT41" i="5"/>
  <c r="CU41" i="5"/>
  <c r="CV41" i="5"/>
  <c r="CW41" i="5"/>
  <c r="CX41" i="5"/>
  <c r="CY41" i="5"/>
  <c r="DB41" i="5"/>
  <c r="DC41" i="5"/>
  <c r="DD41" i="5"/>
  <c r="DE41" i="5"/>
  <c r="DF41" i="5"/>
  <c r="DG41" i="5"/>
  <c r="DH41" i="5"/>
  <c r="DI41" i="5"/>
  <c r="DJ41" i="5"/>
  <c r="DL41" i="5"/>
  <c r="DN41" i="5"/>
  <c r="DO41" i="5"/>
  <c r="DP41" i="5"/>
  <c r="DQ41" i="5"/>
  <c r="N45" i="8" s="1"/>
  <c r="DR41" i="5"/>
  <c r="CR42" i="5"/>
  <c r="CS42" i="5"/>
  <c r="CT42" i="5"/>
  <c r="CU42" i="5"/>
  <c r="CV42" i="5"/>
  <c r="CW42" i="5"/>
  <c r="CX42" i="5"/>
  <c r="CY42" i="5"/>
  <c r="DB42" i="5"/>
  <c r="DC42" i="5"/>
  <c r="DD42" i="5"/>
  <c r="DE42" i="5"/>
  <c r="DF42" i="5"/>
  <c r="DG42" i="5"/>
  <c r="DH42" i="5"/>
  <c r="DI42" i="5"/>
  <c r="DJ42" i="5"/>
  <c r="DL42" i="5"/>
  <c r="DN42" i="5"/>
  <c r="DO42" i="5"/>
  <c r="DP42" i="5"/>
  <c r="DQ42" i="5"/>
  <c r="N46" i="8" s="1"/>
  <c r="DR42" i="5"/>
  <c r="CR43" i="5"/>
  <c r="CS43" i="5"/>
  <c r="CT43" i="5"/>
  <c r="CU43" i="5"/>
  <c r="CV43" i="5"/>
  <c r="CW43" i="5"/>
  <c r="CX43" i="5"/>
  <c r="CY43" i="5"/>
  <c r="DB43" i="5"/>
  <c r="DC43" i="5"/>
  <c r="DD43" i="5"/>
  <c r="DE43" i="5"/>
  <c r="DF43" i="5"/>
  <c r="DG43" i="5"/>
  <c r="DH43" i="5"/>
  <c r="DI43" i="5"/>
  <c r="DJ43" i="5"/>
  <c r="DL43" i="5"/>
  <c r="DN43" i="5"/>
  <c r="DO43" i="5"/>
  <c r="DP43" i="5"/>
  <c r="DQ43" i="5"/>
  <c r="N47" i="8" s="1"/>
  <c r="DR43" i="5"/>
  <c r="CR44" i="5"/>
  <c r="CS44" i="5"/>
  <c r="CT44" i="5"/>
  <c r="CU44" i="5"/>
  <c r="CV44" i="5"/>
  <c r="CW44" i="5"/>
  <c r="CX44" i="5"/>
  <c r="CY44" i="5"/>
  <c r="DB44" i="5"/>
  <c r="DC44" i="5"/>
  <c r="DD44" i="5"/>
  <c r="DE44" i="5"/>
  <c r="DF44" i="5"/>
  <c r="DG44" i="5"/>
  <c r="DH44" i="5"/>
  <c r="DI44" i="5"/>
  <c r="DJ44" i="5"/>
  <c r="DL44" i="5"/>
  <c r="DN44" i="5"/>
  <c r="DO44" i="5"/>
  <c r="DP44" i="5"/>
  <c r="DQ44" i="5"/>
  <c r="N48" i="8" s="1"/>
  <c r="DR44" i="5"/>
  <c r="CR45" i="5"/>
  <c r="CS45" i="5"/>
  <c r="CT45" i="5"/>
  <c r="CU45" i="5"/>
  <c r="CV45" i="5"/>
  <c r="CW45" i="5"/>
  <c r="CX45" i="5"/>
  <c r="CY45" i="5"/>
  <c r="DB45" i="5"/>
  <c r="DC45" i="5"/>
  <c r="DD45" i="5"/>
  <c r="DE45" i="5"/>
  <c r="DF45" i="5"/>
  <c r="DG45" i="5"/>
  <c r="DH45" i="5"/>
  <c r="DI45" i="5"/>
  <c r="DJ45" i="5"/>
  <c r="DL45" i="5"/>
  <c r="DN45" i="5"/>
  <c r="DO45" i="5"/>
  <c r="DP45" i="5"/>
  <c r="DQ45" i="5"/>
  <c r="N49" i="8" s="1"/>
  <c r="DR45" i="5"/>
  <c r="CR46" i="5"/>
  <c r="CS46" i="5"/>
  <c r="CT46" i="5"/>
  <c r="CU46" i="5"/>
  <c r="CV46" i="5"/>
  <c r="CW46" i="5"/>
  <c r="CX46" i="5"/>
  <c r="CY46" i="5"/>
  <c r="DB46" i="5"/>
  <c r="DC46" i="5"/>
  <c r="DD46" i="5"/>
  <c r="DE46" i="5"/>
  <c r="DF46" i="5"/>
  <c r="DG46" i="5"/>
  <c r="DH46" i="5"/>
  <c r="DI46" i="5"/>
  <c r="DJ46" i="5"/>
  <c r="DL46" i="5"/>
  <c r="DN46" i="5"/>
  <c r="DO46" i="5"/>
  <c r="DP46" i="5"/>
  <c r="DQ46" i="5"/>
  <c r="N50" i="8" s="1"/>
  <c r="DR46" i="5"/>
  <c r="CR47" i="5"/>
  <c r="CS47" i="5"/>
  <c r="CT47" i="5"/>
  <c r="CU47" i="5"/>
  <c r="CV47" i="5"/>
  <c r="CW47" i="5"/>
  <c r="CX47" i="5"/>
  <c r="CY47" i="5"/>
  <c r="DB47" i="5"/>
  <c r="DC47" i="5"/>
  <c r="DD47" i="5"/>
  <c r="DE47" i="5"/>
  <c r="DF47" i="5"/>
  <c r="DG47" i="5"/>
  <c r="DH47" i="5"/>
  <c r="DI47" i="5"/>
  <c r="DJ47" i="5"/>
  <c r="DL47" i="5"/>
  <c r="DN47" i="5"/>
  <c r="DO47" i="5"/>
  <c r="DP47" i="5"/>
  <c r="DQ47" i="5"/>
  <c r="N51" i="8" s="1"/>
  <c r="DR47" i="5"/>
  <c r="CR48" i="5"/>
  <c r="CS48" i="5"/>
  <c r="CT48" i="5"/>
  <c r="CU48" i="5"/>
  <c r="CV48" i="5"/>
  <c r="CW48" i="5"/>
  <c r="CX48" i="5"/>
  <c r="CY48" i="5"/>
  <c r="DB48" i="5"/>
  <c r="DC48" i="5"/>
  <c r="DD48" i="5"/>
  <c r="DE48" i="5"/>
  <c r="DF48" i="5"/>
  <c r="DG48" i="5"/>
  <c r="DH48" i="5"/>
  <c r="DI48" i="5"/>
  <c r="DJ48" i="5"/>
  <c r="DL48" i="5"/>
  <c r="DN48" i="5"/>
  <c r="DO48" i="5"/>
  <c r="DP48" i="5"/>
  <c r="DQ48" i="5"/>
  <c r="N52" i="8" s="1"/>
  <c r="DR48" i="5"/>
  <c r="CR49" i="5"/>
  <c r="CS49" i="5"/>
  <c r="CT49" i="5"/>
  <c r="CU49" i="5"/>
  <c r="CV49" i="5"/>
  <c r="CW49" i="5"/>
  <c r="CX49" i="5"/>
  <c r="CY49" i="5"/>
  <c r="DB49" i="5"/>
  <c r="DC49" i="5"/>
  <c r="DD49" i="5"/>
  <c r="DE49" i="5"/>
  <c r="DF49" i="5"/>
  <c r="DG49" i="5"/>
  <c r="DH49" i="5"/>
  <c r="DI49" i="5"/>
  <c r="DJ49" i="5"/>
  <c r="DL49" i="5"/>
  <c r="DN49" i="5"/>
  <c r="DO49" i="5"/>
  <c r="DP49" i="5"/>
  <c r="DQ49" i="5"/>
  <c r="N53" i="8" s="1"/>
  <c r="DR49" i="5"/>
  <c r="CR50" i="5"/>
  <c r="CS50" i="5"/>
  <c r="CT50" i="5"/>
  <c r="CU50" i="5"/>
  <c r="CV50" i="5"/>
  <c r="CW50" i="5"/>
  <c r="CX50" i="5"/>
  <c r="CY50" i="5"/>
  <c r="DB50" i="5"/>
  <c r="DC50" i="5"/>
  <c r="DD50" i="5"/>
  <c r="DE50" i="5"/>
  <c r="DF50" i="5"/>
  <c r="DG50" i="5"/>
  <c r="DH50" i="5"/>
  <c r="DI50" i="5"/>
  <c r="DJ50" i="5"/>
  <c r="DL50" i="5"/>
  <c r="DN50" i="5"/>
  <c r="DO50" i="5"/>
  <c r="DP50" i="5"/>
  <c r="DQ50" i="5"/>
  <c r="N54" i="8" s="1"/>
  <c r="DR50" i="5"/>
  <c r="CR53" i="5"/>
  <c r="CS53" i="5"/>
  <c r="CT53" i="5"/>
  <c r="CU53" i="5"/>
  <c r="CV53" i="5"/>
  <c r="CW53" i="5"/>
  <c r="CX53" i="5"/>
  <c r="CY53" i="5"/>
  <c r="DB53" i="5"/>
  <c r="DC53" i="5"/>
  <c r="DD53" i="5"/>
  <c r="DE53" i="5"/>
  <c r="DF53" i="5"/>
  <c r="DG53" i="5"/>
  <c r="DH53" i="5"/>
  <c r="DI53" i="5"/>
  <c r="DJ53" i="5"/>
  <c r="DL53" i="5"/>
  <c r="DN53" i="5"/>
  <c r="DO53" i="5"/>
  <c r="DP53" i="5"/>
  <c r="DQ53" i="5"/>
  <c r="N57" i="8" s="1"/>
  <c r="DR53" i="5"/>
  <c r="CR54" i="5"/>
  <c r="CS54" i="5"/>
  <c r="CT54" i="5"/>
  <c r="CU54" i="5"/>
  <c r="CV54" i="5"/>
  <c r="CW54" i="5"/>
  <c r="CX54" i="5"/>
  <c r="CY54" i="5"/>
  <c r="DB54" i="5"/>
  <c r="DC54" i="5"/>
  <c r="DD54" i="5"/>
  <c r="DE54" i="5"/>
  <c r="DF54" i="5"/>
  <c r="DG54" i="5"/>
  <c r="DH54" i="5"/>
  <c r="DI54" i="5"/>
  <c r="DJ54" i="5"/>
  <c r="DL54" i="5"/>
  <c r="DN54" i="5"/>
  <c r="DO54" i="5"/>
  <c r="DP54" i="5"/>
  <c r="DQ54" i="5"/>
  <c r="N58" i="8" s="1"/>
  <c r="DR54" i="5"/>
  <c r="CR55" i="5"/>
  <c r="CS55" i="5"/>
  <c r="CT55" i="5"/>
  <c r="CU55" i="5"/>
  <c r="CV55" i="5"/>
  <c r="CW55" i="5"/>
  <c r="CX55" i="5"/>
  <c r="CY55" i="5"/>
  <c r="DB55" i="5"/>
  <c r="DC55" i="5"/>
  <c r="DD55" i="5"/>
  <c r="DE55" i="5"/>
  <c r="DF55" i="5"/>
  <c r="DG55" i="5"/>
  <c r="DH55" i="5"/>
  <c r="DI55" i="5"/>
  <c r="DJ55" i="5"/>
  <c r="DL55" i="5"/>
  <c r="DN55" i="5"/>
  <c r="DO55" i="5"/>
  <c r="DP55" i="5"/>
  <c r="DQ55" i="5"/>
  <c r="N59" i="8" s="1"/>
  <c r="DR55" i="5"/>
  <c r="CR56" i="5"/>
  <c r="CS56" i="5"/>
  <c r="CT56" i="5"/>
  <c r="CU56" i="5"/>
  <c r="CV56" i="5"/>
  <c r="CW56" i="5"/>
  <c r="CX56" i="5"/>
  <c r="CY56" i="5"/>
  <c r="DB56" i="5"/>
  <c r="DC56" i="5"/>
  <c r="DD56" i="5"/>
  <c r="DE56" i="5"/>
  <c r="DF56" i="5"/>
  <c r="DG56" i="5"/>
  <c r="DH56" i="5"/>
  <c r="DI56" i="5"/>
  <c r="DJ56" i="5"/>
  <c r="DL56" i="5"/>
  <c r="DN56" i="5"/>
  <c r="DO56" i="5"/>
  <c r="DP56" i="5"/>
  <c r="DQ56" i="5"/>
  <c r="N60" i="8" s="1"/>
  <c r="DR56" i="5"/>
  <c r="CR57" i="5"/>
  <c r="CS57" i="5"/>
  <c r="CT57" i="5"/>
  <c r="CU57" i="5"/>
  <c r="CV57" i="5"/>
  <c r="CW57" i="5"/>
  <c r="CX57" i="5"/>
  <c r="CY57" i="5"/>
  <c r="DB57" i="5"/>
  <c r="DC57" i="5"/>
  <c r="DD57" i="5"/>
  <c r="DE57" i="5"/>
  <c r="DF57" i="5"/>
  <c r="DG57" i="5"/>
  <c r="DH57" i="5"/>
  <c r="DI57" i="5"/>
  <c r="DJ57" i="5"/>
  <c r="DL57" i="5"/>
  <c r="DN57" i="5"/>
  <c r="DO57" i="5"/>
  <c r="DP57" i="5"/>
  <c r="DQ57" i="5"/>
  <c r="N61" i="8" s="1"/>
  <c r="DR57" i="5"/>
  <c r="CR58" i="5"/>
  <c r="CS58" i="5"/>
  <c r="CT58" i="5"/>
  <c r="CU58" i="5"/>
  <c r="CV58" i="5"/>
  <c r="CW58" i="5"/>
  <c r="CX58" i="5"/>
  <c r="CY58" i="5"/>
  <c r="DB58" i="5"/>
  <c r="DC58" i="5"/>
  <c r="DD58" i="5"/>
  <c r="DE58" i="5"/>
  <c r="DF58" i="5"/>
  <c r="DG58" i="5"/>
  <c r="DH58" i="5"/>
  <c r="DI58" i="5"/>
  <c r="DJ58" i="5"/>
  <c r="DL58" i="5"/>
  <c r="DN58" i="5"/>
  <c r="DO58" i="5"/>
  <c r="DP58" i="5"/>
  <c r="DQ58" i="5"/>
  <c r="N62" i="8" s="1"/>
  <c r="DR58" i="5"/>
  <c r="CR59" i="5"/>
  <c r="CS59" i="5"/>
  <c r="CT59" i="5"/>
  <c r="CU59" i="5"/>
  <c r="CV59" i="5"/>
  <c r="CW59" i="5"/>
  <c r="CX59" i="5"/>
  <c r="CY59" i="5"/>
  <c r="DB59" i="5"/>
  <c r="DC59" i="5"/>
  <c r="DD59" i="5"/>
  <c r="DE59" i="5"/>
  <c r="DF59" i="5"/>
  <c r="DG59" i="5"/>
  <c r="DH59" i="5"/>
  <c r="DI59" i="5"/>
  <c r="DJ59" i="5"/>
  <c r="DL59" i="5"/>
  <c r="DN59" i="5"/>
  <c r="DO59" i="5"/>
  <c r="DP59" i="5"/>
  <c r="DQ59" i="5"/>
  <c r="N63" i="8" s="1"/>
  <c r="DR59" i="5"/>
  <c r="CR60" i="5"/>
  <c r="CS60" i="5"/>
  <c r="CT60" i="5"/>
  <c r="CU60" i="5"/>
  <c r="CV60" i="5"/>
  <c r="CW60" i="5"/>
  <c r="CX60" i="5"/>
  <c r="CY60" i="5"/>
  <c r="DB60" i="5"/>
  <c r="DC60" i="5"/>
  <c r="DD60" i="5"/>
  <c r="DE60" i="5"/>
  <c r="DF60" i="5"/>
  <c r="DG60" i="5"/>
  <c r="DH60" i="5"/>
  <c r="DI60" i="5"/>
  <c r="DJ60" i="5"/>
  <c r="DL60" i="5"/>
  <c r="DN60" i="5"/>
  <c r="DO60" i="5"/>
  <c r="DP60" i="5"/>
  <c r="DQ60" i="5"/>
  <c r="N64" i="8" s="1"/>
  <c r="DR60" i="5"/>
  <c r="CR61" i="5"/>
  <c r="CS61" i="5"/>
  <c r="CT61" i="5"/>
  <c r="CU61" i="5"/>
  <c r="CV61" i="5"/>
  <c r="CW61" i="5"/>
  <c r="CX61" i="5"/>
  <c r="CY61" i="5"/>
  <c r="DB61" i="5"/>
  <c r="DC61" i="5"/>
  <c r="DD61" i="5"/>
  <c r="DE61" i="5"/>
  <c r="DF61" i="5"/>
  <c r="DG61" i="5"/>
  <c r="DH61" i="5"/>
  <c r="DI61" i="5"/>
  <c r="DJ61" i="5"/>
  <c r="DL61" i="5"/>
  <c r="DN61" i="5"/>
  <c r="DO61" i="5"/>
  <c r="DP61" i="5"/>
  <c r="DQ61" i="5"/>
  <c r="N65" i="8" s="1"/>
  <c r="DR61" i="5"/>
  <c r="CR62" i="5"/>
  <c r="CS62" i="5"/>
  <c r="CT62" i="5"/>
  <c r="CU62" i="5"/>
  <c r="CV62" i="5"/>
  <c r="CW62" i="5"/>
  <c r="CX62" i="5"/>
  <c r="CY62" i="5"/>
  <c r="DB62" i="5"/>
  <c r="DC62" i="5"/>
  <c r="DD62" i="5"/>
  <c r="DE62" i="5"/>
  <c r="DF62" i="5"/>
  <c r="DG62" i="5"/>
  <c r="DH62" i="5"/>
  <c r="DI62" i="5"/>
  <c r="DJ62" i="5"/>
  <c r="DL62" i="5"/>
  <c r="DN62" i="5"/>
  <c r="DO62" i="5"/>
  <c r="DP62" i="5"/>
  <c r="DQ62" i="5"/>
  <c r="N66" i="8" s="1"/>
  <c r="DR62" i="5"/>
  <c r="BW6" i="5"/>
  <c r="BX6" i="5"/>
  <c r="BY6" i="5"/>
  <c r="BZ6" i="5"/>
  <c r="CA6" i="5"/>
  <c r="CB6" i="5"/>
  <c r="CC6" i="5"/>
  <c r="CD6" i="5"/>
  <c r="CE6" i="5"/>
  <c r="CG6" i="5"/>
  <c r="CI6" i="5"/>
  <c r="CJ6" i="5"/>
  <c r="CK6" i="5"/>
  <c r="CL6" i="5"/>
  <c r="M10" i="8" s="1"/>
  <c r="CM6" i="5"/>
  <c r="BW7" i="5"/>
  <c r="BX7" i="5"/>
  <c r="BY7" i="5"/>
  <c r="BZ7" i="5"/>
  <c r="CA7" i="5"/>
  <c r="CB7" i="5"/>
  <c r="CC7" i="5"/>
  <c r="CD7" i="5"/>
  <c r="CE7" i="5"/>
  <c r="CG7" i="5"/>
  <c r="CI7" i="5"/>
  <c r="CJ7" i="5"/>
  <c r="CK7" i="5"/>
  <c r="CL7" i="5"/>
  <c r="M11" i="8" s="1"/>
  <c r="CM7" i="5"/>
  <c r="BM8" i="5"/>
  <c r="BN8" i="5"/>
  <c r="BO8" i="5"/>
  <c r="BW8" i="5"/>
  <c r="BX8" i="5"/>
  <c r="BY8" i="5"/>
  <c r="BZ8" i="5"/>
  <c r="CA8" i="5"/>
  <c r="CB8" i="5"/>
  <c r="CC8" i="5"/>
  <c r="CD8" i="5"/>
  <c r="CE8" i="5"/>
  <c r="CG8" i="5"/>
  <c r="CI8" i="5"/>
  <c r="CJ8" i="5"/>
  <c r="CK8" i="5"/>
  <c r="CL8" i="5"/>
  <c r="M12" i="8" s="1"/>
  <c r="CM8" i="5"/>
  <c r="BW9" i="5"/>
  <c r="BX9" i="5"/>
  <c r="BY9" i="5"/>
  <c r="BZ9" i="5"/>
  <c r="CA9" i="5"/>
  <c r="CB9" i="5"/>
  <c r="CC9" i="5"/>
  <c r="CD9" i="5"/>
  <c r="CE9" i="5"/>
  <c r="CG9" i="5"/>
  <c r="CI9" i="5"/>
  <c r="CJ9" i="5"/>
  <c r="CK9" i="5"/>
  <c r="CL9" i="5"/>
  <c r="M13" i="8" s="1"/>
  <c r="CM9" i="5"/>
  <c r="BW10" i="5"/>
  <c r="BX10" i="5"/>
  <c r="BY10" i="5"/>
  <c r="BZ10" i="5"/>
  <c r="CA10" i="5"/>
  <c r="CB10" i="5"/>
  <c r="CC10" i="5"/>
  <c r="CD10" i="5"/>
  <c r="CE10" i="5"/>
  <c r="CG10" i="5"/>
  <c r="CI10" i="5"/>
  <c r="CJ10" i="5"/>
  <c r="CK10" i="5"/>
  <c r="CL10" i="5"/>
  <c r="M14" i="8" s="1"/>
  <c r="CM10" i="5"/>
  <c r="BW11" i="5"/>
  <c r="BX11" i="5"/>
  <c r="BY11" i="5"/>
  <c r="BZ11" i="5"/>
  <c r="CA11" i="5"/>
  <c r="CB11" i="5"/>
  <c r="CC11" i="5"/>
  <c r="CD11" i="5"/>
  <c r="CE11" i="5"/>
  <c r="CG11" i="5"/>
  <c r="CI11" i="5"/>
  <c r="CJ11" i="5"/>
  <c r="CK11" i="5"/>
  <c r="CL11" i="5"/>
  <c r="M15" i="8" s="1"/>
  <c r="CM11" i="5"/>
  <c r="BW12" i="5"/>
  <c r="BX12" i="5"/>
  <c r="BY12" i="5"/>
  <c r="BZ12" i="5"/>
  <c r="CA12" i="5"/>
  <c r="CB12" i="5"/>
  <c r="CC12" i="5"/>
  <c r="CD12" i="5"/>
  <c r="CE12" i="5"/>
  <c r="CG12" i="5"/>
  <c r="CI12" i="5"/>
  <c r="CJ12" i="5"/>
  <c r="CK12" i="5"/>
  <c r="CL12" i="5"/>
  <c r="M16" i="8" s="1"/>
  <c r="CM12" i="5"/>
  <c r="BW13" i="5"/>
  <c r="BX13" i="5"/>
  <c r="BY13" i="5"/>
  <c r="BZ13" i="5"/>
  <c r="CA13" i="5"/>
  <c r="CB13" i="5"/>
  <c r="CC13" i="5"/>
  <c r="CD13" i="5"/>
  <c r="CE13" i="5"/>
  <c r="CG13" i="5"/>
  <c r="CI13" i="5"/>
  <c r="CJ13" i="5"/>
  <c r="CK13" i="5"/>
  <c r="CL13" i="5"/>
  <c r="M17" i="8" s="1"/>
  <c r="CM13" i="5"/>
  <c r="BW14" i="5"/>
  <c r="BX14" i="5"/>
  <c r="BY14" i="5"/>
  <c r="BZ14" i="5"/>
  <c r="CA14" i="5"/>
  <c r="CB14" i="5"/>
  <c r="CC14" i="5"/>
  <c r="CD14" i="5"/>
  <c r="CE14" i="5"/>
  <c r="CG14" i="5"/>
  <c r="CI14" i="5"/>
  <c r="CJ14" i="5"/>
  <c r="CK14" i="5"/>
  <c r="CL14" i="5"/>
  <c r="M18" i="8" s="1"/>
  <c r="CM14" i="5"/>
  <c r="BW15" i="5"/>
  <c r="BX15" i="5"/>
  <c r="BY15" i="5"/>
  <c r="BZ15" i="5"/>
  <c r="CA15" i="5"/>
  <c r="CB15" i="5"/>
  <c r="CC15" i="5"/>
  <c r="CD15" i="5"/>
  <c r="CE15" i="5"/>
  <c r="CG15" i="5"/>
  <c r="CI15" i="5"/>
  <c r="CJ15" i="5"/>
  <c r="CK15" i="5"/>
  <c r="CL15" i="5"/>
  <c r="M19" i="8" s="1"/>
  <c r="CM15" i="5"/>
  <c r="BW16" i="5"/>
  <c r="BX16" i="5"/>
  <c r="BY16" i="5"/>
  <c r="BZ16" i="5"/>
  <c r="CA16" i="5"/>
  <c r="CB16" i="5"/>
  <c r="CC16" i="5"/>
  <c r="CD16" i="5"/>
  <c r="CE16" i="5"/>
  <c r="CG16" i="5"/>
  <c r="CI16" i="5"/>
  <c r="CJ16" i="5"/>
  <c r="CK16" i="5"/>
  <c r="CL16" i="5"/>
  <c r="M20" i="8" s="1"/>
  <c r="CM16" i="5"/>
  <c r="BW17" i="5"/>
  <c r="BX17" i="5"/>
  <c r="BY17" i="5"/>
  <c r="BZ17" i="5"/>
  <c r="CA17" i="5"/>
  <c r="CB17" i="5"/>
  <c r="CC17" i="5"/>
  <c r="CD17" i="5"/>
  <c r="CE17" i="5"/>
  <c r="CG17" i="5"/>
  <c r="CI17" i="5"/>
  <c r="CJ17" i="5"/>
  <c r="CK17" i="5"/>
  <c r="CL17" i="5"/>
  <c r="M21" i="8" s="1"/>
  <c r="CM17" i="5"/>
  <c r="BW18" i="5"/>
  <c r="BX18" i="5"/>
  <c r="BY18" i="5"/>
  <c r="BZ18" i="5"/>
  <c r="CA18" i="5"/>
  <c r="CB18" i="5"/>
  <c r="CC18" i="5"/>
  <c r="CD18" i="5"/>
  <c r="CE18" i="5"/>
  <c r="CG18" i="5"/>
  <c r="CI18" i="5"/>
  <c r="CJ18" i="5"/>
  <c r="CK18" i="5"/>
  <c r="CL18" i="5"/>
  <c r="M22" i="8" s="1"/>
  <c r="CM18" i="5"/>
  <c r="BW19" i="5"/>
  <c r="BX19" i="5"/>
  <c r="BY19" i="5"/>
  <c r="BZ19" i="5"/>
  <c r="CA19" i="5"/>
  <c r="CB19" i="5"/>
  <c r="CC19" i="5"/>
  <c r="CD19" i="5"/>
  <c r="CE19" i="5"/>
  <c r="CG19" i="5"/>
  <c r="CI19" i="5"/>
  <c r="CJ19" i="5"/>
  <c r="CK19" i="5"/>
  <c r="CL19" i="5"/>
  <c r="M23" i="8" s="1"/>
  <c r="CM19" i="5"/>
  <c r="BW20" i="5"/>
  <c r="BX20" i="5"/>
  <c r="BY20" i="5"/>
  <c r="BZ20" i="5"/>
  <c r="CA20" i="5"/>
  <c r="CB20" i="5"/>
  <c r="CC20" i="5"/>
  <c r="CD20" i="5"/>
  <c r="CE20" i="5"/>
  <c r="CG20" i="5"/>
  <c r="CI20" i="5"/>
  <c r="CJ20" i="5"/>
  <c r="CK20" i="5"/>
  <c r="CL20" i="5"/>
  <c r="M24" i="8" s="1"/>
  <c r="CM20" i="5"/>
  <c r="BW21" i="5"/>
  <c r="BX21" i="5"/>
  <c r="BY21" i="5"/>
  <c r="BZ21" i="5"/>
  <c r="CA21" i="5"/>
  <c r="CB21" i="5"/>
  <c r="CC21" i="5"/>
  <c r="CD21" i="5"/>
  <c r="CE21" i="5"/>
  <c r="CG21" i="5"/>
  <c r="CI21" i="5"/>
  <c r="CJ21" i="5"/>
  <c r="CK21" i="5"/>
  <c r="CL21" i="5"/>
  <c r="M25" i="8" s="1"/>
  <c r="CM21" i="5"/>
  <c r="BM24" i="5"/>
  <c r="BN24" i="5"/>
  <c r="BO24" i="5"/>
  <c r="BP24" i="5"/>
  <c r="BQ24" i="5"/>
  <c r="BR24" i="5"/>
  <c r="BS24" i="5"/>
  <c r="BT24" i="5"/>
  <c r="BW24" i="5"/>
  <c r="BX24" i="5"/>
  <c r="BY24" i="5"/>
  <c r="BZ24" i="5"/>
  <c r="CA24" i="5"/>
  <c r="CB24" i="5"/>
  <c r="CC24" i="5"/>
  <c r="CD24" i="5"/>
  <c r="CE24" i="5"/>
  <c r="CG24" i="5"/>
  <c r="CI24" i="5"/>
  <c r="CJ24" i="5"/>
  <c r="CK24" i="5"/>
  <c r="CL24" i="5"/>
  <c r="M28" i="8" s="1"/>
  <c r="CM24" i="5"/>
  <c r="BM25" i="5"/>
  <c r="BN25" i="5"/>
  <c r="BO25" i="5"/>
  <c r="BP25" i="5"/>
  <c r="BQ25" i="5"/>
  <c r="BR25" i="5"/>
  <c r="BS25" i="5"/>
  <c r="BT25" i="5"/>
  <c r="BW25" i="5"/>
  <c r="BX25" i="5"/>
  <c r="BY25" i="5"/>
  <c r="BZ25" i="5"/>
  <c r="CA25" i="5"/>
  <c r="CB25" i="5"/>
  <c r="CC25" i="5"/>
  <c r="CD25" i="5"/>
  <c r="CE25" i="5"/>
  <c r="CG25" i="5"/>
  <c r="CI25" i="5"/>
  <c r="CJ25" i="5"/>
  <c r="CK25" i="5"/>
  <c r="CL25" i="5"/>
  <c r="M29" i="8" s="1"/>
  <c r="CM25" i="5"/>
  <c r="BM26" i="5"/>
  <c r="BN26" i="5"/>
  <c r="BO26" i="5"/>
  <c r="BP26" i="5"/>
  <c r="BQ26" i="5"/>
  <c r="BR26" i="5"/>
  <c r="BS26" i="5"/>
  <c r="BT26" i="5"/>
  <c r="BW26" i="5"/>
  <c r="BX26" i="5"/>
  <c r="BY26" i="5"/>
  <c r="BZ26" i="5"/>
  <c r="CA26" i="5"/>
  <c r="CB26" i="5"/>
  <c r="CC26" i="5"/>
  <c r="CD26" i="5"/>
  <c r="CE26" i="5"/>
  <c r="CG26" i="5"/>
  <c r="CI26" i="5"/>
  <c r="CJ26" i="5"/>
  <c r="CK26" i="5"/>
  <c r="CL26" i="5"/>
  <c r="M30" i="8" s="1"/>
  <c r="CM26" i="5"/>
  <c r="BM27" i="5"/>
  <c r="BN27" i="5"/>
  <c r="BO27" i="5"/>
  <c r="BP27" i="5"/>
  <c r="BQ27" i="5"/>
  <c r="BR27" i="5"/>
  <c r="BS27" i="5"/>
  <c r="BT27" i="5"/>
  <c r="BW27" i="5"/>
  <c r="BX27" i="5"/>
  <c r="BY27" i="5"/>
  <c r="BZ27" i="5"/>
  <c r="CA27" i="5"/>
  <c r="CB27" i="5"/>
  <c r="CC27" i="5"/>
  <c r="CD27" i="5"/>
  <c r="CE27" i="5"/>
  <c r="CG27" i="5"/>
  <c r="CI27" i="5"/>
  <c r="CJ27" i="5"/>
  <c r="CK27" i="5"/>
  <c r="CL27" i="5"/>
  <c r="M31" i="8" s="1"/>
  <c r="CM27" i="5"/>
  <c r="BM28" i="5"/>
  <c r="BN28" i="5"/>
  <c r="BO28" i="5"/>
  <c r="BP28" i="5"/>
  <c r="BQ28" i="5"/>
  <c r="BR28" i="5"/>
  <c r="BS28" i="5"/>
  <c r="BT28" i="5"/>
  <c r="BW28" i="5"/>
  <c r="BX28" i="5"/>
  <c r="BY28" i="5"/>
  <c r="BZ28" i="5"/>
  <c r="CA28" i="5"/>
  <c r="CB28" i="5"/>
  <c r="CC28" i="5"/>
  <c r="CD28" i="5"/>
  <c r="CE28" i="5"/>
  <c r="CG28" i="5"/>
  <c r="CI28" i="5"/>
  <c r="CJ28" i="5"/>
  <c r="CK28" i="5"/>
  <c r="CL28" i="5"/>
  <c r="M32" i="8" s="1"/>
  <c r="CM28" i="5"/>
  <c r="BM29" i="5"/>
  <c r="BN29" i="5"/>
  <c r="BO29" i="5"/>
  <c r="BP29" i="5"/>
  <c r="BQ29" i="5"/>
  <c r="BR29" i="5"/>
  <c r="BS29" i="5"/>
  <c r="BT29" i="5"/>
  <c r="BW29" i="5"/>
  <c r="BX29" i="5"/>
  <c r="BY29" i="5"/>
  <c r="BZ29" i="5"/>
  <c r="CA29" i="5"/>
  <c r="CB29" i="5"/>
  <c r="CC29" i="5"/>
  <c r="CD29" i="5"/>
  <c r="CE29" i="5"/>
  <c r="CG29" i="5"/>
  <c r="CI29" i="5"/>
  <c r="CJ29" i="5"/>
  <c r="CK29" i="5"/>
  <c r="CL29" i="5"/>
  <c r="M33" i="8" s="1"/>
  <c r="CM29" i="5"/>
  <c r="BM30" i="5"/>
  <c r="BN30" i="5"/>
  <c r="BO30" i="5"/>
  <c r="BP30" i="5"/>
  <c r="BQ30" i="5"/>
  <c r="BR30" i="5"/>
  <c r="BS30" i="5"/>
  <c r="BT30" i="5"/>
  <c r="BW30" i="5"/>
  <c r="BX30" i="5"/>
  <c r="BY30" i="5"/>
  <c r="BZ30" i="5"/>
  <c r="CA30" i="5"/>
  <c r="CB30" i="5"/>
  <c r="CC30" i="5"/>
  <c r="CD30" i="5"/>
  <c r="CE30" i="5"/>
  <c r="CG30" i="5"/>
  <c r="CI30" i="5"/>
  <c r="CJ30" i="5"/>
  <c r="CK30" i="5"/>
  <c r="CL30" i="5"/>
  <c r="M34" i="8" s="1"/>
  <c r="CM30" i="5"/>
  <c r="BM31" i="5"/>
  <c r="BN31" i="5"/>
  <c r="BO31" i="5"/>
  <c r="BP31" i="5"/>
  <c r="BQ31" i="5"/>
  <c r="BR31" i="5"/>
  <c r="BS31" i="5"/>
  <c r="BT31" i="5"/>
  <c r="BW31" i="5"/>
  <c r="BX31" i="5"/>
  <c r="BY31" i="5"/>
  <c r="BZ31" i="5"/>
  <c r="CA31" i="5"/>
  <c r="CB31" i="5"/>
  <c r="CC31" i="5"/>
  <c r="CD31" i="5"/>
  <c r="CE31" i="5"/>
  <c r="CG31" i="5"/>
  <c r="CI31" i="5"/>
  <c r="CJ31" i="5"/>
  <c r="CK31" i="5"/>
  <c r="CL31" i="5"/>
  <c r="M35" i="8" s="1"/>
  <c r="CM31" i="5"/>
  <c r="BM32" i="5"/>
  <c r="BN32" i="5"/>
  <c r="BO32" i="5"/>
  <c r="BP32" i="5"/>
  <c r="BQ32" i="5"/>
  <c r="BR32" i="5"/>
  <c r="BS32" i="5"/>
  <c r="BT32" i="5"/>
  <c r="BW32" i="5"/>
  <c r="BX32" i="5"/>
  <c r="BY32" i="5"/>
  <c r="BZ32" i="5"/>
  <c r="CA32" i="5"/>
  <c r="CB32" i="5"/>
  <c r="CC32" i="5"/>
  <c r="CD32" i="5"/>
  <c r="CE32" i="5"/>
  <c r="CG32" i="5"/>
  <c r="CI32" i="5"/>
  <c r="CJ32" i="5"/>
  <c r="CK32" i="5"/>
  <c r="CL32" i="5"/>
  <c r="M36" i="8" s="1"/>
  <c r="CM32" i="5"/>
  <c r="BM33" i="5"/>
  <c r="BN33" i="5"/>
  <c r="BO33" i="5"/>
  <c r="BP33" i="5"/>
  <c r="BQ33" i="5"/>
  <c r="BR33" i="5"/>
  <c r="BS33" i="5"/>
  <c r="BT33" i="5"/>
  <c r="BW33" i="5"/>
  <c r="BX33" i="5"/>
  <c r="BY33" i="5"/>
  <c r="BZ33" i="5"/>
  <c r="CA33" i="5"/>
  <c r="CB33" i="5"/>
  <c r="CC33" i="5"/>
  <c r="CD33" i="5"/>
  <c r="CE33" i="5"/>
  <c r="CG33" i="5"/>
  <c r="CI33" i="5"/>
  <c r="CJ33" i="5"/>
  <c r="CK33" i="5"/>
  <c r="CL33" i="5"/>
  <c r="M37" i="8" s="1"/>
  <c r="CM33" i="5"/>
  <c r="BM34" i="5"/>
  <c r="BN34" i="5"/>
  <c r="BO34" i="5"/>
  <c r="BP34" i="5"/>
  <c r="BQ34" i="5"/>
  <c r="BR34" i="5"/>
  <c r="BS34" i="5"/>
  <c r="BT34" i="5"/>
  <c r="BW34" i="5"/>
  <c r="BX34" i="5"/>
  <c r="BY34" i="5"/>
  <c r="BZ34" i="5"/>
  <c r="CA34" i="5"/>
  <c r="CB34" i="5"/>
  <c r="CC34" i="5"/>
  <c r="CD34" i="5"/>
  <c r="CE34" i="5"/>
  <c r="CG34" i="5"/>
  <c r="CI34" i="5"/>
  <c r="CJ34" i="5"/>
  <c r="CK34" i="5"/>
  <c r="CL34" i="5"/>
  <c r="M38" i="8" s="1"/>
  <c r="CM34" i="5"/>
  <c r="BM35" i="5"/>
  <c r="BN35" i="5"/>
  <c r="BO35" i="5"/>
  <c r="BP35" i="5"/>
  <c r="BQ35" i="5"/>
  <c r="BR35" i="5"/>
  <c r="BS35" i="5"/>
  <c r="BT35" i="5"/>
  <c r="BW35" i="5"/>
  <c r="BX35" i="5"/>
  <c r="BY35" i="5"/>
  <c r="BZ35" i="5"/>
  <c r="CA35" i="5"/>
  <c r="CB35" i="5"/>
  <c r="CC35" i="5"/>
  <c r="CD35" i="5"/>
  <c r="CE35" i="5"/>
  <c r="CG35" i="5"/>
  <c r="CI35" i="5"/>
  <c r="CJ35" i="5"/>
  <c r="CK35" i="5"/>
  <c r="CL35" i="5"/>
  <c r="M39" i="8" s="1"/>
  <c r="CM35" i="5"/>
  <c r="BM36" i="5"/>
  <c r="BN36" i="5"/>
  <c r="BO36" i="5"/>
  <c r="BP36" i="5"/>
  <c r="BQ36" i="5"/>
  <c r="BR36" i="5"/>
  <c r="BS36" i="5"/>
  <c r="BT36" i="5"/>
  <c r="BW36" i="5"/>
  <c r="BX36" i="5"/>
  <c r="BY36" i="5"/>
  <c r="BZ36" i="5"/>
  <c r="CA36" i="5"/>
  <c r="CB36" i="5"/>
  <c r="CC36" i="5"/>
  <c r="CD36" i="5"/>
  <c r="CE36" i="5"/>
  <c r="CG36" i="5"/>
  <c r="CI36" i="5"/>
  <c r="CJ36" i="5"/>
  <c r="CK36" i="5"/>
  <c r="CL36" i="5"/>
  <c r="M40" i="8" s="1"/>
  <c r="CM36" i="5"/>
  <c r="BM39" i="5"/>
  <c r="BN39" i="5"/>
  <c r="BO39" i="5"/>
  <c r="BP39" i="5"/>
  <c r="BQ39" i="5"/>
  <c r="BR39" i="5"/>
  <c r="BS39" i="5"/>
  <c r="BT39" i="5"/>
  <c r="BW39" i="5"/>
  <c r="BX39" i="5"/>
  <c r="BY39" i="5"/>
  <c r="BZ39" i="5"/>
  <c r="CA39" i="5"/>
  <c r="CB39" i="5"/>
  <c r="CC39" i="5"/>
  <c r="CD39" i="5"/>
  <c r="CE39" i="5"/>
  <c r="CG39" i="5"/>
  <c r="CI39" i="5"/>
  <c r="CJ39" i="5"/>
  <c r="CK39" i="5"/>
  <c r="CL39" i="5"/>
  <c r="M43" i="8" s="1"/>
  <c r="CM39" i="5"/>
  <c r="BM40" i="5"/>
  <c r="BN40" i="5"/>
  <c r="BO40" i="5"/>
  <c r="BP40" i="5"/>
  <c r="BQ40" i="5"/>
  <c r="BR40" i="5"/>
  <c r="BS40" i="5"/>
  <c r="BT40" i="5"/>
  <c r="BW40" i="5"/>
  <c r="BX40" i="5"/>
  <c r="BY40" i="5"/>
  <c r="BZ40" i="5"/>
  <c r="CA40" i="5"/>
  <c r="CB40" i="5"/>
  <c r="CC40" i="5"/>
  <c r="CD40" i="5"/>
  <c r="CE40" i="5"/>
  <c r="CG40" i="5"/>
  <c r="CI40" i="5"/>
  <c r="CJ40" i="5"/>
  <c r="CK40" i="5"/>
  <c r="CL40" i="5"/>
  <c r="M44" i="8" s="1"/>
  <c r="CM40" i="5"/>
  <c r="BM41" i="5"/>
  <c r="BN41" i="5"/>
  <c r="BO41" i="5"/>
  <c r="BP41" i="5"/>
  <c r="BQ41" i="5"/>
  <c r="BR41" i="5"/>
  <c r="BS41" i="5"/>
  <c r="BT41" i="5"/>
  <c r="BW41" i="5"/>
  <c r="BX41" i="5"/>
  <c r="BY41" i="5"/>
  <c r="BZ41" i="5"/>
  <c r="CA41" i="5"/>
  <c r="CB41" i="5"/>
  <c r="CC41" i="5"/>
  <c r="CD41" i="5"/>
  <c r="CE41" i="5"/>
  <c r="CG41" i="5"/>
  <c r="CI41" i="5"/>
  <c r="CJ41" i="5"/>
  <c r="CK41" i="5"/>
  <c r="CL41" i="5"/>
  <c r="M45" i="8" s="1"/>
  <c r="CM41" i="5"/>
  <c r="BM42" i="5"/>
  <c r="BN42" i="5"/>
  <c r="BO42" i="5"/>
  <c r="BP42" i="5"/>
  <c r="BQ42" i="5"/>
  <c r="BR42" i="5"/>
  <c r="BS42" i="5"/>
  <c r="BT42" i="5"/>
  <c r="BW42" i="5"/>
  <c r="BX42" i="5"/>
  <c r="BY42" i="5"/>
  <c r="BZ42" i="5"/>
  <c r="CA42" i="5"/>
  <c r="CB42" i="5"/>
  <c r="CC42" i="5"/>
  <c r="CD42" i="5"/>
  <c r="CE42" i="5"/>
  <c r="CG42" i="5"/>
  <c r="CI42" i="5"/>
  <c r="CJ42" i="5"/>
  <c r="CK42" i="5"/>
  <c r="CL42" i="5"/>
  <c r="M46" i="8" s="1"/>
  <c r="CM42" i="5"/>
  <c r="BM43" i="5"/>
  <c r="BN43" i="5"/>
  <c r="BO43" i="5"/>
  <c r="BP43" i="5"/>
  <c r="BQ43" i="5"/>
  <c r="BR43" i="5"/>
  <c r="BS43" i="5"/>
  <c r="BT43" i="5"/>
  <c r="BW43" i="5"/>
  <c r="BX43" i="5"/>
  <c r="BY43" i="5"/>
  <c r="BZ43" i="5"/>
  <c r="CA43" i="5"/>
  <c r="CB43" i="5"/>
  <c r="CC43" i="5"/>
  <c r="CD43" i="5"/>
  <c r="CE43" i="5"/>
  <c r="CG43" i="5"/>
  <c r="CI43" i="5"/>
  <c r="CJ43" i="5"/>
  <c r="CK43" i="5"/>
  <c r="CL43" i="5"/>
  <c r="M47" i="8" s="1"/>
  <c r="CM43" i="5"/>
  <c r="BM44" i="5"/>
  <c r="BN44" i="5"/>
  <c r="BO44" i="5"/>
  <c r="BP44" i="5"/>
  <c r="BQ44" i="5"/>
  <c r="BR44" i="5"/>
  <c r="BS44" i="5"/>
  <c r="BT44" i="5"/>
  <c r="BW44" i="5"/>
  <c r="BX44" i="5"/>
  <c r="BY44" i="5"/>
  <c r="BZ44" i="5"/>
  <c r="CA44" i="5"/>
  <c r="CB44" i="5"/>
  <c r="CC44" i="5"/>
  <c r="CD44" i="5"/>
  <c r="CE44" i="5"/>
  <c r="CG44" i="5"/>
  <c r="CI44" i="5"/>
  <c r="CJ44" i="5"/>
  <c r="CK44" i="5"/>
  <c r="CL44" i="5"/>
  <c r="M48" i="8" s="1"/>
  <c r="CM44" i="5"/>
  <c r="BM45" i="5"/>
  <c r="BN45" i="5"/>
  <c r="BO45" i="5"/>
  <c r="BP45" i="5"/>
  <c r="BQ45" i="5"/>
  <c r="BR45" i="5"/>
  <c r="BS45" i="5"/>
  <c r="BT45" i="5"/>
  <c r="BW45" i="5"/>
  <c r="BX45" i="5"/>
  <c r="BY45" i="5"/>
  <c r="BZ45" i="5"/>
  <c r="CA45" i="5"/>
  <c r="CB45" i="5"/>
  <c r="CC45" i="5"/>
  <c r="CD45" i="5"/>
  <c r="CE45" i="5"/>
  <c r="CG45" i="5"/>
  <c r="CI45" i="5"/>
  <c r="CJ45" i="5"/>
  <c r="CK45" i="5"/>
  <c r="CL45" i="5"/>
  <c r="M49" i="8" s="1"/>
  <c r="CM45" i="5"/>
  <c r="BM46" i="5"/>
  <c r="BN46" i="5"/>
  <c r="BO46" i="5"/>
  <c r="BP46" i="5"/>
  <c r="BQ46" i="5"/>
  <c r="BR46" i="5"/>
  <c r="BS46" i="5"/>
  <c r="BT46" i="5"/>
  <c r="BW46" i="5"/>
  <c r="BX46" i="5"/>
  <c r="BY46" i="5"/>
  <c r="BZ46" i="5"/>
  <c r="CA46" i="5"/>
  <c r="CB46" i="5"/>
  <c r="CC46" i="5"/>
  <c r="CD46" i="5"/>
  <c r="CE46" i="5"/>
  <c r="CG46" i="5"/>
  <c r="CI46" i="5"/>
  <c r="CJ46" i="5"/>
  <c r="CK46" i="5"/>
  <c r="CL46" i="5"/>
  <c r="M50" i="8" s="1"/>
  <c r="CM46" i="5"/>
  <c r="BM47" i="5"/>
  <c r="BN47" i="5"/>
  <c r="BO47" i="5"/>
  <c r="BP47" i="5"/>
  <c r="BQ47" i="5"/>
  <c r="BR47" i="5"/>
  <c r="BS47" i="5"/>
  <c r="BT47" i="5"/>
  <c r="BW47" i="5"/>
  <c r="BX47" i="5"/>
  <c r="BY47" i="5"/>
  <c r="BZ47" i="5"/>
  <c r="CA47" i="5"/>
  <c r="CB47" i="5"/>
  <c r="CC47" i="5"/>
  <c r="CD47" i="5"/>
  <c r="CE47" i="5"/>
  <c r="CG47" i="5"/>
  <c r="CI47" i="5"/>
  <c r="CJ47" i="5"/>
  <c r="CK47" i="5"/>
  <c r="CL47" i="5"/>
  <c r="M51" i="8" s="1"/>
  <c r="CM47" i="5"/>
  <c r="BM48" i="5"/>
  <c r="BN48" i="5"/>
  <c r="BO48" i="5"/>
  <c r="BP48" i="5"/>
  <c r="BQ48" i="5"/>
  <c r="BR48" i="5"/>
  <c r="BS48" i="5"/>
  <c r="BT48" i="5"/>
  <c r="BW48" i="5"/>
  <c r="BX48" i="5"/>
  <c r="BY48" i="5"/>
  <c r="BZ48" i="5"/>
  <c r="CA48" i="5"/>
  <c r="CB48" i="5"/>
  <c r="CC48" i="5"/>
  <c r="CD48" i="5"/>
  <c r="CE48" i="5"/>
  <c r="CG48" i="5"/>
  <c r="CI48" i="5"/>
  <c r="CJ48" i="5"/>
  <c r="CK48" i="5"/>
  <c r="CL48" i="5"/>
  <c r="M52" i="8" s="1"/>
  <c r="CM48" i="5"/>
  <c r="BM49" i="5"/>
  <c r="BN49" i="5"/>
  <c r="BO49" i="5"/>
  <c r="BP49" i="5"/>
  <c r="BQ49" i="5"/>
  <c r="BR49" i="5"/>
  <c r="BS49" i="5"/>
  <c r="BT49" i="5"/>
  <c r="BW49" i="5"/>
  <c r="BX49" i="5"/>
  <c r="BY49" i="5"/>
  <c r="BZ49" i="5"/>
  <c r="CA49" i="5"/>
  <c r="CB49" i="5"/>
  <c r="CC49" i="5"/>
  <c r="CD49" i="5"/>
  <c r="CE49" i="5"/>
  <c r="CG49" i="5"/>
  <c r="CI49" i="5"/>
  <c r="CJ49" i="5"/>
  <c r="CK49" i="5"/>
  <c r="CL49" i="5"/>
  <c r="M53" i="8" s="1"/>
  <c r="CM49" i="5"/>
  <c r="BM50" i="5"/>
  <c r="BN50" i="5"/>
  <c r="BO50" i="5"/>
  <c r="BP50" i="5"/>
  <c r="BQ50" i="5"/>
  <c r="BR50" i="5"/>
  <c r="BS50" i="5"/>
  <c r="BT50" i="5"/>
  <c r="BW50" i="5"/>
  <c r="BX50" i="5"/>
  <c r="BY50" i="5"/>
  <c r="BZ50" i="5"/>
  <c r="CA50" i="5"/>
  <c r="CB50" i="5"/>
  <c r="CC50" i="5"/>
  <c r="CD50" i="5"/>
  <c r="CE50" i="5"/>
  <c r="CG50" i="5"/>
  <c r="CI50" i="5"/>
  <c r="CJ50" i="5"/>
  <c r="CK50" i="5"/>
  <c r="CL50" i="5"/>
  <c r="M54" i="8" s="1"/>
  <c r="CM50" i="5"/>
  <c r="BM53" i="5"/>
  <c r="BN53" i="5"/>
  <c r="BO53" i="5"/>
  <c r="BP53" i="5"/>
  <c r="BQ53" i="5"/>
  <c r="BR53" i="5"/>
  <c r="BS53" i="5"/>
  <c r="BT53" i="5"/>
  <c r="BW53" i="5"/>
  <c r="BX53" i="5"/>
  <c r="BY53" i="5"/>
  <c r="BZ53" i="5"/>
  <c r="CA53" i="5"/>
  <c r="CB53" i="5"/>
  <c r="CC53" i="5"/>
  <c r="CD53" i="5"/>
  <c r="CE53" i="5"/>
  <c r="CG53" i="5"/>
  <c r="CI53" i="5"/>
  <c r="CJ53" i="5"/>
  <c r="CK53" i="5"/>
  <c r="CL53" i="5"/>
  <c r="M57" i="8" s="1"/>
  <c r="CM53" i="5"/>
  <c r="BM54" i="5"/>
  <c r="BN54" i="5"/>
  <c r="BO54" i="5"/>
  <c r="BP54" i="5"/>
  <c r="BQ54" i="5"/>
  <c r="BR54" i="5"/>
  <c r="BS54" i="5"/>
  <c r="BT54" i="5"/>
  <c r="BW54" i="5"/>
  <c r="BX54" i="5"/>
  <c r="BY54" i="5"/>
  <c r="BZ54" i="5"/>
  <c r="CA54" i="5"/>
  <c r="CB54" i="5"/>
  <c r="CC54" i="5"/>
  <c r="CD54" i="5"/>
  <c r="CE54" i="5"/>
  <c r="CG54" i="5"/>
  <c r="CI54" i="5"/>
  <c r="CJ54" i="5"/>
  <c r="CK54" i="5"/>
  <c r="CL54" i="5"/>
  <c r="M58" i="8" s="1"/>
  <c r="CM54" i="5"/>
  <c r="BM55" i="5"/>
  <c r="BN55" i="5"/>
  <c r="BO55" i="5"/>
  <c r="BP55" i="5"/>
  <c r="BQ55" i="5"/>
  <c r="BR55" i="5"/>
  <c r="BS55" i="5"/>
  <c r="BT55" i="5"/>
  <c r="BW55" i="5"/>
  <c r="BX55" i="5"/>
  <c r="BY55" i="5"/>
  <c r="BZ55" i="5"/>
  <c r="CA55" i="5"/>
  <c r="CB55" i="5"/>
  <c r="CC55" i="5"/>
  <c r="CD55" i="5"/>
  <c r="CE55" i="5"/>
  <c r="CG55" i="5"/>
  <c r="CI55" i="5"/>
  <c r="CJ55" i="5"/>
  <c r="CK55" i="5"/>
  <c r="CL55" i="5"/>
  <c r="M59" i="8" s="1"/>
  <c r="CM55" i="5"/>
  <c r="BM56" i="5"/>
  <c r="BN56" i="5"/>
  <c r="BO56" i="5"/>
  <c r="BP56" i="5"/>
  <c r="BQ56" i="5"/>
  <c r="BR56" i="5"/>
  <c r="BS56" i="5"/>
  <c r="BT56" i="5"/>
  <c r="BW56" i="5"/>
  <c r="BX56" i="5"/>
  <c r="BY56" i="5"/>
  <c r="BZ56" i="5"/>
  <c r="CA56" i="5"/>
  <c r="CB56" i="5"/>
  <c r="CC56" i="5"/>
  <c r="CD56" i="5"/>
  <c r="CE56" i="5"/>
  <c r="CG56" i="5"/>
  <c r="CI56" i="5"/>
  <c r="CJ56" i="5"/>
  <c r="CK56" i="5"/>
  <c r="CL56" i="5"/>
  <c r="M60" i="8" s="1"/>
  <c r="CM56" i="5"/>
  <c r="BM57" i="5"/>
  <c r="BN57" i="5"/>
  <c r="BO57" i="5"/>
  <c r="BP57" i="5"/>
  <c r="BQ57" i="5"/>
  <c r="BR57" i="5"/>
  <c r="BS57" i="5"/>
  <c r="BT57" i="5"/>
  <c r="BW57" i="5"/>
  <c r="BX57" i="5"/>
  <c r="BY57" i="5"/>
  <c r="BZ57" i="5"/>
  <c r="CA57" i="5"/>
  <c r="CB57" i="5"/>
  <c r="CC57" i="5"/>
  <c r="CD57" i="5"/>
  <c r="CE57" i="5"/>
  <c r="CG57" i="5"/>
  <c r="CI57" i="5"/>
  <c r="CJ57" i="5"/>
  <c r="CK57" i="5"/>
  <c r="CL57" i="5"/>
  <c r="M61" i="8" s="1"/>
  <c r="CM57" i="5"/>
  <c r="BM58" i="5"/>
  <c r="BN58" i="5"/>
  <c r="BO58" i="5"/>
  <c r="BP58" i="5"/>
  <c r="BQ58" i="5"/>
  <c r="BR58" i="5"/>
  <c r="BS58" i="5"/>
  <c r="BT58" i="5"/>
  <c r="BW58" i="5"/>
  <c r="BX58" i="5"/>
  <c r="BY58" i="5"/>
  <c r="BZ58" i="5"/>
  <c r="CA58" i="5"/>
  <c r="CB58" i="5"/>
  <c r="CC58" i="5"/>
  <c r="CD58" i="5"/>
  <c r="CE58" i="5"/>
  <c r="CG58" i="5"/>
  <c r="CI58" i="5"/>
  <c r="CJ58" i="5"/>
  <c r="CK58" i="5"/>
  <c r="CL58" i="5"/>
  <c r="M62" i="8" s="1"/>
  <c r="CM58" i="5"/>
  <c r="BM59" i="5"/>
  <c r="BN59" i="5"/>
  <c r="BO59" i="5"/>
  <c r="BP59" i="5"/>
  <c r="BQ59" i="5"/>
  <c r="BR59" i="5"/>
  <c r="BS59" i="5"/>
  <c r="BT59" i="5"/>
  <c r="BW59" i="5"/>
  <c r="BX59" i="5"/>
  <c r="BY59" i="5"/>
  <c r="BZ59" i="5"/>
  <c r="CA59" i="5"/>
  <c r="CB59" i="5"/>
  <c r="CC59" i="5"/>
  <c r="CD59" i="5"/>
  <c r="CE59" i="5"/>
  <c r="CG59" i="5"/>
  <c r="CI59" i="5"/>
  <c r="CJ59" i="5"/>
  <c r="CK59" i="5"/>
  <c r="CL59" i="5"/>
  <c r="M63" i="8" s="1"/>
  <c r="CM59" i="5"/>
  <c r="BM60" i="5"/>
  <c r="BN60" i="5"/>
  <c r="BO60" i="5"/>
  <c r="BP60" i="5"/>
  <c r="BQ60" i="5"/>
  <c r="BR60" i="5"/>
  <c r="BS60" i="5"/>
  <c r="BT60" i="5"/>
  <c r="BW60" i="5"/>
  <c r="BX60" i="5"/>
  <c r="BY60" i="5"/>
  <c r="BZ60" i="5"/>
  <c r="CA60" i="5"/>
  <c r="CB60" i="5"/>
  <c r="CC60" i="5"/>
  <c r="CD60" i="5"/>
  <c r="CE60" i="5"/>
  <c r="CG60" i="5"/>
  <c r="CI60" i="5"/>
  <c r="CJ60" i="5"/>
  <c r="CK60" i="5"/>
  <c r="CL60" i="5"/>
  <c r="M64" i="8" s="1"/>
  <c r="CM60" i="5"/>
  <c r="BM61" i="5"/>
  <c r="BN61" i="5"/>
  <c r="BO61" i="5"/>
  <c r="BP61" i="5"/>
  <c r="BQ61" i="5"/>
  <c r="BR61" i="5"/>
  <c r="BS61" i="5"/>
  <c r="BT61" i="5"/>
  <c r="BW61" i="5"/>
  <c r="BX61" i="5"/>
  <c r="BY61" i="5"/>
  <c r="BZ61" i="5"/>
  <c r="CA61" i="5"/>
  <c r="CB61" i="5"/>
  <c r="CC61" i="5"/>
  <c r="CD61" i="5"/>
  <c r="CE61" i="5"/>
  <c r="CG61" i="5"/>
  <c r="CI61" i="5"/>
  <c r="CJ61" i="5"/>
  <c r="CK61" i="5"/>
  <c r="CL61" i="5"/>
  <c r="M65" i="8" s="1"/>
  <c r="CM61" i="5"/>
  <c r="BM62" i="5"/>
  <c r="BN62" i="5"/>
  <c r="BO62" i="5"/>
  <c r="BP62" i="5"/>
  <c r="BQ62" i="5"/>
  <c r="BR62" i="5"/>
  <c r="BS62" i="5"/>
  <c r="BT62" i="5"/>
  <c r="BW62" i="5"/>
  <c r="BX62" i="5"/>
  <c r="BY62" i="5"/>
  <c r="BZ62" i="5"/>
  <c r="CA62" i="5"/>
  <c r="CB62" i="5"/>
  <c r="CC62" i="5"/>
  <c r="CD62" i="5"/>
  <c r="CE62" i="5"/>
  <c r="CG62" i="5"/>
  <c r="CI62" i="5"/>
  <c r="CJ62" i="5"/>
  <c r="CK62" i="5"/>
  <c r="CL62" i="5"/>
  <c r="M66" i="8" s="1"/>
  <c r="CM62" i="5"/>
  <c r="AI6" i="5"/>
  <c r="AK6" i="5"/>
  <c r="AN6" i="5"/>
  <c r="AO6" i="5"/>
  <c r="AP6" i="5"/>
  <c r="AR6" i="5"/>
  <c r="AS6" i="5"/>
  <c r="AT6" i="5"/>
  <c r="AU6" i="5"/>
  <c r="AV6" i="5"/>
  <c r="AW6" i="5"/>
  <c r="AX6" i="5"/>
  <c r="AY6" i="5"/>
  <c r="AZ6" i="5"/>
  <c r="BB6" i="5"/>
  <c r="BD6" i="5"/>
  <c r="BE6" i="5"/>
  <c r="BF6" i="5"/>
  <c r="BG6" i="5"/>
  <c r="L10" i="8" s="1"/>
  <c r="BH6" i="5"/>
  <c r="AI7" i="5"/>
  <c r="AN7" i="5"/>
  <c r="AO7" i="5"/>
  <c r="AP7" i="5"/>
  <c r="AR7" i="5"/>
  <c r="AS7" i="5"/>
  <c r="AT7" i="5"/>
  <c r="AU7" i="5"/>
  <c r="AV7" i="5"/>
  <c r="AW7" i="5"/>
  <c r="AX7" i="5"/>
  <c r="AY7" i="5"/>
  <c r="AZ7" i="5"/>
  <c r="BB7" i="5"/>
  <c r="BD7" i="5"/>
  <c r="BE7" i="5"/>
  <c r="BF7" i="5"/>
  <c r="BG7" i="5"/>
  <c r="L11" i="8" s="1"/>
  <c r="BH7" i="5"/>
  <c r="AH8" i="5"/>
  <c r="AI8" i="5"/>
  <c r="AJ8" i="5"/>
  <c r="AN8" i="5"/>
  <c r="AO8" i="5"/>
  <c r="AP8" i="5"/>
  <c r="AR8" i="5"/>
  <c r="AS8" i="5"/>
  <c r="AT8" i="5"/>
  <c r="AU8" i="5"/>
  <c r="AV8" i="5"/>
  <c r="AW8" i="5"/>
  <c r="AX8" i="5"/>
  <c r="AY8" i="5"/>
  <c r="AZ8" i="5"/>
  <c r="BB8" i="5"/>
  <c r="BD8" i="5"/>
  <c r="BE8" i="5"/>
  <c r="BF8" i="5"/>
  <c r="BG8" i="5"/>
  <c r="L12" i="8" s="1"/>
  <c r="BH8" i="5"/>
  <c r="AK9" i="5"/>
  <c r="AN9" i="5"/>
  <c r="AO9" i="5"/>
  <c r="AP9" i="5"/>
  <c r="AR9" i="5"/>
  <c r="AS9" i="5"/>
  <c r="AT9" i="5"/>
  <c r="AU9" i="5"/>
  <c r="AV9" i="5"/>
  <c r="AW9" i="5"/>
  <c r="AX9" i="5"/>
  <c r="AY9" i="5"/>
  <c r="AZ9" i="5"/>
  <c r="BB9" i="5"/>
  <c r="BD9" i="5"/>
  <c r="BE9" i="5"/>
  <c r="BF9" i="5"/>
  <c r="BG9" i="5"/>
  <c r="L13" i="8" s="1"/>
  <c r="BH9" i="5"/>
  <c r="AN10" i="5"/>
  <c r="AO10" i="5"/>
  <c r="AP10" i="5"/>
  <c r="AR10" i="5"/>
  <c r="AS10" i="5"/>
  <c r="AT10" i="5"/>
  <c r="AU10" i="5"/>
  <c r="AV10" i="5"/>
  <c r="AW10" i="5"/>
  <c r="AX10" i="5"/>
  <c r="AY10" i="5"/>
  <c r="AZ10" i="5"/>
  <c r="BB10" i="5"/>
  <c r="BD10" i="5"/>
  <c r="BE10" i="5"/>
  <c r="BF10" i="5"/>
  <c r="BG10" i="5"/>
  <c r="L14" i="8" s="1"/>
  <c r="BH10" i="5"/>
  <c r="AI11" i="5"/>
  <c r="AK11" i="5"/>
  <c r="AN11" i="5"/>
  <c r="AO11" i="5"/>
  <c r="AP11" i="5"/>
  <c r="AR11" i="5"/>
  <c r="AS11" i="5"/>
  <c r="AT11" i="5"/>
  <c r="AU11" i="5"/>
  <c r="AV11" i="5"/>
  <c r="AW11" i="5"/>
  <c r="AX11" i="5"/>
  <c r="AY11" i="5"/>
  <c r="AZ11" i="5"/>
  <c r="BB11" i="5"/>
  <c r="BD11" i="5"/>
  <c r="BE11" i="5"/>
  <c r="BF11" i="5"/>
  <c r="BG11" i="5"/>
  <c r="L15" i="8" s="1"/>
  <c r="BH11" i="5"/>
  <c r="AN12" i="5"/>
  <c r="AO12" i="5"/>
  <c r="AP12" i="5"/>
  <c r="AR12" i="5"/>
  <c r="AS12" i="5"/>
  <c r="AT12" i="5"/>
  <c r="AU12" i="5"/>
  <c r="AV12" i="5"/>
  <c r="AW12" i="5"/>
  <c r="AX12" i="5"/>
  <c r="AY12" i="5"/>
  <c r="AZ12" i="5"/>
  <c r="BB12" i="5"/>
  <c r="BD12" i="5"/>
  <c r="BE12" i="5"/>
  <c r="BF12" i="5"/>
  <c r="BG12" i="5"/>
  <c r="L16" i="8" s="1"/>
  <c r="BH12" i="5"/>
  <c r="AN13" i="5"/>
  <c r="AO13" i="5"/>
  <c r="AP13" i="5"/>
  <c r="AR13" i="5"/>
  <c r="AS13" i="5"/>
  <c r="AT13" i="5"/>
  <c r="AU13" i="5"/>
  <c r="AV13" i="5"/>
  <c r="AW13" i="5"/>
  <c r="AX13" i="5"/>
  <c r="AY13" i="5"/>
  <c r="AZ13" i="5"/>
  <c r="BB13" i="5"/>
  <c r="BD13" i="5"/>
  <c r="BE13" i="5"/>
  <c r="BF13" i="5"/>
  <c r="BG13" i="5"/>
  <c r="L17" i="8" s="1"/>
  <c r="BH13" i="5"/>
  <c r="AI14" i="5"/>
  <c r="AN14" i="5"/>
  <c r="AO14" i="5"/>
  <c r="AP14" i="5"/>
  <c r="AR14" i="5"/>
  <c r="AS14" i="5"/>
  <c r="AT14" i="5"/>
  <c r="AU14" i="5"/>
  <c r="AV14" i="5"/>
  <c r="AW14" i="5"/>
  <c r="AX14" i="5"/>
  <c r="AY14" i="5"/>
  <c r="AZ14" i="5"/>
  <c r="BB14" i="5"/>
  <c r="BD14" i="5"/>
  <c r="BE14" i="5"/>
  <c r="BF14" i="5"/>
  <c r="BG14" i="5"/>
  <c r="L18" i="8" s="1"/>
  <c r="BH14" i="5"/>
  <c r="AI15" i="5"/>
  <c r="AK15" i="5"/>
  <c r="AN15" i="5"/>
  <c r="AO15" i="5"/>
  <c r="AP15" i="5"/>
  <c r="AR15" i="5"/>
  <c r="AS15" i="5"/>
  <c r="AT15" i="5"/>
  <c r="AU15" i="5"/>
  <c r="AV15" i="5"/>
  <c r="AW15" i="5"/>
  <c r="AX15" i="5"/>
  <c r="AY15" i="5"/>
  <c r="AZ15" i="5"/>
  <c r="BB15" i="5"/>
  <c r="BD15" i="5"/>
  <c r="BE15" i="5"/>
  <c r="BF15" i="5"/>
  <c r="BG15" i="5"/>
  <c r="L19" i="8" s="1"/>
  <c r="BH15" i="5"/>
  <c r="AI16" i="5"/>
  <c r="AK16" i="5"/>
  <c r="AN16" i="5"/>
  <c r="AO16" i="5"/>
  <c r="AP16" i="5"/>
  <c r="AR16" i="5"/>
  <c r="AS16" i="5"/>
  <c r="AT16" i="5"/>
  <c r="AU16" i="5"/>
  <c r="AV16" i="5"/>
  <c r="AW16" i="5"/>
  <c r="AX16" i="5"/>
  <c r="AY16" i="5"/>
  <c r="AZ16" i="5"/>
  <c r="BB16" i="5"/>
  <c r="BD16" i="5"/>
  <c r="BE16" i="5"/>
  <c r="BF16" i="5"/>
  <c r="BG16" i="5"/>
  <c r="L20" i="8" s="1"/>
  <c r="BH16" i="5"/>
  <c r="AI17" i="5"/>
  <c r="AK17" i="5"/>
  <c r="AN17" i="5"/>
  <c r="AO17" i="5"/>
  <c r="AP17" i="5"/>
  <c r="AR17" i="5"/>
  <c r="AS17" i="5"/>
  <c r="AT17" i="5"/>
  <c r="AU17" i="5"/>
  <c r="AV17" i="5"/>
  <c r="AW17" i="5"/>
  <c r="AX17" i="5"/>
  <c r="AY17" i="5"/>
  <c r="AZ17" i="5"/>
  <c r="BB17" i="5"/>
  <c r="BD17" i="5"/>
  <c r="BE17" i="5"/>
  <c r="BF17" i="5"/>
  <c r="BG17" i="5"/>
  <c r="L21" i="8" s="1"/>
  <c r="BH17" i="5"/>
  <c r="AK18" i="5"/>
  <c r="AN18" i="5"/>
  <c r="AO18" i="5"/>
  <c r="AP18" i="5"/>
  <c r="AR18" i="5"/>
  <c r="AS18" i="5"/>
  <c r="AT18" i="5"/>
  <c r="AU18" i="5"/>
  <c r="AV18" i="5"/>
  <c r="AW18" i="5"/>
  <c r="AX18" i="5"/>
  <c r="AY18" i="5"/>
  <c r="AZ18" i="5"/>
  <c r="BB18" i="5"/>
  <c r="BD18" i="5"/>
  <c r="BE18" i="5"/>
  <c r="BF18" i="5"/>
  <c r="BG18" i="5"/>
  <c r="L22" i="8" s="1"/>
  <c r="BH18" i="5"/>
  <c r="AI19" i="5"/>
  <c r="AK19" i="5"/>
  <c r="AN19" i="5"/>
  <c r="AO19" i="5"/>
  <c r="AP19" i="5"/>
  <c r="AR19" i="5"/>
  <c r="AS19" i="5"/>
  <c r="AT19" i="5"/>
  <c r="AU19" i="5"/>
  <c r="AV19" i="5"/>
  <c r="AW19" i="5"/>
  <c r="AX19" i="5"/>
  <c r="AY19" i="5"/>
  <c r="AZ19" i="5"/>
  <c r="BB19" i="5"/>
  <c r="BD19" i="5"/>
  <c r="BE19" i="5"/>
  <c r="BF19" i="5"/>
  <c r="BG19" i="5"/>
  <c r="L23" i="8" s="1"/>
  <c r="BH19" i="5"/>
  <c r="AI20" i="5"/>
  <c r="AK20" i="5"/>
  <c r="AN20" i="5"/>
  <c r="AO20" i="5"/>
  <c r="AP20" i="5"/>
  <c r="AR20" i="5"/>
  <c r="AS20" i="5"/>
  <c r="AT20" i="5"/>
  <c r="AU20" i="5"/>
  <c r="AV20" i="5"/>
  <c r="AW20" i="5"/>
  <c r="AX20" i="5"/>
  <c r="AY20" i="5"/>
  <c r="AZ20" i="5"/>
  <c r="BB20" i="5"/>
  <c r="BD20" i="5"/>
  <c r="BE20" i="5"/>
  <c r="BF20" i="5"/>
  <c r="BG20" i="5"/>
  <c r="L24" i="8" s="1"/>
  <c r="BH20" i="5"/>
  <c r="AI21" i="5"/>
  <c r="AK21" i="5"/>
  <c r="AN21" i="5"/>
  <c r="AO21" i="5"/>
  <c r="AP21" i="5"/>
  <c r="AR21" i="5"/>
  <c r="AS21" i="5"/>
  <c r="AT21" i="5"/>
  <c r="AU21" i="5"/>
  <c r="AV21" i="5"/>
  <c r="AW21" i="5"/>
  <c r="AX21" i="5"/>
  <c r="AY21" i="5"/>
  <c r="AZ21" i="5"/>
  <c r="BB21" i="5"/>
  <c r="BD21" i="5"/>
  <c r="BE21" i="5"/>
  <c r="BF21" i="5"/>
  <c r="BG21" i="5"/>
  <c r="L25" i="8" s="1"/>
  <c r="BH21" i="5"/>
  <c r="AH24" i="5"/>
  <c r="AI24" i="5"/>
  <c r="AJ24" i="5"/>
  <c r="AK24" i="5"/>
  <c r="AL24" i="5"/>
  <c r="AM24" i="5"/>
  <c r="AN24" i="5"/>
  <c r="AO24" i="5"/>
  <c r="AP24" i="5"/>
  <c r="AR24" i="5"/>
  <c r="AS24" i="5"/>
  <c r="AT24" i="5"/>
  <c r="AU24" i="5"/>
  <c r="AV24" i="5"/>
  <c r="AW24" i="5"/>
  <c r="AX24" i="5"/>
  <c r="AY24" i="5"/>
  <c r="AZ24" i="5"/>
  <c r="BB24" i="5"/>
  <c r="BD24" i="5"/>
  <c r="BE24" i="5"/>
  <c r="BF24" i="5"/>
  <c r="BG24" i="5"/>
  <c r="L28" i="8" s="1"/>
  <c r="BH24" i="5"/>
  <c r="AH25" i="5"/>
  <c r="AI25" i="5"/>
  <c r="AJ25" i="5"/>
  <c r="AK25" i="5"/>
  <c r="AL25" i="5"/>
  <c r="AM25" i="5"/>
  <c r="AN25" i="5"/>
  <c r="AO25" i="5"/>
  <c r="AP25" i="5"/>
  <c r="AR25" i="5"/>
  <c r="AS25" i="5"/>
  <c r="AT25" i="5"/>
  <c r="AU25" i="5"/>
  <c r="AV25" i="5"/>
  <c r="AW25" i="5"/>
  <c r="AX25" i="5"/>
  <c r="AY25" i="5"/>
  <c r="AZ25" i="5"/>
  <c r="BB25" i="5"/>
  <c r="BD25" i="5"/>
  <c r="BE25" i="5"/>
  <c r="BF25" i="5"/>
  <c r="BG25" i="5"/>
  <c r="L29" i="8" s="1"/>
  <c r="BH25" i="5"/>
  <c r="AH26" i="5"/>
  <c r="AI26" i="5"/>
  <c r="AJ26" i="5"/>
  <c r="AK26" i="5"/>
  <c r="AL26" i="5"/>
  <c r="AM26" i="5"/>
  <c r="AN26" i="5"/>
  <c r="AO26" i="5"/>
  <c r="AP26" i="5"/>
  <c r="AR26" i="5"/>
  <c r="AS26" i="5"/>
  <c r="AT26" i="5"/>
  <c r="AU26" i="5"/>
  <c r="AV26" i="5"/>
  <c r="AW26" i="5"/>
  <c r="AX26" i="5"/>
  <c r="AY26" i="5"/>
  <c r="AZ26" i="5"/>
  <c r="BB26" i="5"/>
  <c r="BD26" i="5"/>
  <c r="BE26" i="5"/>
  <c r="BF26" i="5"/>
  <c r="BG26" i="5"/>
  <c r="L30" i="8" s="1"/>
  <c r="BH26" i="5"/>
  <c r="AH27" i="5"/>
  <c r="AI27" i="5"/>
  <c r="AJ27" i="5"/>
  <c r="AK27" i="5"/>
  <c r="AL27" i="5"/>
  <c r="AM27" i="5"/>
  <c r="AN27" i="5"/>
  <c r="AO27" i="5"/>
  <c r="AP27" i="5"/>
  <c r="AR27" i="5"/>
  <c r="AS27" i="5"/>
  <c r="AT27" i="5"/>
  <c r="AU27" i="5"/>
  <c r="AV27" i="5"/>
  <c r="AW27" i="5"/>
  <c r="AX27" i="5"/>
  <c r="AY27" i="5"/>
  <c r="AZ27" i="5"/>
  <c r="BB27" i="5"/>
  <c r="BD27" i="5"/>
  <c r="BE27" i="5"/>
  <c r="BF27" i="5"/>
  <c r="BG27" i="5"/>
  <c r="L31" i="8" s="1"/>
  <c r="BH27" i="5"/>
  <c r="AH28" i="5"/>
  <c r="AI28" i="5"/>
  <c r="AJ28" i="5"/>
  <c r="AK28" i="5"/>
  <c r="AL28" i="5"/>
  <c r="AM28" i="5"/>
  <c r="AN28" i="5"/>
  <c r="AO28" i="5"/>
  <c r="AP28" i="5"/>
  <c r="AR28" i="5"/>
  <c r="AS28" i="5"/>
  <c r="AT28" i="5"/>
  <c r="AU28" i="5"/>
  <c r="AV28" i="5"/>
  <c r="AW28" i="5"/>
  <c r="AX28" i="5"/>
  <c r="AY28" i="5"/>
  <c r="AZ28" i="5"/>
  <c r="BB28" i="5"/>
  <c r="BD28" i="5"/>
  <c r="BE28" i="5"/>
  <c r="BF28" i="5"/>
  <c r="BG28" i="5"/>
  <c r="L32" i="8" s="1"/>
  <c r="BH28" i="5"/>
  <c r="AH29" i="5"/>
  <c r="AI29" i="5"/>
  <c r="AJ29" i="5"/>
  <c r="AK29" i="5"/>
  <c r="AL29" i="5"/>
  <c r="AM29" i="5"/>
  <c r="AN29" i="5"/>
  <c r="AO29" i="5"/>
  <c r="AP29" i="5"/>
  <c r="AR29" i="5"/>
  <c r="AS29" i="5"/>
  <c r="AT29" i="5"/>
  <c r="AU29" i="5"/>
  <c r="AV29" i="5"/>
  <c r="AW29" i="5"/>
  <c r="AX29" i="5"/>
  <c r="AY29" i="5"/>
  <c r="AZ29" i="5"/>
  <c r="BB29" i="5"/>
  <c r="BD29" i="5"/>
  <c r="BE29" i="5"/>
  <c r="BF29" i="5"/>
  <c r="BG29" i="5"/>
  <c r="L33" i="8" s="1"/>
  <c r="BH29" i="5"/>
  <c r="AH30" i="5"/>
  <c r="AI30" i="5"/>
  <c r="AJ30" i="5"/>
  <c r="AK30" i="5"/>
  <c r="AL30" i="5"/>
  <c r="AM30" i="5"/>
  <c r="AN30" i="5"/>
  <c r="AO30" i="5"/>
  <c r="AP30" i="5"/>
  <c r="AR30" i="5"/>
  <c r="AS30" i="5"/>
  <c r="AT30" i="5"/>
  <c r="AU30" i="5"/>
  <c r="AV30" i="5"/>
  <c r="AW30" i="5"/>
  <c r="AX30" i="5"/>
  <c r="AY30" i="5"/>
  <c r="AZ30" i="5"/>
  <c r="BB30" i="5"/>
  <c r="BD30" i="5"/>
  <c r="BE30" i="5"/>
  <c r="BF30" i="5"/>
  <c r="BG30" i="5"/>
  <c r="L34" i="8" s="1"/>
  <c r="BH30" i="5"/>
  <c r="AH31" i="5"/>
  <c r="AI31" i="5"/>
  <c r="AJ31" i="5"/>
  <c r="AK31" i="5"/>
  <c r="AL31" i="5"/>
  <c r="AM31" i="5"/>
  <c r="AN31" i="5"/>
  <c r="AO31" i="5"/>
  <c r="AP31" i="5"/>
  <c r="AR31" i="5"/>
  <c r="AS31" i="5"/>
  <c r="AT31" i="5"/>
  <c r="AU31" i="5"/>
  <c r="AV31" i="5"/>
  <c r="AW31" i="5"/>
  <c r="AX31" i="5"/>
  <c r="AY31" i="5"/>
  <c r="AZ31" i="5"/>
  <c r="BB31" i="5"/>
  <c r="BD31" i="5"/>
  <c r="BE31" i="5"/>
  <c r="BF31" i="5"/>
  <c r="BG31" i="5"/>
  <c r="L35" i="8" s="1"/>
  <c r="BH31" i="5"/>
  <c r="AH32" i="5"/>
  <c r="AI32" i="5"/>
  <c r="AJ32" i="5"/>
  <c r="AK32" i="5"/>
  <c r="AL32" i="5"/>
  <c r="AM32" i="5"/>
  <c r="AN32" i="5"/>
  <c r="AO32" i="5"/>
  <c r="AP32" i="5"/>
  <c r="AR32" i="5"/>
  <c r="AS32" i="5"/>
  <c r="AT32" i="5"/>
  <c r="AU32" i="5"/>
  <c r="AV32" i="5"/>
  <c r="AW32" i="5"/>
  <c r="AX32" i="5"/>
  <c r="AY32" i="5"/>
  <c r="AZ32" i="5"/>
  <c r="BB32" i="5"/>
  <c r="BD32" i="5"/>
  <c r="BE32" i="5"/>
  <c r="BF32" i="5"/>
  <c r="BG32" i="5"/>
  <c r="L36" i="8" s="1"/>
  <c r="BH32" i="5"/>
  <c r="AH33" i="5"/>
  <c r="AI33" i="5"/>
  <c r="AJ33" i="5"/>
  <c r="AK33" i="5"/>
  <c r="AL33" i="5"/>
  <c r="AM33" i="5"/>
  <c r="AN33" i="5"/>
  <c r="AO33" i="5"/>
  <c r="AP33" i="5"/>
  <c r="AR33" i="5"/>
  <c r="AS33" i="5"/>
  <c r="AT33" i="5"/>
  <c r="AU33" i="5"/>
  <c r="AV33" i="5"/>
  <c r="AW33" i="5"/>
  <c r="AX33" i="5"/>
  <c r="AY33" i="5"/>
  <c r="AZ33" i="5"/>
  <c r="BB33" i="5"/>
  <c r="BD33" i="5"/>
  <c r="BE33" i="5"/>
  <c r="BF33" i="5"/>
  <c r="BG33" i="5"/>
  <c r="L37" i="8" s="1"/>
  <c r="BH33" i="5"/>
  <c r="AH34" i="5"/>
  <c r="AI34" i="5"/>
  <c r="AJ34" i="5"/>
  <c r="AK34" i="5"/>
  <c r="AL34" i="5"/>
  <c r="AM34" i="5"/>
  <c r="AN34" i="5"/>
  <c r="AO34" i="5"/>
  <c r="AP34" i="5"/>
  <c r="AR34" i="5"/>
  <c r="AS34" i="5"/>
  <c r="AT34" i="5"/>
  <c r="AU34" i="5"/>
  <c r="AV34" i="5"/>
  <c r="AW34" i="5"/>
  <c r="AX34" i="5"/>
  <c r="AY34" i="5"/>
  <c r="AZ34" i="5"/>
  <c r="BB34" i="5"/>
  <c r="BD34" i="5"/>
  <c r="BE34" i="5"/>
  <c r="BF34" i="5"/>
  <c r="BG34" i="5"/>
  <c r="L38" i="8" s="1"/>
  <c r="BH34" i="5"/>
  <c r="AH35" i="5"/>
  <c r="AI35" i="5"/>
  <c r="AJ35" i="5"/>
  <c r="AK35" i="5"/>
  <c r="AL35" i="5"/>
  <c r="AM35" i="5"/>
  <c r="AN35" i="5"/>
  <c r="AO35" i="5"/>
  <c r="AP35" i="5"/>
  <c r="AR35" i="5"/>
  <c r="AS35" i="5"/>
  <c r="AT35" i="5"/>
  <c r="AU35" i="5"/>
  <c r="AV35" i="5"/>
  <c r="AW35" i="5"/>
  <c r="AX35" i="5"/>
  <c r="AY35" i="5"/>
  <c r="AZ35" i="5"/>
  <c r="BB35" i="5"/>
  <c r="BD35" i="5"/>
  <c r="BE35" i="5"/>
  <c r="BF35" i="5"/>
  <c r="BG35" i="5"/>
  <c r="L39" i="8" s="1"/>
  <c r="BH35" i="5"/>
  <c r="AH36" i="5"/>
  <c r="AI36" i="5"/>
  <c r="AJ36" i="5"/>
  <c r="AK36" i="5"/>
  <c r="AL36" i="5"/>
  <c r="AM36" i="5"/>
  <c r="AN36" i="5"/>
  <c r="AO36" i="5"/>
  <c r="AP36" i="5"/>
  <c r="AR36" i="5"/>
  <c r="AS36" i="5"/>
  <c r="AT36" i="5"/>
  <c r="AU36" i="5"/>
  <c r="AV36" i="5"/>
  <c r="AW36" i="5"/>
  <c r="AX36" i="5"/>
  <c r="AY36" i="5"/>
  <c r="AZ36" i="5"/>
  <c r="BB36" i="5"/>
  <c r="BD36" i="5"/>
  <c r="BE36" i="5"/>
  <c r="BF36" i="5"/>
  <c r="BG36" i="5"/>
  <c r="L40" i="8" s="1"/>
  <c r="BH36" i="5"/>
  <c r="AH39" i="5"/>
  <c r="AI39" i="5"/>
  <c r="AJ39" i="5"/>
  <c r="AK39" i="5"/>
  <c r="AL39" i="5"/>
  <c r="AM39" i="5"/>
  <c r="AN39" i="5"/>
  <c r="AO39" i="5"/>
  <c r="AP39" i="5"/>
  <c r="AR39" i="5"/>
  <c r="AS39" i="5"/>
  <c r="AT39" i="5"/>
  <c r="AU39" i="5"/>
  <c r="AV39" i="5"/>
  <c r="AW39" i="5"/>
  <c r="AX39" i="5"/>
  <c r="AY39" i="5"/>
  <c r="AZ39" i="5"/>
  <c r="BB39" i="5"/>
  <c r="BD39" i="5"/>
  <c r="BE39" i="5"/>
  <c r="BF39" i="5"/>
  <c r="BG39" i="5"/>
  <c r="L43" i="8" s="1"/>
  <c r="BH39" i="5"/>
  <c r="AH40" i="5"/>
  <c r="AI40" i="5"/>
  <c r="AJ40" i="5"/>
  <c r="AK40" i="5"/>
  <c r="AL40" i="5"/>
  <c r="AM40" i="5"/>
  <c r="AN40" i="5"/>
  <c r="AO40" i="5"/>
  <c r="AP40" i="5"/>
  <c r="AR40" i="5"/>
  <c r="AS40" i="5"/>
  <c r="AT40" i="5"/>
  <c r="AU40" i="5"/>
  <c r="AV40" i="5"/>
  <c r="AW40" i="5"/>
  <c r="AX40" i="5"/>
  <c r="AY40" i="5"/>
  <c r="AZ40" i="5"/>
  <c r="BB40" i="5"/>
  <c r="BD40" i="5"/>
  <c r="BE40" i="5"/>
  <c r="BF40" i="5"/>
  <c r="BG40" i="5"/>
  <c r="L44" i="8" s="1"/>
  <c r="BH40" i="5"/>
  <c r="AH41" i="5"/>
  <c r="AI41" i="5"/>
  <c r="AJ41" i="5"/>
  <c r="AK41" i="5"/>
  <c r="AL41" i="5"/>
  <c r="AM41" i="5"/>
  <c r="AN41" i="5"/>
  <c r="AO41" i="5"/>
  <c r="AP41" i="5"/>
  <c r="AR41" i="5"/>
  <c r="AS41" i="5"/>
  <c r="AT41" i="5"/>
  <c r="AU41" i="5"/>
  <c r="AV41" i="5"/>
  <c r="AW41" i="5"/>
  <c r="AX41" i="5"/>
  <c r="AY41" i="5"/>
  <c r="AZ41" i="5"/>
  <c r="BB41" i="5"/>
  <c r="BD41" i="5"/>
  <c r="BE41" i="5"/>
  <c r="BF41" i="5"/>
  <c r="BG41" i="5"/>
  <c r="L45" i="8" s="1"/>
  <c r="BH41" i="5"/>
  <c r="AH42" i="5"/>
  <c r="AI42" i="5"/>
  <c r="AJ42" i="5"/>
  <c r="AK42" i="5"/>
  <c r="AL42" i="5"/>
  <c r="AM42" i="5"/>
  <c r="AN42" i="5"/>
  <c r="AO42" i="5"/>
  <c r="AP42" i="5"/>
  <c r="AR42" i="5"/>
  <c r="AS42" i="5"/>
  <c r="AT42" i="5"/>
  <c r="AU42" i="5"/>
  <c r="AV42" i="5"/>
  <c r="AW42" i="5"/>
  <c r="AX42" i="5"/>
  <c r="AY42" i="5"/>
  <c r="AZ42" i="5"/>
  <c r="BB42" i="5"/>
  <c r="BD42" i="5"/>
  <c r="BE42" i="5"/>
  <c r="BF42" i="5"/>
  <c r="BG42" i="5"/>
  <c r="L46" i="8" s="1"/>
  <c r="BH42" i="5"/>
  <c r="AH43" i="5"/>
  <c r="AI43" i="5"/>
  <c r="AJ43" i="5"/>
  <c r="AK43" i="5"/>
  <c r="AL43" i="5"/>
  <c r="AM43" i="5"/>
  <c r="AN43" i="5"/>
  <c r="AO43" i="5"/>
  <c r="AP43" i="5"/>
  <c r="AR43" i="5"/>
  <c r="AS43" i="5"/>
  <c r="AT43" i="5"/>
  <c r="AU43" i="5"/>
  <c r="AV43" i="5"/>
  <c r="AW43" i="5"/>
  <c r="AX43" i="5"/>
  <c r="AY43" i="5"/>
  <c r="AZ43" i="5"/>
  <c r="BB43" i="5"/>
  <c r="BD43" i="5"/>
  <c r="BE43" i="5"/>
  <c r="BF43" i="5"/>
  <c r="BG43" i="5"/>
  <c r="L47" i="8" s="1"/>
  <c r="BH43" i="5"/>
  <c r="AH44" i="5"/>
  <c r="AI44" i="5"/>
  <c r="AJ44" i="5"/>
  <c r="AK44" i="5"/>
  <c r="AL44" i="5"/>
  <c r="AM44" i="5"/>
  <c r="AN44" i="5"/>
  <c r="AO44" i="5"/>
  <c r="AP44" i="5"/>
  <c r="AR44" i="5"/>
  <c r="AS44" i="5"/>
  <c r="AT44" i="5"/>
  <c r="AU44" i="5"/>
  <c r="AV44" i="5"/>
  <c r="AW44" i="5"/>
  <c r="AX44" i="5"/>
  <c r="AY44" i="5"/>
  <c r="AZ44" i="5"/>
  <c r="BB44" i="5"/>
  <c r="BD44" i="5"/>
  <c r="BE44" i="5"/>
  <c r="BF44" i="5"/>
  <c r="BG44" i="5"/>
  <c r="L48" i="8" s="1"/>
  <c r="BH44" i="5"/>
  <c r="AH45" i="5"/>
  <c r="AI45" i="5"/>
  <c r="AJ45" i="5"/>
  <c r="AK45" i="5"/>
  <c r="AL45" i="5"/>
  <c r="AM45" i="5"/>
  <c r="AN45" i="5"/>
  <c r="AO45" i="5"/>
  <c r="AP45" i="5"/>
  <c r="AR45" i="5"/>
  <c r="AS45" i="5"/>
  <c r="AT45" i="5"/>
  <c r="AU45" i="5"/>
  <c r="AV45" i="5"/>
  <c r="AW45" i="5"/>
  <c r="AX45" i="5"/>
  <c r="AY45" i="5"/>
  <c r="AZ45" i="5"/>
  <c r="BB45" i="5"/>
  <c r="BD45" i="5"/>
  <c r="BE45" i="5"/>
  <c r="BF45" i="5"/>
  <c r="BG45" i="5"/>
  <c r="L49" i="8" s="1"/>
  <c r="BH45" i="5"/>
  <c r="AH46" i="5"/>
  <c r="AI46" i="5"/>
  <c r="AJ46" i="5"/>
  <c r="AK46" i="5"/>
  <c r="AL46" i="5"/>
  <c r="AM46" i="5"/>
  <c r="AN46" i="5"/>
  <c r="AO46" i="5"/>
  <c r="AP46" i="5"/>
  <c r="AR46" i="5"/>
  <c r="AS46" i="5"/>
  <c r="AT46" i="5"/>
  <c r="AU46" i="5"/>
  <c r="AV46" i="5"/>
  <c r="AW46" i="5"/>
  <c r="AX46" i="5"/>
  <c r="AY46" i="5"/>
  <c r="AZ46" i="5"/>
  <c r="BB46" i="5"/>
  <c r="BD46" i="5"/>
  <c r="BE46" i="5"/>
  <c r="BF46" i="5"/>
  <c r="BG46" i="5"/>
  <c r="L50" i="8" s="1"/>
  <c r="BH46" i="5"/>
  <c r="AH47" i="5"/>
  <c r="AI47" i="5"/>
  <c r="AJ47" i="5"/>
  <c r="AK47" i="5"/>
  <c r="AL47" i="5"/>
  <c r="AM47" i="5"/>
  <c r="AN47" i="5"/>
  <c r="AO47" i="5"/>
  <c r="AP47" i="5"/>
  <c r="AR47" i="5"/>
  <c r="AS47" i="5"/>
  <c r="AT47" i="5"/>
  <c r="AU47" i="5"/>
  <c r="AV47" i="5"/>
  <c r="AW47" i="5"/>
  <c r="AX47" i="5"/>
  <c r="AY47" i="5"/>
  <c r="AZ47" i="5"/>
  <c r="BB47" i="5"/>
  <c r="BD47" i="5"/>
  <c r="BE47" i="5"/>
  <c r="BF47" i="5"/>
  <c r="BG47" i="5"/>
  <c r="L51" i="8" s="1"/>
  <c r="BH47" i="5"/>
  <c r="AH48" i="5"/>
  <c r="AI48" i="5"/>
  <c r="AJ48" i="5"/>
  <c r="AK48" i="5"/>
  <c r="AL48" i="5"/>
  <c r="AM48" i="5"/>
  <c r="AN48" i="5"/>
  <c r="AO48" i="5"/>
  <c r="AP48" i="5"/>
  <c r="AR48" i="5"/>
  <c r="AS48" i="5"/>
  <c r="AT48" i="5"/>
  <c r="AU48" i="5"/>
  <c r="AV48" i="5"/>
  <c r="AW48" i="5"/>
  <c r="AX48" i="5"/>
  <c r="AY48" i="5"/>
  <c r="AZ48" i="5"/>
  <c r="BB48" i="5"/>
  <c r="BD48" i="5"/>
  <c r="BE48" i="5"/>
  <c r="BF48" i="5"/>
  <c r="BG48" i="5"/>
  <c r="L52" i="8" s="1"/>
  <c r="BH48" i="5"/>
  <c r="AH49" i="5"/>
  <c r="AI49" i="5"/>
  <c r="AJ49" i="5"/>
  <c r="AK49" i="5"/>
  <c r="AL49" i="5"/>
  <c r="AM49" i="5"/>
  <c r="AN49" i="5"/>
  <c r="AO49" i="5"/>
  <c r="AP49" i="5"/>
  <c r="AR49" i="5"/>
  <c r="AS49" i="5"/>
  <c r="AT49" i="5"/>
  <c r="AU49" i="5"/>
  <c r="AV49" i="5"/>
  <c r="AW49" i="5"/>
  <c r="AX49" i="5"/>
  <c r="AY49" i="5"/>
  <c r="AZ49" i="5"/>
  <c r="BB49" i="5"/>
  <c r="BD49" i="5"/>
  <c r="BE49" i="5"/>
  <c r="BF49" i="5"/>
  <c r="BG49" i="5"/>
  <c r="L53" i="8" s="1"/>
  <c r="BH49" i="5"/>
  <c r="AH50" i="5"/>
  <c r="AI50" i="5"/>
  <c r="AJ50" i="5"/>
  <c r="AK50" i="5"/>
  <c r="AL50" i="5"/>
  <c r="AM50" i="5"/>
  <c r="AN50" i="5"/>
  <c r="AO50" i="5"/>
  <c r="AP50" i="5"/>
  <c r="AR50" i="5"/>
  <c r="AS50" i="5"/>
  <c r="AT50" i="5"/>
  <c r="AU50" i="5"/>
  <c r="AV50" i="5"/>
  <c r="AW50" i="5"/>
  <c r="AX50" i="5"/>
  <c r="AY50" i="5"/>
  <c r="AZ50" i="5"/>
  <c r="BB50" i="5"/>
  <c r="BD50" i="5"/>
  <c r="BE50" i="5"/>
  <c r="BF50" i="5"/>
  <c r="BG50" i="5"/>
  <c r="L54" i="8" s="1"/>
  <c r="BH50" i="5"/>
  <c r="AH53" i="5"/>
  <c r="AI53" i="5"/>
  <c r="AJ53" i="5"/>
  <c r="AK53" i="5"/>
  <c r="AL53" i="5"/>
  <c r="AM53" i="5"/>
  <c r="AN53" i="5"/>
  <c r="AO53" i="5"/>
  <c r="AP53" i="5"/>
  <c r="AR53" i="5"/>
  <c r="AS53" i="5"/>
  <c r="AT53" i="5"/>
  <c r="AU53" i="5"/>
  <c r="AV53" i="5"/>
  <c r="AW53" i="5"/>
  <c r="AX53" i="5"/>
  <c r="AY53" i="5"/>
  <c r="AZ53" i="5"/>
  <c r="BB53" i="5"/>
  <c r="BD53" i="5"/>
  <c r="BE53" i="5"/>
  <c r="BF53" i="5"/>
  <c r="BG53" i="5"/>
  <c r="L57" i="8" s="1"/>
  <c r="BH53" i="5"/>
  <c r="AH54" i="5"/>
  <c r="AI54" i="5"/>
  <c r="AJ54" i="5"/>
  <c r="AK54" i="5"/>
  <c r="AL54" i="5"/>
  <c r="AM54" i="5"/>
  <c r="AN54" i="5"/>
  <c r="AO54" i="5"/>
  <c r="AP54" i="5"/>
  <c r="AR54" i="5"/>
  <c r="AS54" i="5"/>
  <c r="AT54" i="5"/>
  <c r="AU54" i="5"/>
  <c r="AV54" i="5"/>
  <c r="AW54" i="5"/>
  <c r="AX54" i="5"/>
  <c r="AY54" i="5"/>
  <c r="AZ54" i="5"/>
  <c r="BB54" i="5"/>
  <c r="BD54" i="5"/>
  <c r="BE54" i="5"/>
  <c r="BF54" i="5"/>
  <c r="BG54" i="5"/>
  <c r="L58" i="8" s="1"/>
  <c r="BH54" i="5"/>
  <c r="AH55" i="5"/>
  <c r="AI55" i="5"/>
  <c r="AJ55" i="5"/>
  <c r="AK55" i="5"/>
  <c r="AL55" i="5"/>
  <c r="AM55" i="5"/>
  <c r="AN55" i="5"/>
  <c r="AO55" i="5"/>
  <c r="AP55" i="5"/>
  <c r="AR55" i="5"/>
  <c r="AS55" i="5"/>
  <c r="AT55" i="5"/>
  <c r="AU55" i="5"/>
  <c r="AV55" i="5"/>
  <c r="AW55" i="5"/>
  <c r="AX55" i="5"/>
  <c r="AY55" i="5"/>
  <c r="AZ55" i="5"/>
  <c r="BB55" i="5"/>
  <c r="BD55" i="5"/>
  <c r="BE55" i="5"/>
  <c r="BF55" i="5"/>
  <c r="BG55" i="5"/>
  <c r="L59" i="8" s="1"/>
  <c r="BH55" i="5"/>
  <c r="AH56" i="5"/>
  <c r="AI56" i="5"/>
  <c r="AJ56" i="5"/>
  <c r="AK56" i="5"/>
  <c r="AL56" i="5"/>
  <c r="AM56" i="5"/>
  <c r="AN56" i="5"/>
  <c r="AO56" i="5"/>
  <c r="AP56" i="5"/>
  <c r="AR56" i="5"/>
  <c r="AS56" i="5"/>
  <c r="AT56" i="5"/>
  <c r="AU56" i="5"/>
  <c r="AV56" i="5"/>
  <c r="AW56" i="5"/>
  <c r="AX56" i="5"/>
  <c r="AY56" i="5"/>
  <c r="AZ56" i="5"/>
  <c r="BB56" i="5"/>
  <c r="BD56" i="5"/>
  <c r="BE56" i="5"/>
  <c r="BF56" i="5"/>
  <c r="BG56" i="5"/>
  <c r="L60" i="8" s="1"/>
  <c r="BH56" i="5"/>
  <c r="AH57" i="5"/>
  <c r="AI57" i="5"/>
  <c r="AJ57" i="5"/>
  <c r="AK57" i="5"/>
  <c r="AL57" i="5"/>
  <c r="AM57" i="5"/>
  <c r="AN57" i="5"/>
  <c r="AO57" i="5"/>
  <c r="AP57" i="5"/>
  <c r="AR57" i="5"/>
  <c r="AS57" i="5"/>
  <c r="AT57" i="5"/>
  <c r="AU57" i="5"/>
  <c r="AV57" i="5"/>
  <c r="AW57" i="5"/>
  <c r="AX57" i="5"/>
  <c r="AY57" i="5"/>
  <c r="AZ57" i="5"/>
  <c r="BB57" i="5"/>
  <c r="BD57" i="5"/>
  <c r="BE57" i="5"/>
  <c r="BF57" i="5"/>
  <c r="BG57" i="5"/>
  <c r="L61" i="8" s="1"/>
  <c r="BH57" i="5"/>
  <c r="AH58" i="5"/>
  <c r="AI58" i="5"/>
  <c r="AJ58" i="5"/>
  <c r="AK58" i="5"/>
  <c r="AL58" i="5"/>
  <c r="AM58" i="5"/>
  <c r="AN58" i="5"/>
  <c r="AO58" i="5"/>
  <c r="AP58" i="5"/>
  <c r="AR58" i="5"/>
  <c r="AS58" i="5"/>
  <c r="AT58" i="5"/>
  <c r="AU58" i="5"/>
  <c r="AV58" i="5"/>
  <c r="AW58" i="5"/>
  <c r="AX58" i="5"/>
  <c r="AY58" i="5"/>
  <c r="AZ58" i="5"/>
  <c r="BB58" i="5"/>
  <c r="BD58" i="5"/>
  <c r="BE58" i="5"/>
  <c r="BF58" i="5"/>
  <c r="BG58" i="5"/>
  <c r="L62" i="8" s="1"/>
  <c r="BH58" i="5"/>
  <c r="AH59" i="5"/>
  <c r="AI59" i="5"/>
  <c r="AJ59" i="5"/>
  <c r="AK59" i="5"/>
  <c r="AL59" i="5"/>
  <c r="AM59" i="5"/>
  <c r="AN59" i="5"/>
  <c r="AO59" i="5"/>
  <c r="AP59" i="5"/>
  <c r="AR59" i="5"/>
  <c r="AS59" i="5"/>
  <c r="AT59" i="5"/>
  <c r="AU59" i="5"/>
  <c r="AV59" i="5"/>
  <c r="AW59" i="5"/>
  <c r="AX59" i="5"/>
  <c r="AY59" i="5"/>
  <c r="AZ59" i="5"/>
  <c r="BB59" i="5"/>
  <c r="BD59" i="5"/>
  <c r="BE59" i="5"/>
  <c r="BF59" i="5"/>
  <c r="BG59" i="5"/>
  <c r="L63" i="8" s="1"/>
  <c r="BH59" i="5"/>
  <c r="AH60" i="5"/>
  <c r="AI60" i="5"/>
  <c r="AJ60" i="5"/>
  <c r="AK60" i="5"/>
  <c r="AL60" i="5"/>
  <c r="AM60" i="5"/>
  <c r="AN60" i="5"/>
  <c r="AO60" i="5"/>
  <c r="AP60" i="5"/>
  <c r="AR60" i="5"/>
  <c r="AS60" i="5"/>
  <c r="AT60" i="5"/>
  <c r="AU60" i="5"/>
  <c r="AV60" i="5"/>
  <c r="AW60" i="5"/>
  <c r="AX60" i="5"/>
  <c r="AY60" i="5"/>
  <c r="AZ60" i="5"/>
  <c r="BB60" i="5"/>
  <c r="BD60" i="5"/>
  <c r="BE60" i="5"/>
  <c r="BF60" i="5"/>
  <c r="BG60" i="5"/>
  <c r="L64" i="8" s="1"/>
  <c r="BH60" i="5"/>
  <c r="AH61" i="5"/>
  <c r="AI61" i="5"/>
  <c r="AJ61" i="5"/>
  <c r="AK61" i="5"/>
  <c r="AL61" i="5"/>
  <c r="AM61" i="5"/>
  <c r="AN61" i="5"/>
  <c r="AO61" i="5"/>
  <c r="AP61" i="5"/>
  <c r="AR61" i="5"/>
  <c r="AS61" i="5"/>
  <c r="AT61" i="5"/>
  <c r="AU61" i="5"/>
  <c r="AV61" i="5"/>
  <c r="AW61" i="5"/>
  <c r="AX61" i="5"/>
  <c r="AY61" i="5"/>
  <c r="AZ61" i="5"/>
  <c r="BB61" i="5"/>
  <c r="BD61" i="5"/>
  <c r="BE61" i="5"/>
  <c r="BF61" i="5"/>
  <c r="BG61" i="5"/>
  <c r="L65" i="8" s="1"/>
  <c r="BH61" i="5"/>
  <c r="AH62" i="5"/>
  <c r="AI62" i="5"/>
  <c r="AJ62" i="5"/>
  <c r="AK62" i="5"/>
  <c r="AL62" i="5"/>
  <c r="AM62" i="5"/>
  <c r="AN62" i="5"/>
  <c r="AO62" i="5"/>
  <c r="AP62" i="5"/>
  <c r="AR62" i="5"/>
  <c r="AS62" i="5"/>
  <c r="AT62" i="5"/>
  <c r="AU62" i="5"/>
  <c r="AV62" i="5"/>
  <c r="AW62" i="5"/>
  <c r="AX62" i="5"/>
  <c r="AY62" i="5"/>
  <c r="AZ62" i="5"/>
  <c r="BB62" i="5"/>
  <c r="BD62" i="5"/>
  <c r="BE62" i="5"/>
  <c r="BF62" i="5"/>
  <c r="BG62" i="5"/>
  <c r="L66" i="8" s="1"/>
  <c r="BH62" i="5"/>
  <c r="D6" i="5"/>
  <c r="F6" i="5"/>
  <c r="I6" i="5"/>
  <c r="J6" i="5"/>
  <c r="K6" i="5"/>
  <c r="N6" i="5"/>
  <c r="O6" i="5"/>
  <c r="P6" i="5"/>
  <c r="Q6" i="5"/>
  <c r="R6" i="5"/>
  <c r="S6" i="5"/>
  <c r="T6" i="5"/>
  <c r="U6" i="5"/>
  <c r="W6" i="5"/>
  <c r="Y6" i="5"/>
  <c r="Z6" i="5"/>
  <c r="AA6" i="5"/>
  <c r="AB6" i="5"/>
  <c r="K10" i="8" s="1"/>
  <c r="AC6" i="5"/>
  <c r="D7" i="5"/>
  <c r="I7" i="5"/>
  <c r="J7" i="5"/>
  <c r="K7" i="5"/>
  <c r="N7" i="5"/>
  <c r="O7" i="5"/>
  <c r="P7" i="5"/>
  <c r="Q7" i="5"/>
  <c r="R7" i="5"/>
  <c r="S7" i="5"/>
  <c r="T7" i="5"/>
  <c r="U7" i="5"/>
  <c r="W7" i="5"/>
  <c r="Y7" i="5"/>
  <c r="Z7" i="5"/>
  <c r="AA7" i="5"/>
  <c r="AB7" i="5"/>
  <c r="K11" i="8" s="1"/>
  <c r="AC7" i="5"/>
  <c r="C8" i="5"/>
  <c r="D8" i="5"/>
  <c r="E8" i="5"/>
  <c r="I8" i="5"/>
  <c r="J8" i="5"/>
  <c r="K8" i="5"/>
  <c r="N8" i="5"/>
  <c r="O8" i="5"/>
  <c r="P8" i="5"/>
  <c r="Q8" i="5"/>
  <c r="R8" i="5"/>
  <c r="S8" i="5"/>
  <c r="T8" i="5"/>
  <c r="U8" i="5"/>
  <c r="W8" i="5"/>
  <c r="Y8" i="5"/>
  <c r="Z8" i="5"/>
  <c r="AA8" i="5"/>
  <c r="AB8" i="5"/>
  <c r="K12" i="8" s="1"/>
  <c r="AC8" i="5"/>
  <c r="F9" i="5"/>
  <c r="I9" i="5"/>
  <c r="J9" i="5"/>
  <c r="K9" i="5"/>
  <c r="N9" i="5"/>
  <c r="O9" i="5"/>
  <c r="P9" i="5"/>
  <c r="Q9" i="5"/>
  <c r="R9" i="5"/>
  <c r="S9" i="5"/>
  <c r="T9" i="5"/>
  <c r="U9" i="5"/>
  <c r="W9" i="5"/>
  <c r="Y9" i="5"/>
  <c r="Z9" i="5"/>
  <c r="AA9" i="5"/>
  <c r="AB9" i="5"/>
  <c r="K13" i="8" s="1"/>
  <c r="AC9" i="5"/>
  <c r="I10" i="5"/>
  <c r="J10" i="5"/>
  <c r="K10" i="5"/>
  <c r="N10" i="5"/>
  <c r="O10" i="5"/>
  <c r="P10" i="5"/>
  <c r="Q10" i="5"/>
  <c r="R10" i="5"/>
  <c r="S10" i="5"/>
  <c r="T10" i="5"/>
  <c r="U10" i="5"/>
  <c r="W10" i="5"/>
  <c r="Y10" i="5"/>
  <c r="Z10" i="5"/>
  <c r="AA10" i="5"/>
  <c r="AB10" i="5"/>
  <c r="K14" i="8" s="1"/>
  <c r="AC10" i="5"/>
  <c r="D11" i="5"/>
  <c r="F11" i="5"/>
  <c r="I11" i="5"/>
  <c r="J11" i="5"/>
  <c r="K11" i="5"/>
  <c r="N11" i="5"/>
  <c r="O11" i="5"/>
  <c r="P11" i="5"/>
  <c r="Q11" i="5"/>
  <c r="R11" i="5"/>
  <c r="S11" i="5"/>
  <c r="T11" i="5"/>
  <c r="U11" i="5"/>
  <c r="W11" i="5"/>
  <c r="Y11" i="5"/>
  <c r="Z11" i="5"/>
  <c r="AA11" i="5"/>
  <c r="AB11" i="5"/>
  <c r="K15" i="8" s="1"/>
  <c r="AC11" i="5"/>
  <c r="I12" i="5"/>
  <c r="J12" i="5"/>
  <c r="K12" i="5"/>
  <c r="N12" i="5"/>
  <c r="O12" i="5"/>
  <c r="P12" i="5"/>
  <c r="Q12" i="5"/>
  <c r="R12" i="5"/>
  <c r="S12" i="5"/>
  <c r="T12" i="5"/>
  <c r="U12" i="5"/>
  <c r="W12" i="5"/>
  <c r="Y12" i="5"/>
  <c r="Z12" i="5"/>
  <c r="AA12" i="5"/>
  <c r="AB12" i="5"/>
  <c r="K16" i="8" s="1"/>
  <c r="AC12" i="5"/>
  <c r="I13" i="5"/>
  <c r="J13" i="5"/>
  <c r="K13" i="5"/>
  <c r="N13" i="5"/>
  <c r="O13" i="5"/>
  <c r="P13" i="5"/>
  <c r="Q13" i="5"/>
  <c r="R13" i="5"/>
  <c r="S13" i="5"/>
  <c r="T13" i="5"/>
  <c r="U13" i="5"/>
  <c r="W13" i="5"/>
  <c r="Y13" i="5"/>
  <c r="Z13" i="5"/>
  <c r="AA13" i="5"/>
  <c r="AB13" i="5"/>
  <c r="K17" i="8" s="1"/>
  <c r="AC13" i="5"/>
  <c r="D14" i="5"/>
  <c r="I14" i="5"/>
  <c r="J14" i="5"/>
  <c r="K14" i="5"/>
  <c r="N14" i="5"/>
  <c r="O14" i="5"/>
  <c r="P14" i="5"/>
  <c r="Q14" i="5"/>
  <c r="R14" i="5"/>
  <c r="S14" i="5"/>
  <c r="T14" i="5"/>
  <c r="U14" i="5"/>
  <c r="W14" i="5"/>
  <c r="Y14" i="5"/>
  <c r="Z14" i="5"/>
  <c r="AA14" i="5"/>
  <c r="AB14" i="5"/>
  <c r="K18" i="8" s="1"/>
  <c r="AC14" i="5"/>
  <c r="D15" i="5"/>
  <c r="F15" i="5"/>
  <c r="I15" i="5"/>
  <c r="J15" i="5"/>
  <c r="K15" i="5"/>
  <c r="N15" i="5"/>
  <c r="O15" i="5"/>
  <c r="P15" i="5"/>
  <c r="Q15" i="5"/>
  <c r="R15" i="5"/>
  <c r="S15" i="5"/>
  <c r="T15" i="5"/>
  <c r="U15" i="5"/>
  <c r="W15" i="5"/>
  <c r="Y15" i="5"/>
  <c r="Z15" i="5"/>
  <c r="AA15" i="5"/>
  <c r="AB15" i="5"/>
  <c r="K19" i="8" s="1"/>
  <c r="AC15" i="5"/>
  <c r="D16" i="5"/>
  <c r="F16" i="5"/>
  <c r="I16" i="5"/>
  <c r="J16" i="5"/>
  <c r="K16" i="5"/>
  <c r="N16" i="5"/>
  <c r="O16" i="5"/>
  <c r="P16" i="5"/>
  <c r="Q16" i="5"/>
  <c r="R16" i="5"/>
  <c r="S16" i="5"/>
  <c r="T16" i="5"/>
  <c r="U16" i="5"/>
  <c r="W16" i="5"/>
  <c r="Y16" i="5"/>
  <c r="Z16" i="5"/>
  <c r="AA16" i="5"/>
  <c r="AB16" i="5"/>
  <c r="K20" i="8" s="1"/>
  <c r="AC16" i="5"/>
  <c r="D17" i="5"/>
  <c r="F17" i="5"/>
  <c r="I17" i="5"/>
  <c r="J17" i="5"/>
  <c r="K17" i="5"/>
  <c r="N17" i="5"/>
  <c r="O17" i="5"/>
  <c r="P17" i="5"/>
  <c r="Q17" i="5"/>
  <c r="R17" i="5"/>
  <c r="S17" i="5"/>
  <c r="T17" i="5"/>
  <c r="U17" i="5"/>
  <c r="W17" i="5"/>
  <c r="Y17" i="5"/>
  <c r="Z17" i="5"/>
  <c r="AA17" i="5"/>
  <c r="AB17" i="5"/>
  <c r="K21" i="8" s="1"/>
  <c r="AC17" i="5"/>
  <c r="F18" i="5"/>
  <c r="I18" i="5"/>
  <c r="J18" i="5"/>
  <c r="K18" i="5"/>
  <c r="N18" i="5"/>
  <c r="O18" i="5"/>
  <c r="P18" i="5"/>
  <c r="Q18" i="5"/>
  <c r="R18" i="5"/>
  <c r="S18" i="5"/>
  <c r="T18" i="5"/>
  <c r="U18" i="5"/>
  <c r="W18" i="5"/>
  <c r="Y18" i="5"/>
  <c r="Z18" i="5"/>
  <c r="AA18" i="5"/>
  <c r="AB18" i="5"/>
  <c r="K22" i="8" s="1"/>
  <c r="AC18" i="5"/>
  <c r="D19" i="5"/>
  <c r="F19" i="5"/>
  <c r="I19" i="5"/>
  <c r="J19" i="5"/>
  <c r="K19" i="5"/>
  <c r="N19" i="5"/>
  <c r="O19" i="5"/>
  <c r="P19" i="5"/>
  <c r="Q19" i="5"/>
  <c r="R19" i="5"/>
  <c r="S19" i="5"/>
  <c r="T19" i="5"/>
  <c r="U19" i="5"/>
  <c r="W19" i="5"/>
  <c r="Y19" i="5"/>
  <c r="Z19" i="5"/>
  <c r="AA19" i="5"/>
  <c r="AB19" i="5"/>
  <c r="K23" i="8" s="1"/>
  <c r="AC19" i="5"/>
  <c r="D20" i="5"/>
  <c r="F20" i="5"/>
  <c r="I20" i="5"/>
  <c r="J20" i="5"/>
  <c r="K20" i="5"/>
  <c r="N20" i="5"/>
  <c r="O20" i="5"/>
  <c r="P20" i="5"/>
  <c r="Q20" i="5"/>
  <c r="R20" i="5"/>
  <c r="S20" i="5"/>
  <c r="T20" i="5"/>
  <c r="U20" i="5"/>
  <c r="W20" i="5"/>
  <c r="Y20" i="5"/>
  <c r="Z20" i="5"/>
  <c r="AA20" i="5"/>
  <c r="AB20" i="5"/>
  <c r="K24" i="8" s="1"/>
  <c r="AC20" i="5"/>
  <c r="D21" i="5"/>
  <c r="F21" i="5"/>
  <c r="I21" i="5"/>
  <c r="J21" i="5"/>
  <c r="K21" i="5"/>
  <c r="N21" i="5"/>
  <c r="O21" i="5"/>
  <c r="P21" i="5"/>
  <c r="Q21" i="5"/>
  <c r="R21" i="5"/>
  <c r="S21" i="5"/>
  <c r="T21" i="5"/>
  <c r="U21" i="5"/>
  <c r="W21" i="5"/>
  <c r="Y21" i="5"/>
  <c r="Z21" i="5"/>
  <c r="AA21" i="5"/>
  <c r="AB21" i="5"/>
  <c r="K25" i="8" s="1"/>
  <c r="AC21" i="5"/>
  <c r="C24" i="5"/>
  <c r="D24" i="5"/>
  <c r="E24" i="5"/>
  <c r="F24" i="5"/>
  <c r="G24" i="5"/>
  <c r="H24" i="5"/>
  <c r="I24" i="5"/>
  <c r="J24" i="5"/>
  <c r="K24" i="5"/>
  <c r="N24" i="5"/>
  <c r="O24" i="5"/>
  <c r="P24" i="5"/>
  <c r="Q24" i="5"/>
  <c r="R24" i="5"/>
  <c r="S24" i="5"/>
  <c r="T24" i="5"/>
  <c r="U24" i="5"/>
  <c r="W24" i="5"/>
  <c r="Y24" i="5"/>
  <c r="Z24" i="5"/>
  <c r="AA24" i="5"/>
  <c r="AB24" i="5"/>
  <c r="K28" i="8" s="1"/>
  <c r="AC24" i="5"/>
  <c r="C25" i="5"/>
  <c r="D25" i="5"/>
  <c r="E25" i="5"/>
  <c r="F25" i="5"/>
  <c r="G25" i="5"/>
  <c r="H25" i="5"/>
  <c r="I25" i="5"/>
  <c r="J25" i="5"/>
  <c r="K25" i="5"/>
  <c r="N25" i="5"/>
  <c r="O25" i="5"/>
  <c r="P25" i="5"/>
  <c r="Q25" i="5"/>
  <c r="R25" i="5"/>
  <c r="S25" i="5"/>
  <c r="T25" i="5"/>
  <c r="U25" i="5"/>
  <c r="W25" i="5"/>
  <c r="Y25" i="5"/>
  <c r="Z25" i="5"/>
  <c r="AA25" i="5"/>
  <c r="AB25" i="5"/>
  <c r="K29" i="8" s="1"/>
  <c r="AC25" i="5"/>
  <c r="C26" i="5"/>
  <c r="D26" i="5"/>
  <c r="E26" i="5"/>
  <c r="F26" i="5"/>
  <c r="G26" i="5"/>
  <c r="H26" i="5"/>
  <c r="I26" i="5"/>
  <c r="J26" i="5"/>
  <c r="K26" i="5"/>
  <c r="N26" i="5"/>
  <c r="O26" i="5"/>
  <c r="P26" i="5"/>
  <c r="Q26" i="5"/>
  <c r="R26" i="5"/>
  <c r="S26" i="5"/>
  <c r="T26" i="5"/>
  <c r="U26" i="5"/>
  <c r="W26" i="5"/>
  <c r="Y26" i="5"/>
  <c r="Z26" i="5"/>
  <c r="AA26" i="5"/>
  <c r="AB26" i="5"/>
  <c r="K30" i="8" s="1"/>
  <c r="AC26" i="5"/>
  <c r="C27" i="5"/>
  <c r="D27" i="5"/>
  <c r="E27" i="5"/>
  <c r="F27" i="5"/>
  <c r="G27" i="5"/>
  <c r="H27" i="5"/>
  <c r="I27" i="5"/>
  <c r="J27" i="5"/>
  <c r="K27" i="5"/>
  <c r="N27" i="5"/>
  <c r="O27" i="5"/>
  <c r="P27" i="5"/>
  <c r="Q27" i="5"/>
  <c r="R27" i="5"/>
  <c r="S27" i="5"/>
  <c r="T27" i="5"/>
  <c r="U27" i="5"/>
  <c r="W27" i="5"/>
  <c r="Y27" i="5"/>
  <c r="Z27" i="5"/>
  <c r="AA27" i="5"/>
  <c r="AB27" i="5"/>
  <c r="K31" i="8" s="1"/>
  <c r="AC27" i="5"/>
  <c r="C28" i="5"/>
  <c r="D28" i="5"/>
  <c r="E28" i="5"/>
  <c r="F28" i="5"/>
  <c r="G28" i="5"/>
  <c r="H28" i="5"/>
  <c r="I28" i="5"/>
  <c r="J28" i="5"/>
  <c r="K28" i="5"/>
  <c r="N28" i="5"/>
  <c r="O28" i="5"/>
  <c r="P28" i="5"/>
  <c r="Q28" i="5"/>
  <c r="R28" i="5"/>
  <c r="S28" i="5"/>
  <c r="T28" i="5"/>
  <c r="U28" i="5"/>
  <c r="W28" i="5"/>
  <c r="Y28" i="5"/>
  <c r="Z28" i="5"/>
  <c r="AA28" i="5"/>
  <c r="AB28" i="5"/>
  <c r="K32" i="8" s="1"/>
  <c r="AC28" i="5"/>
  <c r="C29" i="5"/>
  <c r="D29" i="5"/>
  <c r="E29" i="5"/>
  <c r="F29" i="5"/>
  <c r="G29" i="5"/>
  <c r="H29" i="5"/>
  <c r="I29" i="5"/>
  <c r="J29" i="5"/>
  <c r="K29" i="5"/>
  <c r="N29" i="5"/>
  <c r="O29" i="5"/>
  <c r="P29" i="5"/>
  <c r="Q29" i="5"/>
  <c r="R29" i="5"/>
  <c r="S29" i="5"/>
  <c r="T29" i="5"/>
  <c r="U29" i="5"/>
  <c r="W29" i="5"/>
  <c r="Y29" i="5"/>
  <c r="Z29" i="5"/>
  <c r="AA29" i="5"/>
  <c r="AB29" i="5"/>
  <c r="K33" i="8" s="1"/>
  <c r="AC29" i="5"/>
  <c r="C30" i="5"/>
  <c r="D30" i="5"/>
  <c r="E30" i="5"/>
  <c r="F30" i="5"/>
  <c r="G30" i="5"/>
  <c r="H30" i="5"/>
  <c r="I30" i="5"/>
  <c r="J30" i="5"/>
  <c r="K30" i="5"/>
  <c r="N30" i="5"/>
  <c r="O30" i="5"/>
  <c r="P30" i="5"/>
  <c r="Q30" i="5"/>
  <c r="R30" i="5"/>
  <c r="S30" i="5"/>
  <c r="T30" i="5"/>
  <c r="U30" i="5"/>
  <c r="W30" i="5"/>
  <c r="Y30" i="5"/>
  <c r="Z30" i="5"/>
  <c r="AA30" i="5"/>
  <c r="AB30" i="5"/>
  <c r="K34" i="8" s="1"/>
  <c r="AC30" i="5"/>
  <c r="C31" i="5"/>
  <c r="D31" i="5"/>
  <c r="E31" i="5"/>
  <c r="F31" i="5"/>
  <c r="G31" i="5"/>
  <c r="H31" i="5"/>
  <c r="I31" i="5"/>
  <c r="J31" i="5"/>
  <c r="K31" i="5"/>
  <c r="N31" i="5"/>
  <c r="O31" i="5"/>
  <c r="P31" i="5"/>
  <c r="Q31" i="5"/>
  <c r="R31" i="5"/>
  <c r="S31" i="5"/>
  <c r="T31" i="5"/>
  <c r="U31" i="5"/>
  <c r="W31" i="5"/>
  <c r="Y31" i="5"/>
  <c r="Z31" i="5"/>
  <c r="AA31" i="5"/>
  <c r="AB31" i="5"/>
  <c r="K35" i="8" s="1"/>
  <c r="AC31" i="5"/>
  <c r="C32" i="5"/>
  <c r="D32" i="5"/>
  <c r="E32" i="5"/>
  <c r="F32" i="5"/>
  <c r="G32" i="5"/>
  <c r="H32" i="5"/>
  <c r="I32" i="5"/>
  <c r="J32" i="5"/>
  <c r="K32" i="5"/>
  <c r="N32" i="5"/>
  <c r="O32" i="5"/>
  <c r="P32" i="5"/>
  <c r="Q32" i="5"/>
  <c r="R32" i="5"/>
  <c r="S32" i="5"/>
  <c r="T32" i="5"/>
  <c r="U32" i="5"/>
  <c r="W32" i="5"/>
  <c r="Y32" i="5"/>
  <c r="Z32" i="5"/>
  <c r="AA32" i="5"/>
  <c r="AB32" i="5"/>
  <c r="K36" i="8" s="1"/>
  <c r="AC32" i="5"/>
  <c r="C33" i="5"/>
  <c r="D33" i="5"/>
  <c r="E33" i="5"/>
  <c r="F33" i="5"/>
  <c r="G33" i="5"/>
  <c r="H33" i="5"/>
  <c r="I33" i="5"/>
  <c r="J33" i="5"/>
  <c r="K33" i="5"/>
  <c r="N33" i="5"/>
  <c r="O33" i="5"/>
  <c r="P33" i="5"/>
  <c r="Q33" i="5"/>
  <c r="R33" i="5"/>
  <c r="S33" i="5"/>
  <c r="T33" i="5"/>
  <c r="U33" i="5"/>
  <c r="W33" i="5"/>
  <c r="Y33" i="5"/>
  <c r="Z33" i="5"/>
  <c r="AA33" i="5"/>
  <c r="AB33" i="5"/>
  <c r="K37" i="8" s="1"/>
  <c r="AC33" i="5"/>
  <c r="C34" i="5"/>
  <c r="D34" i="5"/>
  <c r="E34" i="5"/>
  <c r="F34" i="5"/>
  <c r="G34" i="5"/>
  <c r="H34" i="5"/>
  <c r="I34" i="5"/>
  <c r="J34" i="5"/>
  <c r="K34" i="5"/>
  <c r="N34" i="5"/>
  <c r="O34" i="5"/>
  <c r="P34" i="5"/>
  <c r="Q34" i="5"/>
  <c r="R34" i="5"/>
  <c r="S34" i="5"/>
  <c r="T34" i="5"/>
  <c r="U34" i="5"/>
  <c r="W34" i="5"/>
  <c r="Y34" i="5"/>
  <c r="Z34" i="5"/>
  <c r="AA34" i="5"/>
  <c r="AB34" i="5"/>
  <c r="K38" i="8" s="1"/>
  <c r="AC34" i="5"/>
  <c r="C35" i="5"/>
  <c r="D35" i="5"/>
  <c r="E35" i="5"/>
  <c r="F35" i="5"/>
  <c r="G35" i="5"/>
  <c r="H35" i="5"/>
  <c r="I35" i="5"/>
  <c r="J35" i="5"/>
  <c r="K35" i="5"/>
  <c r="N35" i="5"/>
  <c r="O35" i="5"/>
  <c r="P35" i="5"/>
  <c r="Q35" i="5"/>
  <c r="R35" i="5"/>
  <c r="S35" i="5"/>
  <c r="T35" i="5"/>
  <c r="U35" i="5"/>
  <c r="W35" i="5"/>
  <c r="Y35" i="5"/>
  <c r="Z35" i="5"/>
  <c r="AA35" i="5"/>
  <c r="AB35" i="5"/>
  <c r="K39" i="8" s="1"/>
  <c r="AC35" i="5"/>
  <c r="C36" i="5"/>
  <c r="D36" i="5"/>
  <c r="E36" i="5"/>
  <c r="F36" i="5"/>
  <c r="G36" i="5"/>
  <c r="H36" i="5"/>
  <c r="I36" i="5"/>
  <c r="J36" i="5"/>
  <c r="K36" i="5"/>
  <c r="N36" i="5"/>
  <c r="O36" i="5"/>
  <c r="P36" i="5"/>
  <c r="Q36" i="5"/>
  <c r="R36" i="5"/>
  <c r="S36" i="5"/>
  <c r="T36" i="5"/>
  <c r="U36" i="5"/>
  <c r="W36" i="5"/>
  <c r="Y36" i="5"/>
  <c r="Z36" i="5"/>
  <c r="AA36" i="5"/>
  <c r="AB36" i="5"/>
  <c r="K40" i="8" s="1"/>
  <c r="AC36" i="5"/>
  <c r="C39" i="5"/>
  <c r="D39" i="5"/>
  <c r="E39" i="5"/>
  <c r="F39" i="5"/>
  <c r="G39" i="5"/>
  <c r="H39" i="5"/>
  <c r="I39" i="5"/>
  <c r="J39" i="5"/>
  <c r="K39" i="5"/>
  <c r="N39" i="5"/>
  <c r="O39" i="5"/>
  <c r="P39" i="5"/>
  <c r="Q39" i="5"/>
  <c r="R39" i="5"/>
  <c r="S39" i="5"/>
  <c r="T39" i="5"/>
  <c r="U39" i="5"/>
  <c r="W39" i="5"/>
  <c r="Y39" i="5"/>
  <c r="Z39" i="5"/>
  <c r="AA39" i="5"/>
  <c r="AB39" i="5"/>
  <c r="K43" i="8" s="1"/>
  <c r="AC39" i="5"/>
  <c r="C40" i="5"/>
  <c r="D40" i="5"/>
  <c r="E40" i="5"/>
  <c r="F40" i="5"/>
  <c r="G40" i="5"/>
  <c r="H40" i="5"/>
  <c r="I40" i="5"/>
  <c r="J40" i="5"/>
  <c r="K40" i="5"/>
  <c r="N40" i="5"/>
  <c r="O40" i="5"/>
  <c r="P40" i="5"/>
  <c r="Q40" i="5"/>
  <c r="R40" i="5"/>
  <c r="S40" i="5"/>
  <c r="T40" i="5"/>
  <c r="U40" i="5"/>
  <c r="W40" i="5"/>
  <c r="Y40" i="5"/>
  <c r="Z40" i="5"/>
  <c r="AA40" i="5"/>
  <c r="AB40" i="5"/>
  <c r="K44" i="8" s="1"/>
  <c r="AC40" i="5"/>
  <c r="C41" i="5"/>
  <c r="D41" i="5"/>
  <c r="E41" i="5"/>
  <c r="F41" i="5"/>
  <c r="G41" i="5"/>
  <c r="H41" i="5"/>
  <c r="I41" i="5"/>
  <c r="J41" i="5"/>
  <c r="K41" i="5"/>
  <c r="N41" i="5"/>
  <c r="O41" i="5"/>
  <c r="P41" i="5"/>
  <c r="Q41" i="5"/>
  <c r="R41" i="5"/>
  <c r="S41" i="5"/>
  <c r="T41" i="5"/>
  <c r="U41" i="5"/>
  <c r="W41" i="5"/>
  <c r="Y41" i="5"/>
  <c r="Z41" i="5"/>
  <c r="AA41" i="5"/>
  <c r="AB41" i="5"/>
  <c r="K45" i="8" s="1"/>
  <c r="AC41" i="5"/>
  <c r="C42" i="5"/>
  <c r="D42" i="5"/>
  <c r="E42" i="5"/>
  <c r="F42" i="5"/>
  <c r="G42" i="5"/>
  <c r="H42" i="5"/>
  <c r="I42" i="5"/>
  <c r="J42" i="5"/>
  <c r="K42" i="5"/>
  <c r="N42" i="5"/>
  <c r="O42" i="5"/>
  <c r="P42" i="5"/>
  <c r="Q42" i="5"/>
  <c r="R42" i="5"/>
  <c r="S42" i="5"/>
  <c r="T42" i="5"/>
  <c r="U42" i="5"/>
  <c r="W42" i="5"/>
  <c r="Y42" i="5"/>
  <c r="Z42" i="5"/>
  <c r="AA42" i="5"/>
  <c r="AB42" i="5"/>
  <c r="K46" i="8" s="1"/>
  <c r="AC42" i="5"/>
  <c r="C43" i="5"/>
  <c r="D43" i="5"/>
  <c r="E43" i="5"/>
  <c r="F43" i="5"/>
  <c r="G43" i="5"/>
  <c r="H43" i="5"/>
  <c r="I43" i="5"/>
  <c r="J43" i="5"/>
  <c r="K43" i="5"/>
  <c r="N43" i="5"/>
  <c r="O43" i="5"/>
  <c r="P43" i="5"/>
  <c r="Q43" i="5"/>
  <c r="R43" i="5"/>
  <c r="S43" i="5"/>
  <c r="T43" i="5"/>
  <c r="U43" i="5"/>
  <c r="W43" i="5"/>
  <c r="Y43" i="5"/>
  <c r="Z43" i="5"/>
  <c r="AA43" i="5"/>
  <c r="AB43" i="5"/>
  <c r="K47" i="8" s="1"/>
  <c r="AC43" i="5"/>
  <c r="C44" i="5"/>
  <c r="D44" i="5"/>
  <c r="E44" i="5"/>
  <c r="F44" i="5"/>
  <c r="G44" i="5"/>
  <c r="H44" i="5"/>
  <c r="I44" i="5"/>
  <c r="J44" i="5"/>
  <c r="K44" i="5"/>
  <c r="N44" i="5"/>
  <c r="O44" i="5"/>
  <c r="P44" i="5"/>
  <c r="Q44" i="5"/>
  <c r="R44" i="5"/>
  <c r="S44" i="5"/>
  <c r="T44" i="5"/>
  <c r="U44" i="5"/>
  <c r="W44" i="5"/>
  <c r="Y44" i="5"/>
  <c r="Z44" i="5"/>
  <c r="AA44" i="5"/>
  <c r="AB44" i="5"/>
  <c r="K48" i="8" s="1"/>
  <c r="AC44" i="5"/>
  <c r="C45" i="5"/>
  <c r="D45" i="5"/>
  <c r="E45" i="5"/>
  <c r="F45" i="5"/>
  <c r="G45" i="5"/>
  <c r="H45" i="5"/>
  <c r="I45" i="5"/>
  <c r="J45" i="5"/>
  <c r="K45" i="5"/>
  <c r="N45" i="5"/>
  <c r="O45" i="5"/>
  <c r="P45" i="5"/>
  <c r="Q45" i="5"/>
  <c r="R45" i="5"/>
  <c r="S45" i="5"/>
  <c r="T45" i="5"/>
  <c r="U45" i="5"/>
  <c r="W45" i="5"/>
  <c r="Y45" i="5"/>
  <c r="Z45" i="5"/>
  <c r="AA45" i="5"/>
  <c r="AB45" i="5"/>
  <c r="K49" i="8" s="1"/>
  <c r="AC45" i="5"/>
  <c r="C46" i="5"/>
  <c r="D46" i="5"/>
  <c r="E46" i="5"/>
  <c r="F46" i="5"/>
  <c r="G46" i="5"/>
  <c r="H46" i="5"/>
  <c r="I46" i="5"/>
  <c r="J46" i="5"/>
  <c r="K46" i="5"/>
  <c r="N46" i="5"/>
  <c r="O46" i="5"/>
  <c r="P46" i="5"/>
  <c r="Q46" i="5"/>
  <c r="R46" i="5"/>
  <c r="S46" i="5"/>
  <c r="T46" i="5"/>
  <c r="U46" i="5"/>
  <c r="W46" i="5"/>
  <c r="Y46" i="5"/>
  <c r="Z46" i="5"/>
  <c r="AA46" i="5"/>
  <c r="AB46" i="5"/>
  <c r="K50" i="8" s="1"/>
  <c r="AC46" i="5"/>
  <c r="C47" i="5"/>
  <c r="D47" i="5"/>
  <c r="E47" i="5"/>
  <c r="F47" i="5"/>
  <c r="G47" i="5"/>
  <c r="H47" i="5"/>
  <c r="I47" i="5"/>
  <c r="J47" i="5"/>
  <c r="K47" i="5"/>
  <c r="N47" i="5"/>
  <c r="O47" i="5"/>
  <c r="P47" i="5"/>
  <c r="Q47" i="5"/>
  <c r="R47" i="5"/>
  <c r="S47" i="5"/>
  <c r="T47" i="5"/>
  <c r="U47" i="5"/>
  <c r="W47" i="5"/>
  <c r="Y47" i="5"/>
  <c r="Z47" i="5"/>
  <c r="AA47" i="5"/>
  <c r="AB47" i="5"/>
  <c r="K51" i="8" s="1"/>
  <c r="AC47" i="5"/>
  <c r="C48" i="5"/>
  <c r="D48" i="5"/>
  <c r="E48" i="5"/>
  <c r="F48" i="5"/>
  <c r="G48" i="5"/>
  <c r="H48" i="5"/>
  <c r="I48" i="5"/>
  <c r="J48" i="5"/>
  <c r="K48" i="5"/>
  <c r="N48" i="5"/>
  <c r="O48" i="5"/>
  <c r="P48" i="5"/>
  <c r="Q48" i="5"/>
  <c r="R48" i="5"/>
  <c r="S48" i="5"/>
  <c r="T48" i="5"/>
  <c r="U48" i="5"/>
  <c r="W48" i="5"/>
  <c r="Y48" i="5"/>
  <c r="Z48" i="5"/>
  <c r="AA48" i="5"/>
  <c r="AB48" i="5"/>
  <c r="K52" i="8" s="1"/>
  <c r="AC48" i="5"/>
  <c r="C49" i="5"/>
  <c r="D49" i="5"/>
  <c r="E49" i="5"/>
  <c r="F49" i="5"/>
  <c r="G49" i="5"/>
  <c r="H49" i="5"/>
  <c r="I49" i="5"/>
  <c r="J49" i="5"/>
  <c r="K49" i="5"/>
  <c r="N49" i="5"/>
  <c r="O49" i="5"/>
  <c r="P49" i="5"/>
  <c r="Q49" i="5"/>
  <c r="R49" i="5"/>
  <c r="S49" i="5"/>
  <c r="T49" i="5"/>
  <c r="U49" i="5"/>
  <c r="W49" i="5"/>
  <c r="Y49" i="5"/>
  <c r="Z49" i="5"/>
  <c r="AA49" i="5"/>
  <c r="AB49" i="5"/>
  <c r="K53" i="8" s="1"/>
  <c r="AC49" i="5"/>
  <c r="C50" i="5"/>
  <c r="D50" i="5"/>
  <c r="E50" i="5"/>
  <c r="F50" i="5"/>
  <c r="G50" i="5"/>
  <c r="H50" i="5"/>
  <c r="I50" i="5"/>
  <c r="J50" i="5"/>
  <c r="K50" i="5"/>
  <c r="N50" i="5"/>
  <c r="O50" i="5"/>
  <c r="P50" i="5"/>
  <c r="Q50" i="5"/>
  <c r="R50" i="5"/>
  <c r="S50" i="5"/>
  <c r="T50" i="5"/>
  <c r="U50" i="5"/>
  <c r="W50" i="5"/>
  <c r="Y50" i="5"/>
  <c r="Z50" i="5"/>
  <c r="AA50" i="5"/>
  <c r="AB50" i="5"/>
  <c r="K54" i="8" s="1"/>
  <c r="AC50" i="5"/>
  <c r="C53" i="5"/>
  <c r="D53" i="5"/>
  <c r="E53" i="5"/>
  <c r="F53" i="5"/>
  <c r="G53" i="5"/>
  <c r="H53" i="5"/>
  <c r="I53" i="5"/>
  <c r="J53" i="5"/>
  <c r="K53" i="5"/>
  <c r="N53" i="5"/>
  <c r="O53" i="5"/>
  <c r="P53" i="5"/>
  <c r="Q53" i="5"/>
  <c r="R53" i="5"/>
  <c r="S53" i="5"/>
  <c r="T53" i="5"/>
  <c r="U53" i="5"/>
  <c r="W53" i="5"/>
  <c r="Y53" i="5"/>
  <c r="Z53" i="5"/>
  <c r="AA53" i="5"/>
  <c r="AB53" i="5"/>
  <c r="K57" i="8" s="1"/>
  <c r="AC53" i="5"/>
  <c r="C54" i="5"/>
  <c r="D54" i="5"/>
  <c r="E54" i="5"/>
  <c r="F54" i="5"/>
  <c r="G54" i="5"/>
  <c r="H54" i="5"/>
  <c r="I54" i="5"/>
  <c r="J54" i="5"/>
  <c r="K54" i="5"/>
  <c r="N54" i="5"/>
  <c r="O54" i="5"/>
  <c r="P54" i="5"/>
  <c r="Q54" i="5"/>
  <c r="R54" i="5"/>
  <c r="S54" i="5"/>
  <c r="T54" i="5"/>
  <c r="U54" i="5"/>
  <c r="W54" i="5"/>
  <c r="Y54" i="5"/>
  <c r="Z54" i="5"/>
  <c r="AA54" i="5"/>
  <c r="AB54" i="5"/>
  <c r="K58" i="8" s="1"/>
  <c r="AC54" i="5"/>
  <c r="C55" i="5"/>
  <c r="D55" i="5"/>
  <c r="E55" i="5"/>
  <c r="F55" i="5"/>
  <c r="G55" i="5"/>
  <c r="H55" i="5"/>
  <c r="I55" i="5"/>
  <c r="J55" i="5"/>
  <c r="K55" i="5"/>
  <c r="N55" i="5"/>
  <c r="O55" i="5"/>
  <c r="P55" i="5"/>
  <c r="Q55" i="5"/>
  <c r="R55" i="5"/>
  <c r="S55" i="5"/>
  <c r="T55" i="5"/>
  <c r="U55" i="5"/>
  <c r="W55" i="5"/>
  <c r="Y55" i="5"/>
  <c r="Z55" i="5"/>
  <c r="AA55" i="5"/>
  <c r="AB55" i="5"/>
  <c r="K59" i="8" s="1"/>
  <c r="AC55" i="5"/>
  <c r="C56" i="5"/>
  <c r="D56" i="5"/>
  <c r="E56" i="5"/>
  <c r="F56" i="5"/>
  <c r="G56" i="5"/>
  <c r="H56" i="5"/>
  <c r="I56" i="5"/>
  <c r="J56" i="5"/>
  <c r="K56" i="5"/>
  <c r="N56" i="5"/>
  <c r="O56" i="5"/>
  <c r="P56" i="5"/>
  <c r="Q56" i="5"/>
  <c r="R56" i="5"/>
  <c r="S56" i="5"/>
  <c r="T56" i="5"/>
  <c r="U56" i="5"/>
  <c r="W56" i="5"/>
  <c r="Y56" i="5"/>
  <c r="Z56" i="5"/>
  <c r="AA56" i="5"/>
  <c r="AB56" i="5"/>
  <c r="K60" i="8" s="1"/>
  <c r="AC56" i="5"/>
  <c r="C57" i="5"/>
  <c r="D57" i="5"/>
  <c r="E57" i="5"/>
  <c r="F57" i="5"/>
  <c r="G57" i="5"/>
  <c r="H57" i="5"/>
  <c r="I57" i="5"/>
  <c r="J57" i="5"/>
  <c r="K57" i="5"/>
  <c r="N57" i="5"/>
  <c r="O57" i="5"/>
  <c r="P57" i="5"/>
  <c r="Q57" i="5"/>
  <c r="R57" i="5"/>
  <c r="S57" i="5"/>
  <c r="T57" i="5"/>
  <c r="U57" i="5"/>
  <c r="W57" i="5"/>
  <c r="Y57" i="5"/>
  <c r="Z57" i="5"/>
  <c r="AA57" i="5"/>
  <c r="AB57" i="5"/>
  <c r="K61" i="8" s="1"/>
  <c r="AC57" i="5"/>
  <c r="C58" i="5"/>
  <c r="D58" i="5"/>
  <c r="E58" i="5"/>
  <c r="F58" i="5"/>
  <c r="G58" i="5"/>
  <c r="H58" i="5"/>
  <c r="I58" i="5"/>
  <c r="J58" i="5"/>
  <c r="K58" i="5"/>
  <c r="N58" i="5"/>
  <c r="O58" i="5"/>
  <c r="P58" i="5"/>
  <c r="Q58" i="5"/>
  <c r="R58" i="5"/>
  <c r="S58" i="5"/>
  <c r="T58" i="5"/>
  <c r="U58" i="5"/>
  <c r="W58" i="5"/>
  <c r="Y58" i="5"/>
  <c r="Z58" i="5"/>
  <c r="AA58" i="5"/>
  <c r="AB58" i="5"/>
  <c r="K62" i="8" s="1"/>
  <c r="AC58" i="5"/>
  <c r="C59" i="5"/>
  <c r="D59" i="5"/>
  <c r="E59" i="5"/>
  <c r="F59" i="5"/>
  <c r="G59" i="5"/>
  <c r="H59" i="5"/>
  <c r="I59" i="5"/>
  <c r="J59" i="5"/>
  <c r="K59" i="5"/>
  <c r="N59" i="5"/>
  <c r="O59" i="5"/>
  <c r="P59" i="5"/>
  <c r="Q59" i="5"/>
  <c r="R59" i="5"/>
  <c r="S59" i="5"/>
  <c r="T59" i="5"/>
  <c r="U59" i="5"/>
  <c r="W59" i="5"/>
  <c r="Y59" i="5"/>
  <c r="Z59" i="5"/>
  <c r="AA59" i="5"/>
  <c r="AB59" i="5"/>
  <c r="K63" i="8" s="1"/>
  <c r="AC59" i="5"/>
  <c r="C60" i="5"/>
  <c r="D60" i="5"/>
  <c r="E60" i="5"/>
  <c r="F60" i="5"/>
  <c r="G60" i="5"/>
  <c r="H60" i="5"/>
  <c r="I60" i="5"/>
  <c r="J60" i="5"/>
  <c r="K60" i="5"/>
  <c r="N60" i="5"/>
  <c r="O60" i="5"/>
  <c r="P60" i="5"/>
  <c r="Q60" i="5"/>
  <c r="R60" i="5"/>
  <c r="S60" i="5"/>
  <c r="T60" i="5"/>
  <c r="U60" i="5"/>
  <c r="W60" i="5"/>
  <c r="Y60" i="5"/>
  <c r="Z60" i="5"/>
  <c r="AA60" i="5"/>
  <c r="AB60" i="5"/>
  <c r="K64" i="8" s="1"/>
  <c r="AC60" i="5"/>
  <c r="C61" i="5"/>
  <c r="D61" i="5"/>
  <c r="E61" i="5"/>
  <c r="F61" i="5"/>
  <c r="G61" i="5"/>
  <c r="H61" i="5"/>
  <c r="I61" i="5"/>
  <c r="J61" i="5"/>
  <c r="K61" i="5"/>
  <c r="N61" i="5"/>
  <c r="O61" i="5"/>
  <c r="P61" i="5"/>
  <c r="Q61" i="5"/>
  <c r="R61" i="5"/>
  <c r="S61" i="5"/>
  <c r="T61" i="5"/>
  <c r="U61" i="5"/>
  <c r="W61" i="5"/>
  <c r="Y61" i="5"/>
  <c r="Z61" i="5"/>
  <c r="AA61" i="5"/>
  <c r="AB61" i="5"/>
  <c r="K65" i="8" s="1"/>
  <c r="AC61" i="5"/>
  <c r="C62" i="5"/>
  <c r="D62" i="5"/>
  <c r="E62" i="5"/>
  <c r="F62" i="5"/>
  <c r="G62" i="5"/>
  <c r="H62" i="5"/>
  <c r="I62" i="5"/>
  <c r="J62" i="5"/>
  <c r="K62" i="5"/>
  <c r="N62" i="5"/>
  <c r="O62" i="5"/>
  <c r="P62" i="5"/>
  <c r="Q62" i="5"/>
  <c r="R62" i="5"/>
  <c r="S62" i="5"/>
  <c r="T62" i="5"/>
  <c r="U62" i="5"/>
  <c r="W62" i="5"/>
  <c r="Y62" i="5"/>
  <c r="Z62" i="5"/>
  <c r="AA62" i="5"/>
  <c r="AB62" i="5"/>
  <c r="K66" i="8" s="1"/>
  <c r="AC62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K7" i="8" s="1"/>
  <c r="AC3" i="5"/>
  <c r="JP53" i="1"/>
  <c r="JO53" i="1"/>
  <c r="JN53" i="1"/>
  <c r="JM53" i="1"/>
  <c r="JL53" i="1"/>
  <c r="JJ53" i="1"/>
  <c r="JH53" i="1"/>
  <c r="JG53" i="1"/>
  <c r="JF53" i="1"/>
  <c r="JE53" i="1"/>
  <c r="JD53" i="1"/>
  <c r="JC53" i="1"/>
  <c r="JB53" i="1"/>
  <c r="JA53" i="1"/>
  <c r="IZ53" i="1"/>
  <c r="IW53" i="1"/>
  <c r="IV53" i="1"/>
  <c r="IU53" i="1"/>
  <c r="IT53" i="1"/>
  <c r="IS53" i="1"/>
  <c r="IR53" i="1"/>
  <c r="IQ53" i="1"/>
  <c r="IP53" i="1"/>
  <c r="IK53" i="1"/>
  <c r="IJ53" i="1"/>
  <c r="II53" i="1"/>
  <c r="IH53" i="1"/>
  <c r="IG53" i="1"/>
  <c r="IE53" i="1"/>
  <c r="IC53" i="1"/>
  <c r="IB53" i="1"/>
  <c r="IA53" i="1"/>
  <c r="HZ53" i="1"/>
  <c r="HY53" i="1"/>
  <c r="HX53" i="1"/>
  <c r="HW53" i="1"/>
  <c r="HV53" i="1"/>
  <c r="HU53" i="1"/>
  <c r="HR53" i="1"/>
  <c r="HQ53" i="1"/>
  <c r="HP53" i="1"/>
  <c r="HO53" i="1"/>
  <c r="HN53" i="1"/>
  <c r="HM53" i="1"/>
  <c r="HL53" i="1"/>
  <c r="HK53" i="1"/>
  <c r="HF53" i="1"/>
  <c r="HE53" i="1"/>
  <c r="HD53" i="1"/>
  <c r="HC53" i="1"/>
  <c r="HB53" i="1"/>
  <c r="GZ53" i="1"/>
  <c r="GX53" i="1"/>
  <c r="GW53" i="1"/>
  <c r="GV53" i="1"/>
  <c r="GU53" i="1"/>
  <c r="GT53" i="1"/>
  <c r="GS53" i="1"/>
  <c r="GR53" i="1"/>
  <c r="GQ53" i="1"/>
  <c r="GP53" i="1"/>
  <c r="GM53" i="1"/>
  <c r="GL53" i="1"/>
  <c r="GK53" i="1"/>
  <c r="GJ53" i="1"/>
  <c r="GI53" i="1"/>
  <c r="GH53" i="1"/>
  <c r="GG53" i="1"/>
  <c r="GF53" i="1"/>
  <c r="GA53" i="1"/>
  <c r="FZ53" i="1"/>
  <c r="FY53" i="1"/>
  <c r="FX53" i="1"/>
  <c r="FW53" i="1"/>
  <c r="FU53" i="1"/>
  <c r="FS53" i="1"/>
  <c r="FR53" i="1"/>
  <c r="FQ53" i="1"/>
  <c r="FP53" i="1"/>
  <c r="FO53" i="1"/>
  <c r="FN53" i="1"/>
  <c r="FM53" i="1"/>
  <c r="FL53" i="1"/>
  <c r="FK53" i="1"/>
  <c r="FH53" i="1"/>
  <c r="FG53" i="1"/>
  <c r="FF53" i="1"/>
  <c r="FE53" i="1"/>
  <c r="FD53" i="1"/>
  <c r="FC53" i="1"/>
  <c r="FB53" i="1"/>
  <c r="FA53" i="1"/>
  <c r="EC53" i="1"/>
  <c r="EB53" i="1"/>
  <c r="EA53" i="1"/>
  <c r="DZ53" i="1"/>
  <c r="DY53" i="1"/>
  <c r="DX53" i="1"/>
  <c r="DW53" i="1"/>
  <c r="DV53" i="1"/>
  <c r="DQ53" i="1"/>
  <c r="DP53" i="1"/>
  <c r="DO53" i="1"/>
  <c r="DN53" i="1"/>
  <c r="DM53" i="1"/>
  <c r="DK53" i="1"/>
  <c r="DI53" i="1"/>
  <c r="DH53" i="1"/>
  <c r="DG53" i="1"/>
  <c r="DF53" i="1"/>
  <c r="DE53" i="1"/>
  <c r="DD53" i="1"/>
  <c r="DC53" i="1"/>
  <c r="DB53" i="1"/>
  <c r="CY53" i="1"/>
  <c r="CX53" i="1"/>
  <c r="CW53" i="1"/>
  <c r="CV53" i="1"/>
  <c r="CU53" i="1"/>
  <c r="CT53" i="1"/>
  <c r="CS53" i="1"/>
  <c r="CR53" i="1"/>
  <c r="CQ53" i="1"/>
  <c r="CL53" i="1"/>
  <c r="CK53" i="1"/>
  <c r="CJ53" i="1"/>
  <c r="CI53" i="1"/>
  <c r="CH53" i="1"/>
  <c r="CF53" i="1"/>
  <c r="CD53" i="1"/>
  <c r="CC53" i="1"/>
  <c r="CB53" i="1"/>
  <c r="CA53" i="1"/>
  <c r="BZ53" i="1"/>
  <c r="BY53" i="1"/>
  <c r="BX53" i="1"/>
  <c r="BW53" i="1"/>
  <c r="BV53" i="1"/>
  <c r="BT53" i="1"/>
  <c r="BS53" i="1"/>
  <c r="BR53" i="1"/>
  <c r="BQ53" i="1"/>
  <c r="BP53" i="1"/>
  <c r="BO53" i="1"/>
  <c r="BN53" i="1"/>
  <c r="BM53" i="1"/>
  <c r="BL53" i="1"/>
  <c r="BG53" i="1"/>
  <c r="BF53" i="1"/>
  <c r="BE53" i="1"/>
  <c r="BD53" i="1"/>
  <c r="BC53" i="1"/>
  <c r="BA53" i="1"/>
  <c r="AY53" i="1"/>
  <c r="AX53" i="1"/>
  <c r="AW53" i="1"/>
  <c r="AV53" i="1"/>
  <c r="AU53" i="1"/>
  <c r="AT53" i="1"/>
  <c r="AS53" i="1"/>
  <c r="AR53" i="1"/>
  <c r="AQ53" i="1"/>
  <c r="AN53" i="1"/>
  <c r="AM53" i="1"/>
  <c r="AL53" i="1"/>
  <c r="AK53" i="1"/>
  <c r="AJ53" i="1"/>
  <c r="AI53" i="1"/>
  <c r="AH53" i="1"/>
  <c r="AG53" i="1"/>
  <c r="AB53" i="1"/>
  <c r="AA10" i="7" s="1"/>
  <c r="AA53" i="1"/>
  <c r="Z53" i="1"/>
  <c r="Y53" i="1"/>
  <c r="X53" i="1"/>
  <c r="W10" i="7" s="1"/>
  <c r="V53" i="1"/>
  <c r="U10" i="7" s="1"/>
  <c r="T53" i="1"/>
  <c r="S10" i="7" s="1"/>
  <c r="S53" i="1"/>
  <c r="R10" i="7" s="1"/>
  <c r="R53" i="1"/>
  <c r="Q10" i="7" s="1"/>
  <c r="Q53" i="1"/>
  <c r="P53" i="1"/>
  <c r="O53" i="1"/>
  <c r="N53" i="1"/>
  <c r="M53" i="1"/>
  <c r="L53" i="1"/>
  <c r="J53" i="1"/>
  <c r="I53" i="1"/>
  <c r="H53" i="1"/>
  <c r="G53" i="1"/>
  <c r="F53" i="1"/>
  <c r="E53" i="1"/>
  <c r="D53" i="1"/>
  <c r="C53" i="1"/>
  <c r="JP39" i="1"/>
  <c r="JO39" i="1"/>
  <c r="JN39" i="1"/>
  <c r="JM39" i="1"/>
  <c r="JL39" i="1"/>
  <c r="JJ39" i="1"/>
  <c r="JH39" i="1"/>
  <c r="JG39" i="1"/>
  <c r="JF39" i="1"/>
  <c r="JE39" i="1"/>
  <c r="JD39" i="1"/>
  <c r="JC39" i="1"/>
  <c r="JB39" i="1"/>
  <c r="JA39" i="1"/>
  <c r="IZ39" i="1"/>
  <c r="IW39" i="1"/>
  <c r="IV39" i="1"/>
  <c r="IU39" i="1"/>
  <c r="IT39" i="1"/>
  <c r="IS39" i="1"/>
  <c r="IR39" i="1"/>
  <c r="IQ39" i="1"/>
  <c r="IP39" i="1"/>
  <c r="IK39" i="1"/>
  <c r="IJ39" i="1"/>
  <c r="II39" i="1"/>
  <c r="IH39" i="1"/>
  <c r="IG39" i="1"/>
  <c r="IE39" i="1"/>
  <c r="IC39" i="1"/>
  <c r="IB39" i="1"/>
  <c r="IA39" i="1"/>
  <c r="HZ39" i="1"/>
  <c r="HY39" i="1"/>
  <c r="HX39" i="1"/>
  <c r="HW39" i="1"/>
  <c r="HV39" i="1"/>
  <c r="HU39" i="1"/>
  <c r="HR39" i="1"/>
  <c r="HQ39" i="1"/>
  <c r="HP39" i="1"/>
  <c r="HO39" i="1"/>
  <c r="HN39" i="1"/>
  <c r="HM39" i="1"/>
  <c r="HL39" i="1"/>
  <c r="HK39" i="1"/>
  <c r="HF39" i="1"/>
  <c r="HE39" i="1"/>
  <c r="HD39" i="1"/>
  <c r="HC39" i="1"/>
  <c r="HB39" i="1"/>
  <c r="GZ39" i="1"/>
  <c r="GX39" i="1"/>
  <c r="GW39" i="1"/>
  <c r="GV39" i="1"/>
  <c r="GU39" i="1"/>
  <c r="GT39" i="1"/>
  <c r="GS39" i="1"/>
  <c r="GR39" i="1"/>
  <c r="GQ39" i="1"/>
  <c r="GP39" i="1"/>
  <c r="GM39" i="1"/>
  <c r="GL39" i="1"/>
  <c r="GK39" i="1"/>
  <c r="GJ39" i="1"/>
  <c r="GI39" i="1"/>
  <c r="GH39" i="1"/>
  <c r="GG39" i="1"/>
  <c r="GF39" i="1"/>
  <c r="GA39" i="1"/>
  <c r="FZ39" i="1"/>
  <c r="FY39" i="1"/>
  <c r="FX39" i="1"/>
  <c r="FW39" i="1"/>
  <c r="FU39" i="1"/>
  <c r="FS39" i="1"/>
  <c r="FR39" i="1"/>
  <c r="FQ39" i="1"/>
  <c r="FP39" i="1"/>
  <c r="FO39" i="1"/>
  <c r="FN39" i="1"/>
  <c r="FM39" i="1"/>
  <c r="FL39" i="1"/>
  <c r="FK39" i="1"/>
  <c r="FH39" i="1"/>
  <c r="FG39" i="1"/>
  <c r="FF39" i="1"/>
  <c r="FE39" i="1"/>
  <c r="FD39" i="1"/>
  <c r="FC39" i="1"/>
  <c r="FB39" i="1"/>
  <c r="FA39" i="1"/>
  <c r="EC39" i="1"/>
  <c r="EB39" i="1"/>
  <c r="EA39" i="1"/>
  <c r="DZ39" i="1"/>
  <c r="DY39" i="1"/>
  <c r="DX39" i="1"/>
  <c r="DW39" i="1"/>
  <c r="DV39" i="1"/>
  <c r="DQ39" i="1"/>
  <c r="DP39" i="1"/>
  <c r="DO39" i="1"/>
  <c r="DN39" i="1"/>
  <c r="DM39" i="1"/>
  <c r="DK39" i="1"/>
  <c r="DI39" i="1"/>
  <c r="DH39" i="1"/>
  <c r="DG39" i="1"/>
  <c r="DF39" i="1"/>
  <c r="DE39" i="1"/>
  <c r="DD39" i="1"/>
  <c r="DC39" i="1"/>
  <c r="DB39" i="1"/>
  <c r="CY39" i="1"/>
  <c r="CX39" i="1"/>
  <c r="CW39" i="1"/>
  <c r="CV39" i="1"/>
  <c r="CU39" i="1"/>
  <c r="CT39" i="1"/>
  <c r="CS39" i="1"/>
  <c r="CR39" i="1"/>
  <c r="CQ39" i="1"/>
  <c r="CL39" i="1"/>
  <c r="CK39" i="1"/>
  <c r="CJ39" i="1"/>
  <c r="CI39" i="1"/>
  <c r="CH39" i="1"/>
  <c r="CF39" i="1"/>
  <c r="CD39" i="1"/>
  <c r="CC39" i="1"/>
  <c r="CB39" i="1"/>
  <c r="CA39" i="1"/>
  <c r="BZ39" i="1"/>
  <c r="BY39" i="1"/>
  <c r="BX39" i="1"/>
  <c r="BW39" i="1"/>
  <c r="BV39" i="1"/>
  <c r="BT39" i="1"/>
  <c r="BS39" i="1"/>
  <c r="BR39" i="1"/>
  <c r="BQ39" i="1"/>
  <c r="BP39" i="1"/>
  <c r="BO39" i="1"/>
  <c r="BN39" i="1"/>
  <c r="BM39" i="1"/>
  <c r="BL39" i="1"/>
  <c r="BG39" i="1"/>
  <c r="BF39" i="1"/>
  <c r="BE39" i="1"/>
  <c r="BD39" i="1"/>
  <c r="BC39" i="1"/>
  <c r="BA39" i="1"/>
  <c r="AY39" i="1"/>
  <c r="AX39" i="1"/>
  <c r="AW39" i="1"/>
  <c r="AV39" i="1"/>
  <c r="AU39" i="1"/>
  <c r="AT39" i="1"/>
  <c r="AS39" i="1"/>
  <c r="AR39" i="1"/>
  <c r="AQ39" i="1"/>
  <c r="AN39" i="1"/>
  <c r="AM39" i="1"/>
  <c r="AL39" i="1"/>
  <c r="AK39" i="1"/>
  <c r="AJ39" i="1"/>
  <c r="AI39" i="1"/>
  <c r="AH39" i="1"/>
  <c r="AG39" i="1"/>
  <c r="AB39" i="1"/>
  <c r="AA9" i="7" s="1"/>
  <c r="AA39" i="1"/>
  <c r="Z39" i="1"/>
  <c r="Y39" i="1"/>
  <c r="X39" i="1"/>
  <c r="W9" i="7" s="1"/>
  <c r="V39" i="1"/>
  <c r="U9" i="7" s="1"/>
  <c r="T39" i="1"/>
  <c r="S9" i="7" s="1"/>
  <c r="S39" i="1"/>
  <c r="R39" i="1"/>
  <c r="Q9" i="7" s="1"/>
  <c r="Q39" i="1"/>
  <c r="P39" i="1"/>
  <c r="O39" i="1"/>
  <c r="N39" i="1"/>
  <c r="M39" i="1"/>
  <c r="L39" i="1"/>
  <c r="J39" i="1"/>
  <c r="I39" i="1"/>
  <c r="H39" i="1"/>
  <c r="G39" i="1"/>
  <c r="F39" i="1"/>
  <c r="E39" i="1"/>
  <c r="D39" i="1"/>
  <c r="C39" i="1"/>
  <c r="BN37" i="5" s="1"/>
  <c r="JP24" i="1"/>
  <c r="JO24" i="1"/>
  <c r="JN24" i="1"/>
  <c r="JM24" i="1"/>
  <c r="JL24" i="1"/>
  <c r="JJ24" i="1"/>
  <c r="JH24" i="1"/>
  <c r="JG24" i="1"/>
  <c r="JF24" i="1"/>
  <c r="JE24" i="1"/>
  <c r="JD24" i="1"/>
  <c r="JC24" i="1"/>
  <c r="JB24" i="1"/>
  <c r="JA24" i="1"/>
  <c r="IZ24" i="1"/>
  <c r="IW24" i="1"/>
  <c r="IV24" i="1"/>
  <c r="IU24" i="1"/>
  <c r="IT24" i="1"/>
  <c r="IS24" i="1"/>
  <c r="IR24" i="1"/>
  <c r="IQ24" i="1"/>
  <c r="IP24" i="1"/>
  <c r="IK24" i="1"/>
  <c r="IJ24" i="1"/>
  <c r="II24" i="1"/>
  <c r="IH24" i="1"/>
  <c r="IG24" i="1"/>
  <c r="IE24" i="1"/>
  <c r="IC24" i="1"/>
  <c r="IB24" i="1"/>
  <c r="IA24" i="1"/>
  <c r="HZ24" i="1"/>
  <c r="HY24" i="1"/>
  <c r="HX24" i="1"/>
  <c r="HW24" i="1"/>
  <c r="HV24" i="1"/>
  <c r="HU24" i="1"/>
  <c r="HR24" i="1"/>
  <c r="HQ24" i="1"/>
  <c r="HP24" i="1"/>
  <c r="HO24" i="1"/>
  <c r="HN24" i="1"/>
  <c r="HM24" i="1"/>
  <c r="HL24" i="1"/>
  <c r="HK24" i="1"/>
  <c r="HF24" i="1"/>
  <c r="HE24" i="1"/>
  <c r="HD24" i="1"/>
  <c r="HC24" i="1"/>
  <c r="HB24" i="1"/>
  <c r="GZ24" i="1"/>
  <c r="GX24" i="1"/>
  <c r="GW24" i="1"/>
  <c r="GV24" i="1"/>
  <c r="GU24" i="1"/>
  <c r="GT24" i="1"/>
  <c r="GS24" i="1"/>
  <c r="GR24" i="1"/>
  <c r="GQ24" i="1"/>
  <c r="GP24" i="1"/>
  <c r="GM24" i="1"/>
  <c r="GL24" i="1"/>
  <c r="GK24" i="1"/>
  <c r="GJ24" i="1"/>
  <c r="GI24" i="1"/>
  <c r="GH24" i="1"/>
  <c r="GG24" i="1"/>
  <c r="GF24" i="1"/>
  <c r="GA24" i="1"/>
  <c r="FZ24" i="1"/>
  <c r="FY24" i="1"/>
  <c r="FX24" i="1"/>
  <c r="FW24" i="1"/>
  <c r="FU24" i="1"/>
  <c r="FS24" i="1"/>
  <c r="FR24" i="1"/>
  <c r="FQ24" i="1"/>
  <c r="FP24" i="1"/>
  <c r="FO24" i="1"/>
  <c r="FN24" i="1"/>
  <c r="FM24" i="1"/>
  <c r="FL24" i="1"/>
  <c r="FK24" i="1"/>
  <c r="FH24" i="1"/>
  <c r="FG24" i="1"/>
  <c r="FF24" i="1"/>
  <c r="FE24" i="1"/>
  <c r="FD24" i="1"/>
  <c r="FC24" i="1"/>
  <c r="FB24" i="1"/>
  <c r="FA24" i="1"/>
  <c r="EC24" i="1"/>
  <c r="EB24" i="1"/>
  <c r="EA24" i="1"/>
  <c r="DZ24" i="1"/>
  <c r="DY24" i="1"/>
  <c r="DX24" i="1"/>
  <c r="DW24" i="1"/>
  <c r="DV24" i="1"/>
  <c r="DQ24" i="1"/>
  <c r="DP24" i="1"/>
  <c r="DO24" i="1"/>
  <c r="DN24" i="1"/>
  <c r="DM24" i="1"/>
  <c r="DK24" i="1"/>
  <c r="DI24" i="1"/>
  <c r="DH24" i="1"/>
  <c r="DG24" i="1"/>
  <c r="DF24" i="1"/>
  <c r="DE24" i="1"/>
  <c r="DD24" i="1"/>
  <c r="DC24" i="1"/>
  <c r="DB24" i="1"/>
  <c r="CY24" i="1"/>
  <c r="CX24" i="1"/>
  <c r="CW24" i="1"/>
  <c r="CV24" i="1"/>
  <c r="CU24" i="1"/>
  <c r="CT24" i="1"/>
  <c r="CS24" i="1"/>
  <c r="CR24" i="1"/>
  <c r="CQ24" i="1"/>
  <c r="CL24" i="1"/>
  <c r="CK24" i="1"/>
  <c r="CJ24" i="1"/>
  <c r="CI24" i="1"/>
  <c r="CH24" i="1"/>
  <c r="CF24" i="1"/>
  <c r="CD24" i="1"/>
  <c r="CC24" i="1"/>
  <c r="CB24" i="1"/>
  <c r="CA24" i="1"/>
  <c r="BZ24" i="1"/>
  <c r="BY24" i="1"/>
  <c r="BX24" i="1"/>
  <c r="BW24" i="1"/>
  <c r="BV24" i="1"/>
  <c r="BT24" i="1"/>
  <c r="BS24" i="1"/>
  <c r="BR24" i="1"/>
  <c r="BQ24" i="1"/>
  <c r="BP24" i="1"/>
  <c r="BO24" i="1"/>
  <c r="BN24" i="1"/>
  <c r="BM24" i="1"/>
  <c r="BL24" i="1"/>
  <c r="BG24" i="1"/>
  <c r="BF24" i="1"/>
  <c r="BE24" i="1"/>
  <c r="BD24" i="1"/>
  <c r="BC24" i="1"/>
  <c r="BA24" i="1"/>
  <c r="AY24" i="1"/>
  <c r="AX24" i="1"/>
  <c r="AW24" i="1"/>
  <c r="AV24" i="1"/>
  <c r="AU24" i="1"/>
  <c r="AT24" i="1"/>
  <c r="AS24" i="1"/>
  <c r="AR24" i="1"/>
  <c r="AQ24" i="1"/>
  <c r="AN24" i="1"/>
  <c r="AM24" i="1"/>
  <c r="AL24" i="1"/>
  <c r="AK24" i="1"/>
  <c r="AJ24" i="1"/>
  <c r="AI24" i="1"/>
  <c r="AH24" i="1"/>
  <c r="AG24" i="1"/>
  <c r="AB24" i="1"/>
  <c r="AA8" i="7" s="1"/>
  <c r="AA24" i="1"/>
  <c r="Z24" i="1"/>
  <c r="Y24" i="1"/>
  <c r="X24" i="1"/>
  <c r="W8" i="7" s="1"/>
  <c r="V24" i="1"/>
  <c r="U8" i="7" s="1"/>
  <c r="T24" i="1"/>
  <c r="S8" i="7" s="1"/>
  <c r="S24" i="1"/>
  <c r="R8" i="7" s="1"/>
  <c r="R24" i="1"/>
  <c r="Q8" i="7" s="1"/>
  <c r="Q24" i="1"/>
  <c r="P24" i="1"/>
  <c r="O24" i="1"/>
  <c r="N24" i="1"/>
  <c r="M24" i="1"/>
  <c r="L24" i="1"/>
  <c r="J24" i="1"/>
  <c r="I24" i="1"/>
  <c r="H24" i="1"/>
  <c r="G24" i="1"/>
  <c r="F24" i="1"/>
  <c r="E24" i="1"/>
  <c r="BP22" i="5" s="1"/>
  <c r="D24" i="1"/>
  <c r="C24" i="1"/>
  <c r="JP6" i="1"/>
  <c r="JO6" i="1"/>
  <c r="JN6" i="1"/>
  <c r="JM6" i="1"/>
  <c r="JL6" i="1"/>
  <c r="JJ6" i="1"/>
  <c r="JH6" i="1"/>
  <c r="JG6" i="1"/>
  <c r="JF6" i="1"/>
  <c r="JE6" i="1"/>
  <c r="JD6" i="1"/>
  <c r="JC6" i="1"/>
  <c r="JB6" i="1"/>
  <c r="JA6" i="1"/>
  <c r="IZ6" i="1"/>
  <c r="IK6" i="1"/>
  <c r="IJ6" i="1"/>
  <c r="II6" i="1"/>
  <c r="IH6" i="1"/>
  <c r="IG6" i="1"/>
  <c r="IE6" i="1"/>
  <c r="IC6" i="1"/>
  <c r="IB6" i="1"/>
  <c r="IA6" i="1"/>
  <c r="HZ6" i="1"/>
  <c r="HY6" i="1"/>
  <c r="HX6" i="1"/>
  <c r="HW6" i="1"/>
  <c r="HV6" i="1"/>
  <c r="HU6" i="1"/>
  <c r="HF6" i="1"/>
  <c r="HE6" i="1"/>
  <c r="HD6" i="1"/>
  <c r="HC6" i="1"/>
  <c r="HB6" i="1"/>
  <c r="GZ6" i="1"/>
  <c r="GX6" i="1"/>
  <c r="GW6" i="1"/>
  <c r="GV6" i="1"/>
  <c r="GU6" i="1"/>
  <c r="GT6" i="1"/>
  <c r="GS6" i="1"/>
  <c r="GR6" i="1"/>
  <c r="GQ6" i="1"/>
  <c r="GP6" i="1"/>
  <c r="GA6" i="1"/>
  <c r="FZ6" i="1"/>
  <c r="FY6" i="1"/>
  <c r="FX6" i="1"/>
  <c r="FW6" i="1"/>
  <c r="FU6" i="1"/>
  <c r="FS6" i="1"/>
  <c r="FR6" i="1"/>
  <c r="FQ6" i="1"/>
  <c r="FP6" i="1"/>
  <c r="FO6" i="1"/>
  <c r="FN6" i="1"/>
  <c r="FM6" i="1"/>
  <c r="FL6" i="1"/>
  <c r="FK6" i="1"/>
  <c r="DQ6" i="1"/>
  <c r="DP6" i="1"/>
  <c r="DO6" i="1"/>
  <c r="DN6" i="1"/>
  <c r="DM6" i="1"/>
  <c r="DK6" i="1"/>
  <c r="DI6" i="1"/>
  <c r="DH6" i="1"/>
  <c r="DG6" i="1"/>
  <c r="DF6" i="1"/>
  <c r="DE6" i="1"/>
  <c r="DD6" i="1"/>
  <c r="DC6" i="1"/>
  <c r="DB6" i="1"/>
  <c r="CY6" i="1"/>
  <c r="CX6" i="1"/>
  <c r="CW6" i="1"/>
  <c r="CV6" i="1"/>
  <c r="CU6" i="1"/>
  <c r="CT6" i="1"/>
  <c r="CS6" i="1"/>
  <c r="CR6" i="1"/>
  <c r="CQ6" i="1"/>
  <c r="CL6" i="1"/>
  <c r="CK6" i="1"/>
  <c r="CJ6" i="1"/>
  <c r="CI6" i="1"/>
  <c r="CH6" i="1"/>
  <c r="CF6" i="1"/>
  <c r="CD6" i="1"/>
  <c r="CC6" i="1"/>
  <c r="CB6" i="1"/>
  <c r="CA6" i="1"/>
  <c r="BZ6" i="1"/>
  <c r="BY6" i="1"/>
  <c r="BX6" i="1"/>
  <c r="BW6" i="1"/>
  <c r="BV6" i="1"/>
  <c r="BT6" i="1"/>
  <c r="BS6" i="1"/>
  <c r="BR6" i="1"/>
  <c r="BQ6" i="1"/>
  <c r="BP6" i="1"/>
  <c r="BO6" i="1"/>
  <c r="BN6" i="1"/>
  <c r="BM6" i="1"/>
  <c r="BL6" i="1"/>
  <c r="BG6" i="1"/>
  <c r="BF6" i="1"/>
  <c r="BE6" i="1"/>
  <c r="BD6" i="1"/>
  <c r="BC6" i="1"/>
  <c r="BA6" i="1"/>
  <c r="AY6" i="1"/>
  <c r="AX6" i="1"/>
  <c r="AW6" i="1"/>
  <c r="AV6" i="1"/>
  <c r="AU6" i="1"/>
  <c r="AT6" i="1"/>
  <c r="AS6" i="1"/>
  <c r="AR6" i="1"/>
  <c r="AQ6" i="1"/>
  <c r="AB6" i="1"/>
  <c r="AA6" i="7" s="1"/>
  <c r="AA6" i="1"/>
  <c r="Z6" i="1"/>
  <c r="Y6" i="1"/>
  <c r="X6" i="1"/>
  <c r="W6" i="7" s="1"/>
  <c r="V6" i="1"/>
  <c r="U6" i="7" s="1"/>
  <c r="T6" i="1"/>
  <c r="S6" i="7" s="1"/>
  <c r="S6" i="1"/>
  <c r="R6" i="7" s="1"/>
  <c r="R6" i="1"/>
  <c r="Q6" i="7" s="1"/>
  <c r="Q6" i="1"/>
  <c r="P6" i="1"/>
  <c r="O6" i="1"/>
  <c r="N6" i="1"/>
  <c r="M6" i="1"/>
  <c r="L6" i="1"/>
  <c r="J6" i="1"/>
  <c r="I6" i="1"/>
  <c r="H6" i="1"/>
  <c r="B53" i="1"/>
  <c r="B39" i="1"/>
  <c r="B24" i="1"/>
  <c r="EU5" i="1"/>
  <c r="EU8" i="1"/>
  <c r="EU9" i="1"/>
  <c r="EU10" i="1"/>
  <c r="EU11" i="1"/>
  <c r="EU12" i="1"/>
  <c r="EU13" i="1"/>
  <c r="EU14" i="1"/>
  <c r="EU15" i="1"/>
  <c r="EU16" i="1"/>
  <c r="EU17" i="1"/>
  <c r="EU18" i="1"/>
  <c r="EU19" i="1"/>
  <c r="EU20" i="1"/>
  <c r="EU21" i="1"/>
  <c r="EU22" i="1"/>
  <c r="EU23" i="1"/>
  <c r="EU26" i="1"/>
  <c r="EU27" i="1"/>
  <c r="EU28" i="1"/>
  <c r="EU29" i="1"/>
  <c r="EU55" i="1"/>
  <c r="EU30" i="1"/>
  <c r="EU31" i="1"/>
  <c r="EU41" i="1"/>
  <c r="EU42" i="1"/>
  <c r="EU43" i="1"/>
  <c r="EU44" i="1"/>
  <c r="EU56" i="1"/>
  <c r="EU57" i="1"/>
  <c r="EU45" i="1"/>
  <c r="EU46" i="1"/>
  <c r="EU47" i="1"/>
  <c r="EU32" i="1"/>
  <c r="EU48" i="1"/>
  <c r="EU33" i="1"/>
  <c r="EU58" i="1"/>
  <c r="EU59" i="1"/>
  <c r="EU34" i="1"/>
  <c r="EU60" i="1"/>
  <c r="EU49" i="1"/>
  <c r="EU50" i="1"/>
  <c r="EU35" i="1"/>
  <c r="EU61" i="1"/>
  <c r="EU62" i="1"/>
  <c r="EU51" i="1"/>
  <c r="EU36" i="1"/>
  <c r="EU63" i="1"/>
  <c r="EU37" i="1"/>
  <c r="EU52" i="1"/>
  <c r="EU38" i="1"/>
  <c r="EU64" i="1"/>
  <c r="HG3" i="5"/>
  <c r="GB3" i="5"/>
  <c r="EW3" i="5"/>
  <c r="DR3" i="5"/>
  <c r="CM3" i="5"/>
  <c r="BH3" i="5"/>
  <c r="EV64" i="1"/>
  <c r="EV38" i="1"/>
  <c r="EV52" i="1"/>
  <c r="EV37" i="1"/>
  <c r="EV63" i="1"/>
  <c r="EV36" i="1"/>
  <c r="EV51" i="1"/>
  <c r="EV62" i="1"/>
  <c r="EV61" i="1"/>
  <c r="EV35" i="1"/>
  <c r="EV50" i="1"/>
  <c r="EV49" i="1"/>
  <c r="EV60" i="1"/>
  <c r="EV34" i="1"/>
  <c r="EV59" i="1"/>
  <c r="EV58" i="1"/>
  <c r="EV33" i="1"/>
  <c r="EV48" i="1"/>
  <c r="EV32" i="1"/>
  <c r="EV47" i="1"/>
  <c r="EV46" i="1"/>
  <c r="EV45" i="1"/>
  <c r="EV57" i="1"/>
  <c r="EV56" i="1"/>
  <c r="EV44" i="1"/>
  <c r="EV43" i="1"/>
  <c r="EV42" i="1"/>
  <c r="EV41" i="1"/>
  <c r="EV31" i="1"/>
  <c r="EV30" i="1"/>
  <c r="EV55" i="1"/>
  <c r="EV29" i="1"/>
  <c r="EV28" i="1"/>
  <c r="EV27" i="1"/>
  <c r="EV26" i="1"/>
  <c r="EV23" i="1"/>
  <c r="EV22" i="1"/>
  <c r="EV21" i="1"/>
  <c r="EV20" i="1"/>
  <c r="EV19" i="1"/>
  <c r="EV18" i="1"/>
  <c r="EV17" i="1"/>
  <c r="EV16" i="1"/>
  <c r="EV15" i="1"/>
  <c r="EV14" i="1"/>
  <c r="EV13" i="1"/>
  <c r="EV12" i="1"/>
  <c r="EV11" i="1"/>
  <c r="EV10" i="1"/>
  <c r="EV9" i="1"/>
  <c r="EV8" i="1"/>
  <c r="EV5" i="1"/>
  <c r="HF3" i="5"/>
  <c r="Q7" i="8" s="1"/>
  <c r="GA3" i="5"/>
  <c r="P7" i="8" s="1"/>
  <c r="EV3" i="5"/>
  <c r="O7" i="8" s="1"/>
  <c r="DQ3" i="5"/>
  <c r="N7" i="8" s="1"/>
  <c r="CL3" i="5"/>
  <c r="M7" i="8" s="1"/>
  <c r="BG3" i="5"/>
  <c r="L7" i="8" s="1"/>
  <c r="Q5" i="7"/>
  <c r="HE3" i="5"/>
  <c r="FZ3" i="5"/>
  <c r="EU3" i="5"/>
  <c r="DP3" i="5"/>
  <c r="CK3" i="5"/>
  <c r="BF3" i="5"/>
  <c r="ET8" i="1"/>
  <c r="ET9" i="1"/>
  <c r="ET10" i="1"/>
  <c r="ET11" i="1"/>
  <c r="ET12" i="1"/>
  <c r="ET13" i="1"/>
  <c r="ET14" i="1"/>
  <c r="ET15" i="1"/>
  <c r="ET16" i="1"/>
  <c r="ET17" i="1"/>
  <c r="ET18" i="1"/>
  <c r="ET19" i="1"/>
  <c r="ET20" i="1"/>
  <c r="ET21" i="1"/>
  <c r="ET22" i="1"/>
  <c r="ET23" i="1"/>
  <c r="ET26" i="1"/>
  <c r="ET27" i="1"/>
  <c r="ET28" i="1"/>
  <c r="ET29" i="1"/>
  <c r="ET55" i="1"/>
  <c r="ET30" i="1"/>
  <c r="ET31" i="1"/>
  <c r="ET41" i="1"/>
  <c r="ET42" i="1"/>
  <c r="ET43" i="1"/>
  <c r="ET44" i="1"/>
  <c r="ET56" i="1"/>
  <c r="ET57" i="1"/>
  <c r="ET45" i="1"/>
  <c r="ET46" i="1"/>
  <c r="ET47" i="1"/>
  <c r="ET32" i="1"/>
  <c r="ET48" i="1"/>
  <c r="ET33" i="1"/>
  <c r="ET58" i="1"/>
  <c r="ET59" i="1"/>
  <c r="ET34" i="1"/>
  <c r="ET60" i="1"/>
  <c r="ET49" i="1"/>
  <c r="ET50" i="1"/>
  <c r="ET35" i="1"/>
  <c r="ET61" i="1"/>
  <c r="ET62" i="1"/>
  <c r="ET51" i="1"/>
  <c r="ET36" i="1"/>
  <c r="ET63" i="1"/>
  <c r="ET37" i="1"/>
  <c r="ET52" i="1"/>
  <c r="ET38" i="1"/>
  <c r="ET64" i="1"/>
  <c r="HD3" i="5"/>
  <c r="GT3" i="5"/>
  <c r="FY3" i="5"/>
  <c r="FO3" i="5"/>
  <c r="ET3" i="5"/>
  <c r="EJ3" i="5"/>
  <c r="DO3" i="5"/>
  <c r="DE3" i="5"/>
  <c r="CJ3" i="5"/>
  <c r="BZ3" i="5"/>
  <c r="BE3" i="5"/>
  <c r="AU3" i="5"/>
  <c r="ES8" i="1"/>
  <c r="ES9" i="1"/>
  <c r="ES10" i="1"/>
  <c r="ES11" i="1"/>
  <c r="ES12" i="1"/>
  <c r="ES13" i="1"/>
  <c r="ES14" i="1"/>
  <c r="ES15" i="1"/>
  <c r="ES16" i="1"/>
  <c r="ES17" i="1"/>
  <c r="ES18" i="1"/>
  <c r="ES19" i="1"/>
  <c r="ES20" i="1"/>
  <c r="ES21" i="1"/>
  <c r="ES22" i="1"/>
  <c r="ES23" i="1"/>
  <c r="ES26" i="1"/>
  <c r="ES27" i="1"/>
  <c r="ES28" i="1"/>
  <c r="ES29" i="1"/>
  <c r="ES55" i="1"/>
  <c r="ES30" i="1"/>
  <c r="ES31" i="1"/>
  <c r="ES41" i="1"/>
  <c r="ES42" i="1"/>
  <c r="ES43" i="1"/>
  <c r="ES44" i="1"/>
  <c r="ES56" i="1"/>
  <c r="ES57" i="1"/>
  <c r="ES45" i="1"/>
  <c r="ES46" i="1"/>
  <c r="ES47" i="1"/>
  <c r="ES32" i="1"/>
  <c r="ES48" i="1"/>
  <c r="ES33" i="1"/>
  <c r="ES58" i="1"/>
  <c r="ES59" i="1"/>
  <c r="ES34" i="1"/>
  <c r="ES60" i="1"/>
  <c r="ES49" i="1"/>
  <c r="ES50" i="1"/>
  <c r="ES35" i="1"/>
  <c r="ES61" i="1"/>
  <c r="ES62" i="1"/>
  <c r="ES51" i="1"/>
  <c r="ES36" i="1"/>
  <c r="ES63" i="1"/>
  <c r="ES37" i="1"/>
  <c r="ES52" i="1"/>
  <c r="ES38" i="1"/>
  <c r="ES64" i="1"/>
  <c r="W23" i="1"/>
  <c r="V27" i="7" s="1"/>
  <c r="W8" i="1"/>
  <c r="V12" i="7" s="1"/>
  <c r="W9" i="1"/>
  <c r="V13" i="7" s="1"/>
  <c r="W10" i="1"/>
  <c r="V14" i="7" s="1"/>
  <c r="W11" i="1"/>
  <c r="V15" i="7" s="1"/>
  <c r="W12" i="1"/>
  <c r="V16" i="7" s="1"/>
  <c r="W13" i="1"/>
  <c r="V17" i="7" s="1"/>
  <c r="W14" i="1"/>
  <c r="V18" i="7" s="1"/>
  <c r="W15" i="1"/>
  <c r="V19" i="7" s="1"/>
  <c r="W16" i="1"/>
  <c r="V20" i="7" s="1"/>
  <c r="W17" i="1"/>
  <c r="W18" i="1"/>
  <c r="V22" i="7" s="1"/>
  <c r="W19" i="1"/>
  <c r="V23" i="7" s="1"/>
  <c r="W20" i="1"/>
  <c r="V24" i="7" s="1"/>
  <c r="W21" i="1"/>
  <c r="V25" i="7" s="1"/>
  <c r="W22" i="1"/>
  <c r="W26" i="1"/>
  <c r="W27" i="1"/>
  <c r="V30" i="7" s="1"/>
  <c r="W28" i="1"/>
  <c r="W29" i="1"/>
  <c r="V32" i="7" s="1"/>
  <c r="W55" i="1"/>
  <c r="V56" i="7" s="1"/>
  <c r="W30" i="1"/>
  <c r="V33" i="7" s="1"/>
  <c r="W31" i="1"/>
  <c r="V34" i="7" s="1"/>
  <c r="W41" i="1"/>
  <c r="W42" i="1"/>
  <c r="V44" i="7" s="1"/>
  <c r="W43" i="1"/>
  <c r="V45" i="7" s="1"/>
  <c r="W44" i="1"/>
  <c r="V46" i="7" s="1"/>
  <c r="W56" i="1"/>
  <c r="W57" i="1"/>
  <c r="V58" i="7" s="1"/>
  <c r="W45" i="1"/>
  <c r="V47" i="7" s="1"/>
  <c r="W46" i="1"/>
  <c r="V48" i="7" s="1"/>
  <c r="W47" i="1"/>
  <c r="V49" i="7" s="1"/>
  <c r="W32" i="1"/>
  <c r="W48" i="1"/>
  <c r="V50" i="7" s="1"/>
  <c r="W33" i="1"/>
  <c r="V36" i="7" s="1"/>
  <c r="W58" i="1"/>
  <c r="V59" i="7" s="1"/>
  <c r="W59" i="1"/>
  <c r="V60" i="7" s="1"/>
  <c r="W34" i="1"/>
  <c r="V37" i="7" s="1"/>
  <c r="W60" i="1"/>
  <c r="V61" i="7" s="1"/>
  <c r="W49" i="1"/>
  <c r="W50" i="1"/>
  <c r="V52" i="7" s="1"/>
  <c r="W35" i="1"/>
  <c r="V38" i="7" s="1"/>
  <c r="W61" i="1"/>
  <c r="V62" i="7" s="1"/>
  <c r="W62" i="1"/>
  <c r="V63" i="7" s="1"/>
  <c r="W51" i="1"/>
  <c r="V53" i="7" s="1"/>
  <c r="W36" i="1"/>
  <c r="V39" i="7" s="1"/>
  <c r="W63" i="1"/>
  <c r="V64" i="7" s="1"/>
  <c r="W37" i="1"/>
  <c r="V40" i="7" s="1"/>
  <c r="W52" i="1"/>
  <c r="V54" i="7" s="1"/>
  <c r="W38" i="1"/>
  <c r="V41" i="7" s="1"/>
  <c r="U23" i="1"/>
  <c r="T27" i="7" s="1"/>
  <c r="U8" i="1"/>
  <c r="T12" i="7" s="1"/>
  <c r="U9" i="1"/>
  <c r="T13" i="7" s="1"/>
  <c r="U10" i="1"/>
  <c r="T14" i="7" s="1"/>
  <c r="U11" i="1"/>
  <c r="T15" i="7" s="1"/>
  <c r="U12" i="1"/>
  <c r="T16" i="7" s="1"/>
  <c r="U13" i="1"/>
  <c r="U14" i="1"/>
  <c r="T18" i="7" s="1"/>
  <c r="U15" i="1"/>
  <c r="T19" i="7" s="1"/>
  <c r="U16" i="1"/>
  <c r="T20" i="7" s="1"/>
  <c r="U17" i="1"/>
  <c r="T21" i="7" s="1"/>
  <c r="U18" i="1"/>
  <c r="T22" i="7" s="1"/>
  <c r="U19" i="1"/>
  <c r="T23" i="7" s="1"/>
  <c r="U20" i="1"/>
  <c r="T24" i="7" s="1"/>
  <c r="U21" i="1"/>
  <c r="U22" i="1"/>
  <c r="T26" i="7" s="1"/>
  <c r="U26" i="1"/>
  <c r="T29" i="7" s="1"/>
  <c r="U27" i="1"/>
  <c r="T30" i="7" s="1"/>
  <c r="U28" i="1"/>
  <c r="T31" i="7" s="1"/>
  <c r="U29" i="1"/>
  <c r="T32" i="7" s="1"/>
  <c r="U55" i="1"/>
  <c r="T56" i="7" s="1"/>
  <c r="U30" i="1"/>
  <c r="T33" i="7" s="1"/>
  <c r="U31" i="1"/>
  <c r="T34" i="7" s="1"/>
  <c r="U41" i="1"/>
  <c r="U42" i="1"/>
  <c r="T44" i="7" s="1"/>
  <c r="U43" i="1"/>
  <c r="T45" i="7" s="1"/>
  <c r="U44" i="1"/>
  <c r="T46" i="7" s="1"/>
  <c r="U56" i="1"/>
  <c r="T57" i="7" s="1"/>
  <c r="U57" i="1"/>
  <c r="T58" i="7" s="1"/>
  <c r="U45" i="1"/>
  <c r="U46" i="1"/>
  <c r="T48" i="7" s="1"/>
  <c r="U47" i="1"/>
  <c r="T49" i="7" s="1"/>
  <c r="U32" i="1"/>
  <c r="T35" i="7" s="1"/>
  <c r="U48" i="1"/>
  <c r="T50" i="7" s="1"/>
  <c r="U33" i="1"/>
  <c r="T36" i="7" s="1"/>
  <c r="U58" i="1"/>
  <c r="T59" i="7" s="1"/>
  <c r="U59" i="1"/>
  <c r="T60" i="7" s="1"/>
  <c r="U34" i="1"/>
  <c r="T37" i="7" s="1"/>
  <c r="U60" i="1"/>
  <c r="U49" i="1"/>
  <c r="T51" i="7" s="1"/>
  <c r="U50" i="1"/>
  <c r="U35" i="1"/>
  <c r="T38" i="7" s="1"/>
  <c r="U61" i="1"/>
  <c r="T62" i="7" s="1"/>
  <c r="U62" i="1"/>
  <c r="T63" i="7" s="1"/>
  <c r="U51" i="1"/>
  <c r="T53" i="7" s="1"/>
  <c r="U36" i="1"/>
  <c r="U63" i="1"/>
  <c r="T64" i="7" s="1"/>
  <c r="U37" i="1"/>
  <c r="T40" i="7" s="1"/>
  <c r="U52" i="1"/>
  <c r="T54" i="7" s="1"/>
  <c r="U38" i="1"/>
  <c r="U64" i="1"/>
  <c r="T65" i="7" s="1"/>
  <c r="W64" i="1"/>
  <c r="V65" i="7" s="1"/>
  <c r="HC3" i="5"/>
  <c r="GS3" i="5"/>
  <c r="FX3" i="5"/>
  <c r="FN3" i="5"/>
  <c r="ES3" i="5"/>
  <c r="EI3" i="5"/>
  <c r="DN3" i="5"/>
  <c r="DD3" i="5"/>
  <c r="CI3" i="5"/>
  <c r="BY3" i="5"/>
  <c r="BD3" i="5"/>
  <c r="AT3" i="5"/>
  <c r="BB8" i="1"/>
  <c r="CG8" i="1"/>
  <c r="DL8" i="1"/>
  <c r="BB9" i="1"/>
  <c r="CG9" i="1"/>
  <c r="DL9" i="1"/>
  <c r="BB10" i="1"/>
  <c r="CG10" i="1"/>
  <c r="DL10" i="1"/>
  <c r="BB11" i="1"/>
  <c r="CG11" i="1"/>
  <c r="BC9" i="5" s="1"/>
  <c r="DL11" i="1"/>
  <c r="X9" i="5" s="1"/>
  <c r="BB12" i="1"/>
  <c r="CG12" i="1"/>
  <c r="DL12" i="1"/>
  <c r="BB13" i="1"/>
  <c r="CG13" i="1"/>
  <c r="DL13" i="1"/>
  <c r="BB14" i="1"/>
  <c r="CG14" i="1"/>
  <c r="EQ14" i="1" s="1"/>
  <c r="DL14" i="1"/>
  <c r="BB15" i="1"/>
  <c r="EQ15" i="1" s="1"/>
  <c r="CG15" i="1"/>
  <c r="BC13" i="5" s="1"/>
  <c r="DL15" i="1"/>
  <c r="BB16" i="1"/>
  <c r="CG16" i="1"/>
  <c r="DL16" i="1"/>
  <c r="BB17" i="1"/>
  <c r="CG17" i="1"/>
  <c r="DL17" i="1"/>
  <c r="BB18" i="1"/>
  <c r="CG18" i="1"/>
  <c r="DL18" i="1"/>
  <c r="BB19" i="1"/>
  <c r="CG19" i="1"/>
  <c r="BC17" i="5" s="1"/>
  <c r="DL19" i="1"/>
  <c r="X17" i="5" s="1"/>
  <c r="BB20" i="1"/>
  <c r="CG20" i="1"/>
  <c r="DL20" i="1"/>
  <c r="BB21" i="1"/>
  <c r="CG21" i="1"/>
  <c r="DL21" i="1"/>
  <c r="BB22" i="1"/>
  <c r="CG22" i="1"/>
  <c r="DL22" i="1"/>
  <c r="BB23" i="1"/>
  <c r="CG23" i="1"/>
  <c r="BC21" i="5" s="1"/>
  <c r="DL23" i="1"/>
  <c r="ER8" i="1"/>
  <c r="ER9" i="1"/>
  <c r="ER10" i="1"/>
  <c r="ER11" i="1"/>
  <c r="ER12" i="1"/>
  <c r="ER13" i="1"/>
  <c r="ER14" i="1"/>
  <c r="ER15" i="1"/>
  <c r="ER16" i="1"/>
  <c r="ER17" i="1"/>
  <c r="ER18" i="1"/>
  <c r="ER19" i="1"/>
  <c r="ER20" i="1"/>
  <c r="ER21" i="1"/>
  <c r="ER22" i="1"/>
  <c r="ER23" i="1"/>
  <c r="BB26" i="1"/>
  <c r="CG26" i="1"/>
  <c r="DL26" i="1"/>
  <c r="ER26" i="1"/>
  <c r="BB27" i="1"/>
  <c r="CG27" i="1"/>
  <c r="DL27" i="1"/>
  <c r="ER27" i="1"/>
  <c r="BB28" i="1"/>
  <c r="CG28" i="1"/>
  <c r="DL28" i="1"/>
  <c r="ER28" i="1"/>
  <c r="BB29" i="1"/>
  <c r="CG29" i="1"/>
  <c r="DL29" i="1"/>
  <c r="ER29" i="1"/>
  <c r="BB55" i="1"/>
  <c r="CG55" i="1"/>
  <c r="DL55" i="1"/>
  <c r="X53" i="5" s="1"/>
  <c r="ER55" i="1"/>
  <c r="BB30" i="1"/>
  <c r="CG30" i="1"/>
  <c r="DL30" i="1"/>
  <c r="ER30" i="1"/>
  <c r="BB31" i="1"/>
  <c r="CG31" i="1"/>
  <c r="DL31" i="1"/>
  <c r="ER31" i="1"/>
  <c r="BB41" i="1"/>
  <c r="CG41" i="1"/>
  <c r="DL41" i="1"/>
  <c r="ER41" i="1"/>
  <c r="BB42" i="1"/>
  <c r="CG42" i="1"/>
  <c r="DL42" i="1"/>
  <c r="ER42" i="1"/>
  <c r="BB43" i="1"/>
  <c r="CG43" i="1"/>
  <c r="DL43" i="1"/>
  <c r="ER43" i="1"/>
  <c r="BB44" i="1"/>
  <c r="CG44" i="1"/>
  <c r="DL44" i="1"/>
  <c r="ER44" i="1"/>
  <c r="BB56" i="1"/>
  <c r="CG56" i="1"/>
  <c r="DL56" i="1"/>
  <c r="ER56" i="1"/>
  <c r="BB57" i="1"/>
  <c r="CG57" i="1"/>
  <c r="DL57" i="1"/>
  <c r="X55" i="5" s="1"/>
  <c r="ER57" i="1"/>
  <c r="BB45" i="1"/>
  <c r="CG45" i="1"/>
  <c r="DL45" i="1"/>
  <c r="ER45" i="1"/>
  <c r="BB46" i="1"/>
  <c r="CH44" i="5" s="1"/>
  <c r="CG46" i="1"/>
  <c r="DL46" i="1"/>
  <c r="ER46" i="1"/>
  <c r="BB47" i="1"/>
  <c r="CG47" i="1"/>
  <c r="BC45" i="5" s="1"/>
  <c r="DL47" i="1"/>
  <c r="ER47" i="1"/>
  <c r="BB32" i="1"/>
  <c r="CG32" i="1"/>
  <c r="DL32" i="1"/>
  <c r="ER32" i="1"/>
  <c r="BB48" i="1"/>
  <c r="CG48" i="1"/>
  <c r="DL48" i="1"/>
  <c r="ER48" i="1"/>
  <c r="BB33" i="1"/>
  <c r="CH31" i="5" s="1"/>
  <c r="CG33" i="1"/>
  <c r="DL33" i="1"/>
  <c r="ER33" i="1"/>
  <c r="BB58" i="1"/>
  <c r="CG58" i="1"/>
  <c r="DL58" i="1"/>
  <c r="ER58" i="1"/>
  <c r="BB59" i="1"/>
  <c r="CG59" i="1"/>
  <c r="DL59" i="1"/>
  <c r="X57" i="5" s="1"/>
  <c r="ER59" i="1"/>
  <c r="BB34" i="1"/>
  <c r="CG34" i="1"/>
  <c r="DL34" i="1"/>
  <c r="ER34" i="1"/>
  <c r="BB60" i="1"/>
  <c r="CH58" i="5" s="1"/>
  <c r="CG60" i="1"/>
  <c r="DL60" i="1"/>
  <c r="ER60" i="1"/>
  <c r="BB49" i="1"/>
  <c r="CG49" i="1"/>
  <c r="BC47" i="5" s="1"/>
  <c r="DL49" i="1"/>
  <c r="ER49" i="1"/>
  <c r="BB50" i="1"/>
  <c r="CG50" i="1"/>
  <c r="DL50" i="1"/>
  <c r="ER50" i="1"/>
  <c r="BB35" i="1"/>
  <c r="CG35" i="1"/>
  <c r="DL35" i="1"/>
  <c r="ER35" i="1"/>
  <c r="BB61" i="1"/>
  <c r="CH59" i="5" s="1"/>
  <c r="CG61" i="1"/>
  <c r="DL61" i="1"/>
  <c r="ER61" i="1"/>
  <c r="BB62" i="1"/>
  <c r="CG62" i="1"/>
  <c r="DL62" i="1"/>
  <c r="ER62" i="1"/>
  <c r="BB51" i="1"/>
  <c r="CG51" i="1"/>
  <c r="DL51" i="1"/>
  <c r="X49" i="5" s="1"/>
  <c r="ER51" i="1"/>
  <c r="BB36" i="1"/>
  <c r="CG36" i="1"/>
  <c r="DL36" i="1"/>
  <c r="ER36" i="1"/>
  <c r="BB63" i="1"/>
  <c r="CG63" i="1"/>
  <c r="DL63" i="1"/>
  <c r="X61" i="5" s="1"/>
  <c r="ER63" i="1"/>
  <c r="BB37" i="1"/>
  <c r="CG37" i="1"/>
  <c r="BC35" i="5" s="1"/>
  <c r="DL37" i="1"/>
  <c r="ER37" i="1"/>
  <c r="BB52" i="1"/>
  <c r="CG52" i="1"/>
  <c r="DL52" i="1"/>
  <c r="ER52" i="1"/>
  <c r="BB38" i="1"/>
  <c r="CG38" i="1"/>
  <c r="DL38" i="1"/>
  <c r="ER38" i="1"/>
  <c r="BB64" i="1"/>
  <c r="CG64" i="1"/>
  <c r="DL64" i="1"/>
  <c r="ER64" i="1"/>
  <c r="CH3" i="5"/>
  <c r="DM3" i="5"/>
  <c r="ER3" i="5"/>
  <c r="FW3" i="5"/>
  <c r="HB3" i="5"/>
  <c r="FV8" i="1"/>
  <c r="HA8" i="1"/>
  <c r="IF8" i="1"/>
  <c r="JK8" i="1"/>
  <c r="FV9" i="1"/>
  <c r="HA9" i="1"/>
  <c r="IF9" i="1"/>
  <c r="JK9" i="1"/>
  <c r="HB7" i="5" s="1"/>
  <c r="FV10" i="1"/>
  <c r="DM8" i="5" s="1"/>
  <c r="HA10" i="1"/>
  <c r="IF10" i="1"/>
  <c r="JK10" i="1"/>
  <c r="FV11" i="1"/>
  <c r="HA11" i="1"/>
  <c r="IF11" i="1"/>
  <c r="JK11" i="1"/>
  <c r="FV12" i="1"/>
  <c r="HA12" i="1"/>
  <c r="IF12" i="1"/>
  <c r="FW10" i="5" s="1"/>
  <c r="JK12" i="1"/>
  <c r="FV13" i="1"/>
  <c r="HA13" i="1"/>
  <c r="IF13" i="1"/>
  <c r="JK13" i="1"/>
  <c r="HB11" i="5" s="1"/>
  <c r="FV14" i="1"/>
  <c r="HA14" i="1"/>
  <c r="IF14" i="1"/>
  <c r="JK14" i="1"/>
  <c r="FV15" i="1"/>
  <c r="HA15" i="1"/>
  <c r="ER13" i="5" s="1"/>
  <c r="IF15" i="1"/>
  <c r="JK15" i="1"/>
  <c r="FV16" i="1"/>
  <c r="HA16" i="1"/>
  <c r="IF16" i="1"/>
  <c r="JK16" i="1"/>
  <c r="FV17" i="1"/>
  <c r="HA17" i="1"/>
  <c r="IF17" i="1"/>
  <c r="JK17" i="1"/>
  <c r="HB15" i="5" s="1"/>
  <c r="FV18" i="1"/>
  <c r="DM16" i="5" s="1"/>
  <c r="HA18" i="1"/>
  <c r="IF18" i="1"/>
  <c r="JK18" i="1"/>
  <c r="FV19" i="1"/>
  <c r="HA19" i="1"/>
  <c r="IF19" i="1"/>
  <c r="JK19" i="1"/>
  <c r="FV20" i="1"/>
  <c r="HA20" i="1"/>
  <c r="IF20" i="1"/>
  <c r="FW18" i="5" s="1"/>
  <c r="JK20" i="1"/>
  <c r="FV21" i="1"/>
  <c r="HA21" i="1"/>
  <c r="IF21" i="1"/>
  <c r="JK21" i="1"/>
  <c r="HB19" i="5" s="1"/>
  <c r="FV22" i="1"/>
  <c r="HA22" i="1"/>
  <c r="IF22" i="1"/>
  <c r="JK22" i="1"/>
  <c r="FV23" i="1"/>
  <c r="HA23" i="1"/>
  <c r="ER21" i="5" s="1"/>
  <c r="IF23" i="1"/>
  <c r="JK23" i="1"/>
  <c r="FV26" i="1"/>
  <c r="HA26" i="1"/>
  <c r="IF26" i="1"/>
  <c r="JK26" i="1"/>
  <c r="FV27" i="1"/>
  <c r="HA27" i="1"/>
  <c r="IF27" i="1"/>
  <c r="FW25" i="5" s="1"/>
  <c r="JK27" i="1"/>
  <c r="FV28" i="1"/>
  <c r="HA28" i="1"/>
  <c r="IF28" i="1"/>
  <c r="JK28" i="1"/>
  <c r="FV29" i="1"/>
  <c r="HA29" i="1"/>
  <c r="IF29" i="1"/>
  <c r="JK29" i="1"/>
  <c r="FV55" i="1"/>
  <c r="HA55" i="1"/>
  <c r="ER53" i="5" s="1"/>
  <c r="IF55" i="1"/>
  <c r="FW53" i="5" s="1"/>
  <c r="JK55" i="1"/>
  <c r="FV30" i="1"/>
  <c r="HA30" i="1"/>
  <c r="IF30" i="1"/>
  <c r="JK30" i="1"/>
  <c r="FV31" i="1"/>
  <c r="HA31" i="1"/>
  <c r="IF31" i="1"/>
  <c r="JK31" i="1"/>
  <c r="HB29" i="5" s="1"/>
  <c r="FV41" i="1"/>
  <c r="HA41" i="1"/>
  <c r="IF41" i="1"/>
  <c r="JK41" i="1"/>
  <c r="FV42" i="1"/>
  <c r="HA42" i="1"/>
  <c r="IF42" i="1"/>
  <c r="JK42" i="1"/>
  <c r="FV43" i="1"/>
  <c r="HA43" i="1"/>
  <c r="IF43" i="1"/>
  <c r="FW41" i="5" s="1"/>
  <c r="JK43" i="1"/>
  <c r="FV44" i="1"/>
  <c r="HA44" i="1"/>
  <c r="IF44" i="1"/>
  <c r="JK44" i="1"/>
  <c r="FV56" i="1"/>
  <c r="HA56" i="1"/>
  <c r="IF56" i="1"/>
  <c r="JK56" i="1"/>
  <c r="FV57" i="1"/>
  <c r="HA57" i="1"/>
  <c r="ER55" i="5" s="1"/>
  <c r="IF57" i="1"/>
  <c r="FW55" i="5" s="1"/>
  <c r="JK57" i="1"/>
  <c r="FV45" i="1"/>
  <c r="HA45" i="1"/>
  <c r="IF45" i="1"/>
  <c r="JK45" i="1"/>
  <c r="FV46" i="1"/>
  <c r="HA46" i="1"/>
  <c r="IF46" i="1"/>
  <c r="JK46" i="1"/>
  <c r="HB44" i="5" s="1"/>
  <c r="FV47" i="1"/>
  <c r="DM45" i="5" s="1"/>
  <c r="HA47" i="1"/>
  <c r="IF47" i="1"/>
  <c r="JK47" i="1"/>
  <c r="FV32" i="1"/>
  <c r="HA32" i="1"/>
  <c r="IF32" i="1"/>
  <c r="JK32" i="1"/>
  <c r="HB30" i="5" s="1"/>
  <c r="FV48" i="1"/>
  <c r="HA48" i="1"/>
  <c r="IF48" i="1"/>
  <c r="FW46" i="5" s="1"/>
  <c r="JK48" i="1"/>
  <c r="FV33" i="1"/>
  <c r="HA33" i="1"/>
  <c r="IF33" i="1"/>
  <c r="JK33" i="1"/>
  <c r="FV58" i="1"/>
  <c r="HA58" i="1"/>
  <c r="IF58" i="1"/>
  <c r="JK58" i="1"/>
  <c r="FV59" i="1"/>
  <c r="HA59" i="1"/>
  <c r="ER57" i="5" s="1"/>
  <c r="IF59" i="1"/>
  <c r="FW57" i="5" s="1"/>
  <c r="JK59" i="1"/>
  <c r="FV34" i="1"/>
  <c r="HA34" i="1"/>
  <c r="IF34" i="1"/>
  <c r="JK34" i="1"/>
  <c r="FV60" i="1"/>
  <c r="HA60" i="1"/>
  <c r="IF60" i="1"/>
  <c r="JK60" i="1"/>
  <c r="HB58" i="5" s="1"/>
  <c r="FV49" i="1"/>
  <c r="DM47" i="5" s="1"/>
  <c r="HA49" i="1"/>
  <c r="IF49" i="1"/>
  <c r="JK49" i="1"/>
  <c r="FV50" i="1"/>
  <c r="HA50" i="1"/>
  <c r="IF50" i="1"/>
  <c r="JK50" i="1"/>
  <c r="FV35" i="1"/>
  <c r="HA35" i="1"/>
  <c r="IF35" i="1"/>
  <c r="FW33" i="5" s="1"/>
  <c r="JK35" i="1"/>
  <c r="FV61" i="1"/>
  <c r="HA61" i="1"/>
  <c r="IF61" i="1"/>
  <c r="JK61" i="1"/>
  <c r="FV62" i="1"/>
  <c r="HA62" i="1"/>
  <c r="IF62" i="1"/>
  <c r="JK62" i="1"/>
  <c r="FV51" i="1"/>
  <c r="HA51" i="1"/>
  <c r="ER49" i="5" s="1"/>
  <c r="IF51" i="1"/>
  <c r="FW49" i="5" s="1"/>
  <c r="JK51" i="1"/>
  <c r="FV36" i="1"/>
  <c r="HA36" i="1"/>
  <c r="IF36" i="1"/>
  <c r="JK36" i="1"/>
  <c r="FV63" i="1"/>
  <c r="HA63" i="1"/>
  <c r="IF63" i="1"/>
  <c r="JK63" i="1"/>
  <c r="HB61" i="5" s="1"/>
  <c r="FV37" i="1"/>
  <c r="DM35" i="5" s="1"/>
  <c r="HA37" i="1"/>
  <c r="IF37" i="1"/>
  <c r="JK37" i="1"/>
  <c r="FV52" i="1"/>
  <c r="HA52" i="1"/>
  <c r="IF52" i="1"/>
  <c r="JK52" i="1"/>
  <c r="FV38" i="1"/>
  <c r="HA38" i="1"/>
  <c r="IF38" i="1"/>
  <c r="FW36" i="5" s="1"/>
  <c r="JK38" i="1"/>
  <c r="FV64" i="1"/>
  <c r="HA64" i="1"/>
  <c r="IF64" i="1"/>
  <c r="FW62" i="5" s="1"/>
  <c r="JK64" i="1"/>
  <c r="BN3" i="5"/>
  <c r="CS3" i="5"/>
  <c r="DX3" i="5"/>
  <c r="FC3" i="5"/>
  <c r="GH3" i="5"/>
  <c r="BO3" i="5"/>
  <c r="CT3" i="5"/>
  <c r="DY3" i="5"/>
  <c r="FD3" i="5"/>
  <c r="GI3" i="5"/>
  <c r="BP3" i="5"/>
  <c r="CU3" i="5"/>
  <c r="DZ3" i="5"/>
  <c r="FE3" i="5"/>
  <c r="GJ3" i="5"/>
  <c r="BQ3" i="5"/>
  <c r="CV3" i="5"/>
  <c r="EA3" i="5"/>
  <c r="FF3" i="5"/>
  <c r="GK3" i="5"/>
  <c r="BR3" i="5"/>
  <c r="CW3" i="5"/>
  <c r="EB3" i="5"/>
  <c r="FG3" i="5"/>
  <c r="GL3" i="5"/>
  <c r="BS3" i="5"/>
  <c r="CX3" i="5"/>
  <c r="EC3" i="5"/>
  <c r="FH3" i="5"/>
  <c r="GM3" i="5"/>
  <c r="BT3" i="5"/>
  <c r="CY3" i="5"/>
  <c r="ED3" i="5"/>
  <c r="FI3" i="5"/>
  <c r="GN3" i="5"/>
  <c r="BU3" i="5"/>
  <c r="CZ3" i="5"/>
  <c r="EE3" i="5"/>
  <c r="FJ3" i="5"/>
  <c r="GO3" i="5"/>
  <c r="BV3" i="5"/>
  <c r="DA3" i="5"/>
  <c r="EF3" i="5"/>
  <c r="FK3" i="5"/>
  <c r="GP3" i="5"/>
  <c r="BW3" i="5"/>
  <c r="DB3" i="5"/>
  <c r="EG3" i="5"/>
  <c r="FL3" i="5"/>
  <c r="GQ3" i="5"/>
  <c r="BX3" i="5"/>
  <c r="DC3" i="5"/>
  <c r="EH3" i="5"/>
  <c r="FM3" i="5"/>
  <c r="GR3" i="5"/>
  <c r="CA3" i="5"/>
  <c r="DF3" i="5"/>
  <c r="EK3" i="5"/>
  <c r="FP3" i="5"/>
  <c r="GU3" i="5"/>
  <c r="CB3" i="5"/>
  <c r="DG3" i="5"/>
  <c r="EL3" i="5"/>
  <c r="FQ3" i="5"/>
  <c r="GV3" i="5"/>
  <c r="CC3" i="5"/>
  <c r="DH3" i="5"/>
  <c r="EM3" i="5"/>
  <c r="FR3" i="5"/>
  <c r="GW3" i="5"/>
  <c r="CD3" i="5"/>
  <c r="DI3" i="5"/>
  <c r="EN3" i="5"/>
  <c r="FS3" i="5"/>
  <c r="GX3" i="5"/>
  <c r="CE3" i="5"/>
  <c r="DJ3" i="5"/>
  <c r="EO3" i="5"/>
  <c r="FT3" i="5"/>
  <c r="GY3" i="5"/>
  <c r="CF3" i="5"/>
  <c r="DK3" i="5"/>
  <c r="EP3" i="5"/>
  <c r="FU3" i="5"/>
  <c r="GZ3" i="5"/>
  <c r="CG3" i="5"/>
  <c r="DL3" i="5"/>
  <c r="EQ3" i="5"/>
  <c r="FV3" i="5"/>
  <c r="HA3" i="5"/>
  <c r="AH9" i="1"/>
  <c r="AH11" i="1"/>
  <c r="AH12" i="1"/>
  <c r="AH13" i="1"/>
  <c r="BN11" i="5" s="1"/>
  <c r="AH14" i="1"/>
  <c r="DW14" i="1" s="1"/>
  <c r="AH15" i="1"/>
  <c r="DW15" i="1" s="1"/>
  <c r="AH16" i="1"/>
  <c r="BN14" i="5" s="1"/>
  <c r="AH17" i="1"/>
  <c r="AH18" i="1"/>
  <c r="AH19" i="1"/>
  <c r="AH20" i="1"/>
  <c r="AH21" i="1"/>
  <c r="BN19" i="5" s="1"/>
  <c r="AH22" i="1"/>
  <c r="BN20" i="5" s="1"/>
  <c r="AH23" i="1"/>
  <c r="C11" i="1"/>
  <c r="C12" i="1"/>
  <c r="AI10" i="5" s="1"/>
  <c r="C14" i="1"/>
  <c r="AI12" i="5" s="1"/>
  <c r="C15" i="1"/>
  <c r="AI13" i="5" s="1"/>
  <c r="C20" i="1"/>
  <c r="AI18" i="5" s="1"/>
  <c r="FB8" i="1"/>
  <c r="CS6" i="5" s="1"/>
  <c r="FB9" i="1"/>
  <c r="CS7" i="5" s="1"/>
  <c r="FB11" i="1"/>
  <c r="FB12" i="1"/>
  <c r="FB13" i="1"/>
  <c r="CS11" i="5" s="1"/>
  <c r="FB14" i="1"/>
  <c r="CS12" i="5" s="1"/>
  <c r="FB15" i="1"/>
  <c r="CS13" i="5" s="1"/>
  <c r="FB16" i="1"/>
  <c r="CS14" i="5" s="1"/>
  <c r="FB17" i="1"/>
  <c r="CS15" i="5" s="1"/>
  <c r="FB18" i="1"/>
  <c r="CS16" i="5" s="1"/>
  <c r="FB19" i="1"/>
  <c r="CS17" i="5" s="1"/>
  <c r="FB20" i="1"/>
  <c r="CS18" i="5" s="1"/>
  <c r="FB21" i="1"/>
  <c r="CS19" i="5" s="1"/>
  <c r="FB22" i="1"/>
  <c r="CS20" i="5" s="1"/>
  <c r="FB23" i="1"/>
  <c r="CS21" i="5" s="1"/>
  <c r="DX6" i="5"/>
  <c r="GG9" i="1"/>
  <c r="DX7" i="5" s="1"/>
  <c r="GG11" i="1"/>
  <c r="GG12" i="1"/>
  <c r="GG13" i="1"/>
  <c r="DX11" i="5" s="1"/>
  <c r="GG14" i="1"/>
  <c r="GG15" i="1"/>
  <c r="GG16" i="1"/>
  <c r="DX14" i="5" s="1"/>
  <c r="GG17" i="1"/>
  <c r="DX15" i="5" s="1"/>
  <c r="GG18" i="1"/>
  <c r="DX16" i="5" s="1"/>
  <c r="GG19" i="1"/>
  <c r="DX17" i="5" s="1"/>
  <c r="GG20" i="1"/>
  <c r="GG21" i="1"/>
  <c r="DX19" i="5" s="1"/>
  <c r="GG22" i="1"/>
  <c r="DX20" i="5" s="1"/>
  <c r="GG23" i="1"/>
  <c r="DX21" i="5" s="1"/>
  <c r="HL8" i="1"/>
  <c r="FC6" i="5" s="1"/>
  <c r="HL9" i="1"/>
  <c r="FC7" i="5" s="1"/>
  <c r="HL11" i="1"/>
  <c r="HL12" i="1"/>
  <c r="HL13" i="1"/>
  <c r="FC11" i="5" s="1"/>
  <c r="HL14" i="1"/>
  <c r="HL15" i="1"/>
  <c r="HL16" i="1"/>
  <c r="FC14" i="5" s="1"/>
  <c r="HL17" i="1"/>
  <c r="FC15" i="5" s="1"/>
  <c r="HL18" i="1"/>
  <c r="FC16" i="5" s="1"/>
  <c r="HL19" i="1"/>
  <c r="FC17" i="5" s="1"/>
  <c r="HL20" i="1"/>
  <c r="FC18" i="5" s="1"/>
  <c r="HL21" i="1"/>
  <c r="FC19" i="5" s="1"/>
  <c r="HL22" i="1"/>
  <c r="FC20" i="5" s="1"/>
  <c r="HL23" i="1"/>
  <c r="FC21" i="5" s="1"/>
  <c r="IQ8" i="1"/>
  <c r="GH6" i="5" s="1"/>
  <c r="IQ9" i="1"/>
  <c r="GH7" i="5" s="1"/>
  <c r="IQ11" i="1"/>
  <c r="IQ12" i="1"/>
  <c r="IQ13" i="1"/>
  <c r="GH11" i="5" s="1"/>
  <c r="IQ14" i="1"/>
  <c r="IQ15" i="1"/>
  <c r="IQ16" i="1"/>
  <c r="GH14" i="5" s="1"/>
  <c r="IQ17" i="1"/>
  <c r="GH15" i="5" s="1"/>
  <c r="IQ18" i="1"/>
  <c r="GH16" i="5" s="1"/>
  <c r="IQ19" i="1"/>
  <c r="GH17" i="5" s="1"/>
  <c r="IQ20" i="1"/>
  <c r="GH18" i="5" s="1"/>
  <c r="IQ21" i="1"/>
  <c r="GH19" i="5" s="1"/>
  <c r="IQ22" i="1"/>
  <c r="GH20" i="5" s="1"/>
  <c r="IQ23" i="1"/>
  <c r="GH21" i="5" s="1"/>
  <c r="AI9" i="1"/>
  <c r="AI11" i="1"/>
  <c r="AI12" i="1"/>
  <c r="AI13" i="1"/>
  <c r="AI14" i="1"/>
  <c r="AI15" i="1"/>
  <c r="AI16" i="1"/>
  <c r="AI17" i="1"/>
  <c r="AI18" i="1"/>
  <c r="DX18" i="1" s="1"/>
  <c r="AI19" i="1"/>
  <c r="AI20" i="1"/>
  <c r="AI21" i="1"/>
  <c r="AI22" i="1"/>
  <c r="DX22" i="1" s="1"/>
  <c r="AI23" i="1"/>
  <c r="D8" i="1"/>
  <c r="D9" i="1"/>
  <c r="D11" i="1"/>
  <c r="AJ9" i="5" s="1"/>
  <c r="D12" i="1"/>
  <c r="AJ10" i="5" s="1"/>
  <c r="D13" i="1"/>
  <c r="AJ11" i="5" s="1"/>
  <c r="D14" i="1"/>
  <c r="D15" i="1"/>
  <c r="AJ13" i="5" s="1"/>
  <c r="D16" i="1"/>
  <c r="D17" i="1"/>
  <c r="AJ15" i="5" s="1"/>
  <c r="D18" i="1"/>
  <c r="E16" i="5" s="1"/>
  <c r="D19" i="1"/>
  <c r="AJ17" i="5" s="1"/>
  <c r="D20" i="1"/>
  <c r="D21" i="1"/>
  <c r="AJ19" i="5" s="1"/>
  <c r="D22" i="1"/>
  <c r="AJ20" i="5" s="1"/>
  <c r="D23" i="1"/>
  <c r="AJ21" i="5" s="1"/>
  <c r="FC8" i="1"/>
  <c r="FC9" i="1"/>
  <c r="FC11" i="1"/>
  <c r="FC12" i="1"/>
  <c r="FC13" i="1"/>
  <c r="CT11" i="5" s="1"/>
  <c r="FC14" i="1"/>
  <c r="FC15" i="1"/>
  <c r="FC16" i="1"/>
  <c r="FC17" i="1"/>
  <c r="FC18" i="1"/>
  <c r="FC19" i="1"/>
  <c r="FC20" i="1"/>
  <c r="FC21" i="1"/>
  <c r="FC22" i="1"/>
  <c r="FC23" i="1"/>
  <c r="GH9" i="1"/>
  <c r="GH11" i="1"/>
  <c r="GH12" i="1"/>
  <c r="GH13" i="1"/>
  <c r="GH14" i="1"/>
  <c r="GH15" i="1"/>
  <c r="GH16" i="1"/>
  <c r="GH17" i="1"/>
  <c r="GH18" i="1"/>
  <c r="GH19" i="1"/>
  <c r="GH20" i="1"/>
  <c r="GH21" i="1"/>
  <c r="GH22" i="1"/>
  <c r="GH23" i="1"/>
  <c r="HM8" i="1"/>
  <c r="HM9" i="1"/>
  <c r="HM11" i="1"/>
  <c r="HM12" i="1"/>
  <c r="FD10" i="5" s="1"/>
  <c r="HM13" i="1"/>
  <c r="FD11" i="5" s="1"/>
  <c r="HM14" i="1"/>
  <c r="HM15" i="1"/>
  <c r="HM16" i="1"/>
  <c r="HM17" i="1"/>
  <c r="HM18" i="1"/>
  <c r="HM19" i="1"/>
  <c r="HM20" i="1"/>
  <c r="FD18" i="5" s="1"/>
  <c r="HM21" i="1"/>
  <c r="FD19" i="5" s="1"/>
  <c r="HM22" i="1"/>
  <c r="HM23" i="1"/>
  <c r="IR8" i="1"/>
  <c r="IR9" i="1"/>
  <c r="IR11" i="1"/>
  <c r="IR12" i="1"/>
  <c r="IR13" i="1"/>
  <c r="GI11" i="5" s="1"/>
  <c r="IR14" i="1"/>
  <c r="IR15" i="1"/>
  <c r="IR16" i="1"/>
  <c r="IR17" i="1"/>
  <c r="IR18" i="1"/>
  <c r="IR19" i="1"/>
  <c r="IR20" i="1"/>
  <c r="IR21" i="1"/>
  <c r="GI19" i="5" s="1"/>
  <c r="IR22" i="1"/>
  <c r="IR23" i="1"/>
  <c r="AJ9" i="1"/>
  <c r="AJ10" i="1"/>
  <c r="BP8" i="5" s="1"/>
  <c r="AJ11" i="1"/>
  <c r="AJ12" i="1"/>
  <c r="AJ13" i="1"/>
  <c r="BP11" i="5" s="1"/>
  <c r="AJ14" i="1"/>
  <c r="AJ15" i="1"/>
  <c r="DY15" i="1" s="1"/>
  <c r="AJ16" i="1"/>
  <c r="AJ17" i="1"/>
  <c r="BP15" i="5" s="1"/>
  <c r="AJ18" i="1"/>
  <c r="BP16" i="5" s="1"/>
  <c r="AJ19" i="1"/>
  <c r="BP17" i="5" s="1"/>
  <c r="AJ20" i="1"/>
  <c r="BP18" i="5" s="1"/>
  <c r="AJ21" i="1"/>
  <c r="DY21" i="1" s="1"/>
  <c r="AJ22" i="1"/>
  <c r="BP20" i="5" s="1"/>
  <c r="AJ23" i="1"/>
  <c r="E9" i="1"/>
  <c r="F7" i="5" s="1"/>
  <c r="E10" i="1"/>
  <c r="AK8" i="5" s="1"/>
  <c r="E12" i="1"/>
  <c r="E14" i="1"/>
  <c r="E15" i="1"/>
  <c r="F13" i="5" s="1"/>
  <c r="E16" i="1"/>
  <c r="FD8" i="1"/>
  <c r="FD9" i="1"/>
  <c r="FD10" i="1"/>
  <c r="FD11" i="1"/>
  <c r="CU9" i="5" s="1"/>
  <c r="FD12" i="1"/>
  <c r="CU10" i="5" s="1"/>
  <c r="FD13" i="1"/>
  <c r="CU11" i="5" s="1"/>
  <c r="FD14" i="1"/>
  <c r="FD15" i="1"/>
  <c r="FD16" i="1"/>
  <c r="FD17" i="1"/>
  <c r="CU15" i="5" s="1"/>
  <c r="FD18" i="1"/>
  <c r="CU16" i="5" s="1"/>
  <c r="FD19" i="1"/>
  <c r="CU17" i="5" s="1"/>
  <c r="FD20" i="1"/>
  <c r="CU18" i="5" s="1"/>
  <c r="FD21" i="1"/>
  <c r="CU19" i="5" s="1"/>
  <c r="FD22" i="1"/>
  <c r="CU20" i="5" s="1"/>
  <c r="FD23" i="1"/>
  <c r="CU21" i="5" s="1"/>
  <c r="DZ6" i="5"/>
  <c r="GI9" i="1"/>
  <c r="GI10" i="1"/>
  <c r="GI11" i="1"/>
  <c r="DZ9" i="5" s="1"/>
  <c r="GI12" i="1"/>
  <c r="DZ10" i="5" s="1"/>
  <c r="GI13" i="1"/>
  <c r="DZ11" i="5" s="1"/>
  <c r="GI14" i="1"/>
  <c r="GI15" i="1"/>
  <c r="GI16" i="1"/>
  <c r="GI17" i="1"/>
  <c r="DZ15" i="5" s="1"/>
  <c r="GI18" i="1"/>
  <c r="DZ16" i="5" s="1"/>
  <c r="GI19" i="1"/>
  <c r="DZ17" i="5" s="1"/>
  <c r="GI20" i="1"/>
  <c r="DZ18" i="5" s="1"/>
  <c r="GI21" i="1"/>
  <c r="DZ19" i="5" s="1"/>
  <c r="GI22" i="1"/>
  <c r="DZ20" i="5" s="1"/>
  <c r="GI23" i="1"/>
  <c r="DZ21" i="5" s="1"/>
  <c r="HN8" i="1"/>
  <c r="HN9" i="1"/>
  <c r="HN10" i="1"/>
  <c r="HN11" i="1"/>
  <c r="FE9" i="5" s="1"/>
  <c r="HN12" i="1"/>
  <c r="FE10" i="5" s="1"/>
  <c r="HN13" i="1"/>
  <c r="FE11" i="5" s="1"/>
  <c r="HN14" i="1"/>
  <c r="HN15" i="1"/>
  <c r="FE13" i="5" s="1"/>
  <c r="HN16" i="1"/>
  <c r="HN17" i="1"/>
  <c r="FE15" i="5" s="1"/>
  <c r="HN18" i="1"/>
  <c r="FE16" i="5" s="1"/>
  <c r="HN19" i="1"/>
  <c r="FE17" i="5" s="1"/>
  <c r="HN20" i="1"/>
  <c r="FE18" i="5" s="1"/>
  <c r="HN21" i="1"/>
  <c r="FE19" i="5" s="1"/>
  <c r="HN22" i="1"/>
  <c r="FE20" i="5" s="1"/>
  <c r="HN23" i="1"/>
  <c r="FE21" i="5" s="1"/>
  <c r="IS8" i="1"/>
  <c r="GJ6" i="5" s="1"/>
  <c r="IS9" i="1"/>
  <c r="IS10" i="1"/>
  <c r="IS11" i="1"/>
  <c r="GJ9" i="5" s="1"/>
  <c r="IS12" i="1"/>
  <c r="GJ10" i="5" s="1"/>
  <c r="IS13" i="1"/>
  <c r="GJ11" i="5" s="1"/>
  <c r="IS14" i="1"/>
  <c r="IS15" i="1"/>
  <c r="GJ13" i="5" s="1"/>
  <c r="IS16" i="1"/>
  <c r="IS17" i="1"/>
  <c r="GJ15" i="5" s="1"/>
  <c r="IS18" i="1"/>
  <c r="GJ16" i="5" s="1"/>
  <c r="IS19" i="1"/>
  <c r="GJ17" i="5" s="1"/>
  <c r="IS20" i="1"/>
  <c r="GJ18" i="5" s="1"/>
  <c r="IS21" i="1"/>
  <c r="GJ19" i="5" s="1"/>
  <c r="IS22" i="1"/>
  <c r="GJ20" i="5" s="1"/>
  <c r="IS23" i="1"/>
  <c r="GJ21" i="5" s="1"/>
  <c r="DZ8" i="1"/>
  <c r="AK9" i="1"/>
  <c r="DZ9" i="1" s="1"/>
  <c r="AK10" i="1"/>
  <c r="AK11" i="1"/>
  <c r="AK12" i="1"/>
  <c r="AK13" i="1"/>
  <c r="DZ13" i="1" s="1"/>
  <c r="AK14" i="1"/>
  <c r="DZ14" i="1" s="1"/>
  <c r="AK15" i="1"/>
  <c r="AK16" i="1"/>
  <c r="DZ16" i="1" s="1"/>
  <c r="AK17" i="1"/>
  <c r="AK18" i="1"/>
  <c r="AK19" i="1"/>
  <c r="AK20" i="1"/>
  <c r="AK21" i="1"/>
  <c r="AK22" i="1"/>
  <c r="DZ22" i="1" s="1"/>
  <c r="AK23" i="1"/>
  <c r="DZ23" i="1" s="1"/>
  <c r="F8" i="1"/>
  <c r="AL6" i="5" s="1"/>
  <c r="F9" i="1"/>
  <c r="F10" i="1"/>
  <c r="F11" i="1"/>
  <c r="AL9" i="5" s="1"/>
  <c r="F12" i="1"/>
  <c r="G10" i="5" s="1"/>
  <c r="F13" i="1"/>
  <c r="AL11" i="5" s="1"/>
  <c r="F14" i="1"/>
  <c r="G12" i="5" s="1"/>
  <c r="F15" i="1"/>
  <c r="AL13" i="5" s="1"/>
  <c r="F16" i="1"/>
  <c r="F17" i="1"/>
  <c r="F18" i="1"/>
  <c r="F19" i="1"/>
  <c r="AL17" i="5" s="1"/>
  <c r="F20" i="1"/>
  <c r="G18" i="5" s="1"/>
  <c r="F21" i="1"/>
  <c r="AL19" i="5" s="1"/>
  <c r="F22" i="1"/>
  <c r="AL20" i="5" s="1"/>
  <c r="F23" i="1"/>
  <c r="AL21" i="5" s="1"/>
  <c r="FE8" i="1"/>
  <c r="CV6" i="5" s="1"/>
  <c r="FE9" i="1"/>
  <c r="CV7" i="5" s="1"/>
  <c r="FE10" i="1"/>
  <c r="CV8" i="5" s="1"/>
  <c r="FE11" i="1"/>
  <c r="CV9" i="5" s="1"/>
  <c r="FE12" i="1"/>
  <c r="CV10" i="5" s="1"/>
  <c r="FE13" i="1"/>
  <c r="CV11" i="5" s="1"/>
  <c r="FE14" i="1"/>
  <c r="CV12" i="5" s="1"/>
  <c r="FE15" i="1"/>
  <c r="CV13" i="5" s="1"/>
  <c r="FE16" i="1"/>
  <c r="CV14" i="5" s="1"/>
  <c r="FE17" i="1"/>
  <c r="CV15" i="5" s="1"/>
  <c r="FE18" i="1"/>
  <c r="CV16" i="5" s="1"/>
  <c r="FE19" i="1"/>
  <c r="CV17" i="5" s="1"/>
  <c r="FE20" i="1"/>
  <c r="CV18" i="5" s="1"/>
  <c r="FE21" i="1"/>
  <c r="CV19" i="5" s="1"/>
  <c r="FE22" i="1"/>
  <c r="CV20" i="5" s="1"/>
  <c r="FE23" i="1"/>
  <c r="CV21" i="5" s="1"/>
  <c r="GJ9" i="1"/>
  <c r="GJ10" i="1"/>
  <c r="GJ11" i="1"/>
  <c r="GJ12" i="1"/>
  <c r="GJ13" i="1"/>
  <c r="GJ14" i="1"/>
  <c r="GJ15" i="1"/>
  <c r="GJ16" i="1"/>
  <c r="GJ17" i="1"/>
  <c r="GJ18" i="1"/>
  <c r="GJ19" i="1"/>
  <c r="GJ20" i="1"/>
  <c r="GJ21" i="1"/>
  <c r="GJ22" i="1"/>
  <c r="GJ23" i="1"/>
  <c r="HO8" i="1"/>
  <c r="HO9" i="1"/>
  <c r="HO10" i="1"/>
  <c r="HO11" i="1"/>
  <c r="HO12" i="1"/>
  <c r="HO13" i="1"/>
  <c r="HO14" i="1"/>
  <c r="HO15" i="1"/>
  <c r="HO16" i="1"/>
  <c r="HO17" i="1"/>
  <c r="HO18" i="1"/>
  <c r="HO19" i="1"/>
  <c r="HO20" i="1"/>
  <c r="HO21" i="1"/>
  <c r="HO22" i="1"/>
  <c r="HO23" i="1"/>
  <c r="IT8" i="1"/>
  <c r="IT9" i="1"/>
  <c r="IT10" i="1"/>
  <c r="IT11" i="1"/>
  <c r="IT12" i="1"/>
  <c r="IT13" i="1"/>
  <c r="IT14" i="1"/>
  <c r="IT15" i="1"/>
  <c r="IT16" i="1"/>
  <c r="IT17" i="1"/>
  <c r="IT18" i="1"/>
  <c r="IT19" i="1"/>
  <c r="IT20" i="1"/>
  <c r="IT21" i="1"/>
  <c r="IT22" i="1"/>
  <c r="IT23" i="1"/>
  <c r="AL9" i="1"/>
  <c r="AL10" i="1"/>
  <c r="AL11" i="1"/>
  <c r="AL12" i="1"/>
  <c r="EA12" i="1" s="1"/>
  <c r="AL13" i="1"/>
  <c r="AL14" i="1"/>
  <c r="EA14" i="1" s="1"/>
  <c r="AL15" i="1"/>
  <c r="AL16" i="1"/>
  <c r="EA16" i="1" s="1"/>
  <c r="AL17" i="1"/>
  <c r="EA17" i="1" s="1"/>
  <c r="AL18" i="1"/>
  <c r="AL19" i="1"/>
  <c r="AL20" i="1"/>
  <c r="EA20" i="1" s="1"/>
  <c r="AL21" i="1"/>
  <c r="EA21" i="1" s="1"/>
  <c r="AL22" i="1"/>
  <c r="EA22" i="1" s="1"/>
  <c r="AL23" i="1"/>
  <c r="G8" i="1"/>
  <c r="G9" i="1"/>
  <c r="G10" i="1"/>
  <c r="G11" i="1"/>
  <c r="AM9" i="5" s="1"/>
  <c r="G12" i="1"/>
  <c r="G13" i="1"/>
  <c r="AM11" i="5" s="1"/>
  <c r="G14" i="1"/>
  <c r="AM12" i="5" s="1"/>
  <c r="G15" i="1"/>
  <c r="G16" i="1"/>
  <c r="H14" i="5" s="1"/>
  <c r="G17" i="1"/>
  <c r="G18" i="1"/>
  <c r="G19" i="1"/>
  <c r="AM17" i="5" s="1"/>
  <c r="G20" i="1"/>
  <c r="AM18" i="5" s="1"/>
  <c r="G21" i="1"/>
  <c r="AM19" i="5" s="1"/>
  <c r="G22" i="1"/>
  <c r="AM20" i="5" s="1"/>
  <c r="G23" i="1"/>
  <c r="FF8" i="1"/>
  <c r="CW6" i="5" s="1"/>
  <c r="FF9" i="1"/>
  <c r="CW7" i="5" s="1"/>
  <c r="FF10" i="1"/>
  <c r="CW8" i="5" s="1"/>
  <c r="FF11" i="1"/>
  <c r="CW9" i="5" s="1"/>
  <c r="FF12" i="1"/>
  <c r="CW10" i="5" s="1"/>
  <c r="FF13" i="1"/>
  <c r="CW11" i="5" s="1"/>
  <c r="FF14" i="1"/>
  <c r="CW12" i="5" s="1"/>
  <c r="FF15" i="1"/>
  <c r="CW13" i="5" s="1"/>
  <c r="FF16" i="1"/>
  <c r="CW14" i="5" s="1"/>
  <c r="FF17" i="1"/>
  <c r="CW15" i="5" s="1"/>
  <c r="FF18" i="1"/>
  <c r="CW16" i="5" s="1"/>
  <c r="FF19" i="1"/>
  <c r="CW17" i="5" s="1"/>
  <c r="FF20" i="1"/>
  <c r="CW18" i="5" s="1"/>
  <c r="FF21" i="1"/>
  <c r="CW19" i="5" s="1"/>
  <c r="FF22" i="1"/>
  <c r="CW20" i="5" s="1"/>
  <c r="FF23" i="1"/>
  <c r="CW21" i="5" s="1"/>
  <c r="GK9" i="1"/>
  <c r="GK10" i="1"/>
  <c r="GK11" i="1"/>
  <c r="GK12" i="1"/>
  <c r="GK13" i="1"/>
  <c r="GK14" i="1"/>
  <c r="GK15" i="1"/>
  <c r="GK16" i="1"/>
  <c r="GK17" i="1"/>
  <c r="GK18" i="1"/>
  <c r="GK19" i="1"/>
  <c r="GK20" i="1"/>
  <c r="GK21" i="1"/>
  <c r="GK22" i="1"/>
  <c r="GK23" i="1"/>
  <c r="HP8" i="1"/>
  <c r="HP9" i="1"/>
  <c r="HP10" i="1"/>
  <c r="HP11" i="1"/>
  <c r="HP12" i="1"/>
  <c r="HP13" i="1"/>
  <c r="HP14" i="1"/>
  <c r="HP15" i="1"/>
  <c r="HP16" i="1"/>
  <c r="HP17" i="1"/>
  <c r="HP18" i="1"/>
  <c r="HP19" i="1"/>
  <c r="HP20" i="1"/>
  <c r="HP21" i="1"/>
  <c r="HP22" i="1"/>
  <c r="HP23" i="1"/>
  <c r="IU8" i="1"/>
  <c r="IU9" i="1"/>
  <c r="IU10" i="1"/>
  <c r="IU11" i="1"/>
  <c r="IU12" i="1"/>
  <c r="IU13" i="1"/>
  <c r="IU14" i="1"/>
  <c r="IU15" i="1"/>
  <c r="IU16" i="1"/>
  <c r="IU17" i="1"/>
  <c r="IU18" i="1"/>
  <c r="IU19" i="1"/>
  <c r="IU20" i="1"/>
  <c r="IU21" i="1"/>
  <c r="IU22" i="1"/>
  <c r="IU23" i="1"/>
  <c r="AM9" i="1"/>
  <c r="AM10" i="1"/>
  <c r="BS8" i="5" s="1"/>
  <c r="AM11" i="1"/>
  <c r="BS9" i="5" s="1"/>
  <c r="AM12" i="1"/>
  <c r="BS10" i="5" s="1"/>
  <c r="AM13" i="1"/>
  <c r="BS11" i="5" s="1"/>
  <c r="AM14" i="1"/>
  <c r="BS12" i="5" s="1"/>
  <c r="AM15" i="1"/>
  <c r="AM16" i="1"/>
  <c r="BS14" i="5" s="1"/>
  <c r="AM17" i="1"/>
  <c r="AM18" i="1"/>
  <c r="AM19" i="1"/>
  <c r="BS17" i="5" s="1"/>
  <c r="AM20" i="1"/>
  <c r="BS18" i="5" s="1"/>
  <c r="AM21" i="1"/>
  <c r="BS19" i="5" s="1"/>
  <c r="AM22" i="1"/>
  <c r="BS20" i="5" s="1"/>
  <c r="AM23" i="1"/>
  <c r="FG8" i="1"/>
  <c r="CX6" i="5" s="1"/>
  <c r="FG9" i="1"/>
  <c r="CX7" i="5" s="1"/>
  <c r="FG10" i="1"/>
  <c r="CX8" i="5" s="1"/>
  <c r="FG11" i="1"/>
  <c r="CX9" i="5" s="1"/>
  <c r="FG12" i="1"/>
  <c r="CX10" i="5" s="1"/>
  <c r="FG13" i="1"/>
  <c r="CX11" i="5" s="1"/>
  <c r="FG14" i="1"/>
  <c r="CX12" i="5" s="1"/>
  <c r="FG15" i="1"/>
  <c r="CX13" i="5" s="1"/>
  <c r="FG16" i="1"/>
  <c r="CX14" i="5" s="1"/>
  <c r="FG17" i="1"/>
  <c r="CX15" i="5" s="1"/>
  <c r="FG18" i="1"/>
  <c r="CX16" i="5" s="1"/>
  <c r="FG19" i="1"/>
  <c r="CX17" i="5" s="1"/>
  <c r="FG20" i="1"/>
  <c r="CX18" i="5" s="1"/>
  <c r="FG21" i="1"/>
  <c r="CX19" i="5" s="1"/>
  <c r="FG22" i="1"/>
  <c r="CX20" i="5" s="1"/>
  <c r="FG23" i="1"/>
  <c r="CX21" i="5" s="1"/>
  <c r="GL9" i="1"/>
  <c r="EC7" i="5" s="1"/>
  <c r="GL10" i="1"/>
  <c r="EC8" i="5" s="1"/>
  <c r="GL11" i="1"/>
  <c r="EC9" i="5" s="1"/>
  <c r="GL12" i="1"/>
  <c r="EC10" i="5" s="1"/>
  <c r="GL13" i="1"/>
  <c r="EC11" i="5" s="1"/>
  <c r="GL14" i="1"/>
  <c r="EC12" i="5" s="1"/>
  <c r="GL15" i="1"/>
  <c r="EC13" i="5" s="1"/>
  <c r="GL16" i="1"/>
  <c r="EC14" i="5" s="1"/>
  <c r="GL17" i="1"/>
  <c r="EC15" i="5" s="1"/>
  <c r="GL18" i="1"/>
  <c r="EC16" i="5" s="1"/>
  <c r="GL19" i="1"/>
  <c r="EC17" i="5" s="1"/>
  <c r="GL20" i="1"/>
  <c r="EC18" i="5" s="1"/>
  <c r="GL21" i="1"/>
  <c r="EC19" i="5" s="1"/>
  <c r="GL22" i="1"/>
  <c r="EC20" i="5" s="1"/>
  <c r="GL23" i="1"/>
  <c r="EC21" i="5" s="1"/>
  <c r="HQ8" i="1"/>
  <c r="FH6" i="5" s="1"/>
  <c r="HQ9" i="1"/>
  <c r="FH7" i="5" s="1"/>
  <c r="HQ10" i="1"/>
  <c r="FH8" i="5" s="1"/>
  <c r="HQ11" i="1"/>
  <c r="FH9" i="5" s="1"/>
  <c r="HQ12" i="1"/>
  <c r="FH10" i="5" s="1"/>
  <c r="HQ13" i="1"/>
  <c r="FH11" i="5" s="1"/>
  <c r="HQ14" i="1"/>
  <c r="FH12" i="5" s="1"/>
  <c r="HQ15" i="1"/>
  <c r="FH13" i="5" s="1"/>
  <c r="HQ16" i="1"/>
  <c r="FH14" i="5" s="1"/>
  <c r="HQ17" i="1"/>
  <c r="FH15" i="5" s="1"/>
  <c r="HQ18" i="1"/>
  <c r="FH16" i="5" s="1"/>
  <c r="HQ19" i="1"/>
  <c r="FH17" i="5" s="1"/>
  <c r="HQ20" i="1"/>
  <c r="FH18" i="5" s="1"/>
  <c r="HQ21" i="1"/>
  <c r="FH19" i="5" s="1"/>
  <c r="HQ22" i="1"/>
  <c r="FH20" i="5" s="1"/>
  <c r="HQ23" i="1"/>
  <c r="FH21" i="5" s="1"/>
  <c r="IV8" i="1"/>
  <c r="IV9" i="1"/>
  <c r="GM7" i="5" s="1"/>
  <c r="IV10" i="1"/>
  <c r="GM8" i="5" s="1"/>
  <c r="IV11" i="1"/>
  <c r="GM9" i="5" s="1"/>
  <c r="IV12" i="1"/>
  <c r="GM10" i="5" s="1"/>
  <c r="IV13" i="1"/>
  <c r="GM11" i="5" s="1"/>
  <c r="IV14" i="1"/>
  <c r="GM12" i="5" s="1"/>
  <c r="IV15" i="1"/>
  <c r="GM13" i="5" s="1"/>
  <c r="IV16" i="1"/>
  <c r="GM14" i="5" s="1"/>
  <c r="IV17" i="1"/>
  <c r="GM15" i="5" s="1"/>
  <c r="IV18" i="1"/>
  <c r="GM16" i="5" s="1"/>
  <c r="IV19" i="1"/>
  <c r="GM17" i="5" s="1"/>
  <c r="IV20" i="1"/>
  <c r="GM18" i="5" s="1"/>
  <c r="IV21" i="1"/>
  <c r="GM19" i="5" s="1"/>
  <c r="IV22" i="1"/>
  <c r="GM20" i="5" s="1"/>
  <c r="IV23" i="1"/>
  <c r="GM21" i="5" s="1"/>
  <c r="EC8" i="1"/>
  <c r="AN9" i="1"/>
  <c r="AN10" i="1"/>
  <c r="AN11" i="1"/>
  <c r="BT9" i="5" s="1"/>
  <c r="AN12" i="1"/>
  <c r="BT10" i="5" s="1"/>
  <c r="AN13" i="1"/>
  <c r="BT11" i="5" s="1"/>
  <c r="AN14" i="1"/>
  <c r="AN15" i="1"/>
  <c r="EC15" i="1" s="1"/>
  <c r="AN16" i="1"/>
  <c r="BT14" i="5" s="1"/>
  <c r="AN17" i="1"/>
  <c r="AN18" i="1"/>
  <c r="AN19" i="1"/>
  <c r="BT17" i="5" s="1"/>
  <c r="AN20" i="1"/>
  <c r="BT18" i="5" s="1"/>
  <c r="AN21" i="1"/>
  <c r="BT19" i="5" s="1"/>
  <c r="AN22" i="1"/>
  <c r="BT20" i="5" s="1"/>
  <c r="AN23" i="1"/>
  <c r="FH8" i="1"/>
  <c r="FH9" i="1"/>
  <c r="CY7" i="5" s="1"/>
  <c r="FH10" i="1"/>
  <c r="CY8" i="5" s="1"/>
  <c r="FH11" i="1"/>
  <c r="CY9" i="5" s="1"/>
  <c r="FH12" i="1"/>
  <c r="CY10" i="5" s="1"/>
  <c r="FH13" i="1"/>
  <c r="CY11" i="5" s="1"/>
  <c r="FH14" i="1"/>
  <c r="CY12" i="5" s="1"/>
  <c r="FH15" i="1"/>
  <c r="CY13" i="5" s="1"/>
  <c r="FH16" i="1"/>
  <c r="CY14" i="5" s="1"/>
  <c r="FH17" i="1"/>
  <c r="CY15" i="5" s="1"/>
  <c r="FH18" i="1"/>
  <c r="CY16" i="5" s="1"/>
  <c r="FH19" i="1"/>
  <c r="CY17" i="5" s="1"/>
  <c r="FH20" i="1"/>
  <c r="CY18" i="5" s="1"/>
  <c r="FH21" i="1"/>
  <c r="CY19" i="5" s="1"/>
  <c r="FH22" i="1"/>
  <c r="CY20" i="5" s="1"/>
  <c r="FH23" i="1"/>
  <c r="CY21" i="5" s="1"/>
  <c r="ED6" i="5"/>
  <c r="GM9" i="1"/>
  <c r="ED7" i="5" s="1"/>
  <c r="GM10" i="1"/>
  <c r="ED8" i="5" s="1"/>
  <c r="GM11" i="1"/>
  <c r="ED9" i="5" s="1"/>
  <c r="GM12" i="1"/>
  <c r="ED10" i="5" s="1"/>
  <c r="GM13" i="1"/>
  <c r="ED11" i="5" s="1"/>
  <c r="GM14" i="1"/>
  <c r="ED12" i="5" s="1"/>
  <c r="GM15" i="1"/>
  <c r="ED13" i="5" s="1"/>
  <c r="GM16" i="1"/>
  <c r="ED14" i="5" s="1"/>
  <c r="GM17" i="1"/>
  <c r="ED15" i="5" s="1"/>
  <c r="GM18" i="1"/>
  <c r="ED16" i="5" s="1"/>
  <c r="GM19" i="1"/>
  <c r="ED17" i="5" s="1"/>
  <c r="GM20" i="1"/>
  <c r="ED18" i="5" s="1"/>
  <c r="GM21" i="1"/>
  <c r="ED19" i="5" s="1"/>
  <c r="GM22" i="1"/>
  <c r="ED20" i="5" s="1"/>
  <c r="GM23" i="1"/>
  <c r="ED21" i="5" s="1"/>
  <c r="HR8" i="1"/>
  <c r="FI6" i="5" s="1"/>
  <c r="HR9" i="1"/>
  <c r="FI7" i="5" s="1"/>
  <c r="HR10" i="1"/>
  <c r="FI8" i="5" s="1"/>
  <c r="HR11" i="1"/>
  <c r="FI9" i="5" s="1"/>
  <c r="HR12" i="1"/>
  <c r="FI10" i="5" s="1"/>
  <c r="HR13" i="1"/>
  <c r="FI11" i="5" s="1"/>
  <c r="HR14" i="1"/>
  <c r="FI12" i="5" s="1"/>
  <c r="HR15" i="1"/>
  <c r="FI13" i="5" s="1"/>
  <c r="HR16" i="1"/>
  <c r="FI14" i="5" s="1"/>
  <c r="HR17" i="1"/>
  <c r="FI15" i="5" s="1"/>
  <c r="HR18" i="1"/>
  <c r="FI16" i="5" s="1"/>
  <c r="HR19" i="1"/>
  <c r="FI17" i="5" s="1"/>
  <c r="HR20" i="1"/>
  <c r="FI18" i="5" s="1"/>
  <c r="HR21" i="1"/>
  <c r="FI19" i="5" s="1"/>
  <c r="HR22" i="1"/>
  <c r="FI20" i="5" s="1"/>
  <c r="HR23" i="1"/>
  <c r="FI21" i="5" s="1"/>
  <c r="IW8" i="1"/>
  <c r="IW9" i="1"/>
  <c r="GN7" i="5" s="1"/>
  <c r="IW10" i="1"/>
  <c r="GN8" i="5" s="1"/>
  <c r="IW11" i="1"/>
  <c r="GN9" i="5" s="1"/>
  <c r="IW12" i="1"/>
  <c r="GN10" i="5" s="1"/>
  <c r="IW13" i="1"/>
  <c r="GN11" i="5" s="1"/>
  <c r="IW14" i="1"/>
  <c r="GN12" i="5" s="1"/>
  <c r="IW15" i="1"/>
  <c r="GN13" i="5" s="1"/>
  <c r="IW16" i="1"/>
  <c r="GN14" i="5" s="1"/>
  <c r="IW17" i="1"/>
  <c r="GN15" i="5" s="1"/>
  <c r="IW18" i="1"/>
  <c r="GN16" i="5" s="1"/>
  <c r="IW19" i="1"/>
  <c r="GN17" i="5" s="1"/>
  <c r="IW20" i="1"/>
  <c r="GN18" i="5" s="1"/>
  <c r="IW21" i="1"/>
  <c r="GN19" i="5" s="1"/>
  <c r="IW22" i="1"/>
  <c r="GN20" i="5" s="1"/>
  <c r="IW23" i="1"/>
  <c r="GN21" i="5" s="1"/>
  <c r="BU6" i="5"/>
  <c r="AO9" i="1"/>
  <c r="ED9" i="1" s="1"/>
  <c r="AO10" i="1"/>
  <c r="AO11" i="1"/>
  <c r="BU9" i="5" s="1"/>
  <c r="AO12" i="1"/>
  <c r="BU10" i="5" s="1"/>
  <c r="AO13" i="1"/>
  <c r="BU11" i="5" s="1"/>
  <c r="AO14" i="1"/>
  <c r="AO15" i="1"/>
  <c r="AO16" i="1"/>
  <c r="ED16" i="1" s="1"/>
  <c r="AO17" i="1"/>
  <c r="AO18" i="1"/>
  <c r="AO19" i="1"/>
  <c r="BU17" i="5" s="1"/>
  <c r="AO20" i="1"/>
  <c r="BU18" i="5" s="1"/>
  <c r="AO21" i="1"/>
  <c r="BU19" i="5" s="1"/>
  <c r="AO22" i="1"/>
  <c r="BU20" i="5" s="1"/>
  <c r="AO23" i="1"/>
  <c r="FI8" i="1"/>
  <c r="FI9" i="1"/>
  <c r="FI10" i="1"/>
  <c r="CZ8" i="5" s="1"/>
  <c r="FI11" i="1"/>
  <c r="CZ9" i="5" s="1"/>
  <c r="FI12" i="1"/>
  <c r="FJ12" i="1" s="1"/>
  <c r="FI13" i="1"/>
  <c r="FI14" i="1"/>
  <c r="FI15" i="1"/>
  <c r="FJ15" i="1" s="1"/>
  <c r="FI16" i="1"/>
  <c r="CZ14" i="5" s="1"/>
  <c r="FI17" i="1"/>
  <c r="FI18" i="1"/>
  <c r="CZ16" i="5" s="1"/>
  <c r="FI19" i="1"/>
  <c r="CZ17" i="5" s="1"/>
  <c r="FI20" i="1"/>
  <c r="CZ18" i="5" s="1"/>
  <c r="FI21" i="1"/>
  <c r="FI22" i="1"/>
  <c r="FI23" i="1"/>
  <c r="GN9" i="1"/>
  <c r="GN10" i="1"/>
  <c r="GN11" i="1"/>
  <c r="GN12" i="1"/>
  <c r="EE10" i="5" s="1"/>
  <c r="GN13" i="1"/>
  <c r="GN14" i="1"/>
  <c r="GN15" i="1"/>
  <c r="EE13" i="5" s="1"/>
  <c r="GN16" i="1"/>
  <c r="GN17" i="1"/>
  <c r="GN18" i="1"/>
  <c r="EE16" i="5" s="1"/>
  <c r="GN19" i="1"/>
  <c r="GN20" i="1"/>
  <c r="EE18" i="5" s="1"/>
  <c r="GN21" i="1"/>
  <c r="EE19" i="5" s="1"/>
  <c r="GN22" i="1"/>
  <c r="GN23" i="1"/>
  <c r="EE21" i="5" s="1"/>
  <c r="HS8" i="1"/>
  <c r="FJ6" i="5" s="1"/>
  <c r="HS9" i="1"/>
  <c r="HS10" i="1"/>
  <c r="HS11" i="1"/>
  <c r="FJ9" i="5" s="1"/>
  <c r="HS12" i="1"/>
  <c r="FJ10" i="5" s="1"/>
  <c r="HS13" i="1"/>
  <c r="FJ11" i="5" s="1"/>
  <c r="HS14" i="1"/>
  <c r="HS15" i="1"/>
  <c r="FJ13" i="5" s="1"/>
  <c r="HS16" i="1"/>
  <c r="FJ14" i="5" s="1"/>
  <c r="HS17" i="1"/>
  <c r="HS18" i="1"/>
  <c r="FJ16" i="5" s="1"/>
  <c r="HS19" i="1"/>
  <c r="HS20" i="1"/>
  <c r="FJ18" i="5" s="1"/>
  <c r="HS21" i="1"/>
  <c r="FJ19" i="5" s="1"/>
  <c r="HS22" i="1"/>
  <c r="HS23" i="1"/>
  <c r="FJ21" i="5" s="1"/>
  <c r="IX8" i="1"/>
  <c r="IX9" i="1"/>
  <c r="IX10" i="1"/>
  <c r="IX11" i="1"/>
  <c r="IX12" i="1"/>
  <c r="GO10" i="5" s="1"/>
  <c r="IX13" i="1"/>
  <c r="IX14" i="1"/>
  <c r="IX15" i="1"/>
  <c r="GO13" i="5" s="1"/>
  <c r="IX16" i="1"/>
  <c r="IX17" i="1"/>
  <c r="IX18" i="1"/>
  <c r="IX19" i="1"/>
  <c r="GO17" i="5" s="1"/>
  <c r="IX20" i="1"/>
  <c r="GO18" i="5" s="1"/>
  <c r="IX21" i="1"/>
  <c r="GO19" i="5" s="1"/>
  <c r="IX22" i="1"/>
  <c r="IX23" i="1"/>
  <c r="K8" i="1"/>
  <c r="AZ8" i="1"/>
  <c r="FT8" i="1"/>
  <c r="GY8" i="1"/>
  <c r="ID8" i="1"/>
  <c r="JI8" i="1"/>
  <c r="GZ6" i="5" s="1"/>
  <c r="K9" i="1"/>
  <c r="AZ9" i="1"/>
  <c r="FT9" i="1"/>
  <c r="DK7" i="5" s="1"/>
  <c r="GY9" i="1"/>
  <c r="ID9" i="1"/>
  <c r="JI9" i="1"/>
  <c r="K10" i="1"/>
  <c r="AZ10" i="1"/>
  <c r="FT10" i="1"/>
  <c r="DK8" i="5" s="1"/>
  <c r="GY10" i="1"/>
  <c r="ID10" i="1"/>
  <c r="JI10" i="1"/>
  <c r="AP11" i="1"/>
  <c r="K11" i="1"/>
  <c r="AZ11" i="1"/>
  <c r="CF9" i="5" s="1"/>
  <c r="FT11" i="1"/>
  <c r="DK9" i="5" s="1"/>
  <c r="GY11" i="1"/>
  <c r="EP9" i="5" s="1"/>
  <c r="ID11" i="1"/>
  <c r="FU9" i="5" s="1"/>
  <c r="JI11" i="1"/>
  <c r="K12" i="1"/>
  <c r="HT12" i="1"/>
  <c r="AZ12" i="1"/>
  <c r="FT12" i="1"/>
  <c r="GY12" i="1"/>
  <c r="ID12" i="1"/>
  <c r="FU10" i="5" s="1"/>
  <c r="JI12" i="1"/>
  <c r="K13" i="1"/>
  <c r="AZ13" i="1"/>
  <c r="FT13" i="1"/>
  <c r="GY13" i="1"/>
  <c r="ID13" i="1"/>
  <c r="JI13" i="1"/>
  <c r="GZ11" i="5" s="1"/>
  <c r="K14" i="1"/>
  <c r="AZ14" i="1"/>
  <c r="FT14" i="1"/>
  <c r="DK12" i="5" s="1"/>
  <c r="GY14" i="1"/>
  <c r="ID14" i="1"/>
  <c r="JI14" i="1"/>
  <c r="K15" i="1"/>
  <c r="AZ15" i="1"/>
  <c r="FT15" i="1"/>
  <c r="GY15" i="1"/>
  <c r="ID15" i="1"/>
  <c r="JI15" i="1"/>
  <c r="K16" i="1"/>
  <c r="AZ16" i="1"/>
  <c r="FT16" i="1"/>
  <c r="GY16" i="1"/>
  <c r="EP14" i="5" s="1"/>
  <c r="ID16" i="1"/>
  <c r="FU14" i="5" s="1"/>
  <c r="JI16" i="1"/>
  <c r="K17" i="1"/>
  <c r="AZ17" i="1"/>
  <c r="FT17" i="1"/>
  <c r="GY17" i="1"/>
  <c r="ID17" i="1"/>
  <c r="JI17" i="1"/>
  <c r="GZ15" i="5" s="1"/>
  <c r="K18" i="1"/>
  <c r="FJ18" i="1"/>
  <c r="AZ18" i="1"/>
  <c r="FT18" i="1"/>
  <c r="GY18" i="1"/>
  <c r="ID18" i="1"/>
  <c r="JI18" i="1"/>
  <c r="AP19" i="1"/>
  <c r="K19" i="1"/>
  <c r="AZ19" i="1"/>
  <c r="FT19" i="1"/>
  <c r="GY19" i="1"/>
  <c r="EP17" i="5" s="1"/>
  <c r="ID19" i="1"/>
  <c r="JI19" i="1"/>
  <c r="GZ17" i="5" s="1"/>
  <c r="K20" i="1"/>
  <c r="FJ20" i="1"/>
  <c r="DA18" i="5" s="1"/>
  <c r="AZ20" i="1"/>
  <c r="FT20" i="1"/>
  <c r="DK18" i="5" s="1"/>
  <c r="GY20" i="1"/>
  <c r="ID20" i="1"/>
  <c r="JI20" i="1"/>
  <c r="K21" i="1"/>
  <c r="AZ21" i="1"/>
  <c r="FT21" i="1"/>
  <c r="GY21" i="1"/>
  <c r="ID21" i="1"/>
  <c r="JI21" i="1"/>
  <c r="K22" i="1"/>
  <c r="AZ22" i="1"/>
  <c r="FT22" i="1"/>
  <c r="DK20" i="5" s="1"/>
  <c r="GY22" i="1"/>
  <c r="EP20" i="5" s="1"/>
  <c r="ID22" i="1"/>
  <c r="JI22" i="1"/>
  <c r="K23" i="1"/>
  <c r="AZ23" i="1"/>
  <c r="FT23" i="1"/>
  <c r="GY23" i="1"/>
  <c r="ID23" i="1"/>
  <c r="JI23" i="1"/>
  <c r="AO26" i="1"/>
  <c r="ED26" i="1" s="1"/>
  <c r="FI26" i="1"/>
  <c r="GN26" i="1"/>
  <c r="HS26" i="1"/>
  <c r="IX26" i="1"/>
  <c r="GO24" i="5" s="1"/>
  <c r="K26" i="1"/>
  <c r="AZ26" i="1"/>
  <c r="FT26" i="1"/>
  <c r="GY26" i="1"/>
  <c r="ID26" i="1"/>
  <c r="JI26" i="1"/>
  <c r="AO27" i="1"/>
  <c r="BU25" i="5" s="1"/>
  <c r="FI27" i="1"/>
  <c r="CZ25" i="5" s="1"/>
  <c r="GN27" i="1"/>
  <c r="EE25" i="5" s="1"/>
  <c r="HS27" i="1"/>
  <c r="FJ25" i="5" s="1"/>
  <c r="IX27" i="1"/>
  <c r="GO25" i="5" s="1"/>
  <c r="K27" i="1"/>
  <c r="AZ27" i="1"/>
  <c r="FT27" i="1"/>
  <c r="GY27" i="1"/>
  <c r="ID27" i="1"/>
  <c r="JI27" i="1"/>
  <c r="AO28" i="1"/>
  <c r="BU26" i="5" s="1"/>
  <c r="FI28" i="1"/>
  <c r="CZ26" i="5" s="1"/>
  <c r="GN28" i="1"/>
  <c r="EE26" i="5" s="1"/>
  <c r="HS28" i="1"/>
  <c r="FJ26" i="5" s="1"/>
  <c r="IX28" i="1"/>
  <c r="GO26" i="5" s="1"/>
  <c r="K28" i="1"/>
  <c r="AZ28" i="1"/>
  <c r="FT28" i="1"/>
  <c r="GY28" i="1"/>
  <c r="ID28" i="1"/>
  <c r="FU26" i="5" s="1"/>
  <c r="JI28" i="1"/>
  <c r="GZ26" i="5" s="1"/>
  <c r="AO29" i="1"/>
  <c r="BU27" i="5" s="1"/>
  <c r="FI29" i="1"/>
  <c r="CZ27" i="5" s="1"/>
  <c r="GN29" i="1"/>
  <c r="EE27" i="5" s="1"/>
  <c r="HS29" i="1"/>
  <c r="FJ27" i="5" s="1"/>
  <c r="IX29" i="1"/>
  <c r="GO27" i="5" s="1"/>
  <c r="K29" i="1"/>
  <c r="AZ29" i="1"/>
  <c r="FT29" i="1"/>
  <c r="DK27" i="5" s="1"/>
  <c r="GY29" i="1"/>
  <c r="ID29" i="1"/>
  <c r="JI29" i="1"/>
  <c r="AO55" i="1"/>
  <c r="ED55" i="1" s="1"/>
  <c r="FI55" i="1"/>
  <c r="CZ53" i="5" s="1"/>
  <c r="GN55" i="1"/>
  <c r="HS55" i="1"/>
  <c r="FJ53" i="5" s="1"/>
  <c r="IX55" i="1"/>
  <c r="GO53" i="5" s="1"/>
  <c r="K55" i="1"/>
  <c r="AZ55" i="1"/>
  <c r="FT55" i="1"/>
  <c r="GY55" i="1"/>
  <c r="ID55" i="1"/>
  <c r="FU53" i="5" s="1"/>
  <c r="JI55" i="1"/>
  <c r="AO30" i="1"/>
  <c r="BU28" i="5" s="1"/>
  <c r="FI30" i="1"/>
  <c r="CZ28" i="5" s="1"/>
  <c r="GN30" i="1"/>
  <c r="EE28" i="5" s="1"/>
  <c r="HS30" i="1"/>
  <c r="FJ28" i="5" s="1"/>
  <c r="IX30" i="1"/>
  <c r="GO28" i="5" s="1"/>
  <c r="K30" i="1"/>
  <c r="AZ30" i="1"/>
  <c r="FT30" i="1"/>
  <c r="GY30" i="1"/>
  <c r="ID30" i="1"/>
  <c r="JI30" i="1"/>
  <c r="AO31" i="1"/>
  <c r="BU29" i="5" s="1"/>
  <c r="FI31" i="1"/>
  <c r="GN31" i="1"/>
  <c r="EE29" i="5" s="1"/>
  <c r="HS31" i="1"/>
  <c r="FJ29" i="5" s="1"/>
  <c r="IX31" i="1"/>
  <c r="GO29" i="5" s="1"/>
  <c r="K31" i="1"/>
  <c r="AZ31" i="1"/>
  <c r="FT31" i="1"/>
  <c r="GY31" i="1"/>
  <c r="ID31" i="1"/>
  <c r="FU29" i="5" s="1"/>
  <c r="JI31" i="1"/>
  <c r="AO41" i="1"/>
  <c r="AP41" i="1" s="1"/>
  <c r="FI41" i="1"/>
  <c r="CZ39" i="5" s="1"/>
  <c r="GN41" i="1"/>
  <c r="EE39" i="5" s="1"/>
  <c r="HS41" i="1"/>
  <c r="FJ39" i="5" s="1"/>
  <c r="K41" i="1"/>
  <c r="AZ41" i="1"/>
  <c r="FT41" i="1"/>
  <c r="GY41" i="1"/>
  <c r="ID41" i="1"/>
  <c r="JI41" i="1"/>
  <c r="AO42" i="1"/>
  <c r="BU40" i="5" s="1"/>
  <c r="FI42" i="1"/>
  <c r="CZ40" i="5" s="1"/>
  <c r="GN42" i="1"/>
  <c r="EE40" i="5" s="1"/>
  <c r="HS42" i="1"/>
  <c r="FJ40" i="5" s="1"/>
  <c r="IX42" i="1"/>
  <c r="GO40" i="5" s="1"/>
  <c r="K42" i="1"/>
  <c r="AZ42" i="1"/>
  <c r="CF40" i="5" s="1"/>
  <c r="FT42" i="1"/>
  <c r="GY42" i="1"/>
  <c r="ID42" i="1"/>
  <c r="JI42" i="1"/>
  <c r="AO43" i="1"/>
  <c r="BU41" i="5" s="1"/>
  <c r="FI43" i="1"/>
  <c r="CZ41" i="5" s="1"/>
  <c r="GN43" i="1"/>
  <c r="EE41" i="5" s="1"/>
  <c r="HS43" i="1"/>
  <c r="FJ41" i="5" s="1"/>
  <c r="IX43" i="1"/>
  <c r="GO41" i="5" s="1"/>
  <c r="K43" i="1"/>
  <c r="AZ43" i="1"/>
  <c r="CF41" i="5" s="1"/>
  <c r="FT43" i="1"/>
  <c r="GY43" i="1"/>
  <c r="EP41" i="5" s="1"/>
  <c r="ID43" i="1"/>
  <c r="JI43" i="1"/>
  <c r="AO44" i="1"/>
  <c r="ED44" i="1" s="1"/>
  <c r="FI44" i="1"/>
  <c r="GN44" i="1"/>
  <c r="HS44" i="1"/>
  <c r="IX44" i="1"/>
  <c r="K44" i="1"/>
  <c r="AZ44" i="1"/>
  <c r="FT44" i="1"/>
  <c r="GY44" i="1"/>
  <c r="ID44" i="1"/>
  <c r="JI44" i="1"/>
  <c r="GZ42" i="5" s="1"/>
  <c r="AO56" i="1"/>
  <c r="BU54" i="5" s="1"/>
  <c r="FI56" i="1"/>
  <c r="CZ54" i="5" s="1"/>
  <c r="GN56" i="1"/>
  <c r="EE54" i="5" s="1"/>
  <c r="HS56" i="1"/>
  <c r="FJ54" i="5" s="1"/>
  <c r="IX56" i="1"/>
  <c r="GO54" i="5" s="1"/>
  <c r="K56" i="1"/>
  <c r="AZ56" i="1"/>
  <c r="FT56" i="1"/>
  <c r="GY56" i="1"/>
  <c r="EP54" i="5" s="1"/>
  <c r="ID56" i="1"/>
  <c r="JI56" i="1"/>
  <c r="AO57" i="1"/>
  <c r="BU55" i="5" s="1"/>
  <c r="FI57" i="1"/>
  <c r="CZ55" i="5" s="1"/>
  <c r="GN57" i="1"/>
  <c r="EE55" i="5" s="1"/>
  <c r="HS57" i="1"/>
  <c r="FJ55" i="5" s="1"/>
  <c r="IX57" i="1"/>
  <c r="GO55" i="5" s="1"/>
  <c r="K57" i="1"/>
  <c r="AZ57" i="1"/>
  <c r="FT57" i="1"/>
  <c r="DK55" i="5" s="1"/>
  <c r="GY57" i="1"/>
  <c r="EP55" i="5" s="1"/>
  <c r="ID57" i="1"/>
  <c r="FU55" i="5" s="1"/>
  <c r="JI57" i="1"/>
  <c r="AO45" i="1"/>
  <c r="ED45" i="1" s="1"/>
  <c r="FI45" i="1"/>
  <c r="GN45" i="1"/>
  <c r="EE43" i="5" s="1"/>
  <c r="HS45" i="1"/>
  <c r="FJ43" i="5" s="1"/>
  <c r="IX45" i="1"/>
  <c r="GO43" i="5" s="1"/>
  <c r="K45" i="1"/>
  <c r="AZ45" i="1"/>
  <c r="FT45" i="1"/>
  <c r="GY45" i="1"/>
  <c r="ID45" i="1"/>
  <c r="JI45" i="1"/>
  <c r="AO46" i="1"/>
  <c r="FI46" i="1"/>
  <c r="CZ44" i="5" s="1"/>
  <c r="GN46" i="1"/>
  <c r="EE44" i="5" s="1"/>
  <c r="HS46" i="1"/>
  <c r="FJ44" i="5" s="1"/>
  <c r="IX46" i="1"/>
  <c r="GO44" i="5" s="1"/>
  <c r="K46" i="1"/>
  <c r="AZ46" i="1"/>
  <c r="FT46" i="1"/>
  <c r="GY46" i="1"/>
  <c r="EP44" i="5" s="1"/>
  <c r="ID46" i="1"/>
  <c r="JI46" i="1"/>
  <c r="AO47" i="1"/>
  <c r="FI47" i="1"/>
  <c r="CZ45" i="5" s="1"/>
  <c r="GN47" i="1"/>
  <c r="EE45" i="5" s="1"/>
  <c r="HS47" i="1"/>
  <c r="FJ45" i="5" s="1"/>
  <c r="IX47" i="1"/>
  <c r="GO45" i="5" s="1"/>
  <c r="K47" i="1"/>
  <c r="AZ47" i="1"/>
  <c r="FT47" i="1"/>
  <c r="GY47" i="1"/>
  <c r="ID47" i="1"/>
  <c r="JI47" i="1"/>
  <c r="GZ45" i="5" s="1"/>
  <c r="AO32" i="1"/>
  <c r="BU30" i="5" s="1"/>
  <c r="FI32" i="1"/>
  <c r="CZ30" i="5" s="1"/>
  <c r="GN32" i="1"/>
  <c r="EE30" i="5" s="1"/>
  <c r="HS32" i="1"/>
  <c r="FJ30" i="5" s="1"/>
  <c r="IX32" i="1"/>
  <c r="GO30" i="5" s="1"/>
  <c r="K32" i="1"/>
  <c r="AZ32" i="1"/>
  <c r="FT32" i="1"/>
  <c r="GY32" i="1"/>
  <c r="ID32" i="1"/>
  <c r="JI32" i="1"/>
  <c r="AO48" i="1"/>
  <c r="BU46" i="5" s="1"/>
  <c r="FI48" i="1"/>
  <c r="GN48" i="1"/>
  <c r="EE46" i="5" s="1"/>
  <c r="HS48" i="1"/>
  <c r="IX48" i="1"/>
  <c r="GO46" i="5" s="1"/>
  <c r="K48" i="1"/>
  <c r="AZ48" i="1"/>
  <c r="CF46" i="5" s="1"/>
  <c r="FT48" i="1"/>
  <c r="GY48" i="1"/>
  <c r="ID48" i="1"/>
  <c r="JI48" i="1"/>
  <c r="AO33" i="1"/>
  <c r="FI33" i="1"/>
  <c r="CZ31" i="5" s="1"/>
  <c r="GN33" i="1"/>
  <c r="EE31" i="5" s="1"/>
  <c r="HS33" i="1"/>
  <c r="FJ31" i="5" s="1"/>
  <c r="IX33" i="1"/>
  <c r="GO31" i="5" s="1"/>
  <c r="K33" i="1"/>
  <c r="AZ33" i="1"/>
  <c r="FT33" i="1"/>
  <c r="GY33" i="1"/>
  <c r="ID33" i="1"/>
  <c r="JI33" i="1"/>
  <c r="GZ31" i="5" s="1"/>
  <c r="AO58" i="1"/>
  <c r="BU56" i="5" s="1"/>
  <c r="FI58" i="1"/>
  <c r="CZ56" i="5" s="1"/>
  <c r="GN58" i="1"/>
  <c r="EE56" i="5" s="1"/>
  <c r="HS58" i="1"/>
  <c r="FJ56" i="5" s="1"/>
  <c r="IX58" i="1"/>
  <c r="GO56" i="5" s="1"/>
  <c r="K58" i="1"/>
  <c r="AZ58" i="1"/>
  <c r="FT58" i="1"/>
  <c r="GY58" i="1"/>
  <c r="EP56" i="5" s="1"/>
  <c r="ID58" i="1"/>
  <c r="JI58" i="1"/>
  <c r="AO59" i="1"/>
  <c r="FI59" i="1"/>
  <c r="GN59" i="1"/>
  <c r="EE57" i="5" s="1"/>
  <c r="HS59" i="1"/>
  <c r="IX59" i="1"/>
  <c r="GO57" i="5" s="1"/>
  <c r="K59" i="1"/>
  <c r="AZ59" i="1"/>
  <c r="FT59" i="1"/>
  <c r="DK57" i="5" s="1"/>
  <c r="GY59" i="1"/>
  <c r="EP57" i="5" s="1"/>
  <c r="ID59" i="1"/>
  <c r="JI59" i="1"/>
  <c r="AO34" i="1"/>
  <c r="BU32" i="5" s="1"/>
  <c r="FI34" i="1"/>
  <c r="GN34" i="1"/>
  <c r="EE32" i="5" s="1"/>
  <c r="HS34" i="1"/>
  <c r="HT34" i="1" s="1"/>
  <c r="IX34" i="1"/>
  <c r="GO32" i="5" s="1"/>
  <c r="K34" i="1"/>
  <c r="AZ34" i="1"/>
  <c r="FT34" i="1"/>
  <c r="GY34" i="1"/>
  <c r="ID34" i="1"/>
  <c r="JI34" i="1"/>
  <c r="AO60" i="1"/>
  <c r="FI60" i="1"/>
  <c r="GN60" i="1"/>
  <c r="EE58" i="5" s="1"/>
  <c r="HS60" i="1"/>
  <c r="FJ58" i="5" s="1"/>
  <c r="IX60" i="1"/>
  <c r="GO58" i="5" s="1"/>
  <c r="K60" i="1"/>
  <c r="AZ60" i="1"/>
  <c r="CF58" i="5" s="1"/>
  <c r="FT60" i="1"/>
  <c r="GY60" i="1"/>
  <c r="ID60" i="1"/>
  <c r="JI60" i="1"/>
  <c r="AO49" i="1"/>
  <c r="ED49" i="1" s="1"/>
  <c r="FI49" i="1"/>
  <c r="CZ47" i="5" s="1"/>
  <c r="GN49" i="1"/>
  <c r="EE47" i="5" s="1"/>
  <c r="HS49" i="1"/>
  <c r="FJ47" i="5" s="1"/>
  <c r="IX49" i="1"/>
  <c r="GO47" i="5" s="1"/>
  <c r="K49" i="1"/>
  <c r="AZ49" i="1"/>
  <c r="CF47" i="5" s="1"/>
  <c r="FT49" i="1"/>
  <c r="GY49" i="1"/>
  <c r="EP47" i="5" s="1"/>
  <c r="ID49" i="1"/>
  <c r="JI49" i="1"/>
  <c r="GZ47" i="5" s="1"/>
  <c r="AO50" i="1"/>
  <c r="BU48" i="5" s="1"/>
  <c r="FI50" i="1"/>
  <c r="CZ48" i="5" s="1"/>
  <c r="GN50" i="1"/>
  <c r="EE48" i="5" s="1"/>
  <c r="HS50" i="1"/>
  <c r="FJ48" i="5" s="1"/>
  <c r="IX50" i="1"/>
  <c r="GO48" i="5" s="1"/>
  <c r="K50" i="1"/>
  <c r="AZ50" i="1"/>
  <c r="FT50" i="1"/>
  <c r="GY50" i="1"/>
  <c r="ID50" i="1"/>
  <c r="JI50" i="1"/>
  <c r="AO35" i="1"/>
  <c r="FI35" i="1"/>
  <c r="CZ33" i="5" s="1"/>
  <c r="GN35" i="1"/>
  <c r="EE33" i="5" s="1"/>
  <c r="HS35" i="1"/>
  <c r="FJ33" i="5" s="1"/>
  <c r="IX35" i="1"/>
  <c r="GO33" i="5" s="1"/>
  <c r="K35" i="1"/>
  <c r="AZ35" i="1"/>
  <c r="CF33" i="5" s="1"/>
  <c r="FT35" i="1"/>
  <c r="GY35" i="1"/>
  <c r="EP33" i="5" s="1"/>
  <c r="ID35" i="1"/>
  <c r="JI35" i="1"/>
  <c r="AO61" i="1"/>
  <c r="AP61" i="1" s="1"/>
  <c r="FI61" i="1"/>
  <c r="CZ59" i="5" s="1"/>
  <c r="GN61" i="1"/>
  <c r="EE59" i="5" s="1"/>
  <c r="HS61" i="1"/>
  <c r="FJ59" i="5" s="1"/>
  <c r="IX61" i="1"/>
  <c r="GO59" i="5" s="1"/>
  <c r="K61" i="1"/>
  <c r="AZ61" i="1"/>
  <c r="FT61" i="1"/>
  <c r="GY61" i="1"/>
  <c r="ID61" i="1"/>
  <c r="JI61" i="1"/>
  <c r="GZ59" i="5" s="1"/>
  <c r="AO62" i="1"/>
  <c r="BU60" i="5" s="1"/>
  <c r="FI62" i="1"/>
  <c r="CZ60" i="5" s="1"/>
  <c r="GN62" i="1"/>
  <c r="EE60" i="5" s="1"/>
  <c r="HS62" i="1"/>
  <c r="FJ60" i="5" s="1"/>
  <c r="IX62" i="1"/>
  <c r="GO60" i="5" s="1"/>
  <c r="K62" i="1"/>
  <c r="AZ62" i="1"/>
  <c r="FT62" i="1"/>
  <c r="GY62" i="1"/>
  <c r="EP60" i="5" s="1"/>
  <c r="ID62" i="1"/>
  <c r="JI62" i="1"/>
  <c r="AO51" i="1"/>
  <c r="BU49" i="5" s="1"/>
  <c r="FI51" i="1"/>
  <c r="GN51" i="1"/>
  <c r="EE49" i="5" s="1"/>
  <c r="HS51" i="1"/>
  <c r="FJ49" i="5" s="1"/>
  <c r="IX51" i="1"/>
  <c r="GO49" i="5" s="1"/>
  <c r="K51" i="1"/>
  <c r="AZ51" i="1"/>
  <c r="CF49" i="5" s="1"/>
  <c r="FT51" i="1"/>
  <c r="GY51" i="1"/>
  <c r="ID51" i="1"/>
  <c r="JI51" i="1"/>
  <c r="GZ49" i="5" s="1"/>
  <c r="AO36" i="1"/>
  <c r="FI36" i="1"/>
  <c r="CZ34" i="5" s="1"/>
  <c r="GN36" i="1"/>
  <c r="EE34" i="5" s="1"/>
  <c r="HS36" i="1"/>
  <c r="IX36" i="1"/>
  <c r="GO34" i="5" s="1"/>
  <c r="K36" i="1"/>
  <c r="AZ36" i="1"/>
  <c r="FT36" i="1"/>
  <c r="GY36" i="1"/>
  <c r="ID36" i="1"/>
  <c r="FU34" i="5" s="1"/>
  <c r="JI36" i="1"/>
  <c r="AO63" i="1"/>
  <c r="FI63" i="1"/>
  <c r="CZ61" i="5" s="1"/>
  <c r="GN63" i="1"/>
  <c r="EE61" i="5" s="1"/>
  <c r="HS63" i="1"/>
  <c r="FJ61" i="5" s="1"/>
  <c r="IX63" i="1"/>
  <c r="GO61" i="5" s="1"/>
  <c r="K63" i="1"/>
  <c r="AZ63" i="1"/>
  <c r="FT63" i="1"/>
  <c r="GY63" i="1"/>
  <c r="ID63" i="1"/>
  <c r="JI63" i="1"/>
  <c r="AO37" i="1"/>
  <c r="BU35" i="5" s="1"/>
  <c r="FI37" i="1"/>
  <c r="CZ35" i="5" s="1"/>
  <c r="GN37" i="1"/>
  <c r="EE35" i="5" s="1"/>
  <c r="HS37" i="1"/>
  <c r="FJ35" i="5" s="1"/>
  <c r="IX37" i="1"/>
  <c r="GO35" i="5" s="1"/>
  <c r="K37" i="1"/>
  <c r="AZ37" i="1"/>
  <c r="FT37" i="1"/>
  <c r="GY37" i="1"/>
  <c r="ID37" i="1"/>
  <c r="FU35" i="5" s="1"/>
  <c r="JI37" i="1"/>
  <c r="GZ35" i="5" s="1"/>
  <c r="AO52" i="1"/>
  <c r="FI52" i="1"/>
  <c r="CZ50" i="5" s="1"/>
  <c r="GN52" i="1"/>
  <c r="EE50" i="5" s="1"/>
  <c r="HS52" i="1"/>
  <c r="FJ50" i="5" s="1"/>
  <c r="IX52" i="1"/>
  <c r="GO50" i="5" s="1"/>
  <c r="K52" i="1"/>
  <c r="AZ52" i="1"/>
  <c r="FT52" i="1"/>
  <c r="GY52" i="1"/>
  <c r="EP50" i="5" s="1"/>
  <c r="ID52" i="1"/>
  <c r="JI52" i="1"/>
  <c r="AO38" i="1"/>
  <c r="FI38" i="1"/>
  <c r="FJ38" i="1" s="1"/>
  <c r="GN38" i="1"/>
  <c r="EE36" i="5" s="1"/>
  <c r="HS38" i="1"/>
  <c r="FJ36" i="5" s="1"/>
  <c r="IX38" i="1"/>
  <c r="GO36" i="5" s="1"/>
  <c r="K38" i="1"/>
  <c r="AZ38" i="1"/>
  <c r="FT38" i="1"/>
  <c r="GY38" i="1"/>
  <c r="ID38" i="1"/>
  <c r="FU36" i="5" s="1"/>
  <c r="JI38" i="1"/>
  <c r="AO64" i="1"/>
  <c r="BU62" i="5" s="1"/>
  <c r="FI64" i="1"/>
  <c r="CZ62" i="5" s="1"/>
  <c r="GN64" i="1"/>
  <c r="EE62" i="5" s="1"/>
  <c r="HS64" i="1"/>
  <c r="FJ62" i="5" s="1"/>
  <c r="IX64" i="1"/>
  <c r="GO62" i="5" s="1"/>
  <c r="K64" i="1"/>
  <c r="AZ64" i="1"/>
  <c r="FT64" i="1"/>
  <c r="GY64" i="1"/>
  <c r="ID64" i="1"/>
  <c r="FU62" i="5" s="1"/>
  <c r="JI64" i="1"/>
  <c r="GZ62" i="5" s="1"/>
  <c r="DV8" i="1"/>
  <c r="AG9" i="1"/>
  <c r="AG11" i="1"/>
  <c r="AG12" i="1"/>
  <c r="AG13" i="1"/>
  <c r="DV13" i="1" s="1"/>
  <c r="AG14" i="1"/>
  <c r="AG15" i="1"/>
  <c r="DV15" i="1" s="1"/>
  <c r="AG16" i="1"/>
  <c r="DV16" i="1" s="1"/>
  <c r="AG17" i="1"/>
  <c r="AG18" i="1"/>
  <c r="AG19" i="1"/>
  <c r="AG20" i="1"/>
  <c r="AG21" i="1"/>
  <c r="AG22" i="1"/>
  <c r="AG23" i="1"/>
  <c r="B8" i="1"/>
  <c r="B9" i="1"/>
  <c r="B11" i="1"/>
  <c r="AH9" i="5" s="1"/>
  <c r="B12" i="1"/>
  <c r="C10" i="5" s="1"/>
  <c r="B13" i="1"/>
  <c r="C11" i="5" s="1"/>
  <c r="B14" i="1"/>
  <c r="AH12" i="5" s="1"/>
  <c r="B15" i="1"/>
  <c r="AH13" i="5" s="1"/>
  <c r="B16" i="1"/>
  <c r="C14" i="5" s="1"/>
  <c r="B17" i="1"/>
  <c r="AH15" i="5" s="1"/>
  <c r="B18" i="1"/>
  <c r="AH16" i="5" s="1"/>
  <c r="B19" i="1"/>
  <c r="AH17" i="5" s="1"/>
  <c r="B20" i="1"/>
  <c r="B21" i="1"/>
  <c r="C19" i="5" s="1"/>
  <c r="B22" i="1"/>
  <c r="AH20" i="5" s="1"/>
  <c r="B23" i="1"/>
  <c r="FA8" i="1"/>
  <c r="FA9" i="1"/>
  <c r="FA11" i="1"/>
  <c r="FA12" i="1"/>
  <c r="FA13" i="1"/>
  <c r="FA14" i="1"/>
  <c r="FA15" i="1"/>
  <c r="FA16" i="1"/>
  <c r="FA17" i="1"/>
  <c r="FA18" i="1"/>
  <c r="FA19" i="1"/>
  <c r="FA20" i="1"/>
  <c r="FA21" i="1"/>
  <c r="FA22" i="1"/>
  <c r="FA23" i="1"/>
  <c r="GF9" i="1"/>
  <c r="GF11" i="1"/>
  <c r="GF12" i="1"/>
  <c r="GF13" i="1"/>
  <c r="GF14" i="1"/>
  <c r="GF15" i="1"/>
  <c r="GF16" i="1"/>
  <c r="GF17" i="1"/>
  <c r="GF18" i="1"/>
  <c r="GF19" i="1"/>
  <c r="GF20" i="1"/>
  <c r="GF21" i="1"/>
  <c r="GF22" i="1"/>
  <c r="GF23" i="1"/>
  <c r="HK8" i="1"/>
  <c r="HK9" i="1"/>
  <c r="FB7" i="5" s="1"/>
  <c r="HK11" i="1"/>
  <c r="HK12" i="1"/>
  <c r="HK13" i="1"/>
  <c r="HK14" i="1"/>
  <c r="HK15" i="1"/>
  <c r="HK16" i="1"/>
  <c r="HK17" i="1"/>
  <c r="HK18" i="1"/>
  <c r="FB16" i="5" s="1"/>
  <c r="HK19" i="1"/>
  <c r="HK20" i="1"/>
  <c r="HK21" i="1"/>
  <c r="HK22" i="1"/>
  <c r="HK23" i="1"/>
  <c r="IP8" i="1"/>
  <c r="IP9" i="1"/>
  <c r="IP11" i="1"/>
  <c r="IP12" i="1"/>
  <c r="IP13" i="1"/>
  <c r="IP14" i="1"/>
  <c r="IP15" i="1"/>
  <c r="IP16" i="1"/>
  <c r="IP17" i="1"/>
  <c r="IP18" i="1"/>
  <c r="IP19" i="1"/>
  <c r="IP20" i="1"/>
  <c r="IP21" i="1"/>
  <c r="IP22" i="1"/>
  <c r="IP23" i="1"/>
  <c r="BM3" i="5"/>
  <c r="CR3" i="5"/>
  <c r="DW3" i="5"/>
  <c r="FB3" i="5"/>
  <c r="GG3" i="5"/>
  <c r="AI3" i="5"/>
  <c r="AJ3" i="5"/>
  <c r="AK3" i="5"/>
  <c r="AL3" i="5"/>
  <c r="AM3" i="5"/>
  <c r="AN3" i="5"/>
  <c r="AO3" i="5"/>
  <c r="AP3" i="5"/>
  <c r="AQ3" i="5"/>
  <c r="AR3" i="5"/>
  <c r="AS3" i="5"/>
  <c r="AV3" i="5"/>
  <c r="AW3" i="5"/>
  <c r="AX3" i="5"/>
  <c r="AY3" i="5"/>
  <c r="AZ3" i="5"/>
  <c r="BA3" i="5"/>
  <c r="BB3" i="5"/>
  <c r="BC3" i="5"/>
  <c r="BU8" i="1"/>
  <c r="CE8" i="1"/>
  <c r="BU9" i="1"/>
  <c r="CE9" i="1"/>
  <c r="BU10" i="1"/>
  <c r="CE10" i="1"/>
  <c r="BU11" i="1"/>
  <c r="AQ9" i="5" s="1"/>
  <c r="CE11" i="1"/>
  <c r="BU12" i="1"/>
  <c r="AQ10" i="5" s="1"/>
  <c r="CE12" i="1"/>
  <c r="BU13" i="1"/>
  <c r="CE13" i="1"/>
  <c r="BU14" i="1"/>
  <c r="CE14" i="1"/>
  <c r="BA12" i="5" s="1"/>
  <c r="BU15" i="1"/>
  <c r="CE15" i="1"/>
  <c r="BU16" i="1"/>
  <c r="AQ14" i="5" s="1"/>
  <c r="CE16" i="1"/>
  <c r="BU17" i="1"/>
  <c r="CE17" i="1"/>
  <c r="BU18" i="1"/>
  <c r="CE18" i="1"/>
  <c r="BU19" i="1"/>
  <c r="CE19" i="1"/>
  <c r="BU20" i="1"/>
  <c r="AQ18" i="5" s="1"/>
  <c r="CE20" i="1"/>
  <c r="BU21" i="1"/>
  <c r="CE21" i="1"/>
  <c r="BU22" i="1"/>
  <c r="CE22" i="1"/>
  <c r="BU23" i="1"/>
  <c r="CE23" i="1"/>
  <c r="BU26" i="1"/>
  <c r="CE26" i="1"/>
  <c r="BU27" i="1"/>
  <c r="CE27" i="1"/>
  <c r="BU28" i="1"/>
  <c r="CE28" i="1"/>
  <c r="BA26" i="5" s="1"/>
  <c r="BU29" i="1"/>
  <c r="CE29" i="1"/>
  <c r="BU55" i="1"/>
  <c r="CE55" i="1"/>
  <c r="BU30" i="1"/>
  <c r="CE30" i="1"/>
  <c r="BU31" i="1"/>
  <c r="CE31" i="1"/>
  <c r="BA29" i="5" s="1"/>
  <c r="BU41" i="1"/>
  <c r="CE41" i="1"/>
  <c r="BU42" i="1"/>
  <c r="CE42" i="1"/>
  <c r="BU43" i="1"/>
  <c r="CE43" i="1"/>
  <c r="BU44" i="1"/>
  <c r="CE44" i="1"/>
  <c r="BA42" i="5" s="1"/>
  <c r="BU56" i="1"/>
  <c r="CE56" i="1"/>
  <c r="BU57" i="1"/>
  <c r="CE57" i="1"/>
  <c r="BU45" i="1"/>
  <c r="CE45" i="1"/>
  <c r="BU46" i="1"/>
  <c r="CE46" i="1"/>
  <c r="BU47" i="1"/>
  <c r="CE47" i="1"/>
  <c r="BU32" i="1"/>
  <c r="CE32" i="1"/>
  <c r="BU48" i="1"/>
  <c r="CE48" i="1"/>
  <c r="BU33" i="1"/>
  <c r="CE33" i="1"/>
  <c r="BA31" i="5" s="1"/>
  <c r="BU58" i="1"/>
  <c r="CE58" i="1"/>
  <c r="BU59" i="1"/>
  <c r="CE59" i="1"/>
  <c r="BU34" i="1"/>
  <c r="AQ32" i="5" s="1"/>
  <c r="CE34" i="1"/>
  <c r="BU60" i="1"/>
  <c r="AQ58" i="5" s="1"/>
  <c r="CE60" i="1"/>
  <c r="BU49" i="1"/>
  <c r="CE49" i="1"/>
  <c r="BU50" i="1"/>
  <c r="CE50" i="1"/>
  <c r="BU35" i="1"/>
  <c r="CE35" i="1"/>
  <c r="BU61" i="1"/>
  <c r="CE61" i="1"/>
  <c r="BA59" i="5" s="1"/>
  <c r="BU62" i="1"/>
  <c r="AQ60" i="5" s="1"/>
  <c r="CE62" i="1"/>
  <c r="BU51" i="1"/>
  <c r="CE51" i="1"/>
  <c r="BU36" i="1"/>
  <c r="AQ34" i="5" s="1"/>
  <c r="CE36" i="1"/>
  <c r="BU63" i="1"/>
  <c r="CE63" i="1"/>
  <c r="BU37" i="1"/>
  <c r="CE37" i="1"/>
  <c r="BU52" i="1"/>
  <c r="CE52" i="1"/>
  <c r="BU38" i="1"/>
  <c r="CE38" i="1"/>
  <c r="BU64" i="1"/>
  <c r="CE64" i="1"/>
  <c r="BA62" i="5" s="1"/>
  <c r="AH3" i="5"/>
  <c r="DA8" i="1"/>
  <c r="DA9" i="1"/>
  <c r="EF9" i="1" s="1"/>
  <c r="DA10" i="1"/>
  <c r="EF10" i="1" s="1"/>
  <c r="DA11" i="1"/>
  <c r="CZ11" i="1" s="1"/>
  <c r="L9" i="5" s="1"/>
  <c r="DA12" i="1"/>
  <c r="M10" i="5" s="1"/>
  <c r="DA13" i="1"/>
  <c r="DA14" i="1"/>
  <c r="CZ14" i="1" s="1"/>
  <c r="DA15" i="1"/>
  <c r="EF15" i="1" s="1"/>
  <c r="DA16" i="1"/>
  <c r="DA17" i="1"/>
  <c r="CZ17" i="1" s="1"/>
  <c r="DA18" i="1"/>
  <c r="EF18" i="1" s="1"/>
  <c r="DA19" i="1"/>
  <c r="CZ19" i="1" s="1"/>
  <c r="DA20" i="1"/>
  <c r="DA21" i="1"/>
  <c r="DA22" i="1"/>
  <c r="CZ22" i="1" s="1"/>
  <c r="DA23" i="1"/>
  <c r="EF23" i="1" s="1"/>
  <c r="DJ8" i="1"/>
  <c r="DJ9" i="1"/>
  <c r="V7" i="5" s="1"/>
  <c r="DJ10" i="1"/>
  <c r="DJ11" i="1"/>
  <c r="V9" i="5" s="1"/>
  <c r="DJ12" i="1"/>
  <c r="DJ13" i="1"/>
  <c r="DJ14" i="1"/>
  <c r="DJ15" i="1"/>
  <c r="DJ16" i="1"/>
  <c r="DJ17" i="1"/>
  <c r="DJ18" i="1"/>
  <c r="DJ19" i="1"/>
  <c r="V17" i="5" s="1"/>
  <c r="DJ20" i="1"/>
  <c r="DJ21" i="1"/>
  <c r="DJ22" i="1"/>
  <c r="V20" i="5" s="1"/>
  <c r="DJ23" i="1"/>
  <c r="DA26" i="1"/>
  <c r="M24" i="5" s="1"/>
  <c r="DJ26" i="1"/>
  <c r="DA27" i="1"/>
  <c r="EF27" i="1" s="1"/>
  <c r="DJ27" i="1"/>
  <c r="V25" i="5" s="1"/>
  <c r="DA28" i="1"/>
  <c r="EF28" i="1" s="1"/>
  <c r="DJ28" i="1"/>
  <c r="DA29" i="1"/>
  <c r="EF29" i="1" s="1"/>
  <c r="DJ29" i="1"/>
  <c r="V27" i="5" s="1"/>
  <c r="DA55" i="1"/>
  <c r="M53" i="5" s="1"/>
  <c r="DJ55" i="1"/>
  <c r="DA30" i="1"/>
  <c r="DJ30" i="1"/>
  <c r="DA31" i="1"/>
  <c r="DJ31" i="1"/>
  <c r="DA41" i="1"/>
  <c r="EF41" i="1" s="1"/>
  <c r="DJ41" i="1"/>
  <c r="V39" i="5" s="1"/>
  <c r="DA42" i="1"/>
  <c r="DJ42" i="1"/>
  <c r="DA43" i="1"/>
  <c r="M41" i="5" s="1"/>
  <c r="DJ43" i="1"/>
  <c r="DA44" i="1"/>
  <c r="EF44" i="1" s="1"/>
  <c r="DJ44" i="1"/>
  <c r="DA56" i="1"/>
  <c r="EF56" i="1" s="1"/>
  <c r="DJ56" i="1"/>
  <c r="V54" i="5" s="1"/>
  <c r="DA57" i="1"/>
  <c r="DJ57" i="1"/>
  <c r="V55" i="5" s="1"/>
  <c r="DA45" i="1"/>
  <c r="DJ45" i="1"/>
  <c r="DA46" i="1"/>
  <c r="CZ46" i="1" s="1"/>
  <c r="DJ46" i="1"/>
  <c r="DA47" i="1"/>
  <c r="EF47" i="1" s="1"/>
  <c r="DJ47" i="1"/>
  <c r="V45" i="5" s="1"/>
  <c r="DA32" i="1"/>
  <c r="M30" i="5" s="1"/>
  <c r="DJ32" i="1"/>
  <c r="DA48" i="1"/>
  <c r="CZ48" i="1" s="1"/>
  <c r="DJ48" i="1"/>
  <c r="V46" i="5" s="1"/>
  <c r="DA33" i="1"/>
  <c r="M31" i="5" s="1"/>
  <c r="DJ33" i="1"/>
  <c r="DA58" i="1"/>
  <c r="DJ58" i="1"/>
  <c r="V56" i="5" s="1"/>
  <c r="DA59" i="1"/>
  <c r="DJ59" i="1"/>
  <c r="V57" i="5" s="1"/>
  <c r="DA34" i="1"/>
  <c r="DJ34" i="1"/>
  <c r="DA60" i="1"/>
  <c r="DJ60" i="1"/>
  <c r="DA49" i="1"/>
  <c r="DJ49" i="1"/>
  <c r="DA50" i="1"/>
  <c r="DJ50" i="1"/>
  <c r="DA35" i="1"/>
  <c r="CZ35" i="1" s="1"/>
  <c r="DJ35" i="1"/>
  <c r="V33" i="5" s="1"/>
  <c r="DA61" i="1"/>
  <c r="M59" i="5" s="1"/>
  <c r="DJ61" i="1"/>
  <c r="DA62" i="1"/>
  <c r="CZ62" i="1" s="1"/>
  <c r="L60" i="5" s="1"/>
  <c r="DJ62" i="1"/>
  <c r="DA51" i="1"/>
  <c r="M49" i="5" s="1"/>
  <c r="DJ51" i="1"/>
  <c r="V49" i="5" s="1"/>
  <c r="DA36" i="1"/>
  <c r="CZ36" i="1" s="1"/>
  <c r="DJ36" i="1"/>
  <c r="DA63" i="1"/>
  <c r="M61" i="5" s="1"/>
  <c r="DJ63" i="1"/>
  <c r="DA37" i="1"/>
  <c r="DJ37" i="1"/>
  <c r="DA52" i="1"/>
  <c r="M50" i="5" s="1"/>
  <c r="DJ52" i="1"/>
  <c r="DA38" i="1"/>
  <c r="CZ38" i="1" s="1"/>
  <c r="DJ38" i="1"/>
  <c r="V36" i="5" s="1"/>
  <c r="DA64" i="1"/>
  <c r="M62" i="5" s="1"/>
  <c r="DJ64" i="1"/>
  <c r="C3" i="5"/>
  <c r="EP8" i="1"/>
  <c r="EP9" i="1"/>
  <c r="EP10" i="1"/>
  <c r="EP11" i="1"/>
  <c r="EP12" i="1"/>
  <c r="EP13" i="1"/>
  <c r="EP14" i="1"/>
  <c r="EP15" i="1"/>
  <c r="EP16" i="1"/>
  <c r="EP17" i="1"/>
  <c r="EP18" i="1"/>
  <c r="EP19" i="1"/>
  <c r="EP20" i="1"/>
  <c r="EP21" i="1"/>
  <c r="EP22" i="1"/>
  <c r="EP23" i="1"/>
  <c r="EP64" i="1"/>
  <c r="EP38" i="1"/>
  <c r="EP52" i="1"/>
  <c r="EP37" i="1"/>
  <c r="EP63" i="1"/>
  <c r="EP36" i="1"/>
  <c r="EP51" i="1"/>
  <c r="EP62" i="1"/>
  <c r="EP61" i="1"/>
  <c r="EP35" i="1"/>
  <c r="EP50" i="1"/>
  <c r="EP49" i="1"/>
  <c r="EP60" i="1"/>
  <c r="EP34" i="1"/>
  <c r="EP59" i="1"/>
  <c r="EP58" i="1"/>
  <c r="EP33" i="1"/>
  <c r="EP48" i="1"/>
  <c r="EP32" i="1"/>
  <c r="EP47" i="1"/>
  <c r="EP46" i="1"/>
  <c r="EP45" i="1"/>
  <c r="EP57" i="1"/>
  <c r="EP56" i="1"/>
  <c r="EP44" i="1"/>
  <c r="EP43" i="1"/>
  <c r="EP42" i="1"/>
  <c r="EP41" i="1"/>
  <c r="EP31" i="1"/>
  <c r="EP30" i="1"/>
  <c r="EP55" i="1"/>
  <c r="EP29" i="1"/>
  <c r="EP28" i="1"/>
  <c r="EP27" i="1"/>
  <c r="EP26" i="1"/>
  <c r="EF21" i="1"/>
  <c r="EN26" i="1"/>
  <c r="EN27" i="1"/>
  <c r="EN28" i="1"/>
  <c r="EB11" i="1"/>
  <c r="EB13" i="1"/>
  <c r="EB21" i="1"/>
  <c r="EG26" i="1"/>
  <c r="EH26" i="1"/>
  <c r="EI26" i="1"/>
  <c r="EJ26" i="1"/>
  <c r="EK26" i="1"/>
  <c r="EL26" i="1"/>
  <c r="EM26" i="1"/>
  <c r="EG27" i="1"/>
  <c r="EH27" i="1"/>
  <c r="EI27" i="1"/>
  <c r="EJ27" i="1"/>
  <c r="EK27" i="1"/>
  <c r="EL27" i="1"/>
  <c r="EM27" i="1"/>
  <c r="EG28" i="1"/>
  <c r="EH28" i="1"/>
  <c r="EI28" i="1"/>
  <c r="EJ28" i="1"/>
  <c r="EK28" i="1"/>
  <c r="EL28" i="1"/>
  <c r="EM28" i="1"/>
  <c r="EG29" i="1"/>
  <c r="EH29" i="1"/>
  <c r="EI29" i="1"/>
  <c r="EJ29" i="1"/>
  <c r="EK29" i="1"/>
  <c r="EL29" i="1"/>
  <c r="EM29" i="1"/>
  <c r="EN29" i="1"/>
  <c r="EG55" i="1"/>
  <c r="EH55" i="1"/>
  <c r="EI55" i="1"/>
  <c r="EJ55" i="1"/>
  <c r="EK55" i="1"/>
  <c r="EL55" i="1"/>
  <c r="EM55" i="1"/>
  <c r="EN55" i="1"/>
  <c r="EG30" i="1"/>
  <c r="EH30" i="1"/>
  <c r="EI30" i="1"/>
  <c r="EJ30" i="1"/>
  <c r="EK30" i="1"/>
  <c r="EL30" i="1"/>
  <c r="EM30" i="1"/>
  <c r="EN30" i="1"/>
  <c r="EG31" i="1"/>
  <c r="EH31" i="1"/>
  <c r="EI31" i="1"/>
  <c r="EJ31" i="1"/>
  <c r="EK31" i="1"/>
  <c r="EL31" i="1"/>
  <c r="EM31" i="1"/>
  <c r="EN31" i="1"/>
  <c r="EG41" i="1"/>
  <c r="EH41" i="1"/>
  <c r="EI41" i="1"/>
  <c r="EJ41" i="1"/>
  <c r="EK41" i="1"/>
  <c r="EL41" i="1"/>
  <c r="EM41" i="1"/>
  <c r="EN41" i="1"/>
  <c r="EG42" i="1"/>
  <c r="EH42" i="1"/>
  <c r="EI42" i="1"/>
  <c r="EJ42" i="1"/>
  <c r="EK42" i="1"/>
  <c r="EL42" i="1"/>
  <c r="EM42" i="1"/>
  <c r="EN42" i="1"/>
  <c r="EG43" i="1"/>
  <c r="EH43" i="1"/>
  <c r="EI43" i="1"/>
  <c r="EJ43" i="1"/>
  <c r="EK43" i="1"/>
  <c r="EL43" i="1"/>
  <c r="EM43" i="1"/>
  <c r="EN43" i="1"/>
  <c r="EG44" i="1"/>
  <c r="EH44" i="1"/>
  <c r="EI44" i="1"/>
  <c r="EJ44" i="1"/>
  <c r="EK44" i="1"/>
  <c r="EL44" i="1"/>
  <c r="EM44" i="1"/>
  <c r="EN44" i="1"/>
  <c r="EG56" i="1"/>
  <c r="EH56" i="1"/>
  <c r="EI56" i="1"/>
  <c r="EJ56" i="1"/>
  <c r="EK56" i="1"/>
  <c r="EL56" i="1"/>
  <c r="EM56" i="1"/>
  <c r="EN56" i="1"/>
  <c r="EG57" i="1"/>
  <c r="EH57" i="1"/>
  <c r="EI57" i="1"/>
  <c r="EJ57" i="1"/>
  <c r="EK57" i="1"/>
  <c r="EL57" i="1"/>
  <c r="EM57" i="1"/>
  <c r="EN57" i="1"/>
  <c r="EG45" i="1"/>
  <c r="EH45" i="1"/>
  <c r="EI45" i="1"/>
  <c r="EJ45" i="1"/>
  <c r="EK45" i="1"/>
  <c r="EL45" i="1"/>
  <c r="EM45" i="1"/>
  <c r="EN45" i="1"/>
  <c r="EG46" i="1"/>
  <c r="EH46" i="1"/>
  <c r="EI46" i="1"/>
  <c r="EJ46" i="1"/>
  <c r="EK46" i="1"/>
  <c r="EL46" i="1"/>
  <c r="EM46" i="1"/>
  <c r="EN46" i="1"/>
  <c r="EG47" i="1"/>
  <c r="EH47" i="1"/>
  <c r="EI47" i="1"/>
  <c r="EJ47" i="1"/>
  <c r="EK47" i="1"/>
  <c r="EL47" i="1"/>
  <c r="EM47" i="1"/>
  <c r="EN47" i="1"/>
  <c r="ED32" i="1"/>
  <c r="EG32" i="1"/>
  <c r="EH32" i="1"/>
  <c r="EI32" i="1"/>
  <c r="EJ32" i="1"/>
  <c r="EK32" i="1"/>
  <c r="EL32" i="1"/>
  <c r="EM32" i="1"/>
  <c r="EN32" i="1"/>
  <c r="EG48" i="1"/>
  <c r="EH48" i="1"/>
  <c r="EI48" i="1"/>
  <c r="EJ48" i="1"/>
  <c r="EK48" i="1"/>
  <c r="EL48" i="1"/>
  <c r="EM48" i="1"/>
  <c r="EN48" i="1"/>
  <c r="EG33" i="1"/>
  <c r="EH33" i="1"/>
  <c r="EI33" i="1"/>
  <c r="EJ33" i="1"/>
  <c r="EK33" i="1"/>
  <c r="EL33" i="1"/>
  <c r="EM33" i="1"/>
  <c r="EN33" i="1"/>
  <c r="EG58" i="1"/>
  <c r="EH58" i="1"/>
  <c r="EI58" i="1"/>
  <c r="EJ58" i="1"/>
  <c r="EK58" i="1"/>
  <c r="EL58" i="1"/>
  <c r="EM58" i="1"/>
  <c r="EN58" i="1"/>
  <c r="EG59" i="1"/>
  <c r="EH59" i="1"/>
  <c r="EI59" i="1"/>
  <c r="EJ59" i="1"/>
  <c r="EK59" i="1"/>
  <c r="EL59" i="1"/>
  <c r="EM59" i="1"/>
  <c r="EN59" i="1"/>
  <c r="EG34" i="1"/>
  <c r="EH34" i="1"/>
  <c r="EI34" i="1"/>
  <c r="EJ34" i="1"/>
  <c r="EK34" i="1"/>
  <c r="EL34" i="1"/>
  <c r="EM34" i="1"/>
  <c r="EN34" i="1"/>
  <c r="EG60" i="1"/>
  <c r="EH60" i="1"/>
  <c r="EI60" i="1"/>
  <c r="EJ60" i="1"/>
  <c r="EK60" i="1"/>
  <c r="EL60" i="1"/>
  <c r="EM60" i="1"/>
  <c r="EN60" i="1"/>
  <c r="EG49" i="1"/>
  <c r="EH49" i="1"/>
  <c r="EI49" i="1"/>
  <c r="EJ49" i="1"/>
  <c r="EK49" i="1"/>
  <c r="EL49" i="1"/>
  <c r="EM49" i="1"/>
  <c r="EN49" i="1"/>
  <c r="ED50" i="1"/>
  <c r="EG50" i="1"/>
  <c r="EH50" i="1"/>
  <c r="EI50" i="1"/>
  <c r="EJ50" i="1"/>
  <c r="EK50" i="1"/>
  <c r="EL50" i="1"/>
  <c r="EM50" i="1"/>
  <c r="EN50" i="1"/>
  <c r="EG35" i="1"/>
  <c r="EH35" i="1"/>
  <c r="EI35" i="1"/>
  <c r="EJ35" i="1"/>
  <c r="EK35" i="1"/>
  <c r="EL35" i="1"/>
  <c r="EM35" i="1"/>
  <c r="EN35" i="1"/>
  <c r="EG61" i="1"/>
  <c r="EH61" i="1"/>
  <c r="EI61" i="1"/>
  <c r="EJ61" i="1"/>
  <c r="EK61" i="1"/>
  <c r="EL61" i="1"/>
  <c r="EM61" i="1"/>
  <c r="EN61" i="1"/>
  <c r="EG62" i="1"/>
  <c r="EH62" i="1"/>
  <c r="EI62" i="1"/>
  <c r="EJ62" i="1"/>
  <c r="EK62" i="1"/>
  <c r="EL62" i="1"/>
  <c r="EM62" i="1"/>
  <c r="EN62" i="1"/>
  <c r="EG51" i="1"/>
  <c r="EH51" i="1"/>
  <c r="EI51" i="1"/>
  <c r="EJ51" i="1"/>
  <c r="EK51" i="1"/>
  <c r="EL51" i="1"/>
  <c r="EM51" i="1"/>
  <c r="EN51" i="1"/>
  <c r="EG36" i="1"/>
  <c r="EH36" i="1"/>
  <c r="EI36" i="1"/>
  <c r="EJ36" i="1"/>
  <c r="EK36" i="1"/>
  <c r="EL36" i="1"/>
  <c r="EM36" i="1"/>
  <c r="EN36" i="1"/>
  <c r="EG63" i="1"/>
  <c r="EH63" i="1"/>
  <c r="EI63" i="1"/>
  <c r="EJ63" i="1"/>
  <c r="EK63" i="1"/>
  <c r="EL63" i="1"/>
  <c r="EM63" i="1"/>
  <c r="EN63" i="1"/>
  <c r="EG37" i="1"/>
  <c r="EH37" i="1"/>
  <c r="EI37" i="1"/>
  <c r="EJ37" i="1"/>
  <c r="EK37" i="1"/>
  <c r="EL37" i="1"/>
  <c r="EM37" i="1"/>
  <c r="EN37" i="1"/>
  <c r="EG52" i="1"/>
  <c r="EH52" i="1"/>
  <c r="EI52" i="1"/>
  <c r="EJ52" i="1"/>
  <c r="EK52" i="1"/>
  <c r="EL52" i="1"/>
  <c r="EM52" i="1"/>
  <c r="EN52" i="1"/>
  <c r="EG38" i="1"/>
  <c r="EH38" i="1"/>
  <c r="EI38" i="1"/>
  <c r="EJ38" i="1"/>
  <c r="EK38" i="1"/>
  <c r="EL38" i="1"/>
  <c r="EM38" i="1"/>
  <c r="EN38" i="1"/>
  <c r="EG64" i="1"/>
  <c r="EH64" i="1"/>
  <c r="EI64" i="1"/>
  <c r="EJ64" i="1"/>
  <c r="EK64" i="1"/>
  <c r="EL64" i="1"/>
  <c r="EM64" i="1"/>
  <c r="EN64" i="1"/>
  <c r="DW8" i="1"/>
  <c r="DW10" i="1"/>
  <c r="DW12" i="1"/>
  <c r="DW13" i="1"/>
  <c r="DW20" i="1"/>
  <c r="DX8" i="1"/>
  <c r="DX9" i="1"/>
  <c r="DX10" i="1"/>
  <c r="DX12" i="1"/>
  <c r="DX13" i="1"/>
  <c r="DX14" i="1"/>
  <c r="DX20" i="1"/>
  <c r="DX21" i="1"/>
  <c r="DY8" i="1"/>
  <c r="DY9" i="1"/>
  <c r="DY10" i="1"/>
  <c r="DY12" i="1"/>
  <c r="DY16" i="1"/>
  <c r="DY17" i="1"/>
  <c r="DY20" i="1"/>
  <c r="DZ11" i="1"/>
  <c r="DZ12" i="1"/>
  <c r="DZ19" i="1"/>
  <c r="DZ20" i="1"/>
  <c r="DZ21" i="1"/>
  <c r="EA8" i="1"/>
  <c r="EA11" i="1"/>
  <c r="EA13" i="1"/>
  <c r="EA19" i="1"/>
  <c r="EC11" i="1"/>
  <c r="EC22" i="1"/>
  <c r="ED8" i="1"/>
  <c r="ED11" i="1"/>
  <c r="ED12" i="1"/>
  <c r="ED20" i="1"/>
  <c r="ED22" i="1"/>
  <c r="EG8" i="1"/>
  <c r="EG9" i="1"/>
  <c r="EG10" i="1"/>
  <c r="EG11" i="1"/>
  <c r="EG12" i="1"/>
  <c r="EG13" i="1"/>
  <c r="EG14" i="1"/>
  <c r="EG15" i="1"/>
  <c r="EG16" i="1"/>
  <c r="EG17" i="1"/>
  <c r="EG18" i="1"/>
  <c r="EG19" i="1"/>
  <c r="EG20" i="1"/>
  <c r="EG21" i="1"/>
  <c r="EG22" i="1"/>
  <c r="EG23" i="1"/>
  <c r="EH8" i="1"/>
  <c r="EH9" i="1"/>
  <c r="EH10" i="1"/>
  <c r="EH11" i="1"/>
  <c r="EH12" i="1"/>
  <c r="EH13" i="1"/>
  <c r="EH14" i="1"/>
  <c r="EH15" i="1"/>
  <c r="EH16" i="1"/>
  <c r="EH17" i="1"/>
  <c r="EH18" i="1"/>
  <c r="EH19" i="1"/>
  <c r="EH20" i="1"/>
  <c r="EH21" i="1"/>
  <c r="EH22" i="1"/>
  <c r="EH23" i="1"/>
  <c r="EI8" i="1"/>
  <c r="EI9" i="1"/>
  <c r="EI10" i="1"/>
  <c r="EI11" i="1"/>
  <c r="EI12" i="1"/>
  <c r="EI13" i="1"/>
  <c r="EI14" i="1"/>
  <c r="EI15" i="1"/>
  <c r="EI16" i="1"/>
  <c r="EI17" i="1"/>
  <c r="EI18" i="1"/>
  <c r="EI19" i="1"/>
  <c r="EI20" i="1"/>
  <c r="EI21" i="1"/>
  <c r="EI22" i="1"/>
  <c r="EI23" i="1"/>
  <c r="EJ8" i="1"/>
  <c r="EJ9" i="1"/>
  <c r="EJ10" i="1"/>
  <c r="EJ11" i="1"/>
  <c r="EJ12" i="1"/>
  <c r="EJ13" i="1"/>
  <c r="EJ14" i="1"/>
  <c r="EJ15" i="1"/>
  <c r="EJ16" i="1"/>
  <c r="EJ17" i="1"/>
  <c r="EJ18" i="1"/>
  <c r="EJ19" i="1"/>
  <c r="EJ20" i="1"/>
  <c r="EJ21" i="1"/>
  <c r="EJ22" i="1"/>
  <c r="EJ23" i="1"/>
  <c r="EK8" i="1"/>
  <c r="EK9" i="1"/>
  <c r="EK10" i="1"/>
  <c r="EK11" i="1"/>
  <c r="EK12" i="1"/>
  <c r="EK13" i="1"/>
  <c r="EK14" i="1"/>
  <c r="EK15" i="1"/>
  <c r="EK16" i="1"/>
  <c r="EK17" i="1"/>
  <c r="EK18" i="1"/>
  <c r="EK19" i="1"/>
  <c r="EK20" i="1"/>
  <c r="EK21" i="1"/>
  <c r="EK22" i="1"/>
  <c r="EK23" i="1"/>
  <c r="EL8" i="1"/>
  <c r="EL9" i="1"/>
  <c r="EL10" i="1"/>
  <c r="EL11" i="1"/>
  <c r="EL12" i="1"/>
  <c r="EL13" i="1"/>
  <c r="EL14" i="1"/>
  <c r="EL15" i="1"/>
  <c r="EL16" i="1"/>
  <c r="EL17" i="1"/>
  <c r="EL18" i="1"/>
  <c r="EL19" i="1"/>
  <c r="EL20" i="1"/>
  <c r="EL21" i="1"/>
  <c r="EL22" i="1"/>
  <c r="EL23" i="1"/>
  <c r="EM8" i="1"/>
  <c r="EM9" i="1"/>
  <c r="EM10" i="1"/>
  <c r="EM11" i="1"/>
  <c r="EM12" i="1"/>
  <c r="EM13" i="1"/>
  <c r="EM14" i="1"/>
  <c r="EM15" i="1"/>
  <c r="EM16" i="1"/>
  <c r="EM17" i="1"/>
  <c r="EM18" i="1"/>
  <c r="EM19" i="1"/>
  <c r="EM20" i="1"/>
  <c r="EM21" i="1"/>
  <c r="EM22" i="1"/>
  <c r="EM23" i="1"/>
  <c r="EN8" i="1"/>
  <c r="EN9" i="1"/>
  <c r="EN10" i="1"/>
  <c r="EN11" i="1"/>
  <c r="EN12" i="1"/>
  <c r="EN13" i="1"/>
  <c r="EN14" i="1"/>
  <c r="EN15" i="1"/>
  <c r="EN16" i="1"/>
  <c r="EN17" i="1"/>
  <c r="EN18" i="1"/>
  <c r="EN19" i="1"/>
  <c r="EN20" i="1"/>
  <c r="EN21" i="1"/>
  <c r="EN22" i="1"/>
  <c r="EN23" i="1"/>
  <c r="DV17" i="1"/>
  <c r="DV21" i="1"/>
  <c r="HT13" i="1"/>
  <c r="HT11" i="1"/>
  <c r="FK9" i="5" s="1"/>
  <c r="Z9" i="7" l="1"/>
  <c r="F41" i="9" s="1"/>
  <c r="D41" i="9"/>
  <c r="EC13" i="1"/>
  <c r="DW22" i="1"/>
  <c r="GZ60" i="5"/>
  <c r="GZ56" i="5"/>
  <c r="GZ54" i="5"/>
  <c r="FU27" i="5"/>
  <c r="Z6" i="7"/>
  <c r="F8" i="9" s="1"/>
  <c r="D8" i="9"/>
  <c r="AP12" i="1"/>
  <c r="BV10" i="5" s="1"/>
  <c r="ED19" i="1"/>
  <c r="EC12" i="1"/>
  <c r="DW21" i="1"/>
  <c r="ED34" i="1"/>
  <c r="EB22" i="1"/>
  <c r="V14" i="5"/>
  <c r="BA35" i="5"/>
  <c r="BA60" i="5"/>
  <c r="BA47" i="5"/>
  <c r="BA56" i="5"/>
  <c r="BA54" i="5"/>
  <c r="BA39" i="5"/>
  <c r="BA27" i="5"/>
  <c r="DW19" i="5"/>
  <c r="DW11" i="5"/>
  <c r="HT51" i="1"/>
  <c r="FU60" i="5"/>
  <c r="DK33" i="5"/>
  <c r="FU56" i="5"/>
  <c r="DK46" i="5"/>
  <c r="FU54" i="5"/>
  <c r="IE54" i="5" s="1"/>
  <c r="CF25" i="5"/>
  <c r="GZ20" i="5"/>
  <c r="FJ19" i="1"/>
  <c r="DA16" i="5"/>
  <c r="GZ14" i="5"/>
  <c r="GZ10" i="5"/>
  <c r="EP8" i="5"/>
  <c r="CF7" i="5"/>
  <c r="GL18" i="5"/>
  <c r="GL10" i="5"/>
  <c r="FG18" i="5"/>
  <c r="FG10" i="5"/>
  <c r="EB18" i="5"/>
  <c r="EB10" i="5"/>
  <c r="GK16" i="5"/>
  <c r="GK8" i="5"/>
  <c r="FF16" i="5"/>
  <c r="FF8" i="5"/>
  <c r="EA16" i="5"/>
  <c r="EA8" i="5"/>
  <c r="GI20" i="5"/>
  <c r="DX18" i="5"/>
  <c r="HB62" i="5"/>
  <c r="HB49" i="5"/>
  <c r="HB57" i="5"/>
  <c r="HB55" i="5"/>
  <c r="HB53" i="5"/>
  <c r="HB18" i="5"/>
  <c r="HB10" i="5"/>
  <c r="CH34" i="5"/>
  <c r="CH56" i="5"/>
  <c r="Z8" i="7"/>
  <c r="F26" i="9" s="1"/>
  <c r="D26" i="9"/>
  <c r="EB20" i="1"/>
  <c r="BA16" i="5"/>
  <c r="FU43" i="5"/>
  <c r="DK54" i="5"/>
  <c r="CF8" i="5"/>
  <c r="Z10" i="7"/>
  <c r="F55" i="9" s="1"/>
  <c r="D55" i="9"/>
  <c r="EB19" i="1"/>
  <c r="AQ29" i="5"/>
  <c r="AQ16" i="5"/>
  <c r="EP62" i="5"/>
  <c r="FU31" i="5"/>
  <c r="IE31" i="5" s="1"/>
  <c r="EP43" i="5"/>
  <c r="GZ16" i="5"/>
  <c r="DK10" i="5"/>
  <c r="IE10" i="5" s="1"/>
  <c r="DM49" i="5"/>
  <c r="DM20" i="5"/>
  <c r="DM12" i="5"/>
  <c r="BA8" i="5"/>
  <c r="EP34" i="5"/>
  <c r="EP28" i="5"/>
  <c r="V62" i="5"/>
  <c r="V59" i="5"/>
  <c r="V31" i="5"/>
  <c r="V42" i="5"/>
  <c r="V26" i="5"/>
  <c r="AQ31" i="5"/>
  <c r="AQ12" i="5"/>
  <c r="DK34" i="5"/>
  <c r="CF60" i="5"/>
  <c r="FU59" i="5"/>
  <c r="IE59" i="5" s="1"/>
  <c r="EP32" i="5"/>
  <c r="CF56" i="5"/>
  <c r="CF54" i="5"/>
  <c r="FU42" i="5"/>
  <c r="EP26" i="5"/>
  <c r="FU15" i="5"/>
  <c r="EB14" i="1"/>
  <c r="L44" i="5"/>
  <c r="V18" i="5"/>
  <c r="V10" i="5"/>
  <c r="BA36" i="5"/>
  <c r="BA33" i="5"/>
  <c r="BA32" i="5"/>
  <c r="BA46" i="5"/>
  <c r="BA43" i="5"/>
  <c r="BA41" i="5"/>
  <c r="BA28" i="5"/>
  <c r="BA25" i="5"/>
  <c r="BA15" i="5"/>
  <c r="BA7" i="5"/>
  <c r="DW15" i="5"/>
  <c r="DK62" i="5"/>
  <c r="GZ36" i="5"/>
  <c r="EP35" i="5"/>
  <c r="EP59" i="5"/>
  <c r="DK32" i="5"/>
  <c r="EP31" i="5"/>
  <c r="FU45" i="5"/>
  <c r="DK43" i="5"/>
  <c r="EP42" i="5"/>
  <c r="CF28" i="5"/>
  <c r="DK26" i="5"/>
  <c r="IE26" i="5" s="1"/>
  <c r="GZ25" i="5"/>
  <c r="CF20" i="5"/>
  <c r="FU16" i="5"/>
  <c r="EP15" i="5"/>
  <c r="GZ12" i="5"/>
  <c r="CF10" i="5"/>
  <c r="GZ7" i="5"/>
  <c r="GL14" i="5"/>
  <c r="GL6" i="5"/>
  <c r="FG14" i="5"/>
  <c r="EB14" i="5"/>
  <c r="GK20" i="5"/>
  <c r="GK12" i="5"/>
  <c r="FF20" i="5"/>
  <c r="FF12" i="5"/>
  <c r="EA20" i="5"/>
  <c r="EA12" i="5"/>
  <c r="CT12" i="5"/>
  <c r="HB34" i="5"/>
  <c r="HB32" i="5"/>
  <c r="HB43" i="5"/>
  <c r="HB28" i="5"/>
  <c r="HB17" i="5"/>
  <c r="HB9" i="5"/>
  <c r="CH57" i="5"/>
  <c r="HG37" i="5"/>
  <c r="ED43" i="1"/>
  <c r="DK60" i="5"/>
  <c r="EP10" i="5"/>
  <c r="EQ19" i="1"/>
  <c r="V34" i="5"/>
  <c r="CF32" i="5"/>
  <c r="CF26" i="5"/>
  <c r="FU18" i="5"/>
  <c r="DK15" i="5"/>
  <c r="FU7" i="5"/>
  <c r="FW47" i="5"/>
  <c r="FW45" i="5"/>
  <c r="FW39" i="5"/>
  <c r="FW17" i="5"/>
  <c r="IG17" i="5" s="1"/>
  <c r="FW9" i="5"/>
  <c r="FU32" i="5"/>
  <c r="DK56" i="5"/>
  <c r="CF27" i="5"/>
  <c r="EC20" i="1"/>
  <c r="V32" i="5"/>
  <c r="V43" i="5"/>
  <c r="V28" i="5"/>
  <c r="AQ33" i="5"/>
  <c r="CF62" i="5"/>
  <c r="DK59" i="5"/>
  <c r="DK31" i="5"/>
  <c r="DK42" i="5"/>
  <c r="EP16" i="5"/>
  <c r="FW35" i="5"/>
  <c r="FJ11" i="1"/>
  <c r="DA9" i="5" s="1"/>
  <c r="EC19" i="1"/>
  <c r="ED62" i="1"/>
  <c r="EB12" i="1"/>
  <c r="L34" i="5"/>
  <c r="V16" i="5"/>
  <c r="V8" i="5"/>
  <c r="BA18" i="5"/>
  <c r="BA14" i="5"/>
  <c r="BA10" i="5"/>
  <c r="EP36" i="5"/>
  <c r="CF59" i="5"/>
  <c r="FU33" i="5"/>
  <c r="DK47" i="5"/>
  <c r="CF31" i="5"/>
  <c r="CF42" i="5"/>
  <c r="DK39" i="5"/>
  <c r="GZ27" i="5"/>
  <c r="EP18" i="5"/>
  <c r="CF15" i="5"/>
  <c r="EP12" i="5"/>
  <c r="GZ8" i="5"/>
  <c r="EP7" i="5"/>
  <c r="ER35" i="5"/>
  <c r="ER47" i="5"/>
  <c r="ER45" i="5"/>
  <c r="ER39" i="5"/>
  <c r="ER17" i="5"/>
  <c r="ER9" i="5"/>
  <c r="X35" i="5"/>
  <c r="X34" i="5"/>
  <c r="X60" i="5"/>
  <c r="X47" i="5"/>
  <c r="X45" i="5"/>
  <c r="X39" i="5"/>
  <c r="AP60" i="1"/>
  <c r="ED60" i="1"/>
  <c r="CZ49" i="5"/>
  <c r="HT49" i="5" s="1"/>
  <c r="FJ51" i="1"/>
  <c r="DA49" i="5" s="1"/>
  <c r="BU45" i="5"/>
  <c r="HT45" i="5" s="1"/>
  <c r="ED47" i="1"/>
  <c r="GO21" i="5"/>
  <c r="IY23" i="1"/>
  <c r="FJ17" i="5"/>
  <c r="HT19" i="1"/>
  <c r="EE17" i="5"/>
  <c r="HT17" i="5" s="1"/>
  <c r="GO19" i="1"/>
  <c r="CZ20" i="5"/>
  <c r="FJ22" i="1"/>
  <c r="DA20" i="5" s="1"/>
  <c r="CZ12" i="5"/>
  <c r="FJ14" i="1"/>
  <c r="BU12" i="5"/>
  <c r="ED14" i="1"/>
  <c r="BT12" i="5"/>
  <c r="HS12" i="5" s="1"/>
  <c r="EC14" i="1"/>
  <c r="BP9" i="5"/>
  <c r="HO9" i="5" s="1"/>
  <c r="DY11" i="1"/>
  <c r="CZ37" i="1"/>
  <c r="L35" i="5" s="1"/>
  <c r="EF37" i="1"/>
  <c r="BA20" i="5"/>
  <c r="EO22" i="1"/>
  <c r="BU36" i="5"/>
  <c r="ED38" i="1"/>
  <c r="IY19" i="1"/>
  <c r="GP17" i="5" s="1"/>
  <c r="AP14" i="1"/>
  <c r="BV12" i="5" s="1"/>
  <c r="FJ8" i="5"/>
  <c r="HT10" i="1"/>
  <c r="CZ19" i="5"/>
  <c r="FJ21" i="1"/>
  <c r="CZ11" i="5"/>
  <c r="FJ13" i="1"/>
  <c r="DA11" i="5" s="1"/>
  <c r="CZ7" i="5"/>
  <c r="FJ9" i="1"/>
  <c r="DA7" i="5" s="1"/>
  <c r="GL21" i="5"/>
  <c r="GL17" i="5"/>
  <c r="GL13" i="5"/>
  <c r="GL9" i="5"/>
  <c r="FG21" i="5"/>
  <c r="FG17" i="5"/>
  <c r="FG13" i="5"/>
  <c r="FG9" i="5"/>
  <c r="EB21" i="5"/>
  <c r="ED29" i="1"/>
  <c r="CZ30" i="1"/>
  <c r="EF30" i="1"/>
  <c r="AQ49" i="5"/>
  <c r="AQ53" i="5"/>
  <c r="AQ24" i="5"/>
  <c r="AQ20" i="5"/>
  <c r="GO23" i="1"/>
  <c r="AP22" i="1"/>
  <c r="HT18" i="1"/>
  <c r="FK16" i="5" s="1"/>
  <c r="IF24" i="1"/>
  <c r="C22" i="5"/>
  <c r="EB13" i="5"/>
  <c r="GK15" i="5"/>
  <c r="GK7" i="5"/>
  <c r="FF15" i="5"/>
  <c r="FF11" i="5"/>
  <c r="EA19" i="5"/>
  <c r="EA11" i="5"/>
  <c r="FK49" i="5"/>
  <c r="GL20" i="5"/>
  <c r="GL16" i="5"/>
  <c r="GL12" i="5"/>
  <c r="GL8" i="5"/>
  <c r="FG20" i="5"/>
  <c r="FG16" i="5"/>
  <c r="FG12" i="5"/>
  <c r="FG8" i="5"/>
  <c r="EB20" i="5"/>
  <c r="EB16" i="5"/>
  <c r="EB12" i="5"/>
  <c r="EB8" i="5"/>
  <c r="GK18" i="5"/>
  <c r="GK14" i="5"/>
  <c r="GK10" i="5"/>
  <c r="GK6" i="5"/>
  <c r="FF18" i="5"/>
  <c r="FF14" i="5"/>
  <c r="FF10" i="5"/>
  <c r="FF6" i="5"/>
  <c r="EA18" i="5"/>
  <c r="EA14" i="5"/>
  <c r="EA10" i="5"/>
  <c r="GI14" i="5"/>
  <c r="CR51" i="5"/>
  <c r="EB17" i="5"/>
  <c r="EB9" i="5"/>
  <c r="GK19" i="5"/>
  <c r="GK11" i="5"/>
  <c r="FF19" i="5"/>
  <c r="FF7" i="5"/>
  <c r="EA15" i="5"/>
  <c r="EA7" i="5"/>
  <c r="BP12" i="5"/>
  <c r="DY18" i="1"/>
  <c r="EF46" i="1"/>
  <c r="AQ35" i="5"/>
  <c r="AQ47" i="5"/>
  <c r="AQ39" i="5"/>
  <c r="AQ28" i="5"/>
  <c r="AQ25" i="5"/>
  <c r="AQ21" i="5"/>
  <c r="AQ19" i="5"/>
  <c r="AQ15" i="5"/>
  <c r="AQ13" i="5"/>
  <c r="AQ7" i="5"/>
  <c r="GL19" i="5"/>
  <c r="GL15" i="5"/>
  <c r="GL11" i="5"/>
  <c r="GL7" i="5"/>
  <c r="FG19" i="5"/>
  <c r="FG15" i="5"/>
  <c r="FG11" i="5"/>
  <c r="FG7" i="5"/>
  <c r="EB19" i="5"/>
  <c r="EB15" i="5"/>
  <c r="EB11" i="5"/>
  <c r="EB7" i="5"/>
  <c r="GK21" i="5"/>
  <c r="GK17" i="5"/>
  <c r="GK13" i="5"/>
  <c r="GK9" i="5"/>
  <c r="FF21" i="5"/>
  <c r="FF17" i="5"/>
  <c r="FF13" i="5"/>
  <c r="FF9" i="5"/>
  <c r="EA21" i="5"/>
  <c r="EA17" i="5"/>
  <c r="EA13" i="5"/>
  <c r="EA9" i="5"/>
  <c r="GJ8" i="5"/>
  <c r="FE8" i="5"/>
  <c r="DZ8" i="5"/>
  <c r="CU8" i="5"/>
  <c r="HO8" i="5" s="1"/>
  <c r="GI21" i="5"/>
  <c r="GI13" i="5"/>
  <c r="DY19" i="5"/>
  <c r="DY11" i="5"/>
  <c r="BO19" i="5"/>
  <c r="BO11" i="5"/>
  <c r="HN11" i="5" s="1"/>
  <c r="GH13" i="5"/>
  <c r="DM57" i="5"/>
  <c r="DM55" i="5"/>
  <c r="FV24" i="1"/>
  <c r="DM17" i="5"/>
  <c r="DM9" i="5"/>
  <c r="BC49" i="5"/>
  <c r="BC55" i="5"/>
  <c r="CH17" i="5"/>
  <c r="GT37" i="5"/>
  <c r="C51" i="5"/>
  <c r="GG51" i="5"/>
  <c r="ER39" i="1"/>
  <c r="ER24" i="1"/>
  <c r="AL18" i="5"/>
  <c r="BQ21" i="5"/>
  <c r="CZ10" i="5"/>
  <c r="ED57" i="1"/>
  <c r="EJ39" i="1"/>
  <c r="ED31" i="1"/>
  <c r="L33" i="5"/>
  <c r="CR16" i="5"/>
  <c r="CR7" i="5"/>
  <c r="AQ36" i="5"/>
  <c r="HT30" i="1"/>
  <c r="FK28" i="5" s="1"/>
  <c r="GP21" i="5"/>
  <c r="IY21" i="1"/>
  <c r="GP19" i="5" s="1"/>
  <c r="BV9" i="5"/>
  <c r="DA13" i="5"/>
  <c r="BR9" i="5"/>
  <c r="DZ13" i="5"/>
  <c r="CU13" i="5"/>
  <c r="CT16" i="5"/>
  <c r="CT7" i="5"/>
  <c r="BO14" i="5"/>
  <c r="CS10" i="5"/>
  <c r="ER36" i="5"/>
  <c r="ER33" i="5"/>
  <c r="ER46" i="5"/>
  <c r="ER41" i="5"/>
  <c r="ER25" i="5"/>
  <c r="X36" i="5"/>
  <c r="X33" i="5"/>
  <c r="X46" i="5"/>
  <c r="X41" i="5"/>
  <c r="X25" i="5"/>
  <c r="X14" i="5"/>
  <c r="Y6" i="7"/>
  <c r="GU37" i="5"/>
  <c r="Y9" i="7"/>
  <c r="BM51" i="5"/>
  <c r="M28" i="5"/>
  <c r="H17" i="5"/>
  <c r="EM53" i="1"/>
  <c r="ED56" i="1"/>
  <c r="EN53" i="1"/>
  <c r="ED28" i="1"/>
  <c r="ED27" i="1"/>
  <c r="EF19" i="1"/>
  <c r="EO55" i="1"/>
  <c r="AQ50" i="5"/>
  <c r="AQ48" i="5"/>
  <c r="AQ57" i="5"/>
  <c r="AQ30" i="5"/>
  <c r="AQ55" i="5"/>
  <c r="AQ26" i="5"/>
  <c r="DW16" i="5"/>
  <c r="CR19" i="5"/>
  <c r="CR11" i="5"/>
  <c r="BV58" i="5"/>
  <c r="AP31" i="1"/>
  <c r="BV29" i="5" s="1"/>
  <c r="EF21" i="5"/>
  <c r="HT21" i="1"/>
  <c r="FK19" i="5" s="1"/>
  <c r="IY20" i="1"/>
  <c r="GP18" i="5" s="1"/>
  <c r="AP20" i="1"/>
  <c r="BV18" i="5" s="1"/>
  <c r="EF17" i="5"/>
  <c r="AP13" i="1"/>
  <c r="DY20" i="5"/>
  <c r="DY16" i="5"/>
  <c r="DY12" i="5"/>
  <c r="CT19" i="5"/>
  <c r="DM62" i="5"/>
  <c r="DM36" i="5"/>
  <c r="DM33" i="5"/>
  <c r="DM31" i="5"/>
  <c r="DM46" i="5"/>
  <c r="DM41" i="5"/>
  <c r="DM25" i="5"/>
  <c r="DM18" i="5"/>
  <c r="DM14" i="5"/>
  <c r="DM10" i="5"/>
  <c r="BC36" i="5"/>
  <c r="BC33" i="5"/>
  <c r="BC46" i="5"/>
  <c r="BC41" i="5"/>
  <c r="BC25" i="5"/>
  <c r="N4" i="5"/>
  <c r="Y8" i="7"/>
  <c r="R37" i="5"/>
  <c r="CR37" i="5"/>
  <c r="Y10" i="7"/>
  <c r="E13" i="5"/>
  <c r="G9" i="5"/>
  <c r="BM20" i="5"/>
  <c r="BM16" i="5"/>
  <c r="BM12" i="5"/>
  <c r="BM7" i="5"/>
  <c r="AP27" i="1"/>
  <c r="DA19" i="5"/>
  <c r="HT20" i="1"/>
  <c r="FK18" i="5" s="1"/>
  <c r="FK8" i="5"/>
  <c r="FD20" i="5"/>
  <c r="FD12" i="5"/>
  <c r="BO20" i="5"/>
  <c r="CH62" i="5"/>
  <c r="CH33" i="5"/>
  <c r="CH32" i="5"/>
  <c r="CH43" i="5"/>
  <c r="CH28" i="5"/>
  <c r="CH25" i="5"/>
  <c r="EQ22" i="1"/>
  <c r="CH18" i="5"/>
  <c r="CH10" i="5"/>
  <c r="AH37" i="5"/>
  <c r="C37" i="5"/>
  <c r="C16" i="5"/>
  <c r="D13" i="5"/>
  <c r="AK13" i="5"/>
  <c r="J22" i="5"/>
  <c r="CC51" i="5"/>
  <c r="DH4" i="5"/>
  <c r="EN4" i="5"/>
  <c r="DZ37" i="5"/>
  <c r="CD51" i="5"/>
  <c r="H51" i="5"/>
  <c r="EA37" i="5"/>
  <c r="CL4" i="5"/>
  <c r="M8" i="8" s="1"/>
  <c r="DN51" i="5"/>
  <c r="O51" i="5"/>
  <c r="AO4" i="5"/>
  <c r="H22" i="5"/>
  <c r="AV22" i="5"/>
  <c r="CB22" i="5"/>
  <c r="AN22" i="5"/>
  <c r="I22" i="5"/>
  <c r="F37" i="5"/>
  <c r="Y51" i="5"/>
  <c r="R22" i="5"/>
  <c r="O37" i="5"/>
  <c r="BX22" i="5"/>
  <c r="IM37" i="5"/>
  <c r="CL37" i="5"/>
  <c r="M41" i="8" s="1"/>
  <c r="G37" i="5"/>
  <c r="Q51" i="5"/>
  <c r="DQ51" i="5"/>
  <c r="N55" i="8" s="1"/>
  <c r="EM51" i="5"/>
  <c r="D22" i="5"/>
  <c r="N22" i="5"/>
  <c r="W22" i="5"/>
  <c r="BQ51" i="5"/>
  <c r="AB51" i="5"/>
  <c r="K55" i="8" s="1"/>
  <c r="EV4" i="5"/>
  <c r="O8" i="8" s="1"/>
  <c r="FR4" i="5"/>
  <c r="GX4" i="5"/>
  <c r="GO7" i="5"/>
  <c r="IY9" i="1"/>
  <c r="GP7" i="5" s="1"/>
  <c r="FJ15" i="5"/>
  <c r="HT17" i="1"/>
  <c r="FJ7" i="5"/>
  <c r="HT9" i="1"/>
  <c r="FK7" i="5" s="1"/>
  <c r="EE15" i="5"/>
  <c r="GO17" i="1"/>
  <c r="EE7" i="5"/>
  <c r="GO9" i="1"/>
  <c r="EF7" i="5" s="1"/>
  <c r="CZ15" i="5"/>
  <c r="FJ17" i="1"/>
  <c r="DA15" i="5" s="1"/>
  <c r="BU15" i="5"/>
  <c r="AP17" i="1"/>
  <c r="EE17" i="1" s="1"/>
  <c r="ED17" i="1"/>
  <c r="BU7" i="5"/>
  <c r="AP9" i="1"/>
  <c r="BV7" i="5" s="1"/>
  <c r="BT15" i="5"/>
  <c r="HS15" i="5" s="1"/>
  <c r="EC17" i="1"/>
  <c r="BS15" i="5"/>
  <c r="HR15" i="5" s="1"/>
  <c r="EB17" i="1"/>
  <c r="BS7" i="5"/>
  <c r="HR7" i="5" s="1"/>
  <c r="EB9" i="1"/>
  <c r="H15" i="5"/>
  <c r="AM15" i="5"/>
  <c r="H7" i="5"/>
  <c r="AM7" i="5"/>
  <c r="EA9" i="1"/>
  <c r="BR7" i="5"/>
  <c r="HQ7" i="5" s="1"/>
  <c r="AL15" i="5"/>
  <c r="G15" i="5"/>
  <c r="AL7" i="5"/>
  <c r="G7" i="5"/>
  <c r="BQ15" i="5"/>
  <c r="DZ17" i="1"/>
  <c r="BP21" i="5"/>
  <c r="HO21" i="5" s="1"/>
  <c r="DY23" i="1"/>
  <c r="AI6" i="1"/>
  <c r="BN16" i="5"/>
  <c r="HM16" i="5" s="1"/>
  <c r="DW18" i="1"/>
  <c r="BN7" i="5"/>
  <c r="HM7" i="5" s="1"/>
  <c r="DW9" i="1"/>
  <c r="JK39" i="1"/>
  <c r="CH61" i="5"/>
  <c r="EQ63" i="1"/>
  <c r="CH49" i="5"/>
  <c r="IG49" i="5" s="1"/>
  <c r="EQ51" i="1"/>
  <c r="CH55" i="5"/>
  <c r="EQ57" i="1"/>
  <c r="CH42" i="5"/>
  <c r="EQ44" i="1"/>
  <c r="CH29" i="5"/>
  <c r="EQ31" i="1"/>
  <c r="CH53" i="5"/>
  <c r="BB53" i="1"/>
  <c r="CH26" i="5"/>
  <c r="EQ28" i="1"/>
  <c r="BC19" i="5"/>
  <c r="EQ21" i="1"/>
  <c r="BC11" i="5"/>
  <c r="CG6" i="1"/>
  <c r="DL6" i="1"/>
  <c r="T52" i="7"/>
  <c r="CF48" i="5"/>
  <c r="V31" i="7"/>
  <c r="X26" i="5"/>
  <c r="V21" i="7"/>
  <c r="CH15" i="5"/>
  <c r="EU53" i="1"/>
  <c r="IT6" i="1"/>
  <c r="BM21" i="5"/>
  <c r="DV23" i="1"/>
  <c r="GM6" i="1"/>
  <c r="ED4" i="5" s="1"/>
  <c r="X31" i="5"/>
  <c r="FJ34" i="5"/>
  <c r="HT36" i="1"/>
  <c r="FK34" i="5" s="1"/>
  <c r="GO15" i="5"/>
  <c r="IY17" i="1"/>
  <c r="GP15" i="5" s="1"/>
  <c r="BT7" i="5"/>
  <c r="HS7" i="5" s="1"/>
  <c r="EC9" i="1"/>
  <c r="BU50" i="5"/>
  <c r="HT50" i="5" s="1"/>
  <c r="ED52" i="1"/>
  <c r="AZ39" i="1"/>
  <c r="CZ21" i="1"/>
  <c r="M19" i="5"/>
  <c r="FU13" i="5"/>
  <c r="JK6" i="1"/>
  <c r="BC15" i="5"/>
  <c r="ED51" i="1"/>
  <c r="CZ13" i="1"/>
  <c r="EE13" i="1" s="1"/>
  <c r="M11" i="5"/>
  <c r="EF13" i="1"/>
  <c r="ES24" i="1"/>
  <c r="EP6" i="1"/>
  <c r="AH21" i="5"/>
  <c r="C21" i="5"/>
  <c r="G14" i="5"/>
  <c r="AL14" i="5"/>
  <c r="DW14" i="5"/>
  <c r="BV59" i="5"/>
  <c r="FU24" i="5"/>
  <c r="DK13" i="5"/>
  <c r="G6" i="1"/>
  <c r="H4" i="5" s="1"/>
  <c r="AK6" i="1"/>
  <c r="CU14" i="5"/>
  <c r="DY17" i="5"/>
  <c r="DY9" i="5"/>
  <c r="FC12" i="5"/>
  <c r="E21" i="5"/>
  <c r="EC21" i="1"/>
  <c r="EN39" i="1"/>
  <c r="EG53" i="1"/>
  <c r="EH39" i="1"/>
  <c r="EK24" i="1"/>
  <c r="EP53" i="1"/>
  <c r="EO28" i="1"/>
  <c r="L36" i="5"/>
  <c r="CZ34" i="1"/>
  <c r="L32" i="5" s="1"/>
  <c r="M32" i="5"/>
  <c r="BA50" i="5"/>
  <c r="BA49" i="5"/>
  <c r="BA48" i="5"/>
  <c r="BA57" i="5"/>
  <c r="BA30" i="5"/>
  <c r="BA55" i="5"/>
  <c r="BA53" i="5"/>
  <c r="BA24" i="5"/>
  <c r="GG15" i="5"/>
  <c r="FB14" i="5"/>
  <c r="CR20" i="5"/>
  <c r="CR12" i="5"/>
  <c r="GZ48" i="5"/>
  <c r="CF57" i="5"/>
  <c r="GZ30" i="5"/>
  <c r="AQ45" i="5"/>
  <c r="K24" i="1"/>
  <c r="BV25" i="5"/>
  <c r="BV20" i="5"/>
  <c r="GO21" i="1"/>
  <c r="EF19" i="5" s="1"/>
  <c r="FU17" i="5"/>
  <c r="GO18" i="1"/>
  <c r="EF16" i="5" s="1"/>
  <c r="CF13" i="5"/>
  <c r="DA12" i="5"/>
  <c r="AQ11" i="5"/>
  <c r="GO12" i="1"/>
  <c r="FJ10" i="1"/>
  <c r="DA8" i="5" s="1"/>
  <c r="GJ12" i="5"/>
  <c r="FE12" i="5"/>
  <c r="DZ12" i="5"/>
  <c r="CU12" i="5"/>
  <c r="GI10" i="5"/>
  <c r="AM51" i="5"/>
  <c r="GQ51" i="5"/>
  <c r="M36" i="5"/>
  <c r="M35" i="5"/>
  <c r="X10" i="5"/>
  <c r="BC60" i="5"/>
  <c r="AX22" i="5"/>
  <c r="EP39" i="1"/>
  <c r="CR14" i="5"/>
  <c r="GN24" i="1"/>
  <c r="BU14" i="5"/>
  <c r="AP16" i="1"/>
  <c r="BV14" i="5" s="1"/>
  <c r="CJ37" i="5"/>
  <c r="DV14" i="1"/>
  <c r="EI24" i="1"/>
  <c r="EJ24" i="1"/>
  <c r="V30" i="5"/>
  <c r="AQ40" i="5"/>
  <c r="FB21" i="5"/>
  <c r="FB13" i="5"/>
  <c r="DA36" i="5"/>
  <c r="FU30" i="5"/>
  <c r="K53" i="1"/>
  <c r="K39" i="1"/>
  <c r="DK24" i="5"/>
  <c r="AK12" i="5"/>
  <c r="F12" i="5"/>
  <c r="GI17" i="5"/>
  <c r="HB42" i="5"/>
  <c r="ET24" i="1"/>
  <c r="CF55" i="5"/>
  <c r="EL6" i="1"/>
  <c r="ED41" i="1"/>
  <c r="EF11" i="1"/>
  <c r="BA21" i="5"/>
  <c r="BA17" i="5"/>
  <c r="BA13" i="5"/>
  <c r="BA9" i="5"/>
  <c r="GG21" i="5"/>
  <c r="GG13" i="5"/>
  <c r="FB20" i="5"/>
  <c r="FB12" i="5"/>
  <c r="AP64" i="1"/>
  <c r="FU49" i="5"/>
  <c r="EP48" i="5"/>
  <c r="EP30" i="5"/>
  <c r="FJ43" i="1"/>
  <c r="DA41" i="5" s="1"/>
  <c r="FU40" i="5"/>
  <c r="EP53" i="5"/>
  <c r="FU21" i="5"/>
  <c r="DK17" i="5"/>
  <c r="FJ16" i="1"/>
  <c r="DA14" i="5" s="1"/>
  <c r="DA10" i="5"/>
  <c r="AM10" i="5"/>
  <c r="H10" i="5"/>
  <c r="AK10" i="5"/>
  <c r="F10" i="5"/>
  <c r="CT21" i="5"/>
  <c r="CT13" i="5"/>
  <c r="E12" i="5"/>
  <c r="AJ12" i="5"/>
  <c r="FW61" i="5"/>
  <c r="FW59" i="5"/>
  <c r="FW58" i="5"/>
  <c r="FW31" i="5"/>
  <c r="FW44" i="5"/>
  <c r="FW42" i="5"/>
  <c r="FW29" i="5"/>
  <c r="FW26" i="5"/>
  <c r="ER53" i="1"/>
  <c r="CH7" i="5"/>
  <c r="ES6" i="1"/>
  <c r="ET39" i="1"/>
  <c r="FO37" i="5"/>
  <c r="JK53" i="1"/>
  <c r="M45" i="5"/>
  <c r="AM14" i="5"/>
  <c r="EP13" i="5"/>
  <c r="EO34" i="1"/>
  <c r="CF50" i="5"/>
  <c r="ED64" i="1"/>
  <c r="V48" i="5"/>
  <c r="DJ24" i="1"/>
  <c r="AQ6" i="5"/>
  <c r="GG14" i="5"/>
  <c r="DW12" i="5"/>
  <c r="AQ62" i="5"/>
  <c r="FU48" i="5"/>
  <c r="GZ40" i="5"/>
  <c r="GZ21" i="5"/>
  <c r="GI9" i="5"/>
  <c r="HB59" i="5"/>
  <c r="HB26" i="5"/>
  <c r="E6" i="1"/>
  <c r="EK6" i="1"/>
  <c r="EJ6" i="1"/>
  <c r="EH6" i="1"/>
  <c r="ED13" i="1"/>
  <c r="EI53" i="1"/>
  <c r="EO12" i="1"/>
  <c r="DY19" i="1"/>
  <c r="ED48" i="1"/>
  <c r="EB16" i="1"/>
  <c r="EO10" i="1"/>
  <c r="V21" i="5"/>
  <c r="V13" i="5"/>
  <c r="CZ23" i="1"/>
  <c r="L21" i="5" s="1"/>
  <c r="M21" i="5"/>
  <c r="CZ15" i="1"/>
  <c r="L13" i="5" s="1"/>
  <c r="M13" i="5"/>
  <c r="AQ56" i="5"/>
  <c r="AQ54" i="5"/>
  <c r="GG20" i="5"/>
  <c r="GG12" i="5"/>
  <c r="AH7" i="5"/>
  <c r="C7" i="5"/>
  <c r="BM6" i="5"/>
  <c r="GZ50" i="5"/>
  <c r="EP49" i="5"/>
  <c r="DK48" i="5"/>
  <c r="DK30" i="5"/>
  <c r="AQ44" i="5"/>
  <c r="AQ41" i="5"/>
  <c r="EP40" i="5"/>
  <c r="DK53" i="5"/>
  <c r="EP21" i="5"/>
  <c r="AP21" i="1"/>
  <c r="BV19" i="5" s="1"/>
  <c r="GO20" i="1"/>
  <c r="EF18" i="5" s="1"/>
  <c r="CF17" i="5"/>
  <c r="X44" i="5"/>
  <c r="D37" i="5"/>
  <c r="G20" i="5"/>
  <c r="EU51" i="5"/>
  <c r="EF60" i="1"/>
  <c r="M58" i="5"/>
  <c r="DK50" i="5"/>
  <c r="GZ24" i="5"/>
  <c r="IY8" i="1"/>
  <c r="GP6" i="5" s="1"/>
  <c r="GO6" i="5"/>
  <c r="EH53" i="1"/>
  <c r="EI39" i="1"/>
  <c r="AQ43" i="5"/>
  <c r="V50" i="5"/>
  <c r="V40" i="5"/>
  <c r="EO17" i="1"/>
  <c r="DW20" i="5"/>
  <c r="AP29" i="1"/>
  <c r="BV27" i="5" s="1"/>
  <c r="HT15" i="1"/>
  <c r="FK13" i="5" s="1"/>
  <c r="BN12" i="5"/>
  <c r="HB31" i="5"/>
  <c r="BB39" i="1"/>
  <c r="BC7" i="5"/>
  <c r="ET6" i="1"/>
  <c r="DV22" i="1"/>
  <c r="ED21" i="1"/>
  <c r="ED37" i="1"/>
  <c r="ED30" i="1"/>
  <c r="EG24" i="1"/>
  <c r="CZ49" i="1"/>
  <c r="L47" i="5" s="1"/>
  <c r="M47" i="5"/>
  <c r="CZ58" i="1"/>
  <c r="L56" i="5" s="1"/>
  <c r="M56" i="5"/>
  <c r="CZ56" i="1"/>
  <c r="L54" i="5" s="1"/>
  <c r="M54" i="5"/>
  <c r="CZ41" i="1"/>
  <c r="L39" i="5" s="1"/>
  <c r="M39" i="5"/>
  <c r="CZ29" i="1"/>
  <c r="M27" i="5"/>
  <c r="L20" i="5"/>
  <c r="L12" i="5"/>
  <c r="AH6" i="5"/>
  <c r="C6" i="5"/>
  <c r="BM14" i="5"/>
  <c r="FU50" i="5"/>
  <c r="AP37" i="1"/>
  <c r="BV35" i="5" s="1"/>
  <c r="DK49" i="5"/>
  <c r="GZ57" i="5"/>
  <c r="CF30" i="5"/>
  <c r="GZ55" i="5"/>
  <c r="DK40" i="5"/>
  <c r="CF53" i="5"/>
  <c r="DK21" i="5"/>
  <c r="EF15" i="5"/>
  <c r="GZ13" i="5"/>
  <c r="DZ18" i="1"/>
  <c r="BQ16" i="5"/>
  <c r="BP6" i="5"/>
  <c r="AJ6" i="1"/>
  <c r="FD21" i="5"/>
  <c r="FD13" i="5"/>
  <c r="AJ18" i="5"/>
  <c r="E18" i="5"/>
  <c r="DM61" i="5"/>
  <c r="DM59" i="5"/>
  <c r="DM58" i="5"/>
  <c r="DM44" i="5"/>
  <c r="DM42" i="5"/>
  <c r="DM29" i="5"/>
  <c r="DM26" i="5"/>
  <c r="DM6" i="5"/>
  <c r="FV6" i="1"/>
  <c r="BC61" i="5"/>
  <c r="EQ50" i="1"/>
  <c r="BC48" i="5"/>
  <c r="EQ60" i="1"/>
  <c r="BC58" i="5"/>
  <c r="BC42" i="5"/>
  <c r="BC29" i="5"/>
  <c r="BC26" i="5"/>
  <c r="EQ26" i="1"/>
  <c r="ER6" i="1"/>
  <c r="X19" i="5"/>
  <c r="X11" i="5"/>
  <c r="EQ8" i="1"/>
  <c r="BC6" i="5"/>
  <c r="V57" i="7"/>
  <c r="W53" i="1"/>
  <c r="V10" i="7" s="1"/>
  <c r="GI6" i="1"/>
  <c r="IS6" i="1"/>
  <c r="N37" i="5"/>
  <c r="X29" i="5"/>
  <c r="H18" i="5"/>
  <c r="BC28" i="5"/>
  <c r="FU57" i="5"/>
  <c r="GZ46" i="5"/>
  <c r="EP27" i="5"/>
  <c r="CF21" i="5"/>
  <c r="DK16" i="5"/>
  <c r="GZ9" i="5"/>
  <c r="IE9" i="5" s="1"/>
  <c r="FU8" i="5"/>
  <c r="IE8" i="5" s="1"/>
  <c r="CT20" i="5"/>
  <c r="ER62" i="5"/>
  <c r="ER61" i="5"/>
  <c r="ER59" i="5"/>
  <c r="ER58" i="5"/>
  <c r="ER31" i="5"/>
  <c r="ER44" i="5"/>
  <c r="ER42" i="5"/>
  <c r="ER29" i="5"/>
  <c r="ER26" i="5"/>
  <c r="ER18" i="5"/>
  <c r="ER10" i="5"/>
  <c r="X62" i="5"/>
  <c r="X59" i="5"/>
  <c r="X58" i="5"/>
  <c r="X42" i="5"/>
  <c r="ES39" i="1"/>
  <c r="EU24" i="1"/>
  <c r="FB51" i="5"/>
  <c r="G17" i="5"/>
  <c r="E11" i="5"/>
  <c r="H9" i="5"/>
  <c r="GI12" i="5"/>
  <c r="DY18" i="5"/>
  <c r="DY10" i="5"/>
  <c r="CT17" i="5"/>
  <c r="CT9" i="5"/>
  <c r="FC13" i="5"/>
  <c r="DX12" i="5"/>
  <c r="FW34" i="5"/>
  <c r="FW60" i="5"/>
  <c r="FW32" i="5"/>
  <c r="FW56" i="5"/>
  <c r="FW43" i="5"/>
  <c r="FW54" i="5"/>
  <c r="FW28" i="5"/>
  <c r="FW27" i="5"/>
  <c r="FW19" i="5"/>
  <c r="FW15" i="5"/>
  <c r="FW11" i="5"/>
  <c r="FW7" i="5"/>
  <c r="CH19" i="5"/>
  <c r="BC16" i="5"/>
  <c r="BC8" i="5"/>
  <c r="AH22" i="5"/>
  <c r="CD4" i="5"/>
  <c r="AP4" i="5"/>
  <c r="AY4" i="5"/>
  <c r="AC4" i="5"/>
  <c r="FZ4" i="5"/>
  <c r="P22" i="5"/>
  <c r="Z22" i="5"/>
  <c r="CA22" i="5"/>
  <c r="CK22" i="5"/>
  <c r="AM22" i="5"/>
  <c r="BF22" i="5"/>
  <c r="AB22" i="5"/>
  <c r="K26" i="8" s="1"/>
  <c r="FP22" i="5"/>
  <c r="HE22" i="5"/>
  <c r="AM37" i="5"/>
  <c r="BF37" i="5"/>
  <c r="H37" i="5"/>
  <c r="GY37" i="5"/>
  <c r="AI51" i="5"/>
  <c r="AR51" i="5"/>
  <c r="AZ51" i="5"/>
  <c r="ES51" i="5"/>
  <c r="FE51" i="5"/>
  <c r="HD51" i="5"/>
  <c r="ER34" i="5"/>
  <c r="ER60" i="5"/>
  <c r="ER32" i="5"/>
  <c r="ER56" i="5"/>
  <c r="ER43" i="5"/>
  <c r="ER54" i="5"/>
  <c r="ER28" i="5"/>
  <c r="ER27" i="5"/>
  <c r="ER19" i="5"/>
  <c r="ER15" i="5"/>
  <c r="ER11" i="5"/>
  <c r="ER7" i="5"/>
  <c r="X32" i="5"/>
  <c r="X56" i="5"/>
  <c r="X43" i="5"/>
  <c r="X54" i="5"/>
  <c r="X28" i="5"/>
  <c r="X27" i="5"/>
  <c r="EQ20" i="1"/>
  <c r="CH16" i="5"/>
  <c r="V58" i="5"/>
  <c r="EV39" i="1"/>
  <c r="W6" i="1"/>
  <c r="V6" i="7" s="1"/>
  <c r="BW4" i="5"/>
  <c r="CE4" i="5"/>
  <c r="U4" i="5"/>
  <c r="FQ4" i="5"/>
  <c r="BR22" i="5"/>
  <c r="S22" i="5"/>
  <c r="AC22" i="5"/>
  <c r="FQ22" i="5"/>
  <c r="BT37" i="5"/>
  <c r="GH37" i="5"/>
  <c r="GR37" i="5"/>
  <c r="FF51" i="5"/>
  <c r="FP51" i="5"/>
  <c r="FZ51" i="5"/>
  <c r="GL51" i="5"/>
  <c r="E19" i="5"/>
  <c r="D18" i="5"/>
  <c r="BP10" i="5"/>
  <c r="HO10" i="5" s="1"/>
  <c r="FD17" i="5"/>
  <c r="FD9" i="5"/>
  <c r="GH12" i="5"/>
  <c r="DM34" i="5"/>
  <c r="DM60" i="5"/>
  <c r="DM32" i="5"/>
  <c r="DM56" i="5"/>
  <c r="DM43" i="5"/>
  <c r="DM54" i="5"/>
  <c r="DM28" i="5"/>
  <c r="DM27" i="5"/>
  <c r="DM19" i="5"/>
  <c r="DM15" i="5"/>
  <c r="DM11" i="5"/>
  <c r="DM7" i="5"/>
  <c r="BC34" i="5"/>
  <c r="BC32" i="5"/>
  <c r="BC56" i="5"/>
  <c r="BC43" i="5"/>
  <c r="BC54" i="5"/>
  <c r="BC27" i="5"/>
  <c r="BC18" i="5"/>
  <c r="DR4" i="5"/>
  <c r="EL4" i="5"/>
  <c r="CC22" i="5"/>
  <c r="GW22" i="5"/>
  <c r="HG22" i="5"/>
  <c r="FV37" i="5"/>
  <c r="G51" i="5"/>
  <c r="AU51" i="5"/>
  <c r="AK51" i="5"/>
  <c r="Z51" i="5"/>
  <c r="EK51" i="5"/>
  <c r="F8" i="5"/>
  <c r="DE22" i="5"/>
  <c r="GK22" i="5"/>
  <c r="CG51" i="5"/>
  <c r="DL51" i="5"/>
  <c r="EU22" i="5"/>
  <c r="DH37" i="5"/>
  <c r="BY51" i="5"/>
  <c r="AS51" i="5"/>
  <c r="BS22" i="5"/>
  <c r="DG22" i="5"/>
  <c r="J37" i="5"/>
  <c r="F51" i="5"/>
  <c r="IM51" i="5"/>
  <c r="BY4" i="5"/>
  <c r="O4" i="5"/>
  <c r="DB4" i="5"/>
  <c r="DJ4" i="5"/>
  <c r="EW4" i="5"/>
  <c r="HF4" i="5"/>
  <c r="Q8" i="8" s="1"/>
  <c r="BT22" i="5"/>
  <c r="CD22" i="5"/>
  <c r="AP22" i="5"/>
  <c r="K22" i="5"/>
  <c r="DQ22" i="5"/>
  <c r="N26" i="8" s="1"/>
  <c r="EC22" i="5"/>
  <c r="EM22" i="5"/>
  <c r="BX37" i="5"/>
  <c r="AP37" i="5"/>
  <c r="K37" i="5"/>
  <c r="FN37" i="5"/>
  <c r="FX37" i="5"/>
  <c r="GJ37" i="5"/>
  <c r="HD37" i="5"/>
  <c r="CA51" i="5"/>
  <c r="AL51" i="5"/>
  <c r="BE51" i="5"/>
  <c r="AA51" i="5"/>
  <c r="CV51" i="5"/>
  <c r="DF51" i="5"/>
  <c r="FR51" i="5"/>
  <c r="GB51" i="5"/>
  <c r="W37" i="5"/>
  <c r="T22" i="5"/>
  <c r="IM4" i="5"/>
  <c r="FY22" i="5"/>
  <c r="AB37" i="5"/>
  <c r="K41" i="8" s="1"/>
  <c r="DC51" i="5"/>
  <c r="W51" i="5"/>
  <c r="FG22" i="5"/>
  <c r="AN37" i="5"/>
  <c r="S37" i="5"/>
  <c r="ED37" i="5"/>
  <c r="BO51" i="5"/>
  <c r="AJ51" i="5"/>
  <c r="BB51" i="5"/>
  <c r="CT51" i="5"/>
  <c r="DZ51" i="5"/>
  <c r="CG4" i="5"/>
  <c r="CW22" i="5"/>
  <c r="T37" i="5"/>
  <c r="AT51" i="5"/>
  <c r="DL4" i="5"/>
  <c r="DI22" i="5"/>
  <c r="DC37" i="5"/>
  <c r="CK4" i="5"/>
  <c r="BE4" i="5"/>
  <c r="Q4" i="5"/>
  <c r="DD4" i="5"/>
  <c r="EG4" i="5"/>
  <c r="EO4" i="5"/>
  <c r="FV4" i="5"/>
  <c r="CG22" i="5"/>
  <c r="AS22" i="5"/>
  <c r="BB22" i="5"/>
  <c r="O22" i="5"/>
  <c r="Y22" i="5"/>
  <c r="FM22" i="5"/>
  <c r="GR22" i="5"/>
  <c r="HA22" i="5"/>
  <c r="BP37" i="5"/>
  <c r="BZ37" i="5"/>
  <c r="AS37" i="5"/>
  <c r="BB37" i="5"/>
  <c r="DD37" i="5"/>
  <c r="EJ37" i="5"/>
  <c r="ET37" i="5"/>
  <c r="FF37" i="5"/>
  <c r="FP37" i="5"/>
  <c r="FZ37" i="5"/>
  <c r="GV37" i="5"/>
  <c r="BS51" i="5"/>
  <c r="AW51" i="5"/>
  <c r="I51" i="5"/>
  <c r="S51" i="5"/>
  <c r="AC51" i="5"/>
  <c r="CX51" i="5"/>
  <c r="DH51" i="5"/>
  <c r="ED51" i="5"/>
  <c r="FL51" i="5"/>
  <c r="FT51" i="5"/>
  <c r="P37" i="5"/>
  <c r="DE37" i="5"/>
  <c r="IM22" i="5"/>
  <c r="BQ22" i="5"/>
  <c r="N51" i="5"/>
  <c r="CV22" i="5"/>
  <c r="EK22" i="5"/>
  <c r="AC37" i="5"/>
  <c r="E51" i="5"/>
  <c r="DD51" i="5"/>
  <c r="W4" i="5"/>
  <c r="FH22" i="5"/>
  <c r="EC51" i="5"/>
  <c r="EE22" i="5"/>
  <c r="BF4" i="5"/>
  <c r="DN4" i="5"/>
  <c r="EH4" i="5"/>
  <c r="FN4" i="5"/>
  <c r="HA4" i="5"/>
  <c r="BO22" i="5"/>
  <c r="BY22" i="5"/>
  <c r="CI22" i="5"/>
  <c r="AK22" i="5"/>
  <c r="AT22" i="5"/>
  <c r="BD22" i="5"/>
  <c r="F22" i="5"/>
  <c r="DC22" i="5"/>
  <c r="DL22" i="5"/>
  <c r="GI22" i="5"/>
  <c r="GS22" i="5"/>
  <c r="AK37" i="5"/>
  <c r="AT37" i="5"/>
  <c r="Z37" i="5"/>
  <c r="CU37" i="5"/>
  <c r="EU37" i="5"/>
  <c r="FG37" i="5"/>
  <c r="CM51" i="5"/>
  <c r="AO51" i="5"/>
  <c r="BH51" i="5"/>
  <c r="J51" i="5"/>
  <c r="T51" i="5"/>
  <c r="FM51" i="5"/>
  <c r="FV51" i="5"/>
  <c r="BX4" i="5"/>
  <c r="BH37" i="5"/>
  <c r="CI51" i="5"/>
  <c r="P51" i="5"/>
  <c r="DL37" i="5"/>
  <c r="R51" i="5"/>
  <c r="CC4" i="5"/>
  <c r="CM4" i="5"/>
  <c r="AX4" i="5"/>
  <c r="BG4" i="5"/>
  <c r="L8" i="8" s="1"/>
  <c r="I4" i="5"/>
  <c r="DF4" i="5"/>
  <c r="GS4" i="5"/>
  <c r="BZ22" i="5"/>
  <c r="AL22" i="5"/>
  <c r="AU22" i="5"/>
  <c r="G22" i="5"/>
  <c r="Q22" i="5"/>
  <c r="AA22" i="5"/>
  <c r="DD22" i="5"/>
  <c r="DY22" i="5"/>
  <c r="ES22" i="5"/>
  <c r="FE22" i="5"/>
  <c r="FO22" i="5"/>
  <c r="FX22" i="5"/>
  <c r="GJ22" i="5"/>
  <c r="BR37" i="5"/>
  <c r="CB37" i="5"/>
  <c r="AL37" i="5"/>
  <c r="Q37" i="5"/>
  <c r="CV37" i="5"/>
  <c r="DP37" i="5"/>
  <c r="EB37" i="5"/>
  <c r="EL37" i="5"/>
  <c r="GN37" i="5"/>
  <c r="BN51" i="5"/>
  <c r="BW51" i="5"/>
  <c r="CE51" i="5"/>
  <c r="AY51" i="5"/>
  <c r="K51" i="5"/>
  <c r="U51" i="5"/>
  <c r="DB51" i="5"/>
  <c r="DJ51" i="5"/>
  <c r="EH51" i="5"/>
  <c r="FD51" i="5"/>
  <c r="FN51" i="5"/>
  <c r="FX51" i="5"/>
  <c r="GT51" i="5"/>
  <c r="DR51" i="5"/>
  <c r="EK39" i="1"/>
  <c r="BU53" i="1"/>
  <c r="CZ55" i="1"/>
  <c r="EF55" i="1"/>
  <c r="DA53" i="1"/>
  <c r="M51" i="5" s="1"/>
  <c r="DJ6" i="1"/>
  <c r="CZ8" i="1"/>
  <c r="EE8" i="1" s="1"/>
  <c r="M6" i="5"/>
  <c r="EF8" i="1"/>
  <c r="CF18" i="5"/>
  <c r="EO20" i="1"/>
  <c r="AU4" i="5"/>
  <c r="AR37" i="5"/>
  <c r="CZ13" i="5"/>
  <c r="EN6" i="1"/>
  <c r="EI6" i="1"/>
  <c r="DW16" i="1"/>
  <c r="EO62" i="1"/>
  <c r="V60" i="5"/>
  <c r="EO49" i="1"/>
  <c r="V47" i="5"/>
  <c r="CZ43" i="5"/>
  <c r="FJ45" i="1"/>
  <c r="DA43" i="5" s="1"/>
  <c r="EP29" i="5"/>
  <c r="BU53" i="5"/>
  <c r="AO53" i="1"/>
  <c r="BU51" i="5" s="1"/>
  <c r="CF24" i="5"/>
  <c r="AZ24" i="1"/>
  <c r="DL53" i="1"/>
  <c r="EU6" i="1"/>
  <c r="IU6" i="1"/>
  <c r="CJ22" i="5"/>
  <c r="AJ37" i="5"/>
  <c r="CE39" i="1"/>
  <c r="FI39" i="1"/>
  <c r="CZ37" i="5" s="1"/>
  <c r="CS51" i="5"/>
  <c r="V24" i="5"/>
  <c r="BP19" i="5"/>
  <c r="HO19" i="5" s="1"/>
  <c r="BU61" i="5"/>
  <c r="HT61" i="5" s="1"/>
  <c r="ED63" i="1"/>
  <c r="DK29" i="5"/>
  <c r="EE8" i="5"/>
  <c r="GO10" i="1"/>
  <c r="EF8" i="5" s="1"/>
  <c r="BU8" i="5"/>
  <c r="AP10" i="1"/>
  <c r="BV8" i="5" s="1"/>
  <c r="ED10" i="1"/>
  <c r="BS16" i="5"/>
  <c r="HR16" i="5" s="1"/>
  <c r="EB18" i="1"/>
  <c r="BR16" i="5"/>
  <c r="EA18" i="1"/>
  <c r="AL16" i="5"/>
  <c r="G16" i="5"/>
  <c r="AL8" i="5"/>
  <c r="G8" i="5"/>
  <c r="BQ8" i="5"/>
  <c r="DZ10" i="1"/>
  <c r="BP14" i="5"/>
  <c r="BO17" i="5"/>
  <c r="DX19" i="1"/>
  <c r="BO9" i="5"/>
  <c r="DX11" i="1"/>
  <c r="HL6" i="1"/>
  <c r="BN17" i="5"/>
  <c r="HM17" i="5" s="1"/>
  <c r="DW19" i="1"/>
  <c r="DW11" i="1"/>
  <c r="BN9" i="5"/>
  <c r="DM50" i="5"/>
  <c r="DM48" i="5"/>
  <c r="DM30" i="5"/>
  <c r="DM40" i="5"/>
  <c r="DM53" i="5"/>
  <c r="FV53" i="1"/>
  <c r="DM24" i="5"/>
  <c r="EQ64" i="1"/>
  <c r="BC62" i="5"/>
  <c r="BC50" i="5"/>
  <c r="EQ52" i="1"/>
  <c r="BC59" i="5"/>
  <c r="EQ61" i="1"/>
  <c r="EQ59" i="1"/>
  <c r="BC57" i="5"/>
  <c r="BC31" i="5"/>
  <c r="EQ33" i="1"/>
  <c r="BC30" i="5"/>
  <c r="EQ32" i="1"/>
  <c r="BC44" i="5"/>
  <c r="EQ46" i="1"/>
  <c r="BC40" i="5"/>
  <c r="EQ42" i="1"/>
  <c r="BC53" i="5"/>
  <c r="CG53" i="1"/>
  <c r="EQ55" i="1"/>
  <c r="EQ16" i="1"/>
  <c r="BC14" i="5"/>
  <c r="CH9" i="5"/>
  <c r="EQ11" i="1"/>
  <c r="T41" i="7"/>
  <c r="CF36" i="5"/>
  <c r="EV53" i="1"/>
  <c r="EU39" i="1"/>
  <c r="X6" i="7"/>
  <c r="AO6" i="1"/>
  <c r="BU4" i="5" s="1"/>
  <c r="AW4" i="5"/>
  <c r="FE6" i="1"/>
  <c r="DG4" i="5"/>
  <c r="HK6" i="1"/>
  <c r="FY4" i="5"/>
  <c r="CG24" i="1"/>
  <c r="E22" i="5"/>
  <c r="DA24" i="1"/>
  <c r="M22" i="5" s="1"/>
  <c r="U22" i="5"/>
  <c r="CS22" i="5"/>
  <c r="EV22" i="5"/>
  <c r="O26" i="8" s="1"/>
  <c r="CA37" i="5"/>
  <c r="CI37" i="5"/>
  <c r="E37" i="5"/>
  <c r="DB37" i="5"/>
  <c r="DJ37" i="5"/>
  <c r="DW37" i="5"/>
  <c r="GN39" i="1"/>
  <c r="EE37" i="5" s="1"/>
  <c r="EM37" i="5"/>
  <c r="EV37" i="5"/>
  <c r="O41" i="8" s="1"/>
  <c r="FH37" i="5"/>
  <c r="X10" i="7"/>
  <c r="GY53" i="1"/>
  <c r="HS53" i="1"/>
  <c r="FJ51" i="5" s="1"/>
  <c r="GN51" i="5"/>
  <c r="GV51" i="5"/>
  <c r="HE51" i="5"/>
  <c r="V15" i="5"/>
  <c r="H12" i="5"/>
  <c r="E10" i="5"/>
  <c r="AV37" i="5"/>
  <c r="BC24" i="5"/>
  <c r="AL12" i="5"/>
  <c r="AK7" i="5"/>
  <c r="CF45" i="5"/>
  <c r="CH40" i="5"/>
  <c r="BO16" i="5"/>
  <c r="BT13" i="5"/>
  <c r="HS13" i="5" s="1"/>
  <c r="BM9" i="5"/>
  <c r="DV11" i="1"/>
  <c r="EE53" i="5"/>
  <c r="GN53" i="1"/>
  <c r="EE51" i="5" s="1"/>
  <c r="BU24" i="5"/>
  <c r="AP26" i="1"/>
  <c r="BV6" i="5"/>
  <c r="EM24" i="1"/>
  <c r="EO32" i="1"/>
  <c r="M48" i="5"/>
  <c r="EF50" i="1"/>
  <c r="CZ57" i="1"/>
  <c r="L55" i="5" s="1"/>
  <c r="M55" i="5"/>
  <c r="CZ16" i="1"/>
  <c r="M14" i="5"/>
  <c r="EF16" i="1"/>
  <c r="BA45" i="5"/>
  <c r="EO47" i="1"/>
  <c r="CR18" i="5"/>
  <c r="FJ34" i="1"/>
  <c r="DA32" i="5" s="1"/>
  <c r="CZ32" i="5"/>
  <c r="CE24" i="1"/>
  <c r="FI53" i="1"/>
  <c r="CZ51" i="5" s="1"/>
  <c r="DV9" i="1"/>
  <c r="EM6" i="1"/>
  <c r="EG6" i="1"/>
  <c r="EL24" i="1"/>
  <c r="EO8" i="1"/>
  <c r="BU39" i="1"/>
  <c r="CF44" i="5"/>
  <c r="EO46" i="1"/>
  <c r="GO44" i="1"/>
  <c r="EF42" i="5" s="1"/>
  <c r="EE42" i="5"/>
  <c r="CZ29" i="5"/>
  <c r="HT29" i="5" s="1"/>
  <c r="FJ31" i="1"/>
  <c r="DA29" i="5" s="1"/>
  <c r="GZ19" i="5"/>
  <c r="ER30" i="5"/>
  <c r="X50" i="5"/>
  <c r="P4" i="5"/>
  <c r="FX4" i="5"/>
  <c r="X8" i="7"/>
  <c r="DR37" i="5"/>
  <c r="CE53" i="1"/>
  <c r="E15" i="5"/>
  <c r="C9" i="5"/>
  <c r="CH48" i="5"/>
  <c r="EQ23" i="1"/>
  <c r="EK53" i="1"/>
  <c r="EP61" i="5"/>
  <c r="BU59" i="5"/>
  <c r="HT59" i="5" s="1"/>
  <c r="ED61" i="1"/>
  <c r="FJ44" i="1"/>
  <c r="DA42" i="5" s="1"/>
  <c r="CZ42" i="5"/>
  <c r="GO39" i="5"/>
  <c r="IX39" i="1"/>
  <c r="GO37" i="5" s="1"/>
  <c r="FU19" i="5"/>
  <c r="GO16" i="5"/>
  <c r="IY18" i="1"/>
  <c r="GP16" i="5" s="1"/>
  <c r="IY10" i="1"/>
  <c r="GP8" i="5" s="1"/>
  <c r="GO8" i="5"/>
  <c r="BU16" i="5"/>
  <c r="ED18" i="1"/>
  <c r="AP18" i="1"/>
  <c r="BV16" i="5" s="1"/>
  <c r="BT16" i="5"/>
  <c r="HS16" i="5" s="1"/>
  <c r="EC18" i="1"/>
  <c r="BT8" i="5"/>
  <c r="HS8" i="5" s="1"/>
  <c r="EC10" i="1"/>
  <c r="AM16" i="5"/>
  <c r="H16" i="5"/>
  <c r="AM8" i="5"/>
  <c r="H8" i="5"/>
  <c r="BR8" i="5"/>
  <c r="EA10" i="1"/>
  <c r="EQ18" i="1"/>
  <c r="DV18" i="1"/>
  <c r="EC16" i="1"/>
  <c r="DY22" i="1"/>
  <c r="DY14" i="1"/>
  <c r="ED58" i="1"/>
  <c r="ED42" i="1"/>
  <c r="EG39" i="1"/>
  <c r="EJ53" i="1"/>
  <c r="EB10" i="1"/>
  <c r="EP24" i="1"/>
  <c r="EO27" i="1"/>
  <c r="V19" i="5"/>
  <c r="V11" i="5"/>
  <c r="AQ61" i="5"/>
  <c r="GG18" i="5"/>
  <c r="FA6" i="1"/>
  <c r="DK61" i="5"/>
  <c r="BU47" i="5"/>
  <c r="HT47" i="5" s="1"/>
  <c r="AP49" i="1"/>
  <c r="BV47" i="5" s="1"/>
  <c r="FJ59" i="1"/>
  <c r="DA57" i="5" s="1"/>
  <c r="CZ57" i="5"/>
  <c r="AP58" i="1"/>
  <c r="BV56" i="5" s="1"/>
  <c r="BU31" i="5"/>
  <c r="HT31" i="5" s="1"/>
  <c r="ED33" i="1"/>
  <c r="FJ46" i="5"/>
  <c r="HT48" i="1"/>
  <c r="FK46" i="5" s="1"/>
  <c r="HT16" i="1"/>
  <c r="FK14" i="5" s="1"/>
  <c r="CH50" i="5"/>
  <c r="X16" i="5"/>
  <c r="X8" i="5"/>
  <c r="BB6" i="1"/>
  <c r="ET53" i="1"/>
  <c r="FF6" i="1"/>
  <c r="GY6" i="1"/>
  <c r="HO6" i="1"/>
  <c r="FP4" i="5"/>
  <c r="FT24" i="1"/>
  <c r="DW22" i="5"/>
  <c r="EW22" i="5"/>
  <c r="FI22" i="5"/>
  <c r="BD37" i="5"/>
  <c r="DL39" i="1"/>
  <c r="CT37" i="5"/>
  <c r="FT39" i="1"/>
  <c r="DX37" i="5"/>
  <c r="EN37" i="5"/>
  <c r="GB37" i="5"/>
  <c r="HF37" i="5"/>
  <c r="Q41" i="8" s="1"/>
  <c r="BR51" i="5"/>
  <c r="CK51" i="5"/>
  <c r="IX53" i="1"/>
  <c r="GO51" i="5" s="1"/>
  <c r="GW51" i="5"/>
  <c r="HF51" i="5"/>
  <c r="Q55" i="8" s="1"/>
  <c r="V44" i="5"/>
  <c r="X18" i="5"/>
  <c r="M15" i="5"/>
  <c r="G13" i="5"/>
  <c r="D10" i="5"/>
  <c r="BN13" i="5"/>
  <c r="DJ53" i="1"/>
  <c r="L15" i="5"/>
  <c r="CZ9" i="1"/>
  <c r="M7" i="5"/>
  <c r="AH18" i="5"/>
  <c r="C18" i="5"/>
  <c r="BM17" i="5"/>
  <c r="DV19" i="1"/>
  <c r="BU44" i="5"/>
  <c r="HT44" i="5" s="1"/>
  <c r="ED46" i="1"/>
  <c r="GZ53" i="5"/>
  <c r="JI53" i="1"/>
  <c r="EP24" i="5"/>
  <c r="GY24" i="1"/>
  <c r="FU6" i="5"/>
  <c r="ID6" i="1"/>
  <c r="JI24" i="1"/>
  <c r="M57" i="5"/>
  <c r="EF59" i="1"/>
  <c r="CZ42" i="1"/>
  <c r="M40" i="5"/>
  <c r="CZ26" i="1"/>
  <c r="EF26" i="1"/>
  <c r="CR10" i="5"/>
  <c r="BV62" i="5"/>
  <c r="HT44" i="1"/>
  <c r="FK42" i="5" s="1"/>
  <c r="FJ42" i="5"/>
  <c r="DE4" i="5"/>
  <c r="AZ37" i="5"/>
  <c r="FK11" i="5"/>
  <c r="EL53" i="1"/>
  <c r="EF57" i="1"/>
  <c r="EO37" i="1"/>
  <c r="AQ27" i="5"/>
  <c r="BV39" i="5"/>
  <c r="BV17" i="5"/>
  <c r="FU11" i="5"/>
  <c r="HA6" i="1"/>
  <c r="X30" i="5"/>
  <c r="X24" i="5"/>
  <c r="Y4" i="5"/>
  <c r="FC6" i="1"/>
  <c r="U37" i="5"/>
  <c r="BZ51" i="5"/>
  <c r="D51" i="5"/>
  <c r="DI51" i="5"/>
  <c r="DY13" i="1"/>
  <c r="EO26" i="1"/>
  <c r="CZ44" i="1"/>
  <c r="L42" i="5" s="1"/>
  <c r="M42" i="5"/>
  <c r="CZ31" i="1"/>
  <c r="L29" i="5" s="1"/>
  <c r="EF31" i="1"/>
  <c r="M29" i="5"/>
  <c r="CZ28" i="1"/>
  <c r="L26" i="5" s="1"/>
  <c r="M26" i="5"/>
  <c r="CZ20" i="1"/>
  <c r="EF20" i="1"/>
  <c r="CZ12" i="1"/>
  <c r="L10" i="5" s="1"/>
  <c r="EF12" i="1"/>
  <c r="EO36" i="1"/>
  <c r="BA34" i="5"/>
  <c r="BA19" i="5"/>
  <c r="EO21" i="1"/>
  <c r="BA11" i="5"/>
  <c r="GG17" i="5"/>
  <c r="GG9" i="5"/>
  <c r="DW6" i="5"/>
  <c r="GF6" i="1"/>
  <c r="CF61" i="5"/>
  <c r="GZ58" i="5"/>
  <c r="AP59" i="1"/>
  <c r="BV57" i="5" s="1"/>
  <c r="BU57" i="5"/>
  <c r="ED59" i="1"/>
  <c r="HS24" i="1"/>
  <c r="FJ22" i="5" s="1"/>
  <c r="IY15" i="1"/>
  <c r="GP13" i="5" s="1"/>
  <c r="CF12" i="5"/>
  <c r="EO14" i="1"/>
  <c r="FK10" i="5"/>
  <c r="K6" i="1"/>
  <c r="GO14" i="5"/>
  <c r="IY16" i="1"/>
  <c r="GP14" i="5" s="1"/>
  <c r="IX6" i="1"/>
  <c r="GO4" i="5" s="1"/>
  <c r="EE14" i="5"/>
  <c r="GO16" i="1"/>
  <c r="EF14" i="5" s="1"/>
  <c r="EE6" i="5"/>
  <c r="GN6" i="1"/>
  <c r="EE4" i="5" s="1"/>
  <c r="CZ6" i="5"/>
  <c r="FJ8" i="1"/>
  <c r="FI6" i="1"/>
  <c r="CZ4" i="5" s="1"/>
  <c r="GN6" i="5"/>
  <c r="IW6" i="1"/>
  <c r="GN4" i="5" s="1"/>
  <c r="CY6" i="5"/>
  <c r="FH6" i="1"/>
  <c r="CY4" i="5" s="1"/>
  <c r="BT6" i="5"/>
  <c r="AN6" i="1"/>
  <c r="BT4" i="5" s="1"/>
  <c r="GM6" i="5"/>
  <c r="IV6" i="1"/>
  <c r="GM4" i="5" s="1"/>
  <c r="EC6" i="5"/>
  <c r="GL6" i="1"/>
  <c r="EC4" i="5" s="1"/>
  <c r="BS6" i="5"/>
  <c r="EB8" i="1"/>
  <c r="AM6" i="1"/>
  <c r="BS4" i="5" s="1"/>
  <c r="FG6" i="5"/>
  <c r="HP6" i="1"/>
  <c r="EB6" i="5"/>
  <c r="GK6" i="1"/>
  <c r="H6" i="5"/>
  <c r="AM6" i="5"/>
  <c r="BR14" i="5"/>
  <c r="BR6" i="5"/>
  <c r="AL6" i="1"/>
  <c r="EA6" i="5"/>
  <c r="GJ6" i="1"/>
  <c r="G6" i="5"/>
  <c r="F6" i="1"/>
  <c r="BQ14" i="5"/>
  <c r="HP14" i="5" s="1"/>
  <c r="BQ6" i="5"/>
  <c r="GJ14" i="5"/>
  <c r="FE14" i="5"/>
  <c r="FE6" i="5"/>
  <c r="HN6" i="1"/>
  <c r="DZ14" i="5"/>
  <c r="FD6" i="1"/>
  <c r="CU6" i="5"/>
  <c r="E7" i="5"/>
  <c r="AJ7" i="5"/>
  <c r="BO15" i="5"/>
  <c r="DX17" i="1"/>
  <c r="BO6" i="5"/>
  <c r="BN15" i="5"/>
  <c r="HM15" i="5" s="1"/>
  <c r="DW17" i="1"/>
  <c r="BN6" i="5"/>
  <c r="HM6" i="5" s="1"/>
  <c r="AH6" i="1"/>
  <c r="FW21" i="5"/>
  <c r="FW13" i="5"/>
  <c r="X21" i="5"/>
  <c r="X13" i="5"/>
  <c r="CH11" i="5"/>
  <c r="EQ13" i="1"/>
  <c r="T43" i="7"/>
  <c r="U39" i="1"/>
  <c r="T9" i="7" s="1"/>
  <c r="ES53" i="1"/>
  <c r="B6" i="1"/>
  <c r="AH4" i="5" s="1"/>
  <c r="AZ6" i="1"/>
  <c r="BU6" i="1"/>
  <c r="FG6" i="1"/>
  <c r="CX4" i="5" s="1"/>
  <c r="HQ6" i="1"/>
  <c r="FH4" i="5" s="1"/>
  <c r="GR4" i="5"/>
  <c r="JI6" i="1"/>
  <c r="CM22" i="5"/>
  <c r="CU22" i="5"/>
  <c r="DX22" i="5"/>
  <c r="EN22" i="5"/>
  <c r="BS37" i="5"/>
  <c r="CC37" i="5"/>
  <c r="CK37" i="5"/>
  <c r="Y37" i="5"/>
  <c r="FL37" i="5"/>
  <c r="FT37" i="5"/>
  <c r="GX37" i="5"/>
  <c r="CL51" i="5"/>
  <c r="M55" i="8" s="1"/>
  <c r="EJ51" i="5"/>
  <c r="HA53" i="1"/>
  <c r="ID53" i="1"/>
  <c r="GH51" i="5"/>
  <c r="GX51" i="5"/>
  <c r="M44" i="5"/>
  <c r="G21" i="5"/>
  <c r="H20" i="5"/>
  <c r="X12" i="5"/>
  <c r="V6" i="5"/>
  <c r="AH10" i="5"/>
  <c r="BU43" i="5"/>
  <c r="CH27" i="5"/>
  <c r="CL22" i="5"/>
  <c r="M26" i="8" s="1"/>
  <c r="EM39" i="1"/>
  <c r="EH24" i="1"/>
  <c r="EF17" i="1"/>
  <c r="L17" i="5"/>
  <c r="BU33" i="5"/>
  <c r="HT33" i="5" s="1"/>
  <c r="AP35" i="1"/>
  <c r="BV33" i="5" s="1"/>
  <c r="GY39" i="1"/>
  <c r="EE24" i="5"/>
  <c r="GO26" i="1"/>
  <c r="CZ21" i="5"/>
  <c r="FJ23" i="1"/>
  <c r="DA21" i="5" s="1"/>
  <c r="ED23" i="1"/>
  <c r="BU21" i="5"/>
  <c r="AP23" i="1"/>
  <c r="BV21" i="5" s="1"/>
  <c r="BU13" i="5"/>
  <c r="ED15" i="1"/>
  <c r="AP15" i="1"/>
  <c r="BV13" i="5" s="1"/>
  <c r="BT21" i="5"/>
  <c r="HS21" i="5" s="1"/>
  <c r="EC23" i="1"/>
  <c r="EB23" i="1"/>
  <c r="BS21" i="5"/>
  <c r="HR21" i="5" s="1"/>
  <c r="BS13" i="5"/>
  <c r="HR13" i="5" s="1"/>
  <c r="EB15" i="1"/>
  <c r="AM21" i="5"/>
  <c r="H21" i="5"/>
  <c r="AM13" i="5"/>
  <c r="H13" i="5"/>
  <c r="BR21" i="5"/>
  <c r="EA23" i="1"/>
  <c r="BR13" i="5"/>
  <c r="EA15" i="1"/>
  <c r="BQ13" i="5"/>
  <c r="DZ15" i="1"/>
  <c r="AK14" i="5"/>
  <c r="F14" i="5"/>
  <c r="E6" i="5"/>
  <c r="AJ6" i="5"/>
  <c r="D6" i="1"/>
  <c r="E4" i="5" s="1"/>
  <c r="AI9" i="5"/>
  <c r="D9" i="5"/>
  <c r="C6" i="1"/>
  <c r="AI4" i="5" s="1"/>
  <c r="CH8" i="5"/>
  <c r="EQ10" i="1"/>
  <c r="T61" i="7"/>
  <c r="BA58" i="5"/>
  <c r="T25" i="7"/>
  <c r="CF19" i="5"/>
  <c r="T17" i="7"/>
  <c r="CF11" i="5"/>
  <c r="V35" i="7"/>
  <c r="CH30" i="5"/>
  <c r="V29" i="7"/>
  <c r="W24" i="1"/>
  <c r="V8" i="7" s="1"/>
  <c r="GG6" i="1"/>
  <c r="HR6" i="1"/>
  <c r="FI4" i="5" s="1"/>
  <c r="BM22" i="5"/>
  <c r="AO24" i="1"/>
  <c r="BU22" i="5" s="1"/>
  <c r="EG22" i="5"/>
  <c r="EO22" i="5"/>
  <c r="ID24" i="1"/>
  <c r="GG22" i="5"/>
  <c r="IX24" i="1"/>
  <c r="GO22" i="5" s="1"/>
  <c r="GQ37" i="5"/>
  <c r="V29" i="5"/>
  <c r="C17" i="5"/>
  <c r="DX16" i="1"/>
  <c r="ED35" i="1"/>
  <c r="EL39" i="1"/>
  <c r="EN24" i="1"/>
  <c r="EO35" i="1"/>
  <c r="EO16" i="1"/>
  <c r="L46" i="5"/>
  <c r="CZ45" i="1"/>
  <c r="L43" i="5" s="1"/>
  <c r="EF45" i="1"/>
  <c r="M43" i="5"/>
  <c r="CZ43" i="1"/>
  <c r="L41" i="5" s="1"/>
  <c r="EF43" i="1"/>
  <c r="L28" i="5"/>
  <c r="CZ27" i="1"/>
  <c r="L25" i="5" s="1"/>
  <c r="M25" i="5"/>
  <c r="CZ18" i="1"/>
  <c r="L16" i="5" s="1"/>
  <c r="M16" i="5"/>
  <c r="CZ10" i="1"/>
  <c r="L8" i="5" s="1"/>
  <c r="M8" i="5"/>
  <c r="BA40" i="5"/>
  <c r="EO42" i="1"/>
  <c r="BA6" i="5"/>
  <c r="CE6" i="1"/>
  <c r="GG6" i="5"/>
  <c r="IP6" i="1"/>
  <c r="DW21" i="5"/>
  <c r="DW13" i="5"/>
  <c r="AH19" i="5"/>
  <c r="BM19" i="5"/>
  <c r="AH11" i="5"/>
  <c r="BM11" i="5"/>
  <c r="DV20" i="1"/>
  <c r="BM18" i="5"/>
  <c r="BM10" i="5"/>
  <c r="DV12" i="1"/>
  <c r="BU34" i="5"/>
  <c r="ED36" i="1"/>
  <c r="BU39" i="5"/>
  <c r="AO39" i="1"/>
  <c r="BU37" i="5" s="1"/>
  <c r="FJ26" i="1"/>
  <c r="CZ24" i="5"/>
  <c r="FI24" i="1"/>
  <c r="CZ22" i="5" s="1"/>
  <c r="HT23" i="1"/>
  <c r="FK21" i="5" s="1"/>
  <c r="CF16" i="5"/>
  <c r="EO18" i="1"/>
  <c r="GO15" i="1"/>
  <c r="EF13" i="5" s="1"/>
  <c r="GO20" i="5"/>
  <c r="IY22" i="1"/>
  <c r="GP20" i="5" s="1"/>
  <c r="GO12" i="5"/>
  <c r="IY14" i="1"/>
  <c r="GP12" i="5" s="1"/>
  <c r="FJ20" i="5"/>
  <c r="HT22" i="1"/>
  <c r="FK20" i="5" s="1"/>
  <c r="FJ12" i="5"/>
  <c r="HT14" i="1"/>
  <c r="FK12" i="5" s="1"/>
  <c r="EE20" i="5"/>
  <c r="GO22" i="1"/>
  <c r="EF20" i="5" s="1"/>
  <c r="EE12" i="5"/>
  <c r="GO14" i="1"/>
  <c r="EF12" i="5" s="1"/>
  <c r="BR20" i="5"/>
  <c r="BR12" i="5"/>
  <c r="BQ20" i="5"/>
  <c r="BQ12" i="5"/>
  <c r="GI18" i="5"/>
  <c r="DY7" i="5"/>
  <c r="CT15" i="5"/>
  <c r="CT6" i="5"/>
  <c r="AJ14" i="5"/>
  <c r="E14" i="5"/>
  <c r="BO21" i="5"/>
  <c r="DX23" i="1"/>
  <c r="BO13" i="5"/>
  <c r="DX15" i="1"/>
  <c r="DX10" i="5"/>
  <c r="CS9" i="5"/>
  <c r="BN21" i="5"/>
  <c r="HM21" i="5" s="1"/>
  <c r="DW23" i="1"/>
  <c r="DM39" i="5"/>
  <c r="FV39" i="1"/>
  <c r="DM21" i="5"/>
  <c r="DM13" i="5"/>
  <c r="BC39" i="5"/>
  <c r="CG39" i="1"/>
  <c r="CH21" i="5"/>
  <c r="X15" i="5"/>
  <c r="EQ17" i="1"/>
  <c r="CH13" i="5"/>
  <c r="BC10" i="5"/>
  <c r="EQ12" i="1"/>
  <c r="X7" i="5"/>
  <c r="EQ9" i="1"/>
  <c r="T39" i="7"/>
  <c r="GZ34" i="5"/>
  <c r="T47" i="7"/>
  <c r="GZ43" i="5"/>
  <c r="V51" i="7"/>
  <c r="CH47" i="5"/>
  <c r="V43" i="7"/>
  <c r="W39" i="1"/>
  <c r="V9" i="7" s="1"/>
  <c r="CH39" i="5"/>
  <c r="V26" i="7"/>
  <c r="FW20" i="5"/>
  <c r="EV6" i="1"/>
  <c r="EV24" i="1"/>
  <c r="U6" i="1"/>
  <c r="T6" i="7" s="1"/>
  <c r="AG6" i="1"/>
  <c r="AS4" i="5"/>
  <c r="DA6" i="1"/>
  <c r="M4" i="5" s="1"/>
  <c r="GH6" i="1"/>
  <c r="ET4" i="5"/>
  <c r="HS6" i="1"/>
  <c r="FJ4" i="5" s="1"/>
  <c r="IQ6" i="1"/>
  <c r="GT4" i="5"/>
  <c r="U24" i="1"/>
  <c r="T8" i="7" s="1"/>
  <c r="BN22" i="5"/>
  <c r="BW22" i="5"/>
  <c r="CE22" i="5"/>
  <c r="AI22" i="5"/>
  <c r="BU24" i="1"/>
  <c r="AY22" i="5"/>
  <c r="BG22" i="5"/>
  <c r="L26" i="8" s="1"/>
  <c r="GQ22" i="5"/>
  <c r="GY22" i="5"/>
  <c r="R9" i="7"/>
  <c r="CD37" i="5"/>
  <c r="BM37" i="5"/>
  <c r="AX37" i="5"/>
  <c r="I37" i="5"/>
  <c r="AA37" i="5"/>
  <c r="HA39" i="1"/>
  <c r="FD37" i="5"/>
  <c r="IF39" i="1"/>
  <c r="GI37" i="5"/>
  <c r="JI39" i="1"/>
  <c r="BG51" i="5"/>
  <c r="L55" i="8" s="1"/>
  <c r="DP51" i="5"/>
  <c r="EB51" i="5"/>
  <c r="EL51" i="5"/>
  <c r="ET51" i="5"/>
  <c r="V61" i="5"/>
  <c r="V53" i="5"/>
  <c r="X48" i="5"/>
  <c r="V41" i="5"/>
  <c r="X40" i="5"/>
  <c r="V35" i="5"/>
  <c r="X20" i="5"/>
  <c r="M18" i="5"/>
  <c r="C13" i="5"/>
  <c r="V12" i="5"/>
  <c r="AJ16" i="5"/>
  <c r="CH35" i="5"/>
  <c r="CF29" i="5"/>
  <c r="FB17" i="5"/>
  <c r="CZ47" i="1"/>
  <c r="L45" i="5" s="1"/>
  <c r="AQ17" i="5"/>
  <c r="FB19" i="5"/>
  <c r="FB11" i="5"/>
  <c r="DW18" i="5"/>
  <c r="DW10" i="5"/>
  <c r="CR17" i="5"/>
  <c r="CR9" i="5"/>
  <c r="BM15" i="5"/>
  <c r="DK36" i="5"/>
  <c r="DK35" i="5"/>
  <c r="CF34" i="5"/>
  <c r="FU58" i="5"/>
  <c r="FJ60" i="1"/>
  <c r="DA58" i="5" s="1"/>
  <c r="CZ58" i="5"/>
  <c r="FU46" i="5"/>
  <c r="EP45" i="5"/>
  <c r="CF43" i="5"/>
  <c r="AP44" i="1"/>
  <c r="BV42" i="5" s="1"/>
  <c r="BU42" i="5"/>
  <c r="GZ39" i="5"/>
  <c r="FU25" i="5"/>
  <c r="EP19" i="5"/>
  <c r="FK15" i="5"/>
  <c r="DK14" i="5"/>
  <c r="EP11" i="5"/>
  <c r="EP6" i="5"/>
  <c r="IY13" i="1"/>
  <c r="GP11" i="5" s="1"/>
  <c r="GO11" i="5"/>
  <c r="GO13" i="1"/>
  <c r="EF11" i="5" s="1"/>
  <c r="EE11" i="5"/>
  <c r="BR19" i="5"/>
  <c r="BR11" i="5"/>
  <c r="BQ19" i="5"/>
  <c r="BQ11" i="5"/>
  <c r="FD16" i="5"/>
  <c r="FD7" i="5"/>
  <c r="DY15" i="5"/>
  <c r="DY6" i="5"/>
  <c r="CT14" i="5"/>
  <c r="BO12" i="5"/>
  <c r="FC10" i="5"/>
  <c r="DX9" i="5"/>
  <c r="HB50" i="5"/>
  <c r="HB48" i="5"/>
  <c r="HB40" i="5"/>
  <c r="HB24" i="5"/>
  <c r="HB20" i="5"/>
  <c r="HB16" i="5"/>
  <c r="HB14" i="5"/>
  <c r="HB12" i="5"/>
  <c r="HB8" i="5"/>
  <c r="HB6" i="5"/>
  <c r="CH36" i="5"/>
  <c r="CH60" i="5"/>
  <c r="CH46" i="5"/>
  <c r="CH45" i="5"/>
  <c r="CH54" i="5"/>
  <c r="CH41" i="5"/>
  <c r="BZ4" i="5"/>
  <c r="AR4" i="5"/>
  <c r="AZ4" i="5"/>
  <c r="BH4" i="5"/>
  <c r="J4" i="5"/>
  <c r="R4" i="5"/>
  <c r="Z4" i="5"/>
  <c r="DO4" i="5"/>
  <c r="EI4" i="5"/>
  <c r="EQ4" i="5"/>
  <c r="FS4" i="5"/>
  <c r="GA4" i="5"/>
  <c r="P8" i="8" s="1"/>
  <c r="GU4" i="5"/>
  <c r="HC4" i="5"/>
  <c r="CX22" i="5"/>
  <c r="DF22" i="5"/>
  <c r="DN22" i="5"/>
  <c r="DZ22" i="5"/>
  <c r="EH22" i="5"/>
  <c r="FB22" i="5"/>
  <c r="FR22" i="5"/>
  <c r="FZ22" i="5"/>
  <c r="GL22" i="5"/>
  <c r="GT22" i="5"/>
  <c r="JK24" i="1"/>
  <c r="AU37" i="5"/>
  <c r="DA39" i="1"/>
  <c r="M37" i="5" s="1"/>
  <c r="CW37" i="5"/>
  <c r="DY37" i="5"/>
  <c r="EG37" i="5"/>
  <c r="EO37" i="5"/>
  <c r="EW37" i="5"/>
  <c r="FI37" i="5"/>
  <c r="FQ37" i="5"/>
  <c r="FY37" i="5"/>
  <c r="GK37" i="5"/>
  <c r="GS37" i="5"/>
  <c r="HA37" i="5"/>
  <c r="BT51" i="5"/>
  <c r="CB51" i="5"/>
  <c r="CJ51" i="5"/>
  <c r="CU51" i="5"/>
  <c r="FT53" i="1"/>
  <c r="DW51" i="5"/>
  <c r="FG51" i="5"/>
  <c r="FO51" i="5"/>
  <c r="IF53" i="1"/>
  <c r="GI51" i="5"/>
  <c r="GY51" i="5"/>
  <c r="HG51" i="5"/>
  <c r="M46" i="5"/>
  <c r="M20" i="5"/>
  <c r="E20" i="5"/>
  <c r="H19" i="5"/>
  <c r="M12" i="5"/>
  <c r="H11" i="5"/>
  <c r="AH14" i="5"/>
  <c r="AL10" i="5"/>
  <c r="CZ36" i="5"/>
  <c r="EO63" i="1"/>
  <c r="BA61" i="5"/>
  <c r="BA44" i="5"/>
  <c r="GG19" i="5"/>
  <c r="GG11" i="5"/>
  <c r="FB18" i="5"/>
  <c r="FB10" i="5"/>
  <c r="DW17" i="5"/>
  <c r="DW9" i="5"/>
  <c r="CF35" i="5"/>
  <c r="GZ61" i="5"/>
  <c r="EP58" i="5"/>
  <c r="FK32" i="5"/>
  <c r="EP46" i="5"/>
  <c r="FJ48" i="1"/>
  <c r="DA46" i="5" s="1"/>
  <c r="CZ46" i="5"/>
  <c r="DK45" i="5"/>
  <c r="GZ44" i="5"/>
  <c r="GZ41" i="5"/>
  <c r="FU39" i="5"/>
  <c r="GZ28" i="5"/>
  <c r="EP25" i="5"/>
  <c r="DK19" i="5"/>
  <c r="GZ18" i="5"/>
  <c r="CF14" i="5"/>
  <c r="DK11" i="5"/>
  <c r="DK6" i="5"/>
  <c r="BR18" i="5"/>
  <c r="HQ18" i="5" s="1"/>
  <c r="BR10" i="5"/>
  <c r="HQ10" i="5" s="1"/>
  <c r="BQ18" i="5"/>
  <c r="BQ10" i="5"/>
  <c r="GI16" i="5"/>
  <c r="GI7" i="5"/>
  <c r="FD15" i="5"/>
  <c r="FD6" i="5"/>
  <c r="DY14" i="5"/>
  <c r="GH10" i="5"/>
  <c r="FC9" i="5"/>
  <c r="FW50" i="5"/>
  <c r="FW48" i="5"/>
  <c r="FW30" i="5"/>
  <c r="FW40" i="5"/>
  <c r="FW24" i="5"/>
  <c r="FW16" i="5"/>
  <c r="FW14" i="5"/>
  <c r="FW12" i="5"/>
  <c r="FW8" i="5"/>
  <c r="FW6" i="5"/>
  <c r="BC20" i="5"/>
  <c r="BC12" i="5"/>
  <c r="CA4" i="5"/>
  <c r="CI4" i="5"/>
  <c r="K4" i="5"/>
  <c r="S4" i="5"/>
  <c r="AA4" i="5"/>
  <c r="DP4" i="5"/>
  <c r="EJ4" i="5"/>
  <c r="HM6" i="1"/>
  <c r="FL4" i="5"/>
  <c r="FT4" i="5"/>
  <c r="GB4" i="5"/>
  <c r="GV4" i="5"/>
  <c r="HD4" i="5"/>
  <c r="AO22" i="5"/>
  <c r="AW22" i="5"/>
  <c r="BE22" i="5"/>
  <c r="CY22" i="5"/>
  <c r="DO22" i="5"/>
  <c r="EA22" i="5"/>
  <c r="EI22" i="5"/>
  <c r="EQ22" i="5"/>
  <c r="FC22" i="5"/>
  <c r="FS22" i="5"/>
  <c r="GA22" i="5"/>
  <c r="P26" i="8" s="1"/>
  <c r="GM22" i="5"/>
  <c r="GU22" i="5"/>
  <c r="HC22" i="5"/>
  <c r="DJ39" i="1"/>
  <c r="CX37" i="5"/>
  <c r="DF37" i="5"/>
  <c r="DN37" i="5"/>
  <c r="EH37" i="5"/>
  <c r="FB37" i="5"/>
  <c r="HS39" i="1"/>
  <c r="FJ37" i="5" s="1"/>
  <c r="FR37" i="5"/>
  <c r="GL37" i="5"/>
  <c r="U53" i="1"/>
  <c r="T10" i="7" s="1"/>
  <c r="DX51" i="5"/>
  <c r="EN51" i="5"/>
  <c r="EV51" i="5"/>
  <c r="O55" i="8" s="1"/>
  <c r="FH51" i="5"/>
  <c r="GJ51" i="5"/>
  <c r="GR51" i="5"/>
  <c r="M60" i="5"/>
  <c r="M34" i="5"/>
  <c r="G19" i="5"/>
  <c r="M17" i="5"/>
  <c r="E17" i="5"/>
  <c r="C15" i="5"/>
  <c r="D12" i="5"/>
  <c r="G11" i="5"/>
  <c r="M9" i="5"/>
  <c r="E9" i="5"/>
  <c r="BU58" i="5"/>
  <c r="EF22" i="1"/>
  <c r="EF14" i="1"/>
  <c r="EO44" i="1"/>
  <c r="EO31" i="1"/>
  <c r="AQ59" i="5"/>
  <c r="AQ42" i="5"/>
  <c r="AQ8" i="5"/>
  <c r="GG10" i="5"/>
  <c r="FB9" i="5"/>
  <c r="DW7" i="5"/>
  <c r="CR15" i="5"/>
  <c r="CR6" i="5"/>
  <c r="BM13" i="5"/>
  <c r="FU61" i="5"/>
  <c r="DK58" i="5"/>
  <c r="GZ32" i="5"/>
  <c r="FU44" i="5"/>
  <c r="FU41" i="5"/>
  <c r="EP39" i="5"/>
  <c r="FU28" i="5"/>
  <c r="DK25" i="5"/>
  <c r="FK17" i="5"/>
  <c r="IY12" i="1"/>
  <c r="GP10" i="5" s="1"/>
  <c r="CF6" i="5"/>
  <c r="IY11" i="1"/>
  <c r="GP9" i="5" s="1"/>
  <c r="GO9" i="5"/>
  <c r="GO11" i="1"/>
  <c r="EF9" i="5" s="1"/>
  <c r="EE9" i="5"/>
  <c r="BR17" i="5"/>
  <c r="BQ17" i="5"/>
  <c r="BQ9" i="5"/>
  <c r="BP7" i="5"/>
  <c r="GI15" i="5"/>
  <c r="GI6" i="5"/>
  <c r="FD14" i="5"/>
  <c r="DY21" i="5"/>
  <c r="DY13" i="5"/>
  <c r="BO18" i="5"/>
  <c r="BO10" i="5"/>
  <c r="GH9" i="5"/>
  <c r="BN18" i="5"/>
  <c r="HM18" i="5" s="1"/>
  <c r="BN10" i="5"/>
  <c r="ER50" i="5"/>
  <c r="ER48" i="5"/>
  <c r="ER40" i="5"/>
  <c r="ER24" i="5"/>
  <c r="ER20" i="5"/>
  <c r="ER16" i="5"/>
  <c r="ER14" i="5"/>
  <c r="ER12" i="5"/>
  <c r="ER8" i="5"/>
  <c r="ER6" i="5"/>
  <c r="CH20" i="5"/>
  <c r="CH12" i="5"/>
  <c r="X6" i="5"/>
  <c r="CB4" i="5"/>
  <c r="CJ4" i="5"/>
  <c r="AT4" i="5"/>
  <c r="BB4" i="5"/>
  <c r="T4" i="5"/>
  <c r="AB4" i="5"/>
  <c r="K8" i="8" s="1"/>
  <c r="FB6" i="1"/>
  <c r="DI4" i="5"/>
  <c r="DQ4" i="5"/>
  <c r="N8" i="8" s="1"/>
  <c r="EK4" i="5"/>
  <c r="ES4" i="5"/>
  <c r="FM4" i="5"/>
  <c r="GW4" i="5"/>
  <c r="HE4" i="5"/>
  <c r="DL24" i="1"/>
  <c r="CR22" i="5"/>
  <c r="DH22" i="5"/>
  <c r="DP22" i="5"/>
  <c r="EB22" i="5"/>
  <c r="EJ22" i="5"/>
  <c r="HA24" i="1"/>
  <c r="FD22" i="5"/>
  <c r="FL22" i="5"/>
  <c r="FT22" i="5"/>
  <c r="GB22" i="5"/>
  <c r="GN22" i="5"/>
  <c r="GV22" i="5"/>
  <c r="HD22" i="5"/>
  <c r="BO37" i="5"/>
  <c r="BW37" i="5"/>
  <c r="CE37" i="5"/>
  <c r="CM37" i="5"/>
  <c r="AO37" i="5"/>
  <c r="AW37" i="5"/>
  <c r="BE37" i="5"/>
  <c r="CY37" i="5"/>
  <c r="DG37" i="5"/>
  <c r="DO37" i="5"/>
  <c r="EI37" i="5"/>
  <c r="EQ37" i="5"/>
  <c r="FC37" i="5"/>
  <c r="FS37" i="5"/>
  <c r="GA37" i="5"/>
  <c r="P41" i="8" s="1"/>
  <c r="GM37" i="5"/>
  <c r="HC37" i="5"/>
  <c r="AN51" i="5"/>
  <c r="AV51" i="5"/>
  <c r="BD51" i="5"/>
  <c r="CW51" i="5"/>
  <c r="DE51" i="5"/>
  <c r="DY51" i="5"/>
  <c r="EG51" i="5"/>
  <c r="EO51" i="5"/>
  <c r="EW51" i="5"/>
  <c r="FI51" i="5"/>
  <c r="FQ51" i="5"/>
  <c r="FY51" i="5"/>
  <c r="GK51" i="5"/>
  <c r="GS51" i="5"/>
  <c r="HA51" i="5"/>
  <c r="C20" i="5"/>
  <c r="C12" i="5"/>
  <c r="FJ32" i="5"/>
  <c r="EO19" i="1"/>
  <c r="AQ46" i="5"/>
  <c r="GG16" i="5"/>
  <c r="GG7" i="5"/>
  <c r="FB15" i="5"/>
  <c r="FB6" i="5"/>
  <c r="CR21" i="5"/>
  <c r="CR13" i="5"/>
  <c r="AP38" i="1"/>
  <c r="BV36" i="5" s="1"/>
  <c r="GZ33" i="5"/>
  <c r="FU47" i="5"/>
  <c r="IE47" i="5" s="1"/>
  <c r="HT59" i="1"/>
  <c r="FK57" i="5" s="1"/>
  <c r="FJ57" i="5"/>
  <c r="DK44" i="5"/>
  <c r="IY44" i="1"/>
  <c r="GP42" i="5" s="1"/>
  <c r="GO42" i="5"/>
  <c r="DK41" i="5"/>
  <c r="CF39" i="5"/>
  <c r="GZ29" i="5"/>
  <c r="DK28" i="5"/>
  <c r="HT26" i="1"/>
  <c r="FJ24" i="5"/>
  <c r="FU20" i="5"/>
  <c r="IE20" i="5" s="1"/>
  <c r="DA17" i="5"/>
  <c r="FU12" i="5"/>
  <c r="BV11" i="5"/>
  <c r="EF10" i="5"/>
  <c r="BR15" i="5"/>
  <c r="HQ15" i="5" s="1"/>
  <c r="BQ7" i="5"/>
  <c r="GJ7" i="5"/>
  <c r="FE7" i="5"/>
  <c r="DZ7" i="5"/>
  <c r="CU7" i="5"/>
  <c r="BP13" i="5"/>
  <c r="CT18" i="5"/>
  <c r="CT10" i="5"/>
  <c r="BO7" i="5"/>
  <c r="DX13" i="5"/>
  <c r="HB36" i="5"/>
  <c r="HB35" i="5"/>
  <c r="HB60" i="5"/>
  <c r="HB33" i="5"/>
  <c r="HB47" i="5"/>
  <c r="HB56" i="5"/>
  <c r="HB46" i="5"/>
  <c r="HB45" i="5"/>
  <c r="HB54" i="5"/>
  <c r="HB41" i="5"/>
  <c r="HB39" i="5"/>
  <c r="HB27" i="5"/>
  <c r="HB25" i="5"/>
  <c r="HB21" i="5"/>
  <c r="HB13" i="5"/>
  <c r="CH24" i="5"/>
  <c r="CH14" i="5"/>
  <c r="CH6" i="5"/>
  <c r="AN4" i="5"/>
  <c r="AV4" i="5"/>
  <c r="BD4" i="5"/>
  <c r="DC4" i="5"/>
  <c r="FT6" i="1"/>
  <c r="EM4" i="5"/>
  <c r="EU4" i="5"/>
  <c r="FO4" i="5"/>
  <c r="IF6" i="1"/>
  <c r="IR6" i="1"/>
  <c r="GQ4" i="5"/>
  <c r="GY4" i="5"/>
  <c r="HG4" i="5"/>
  <c r="BB24" i="1"/>
  <c r="AJ22" i="5"/>
  <c r="AR22" i="5"/>
  <c r="AZ22" i="5"/>
  <c r="BH22" i="5"/>
  <c r="CT22" i="5"/>
  <c r="DB22" i="5"/>
  <c r="DJ22" i="5"/>
  <c r="DR22" i="5"/>
  <c r="ED22" i="5"/>
  <c r="EL22" i="5"/>
  <c r="ET22" i="5"/>
  <c r="FF22" i="5"/>
  <c r="FN22" i="5"/>
  <c r="FV22" i="5"/>
  <c r="GH22" i="5"/>
  <c r="GX22" i="5"/>
  <c r="HF22" i="5"/>
  <c r="Q26" i="8" s="1"/>
  <c r="X9" i="7"/>
  <c r="BQ37" i="5"/>
  <c r="BY37" i="5"/>
  <c r="CG37" i="5"/>
  <c r="AI37" i="5"/>
  <c r="AY37" i="5"/>
  <c r="BG37" i="5"/>
  <c r="L41" i="8" s="1"/>
  <c r="CS37" i="5"/>
  <c r="DI37" i="5"/>
  <c r="DQ37" i="5"/>
  <c r="N41" i="8" s="1"/>
  <c r="EC37" i="5"/>
  <c r="EK37" i="5"/>
  <c r="ES37" i="5"/>
  <c r="FE37" i="5"/>
  <c r="FM37" i="5"/>
  <c r="ID39" i="1"/>
  <c r="GG37" i="5"/>
  <c r="GW37" i="5"/>
  <c r="HE37" i="5"/>
  <c r="BP51" i="5"/>
  <c r="BX51" i="5"/>
  <c r="AZ53" i="1"/>
  <c r="AH51" i="5"/>
  <c r="AP51" i="5"/>
  <c r="AX51" i="5"/>
  <c r="BF51" i="5"/>
  <c r="CY51" i="5"/>
  <c r="DG51" i="5"/>
  <c r="DO51" i="5"/>
  <c r="EA51" i="5"/>
  <c r="EI51" i="5"/>
  <c r="EQ51" i="5"/>
  <c r="FC51" i="5"/>
  <c r="FS51" i="5"/>
  <c r="GA51" i="5"/>
  <c r="P55" i="8" s="1"/>
  <c r="GM51" i="5"/>
  <c r="GU51" i="5"/>
  <c r="HC51" i="5"/>
  <c r="M33" i="5"/>
  <c r="L19" i="5"/>
  <c r="L11" i="5"/>
  <c r="IJ29" i="5"/>
  <c r="HX55" i="5"/>
  <c r="ID57" i="5"/>
  <c r="HS49" i="5"/>
  <c r="HZ62" i="5"/>
  <c r="HS59" i="5"/>
  <c r="HM53" i="5"/>
  <c r="IH28" i="5"/>
  <c r="IH49" i="5"/>
  <c r="IH58" i="5"/>
  <c r="IA61" i="5"/>
  <c r="IK46" i="5"/>
  <c r="HY41" i="5"/>
  <c r="HO3" i="5"/>
  <c r="II3" i="5"/>
  <c r="HW59" i="5"/>
  <c r="HZ58" i="5"/>
  <c r="HR58" i="5"/>
  <c r="ID54" i="5"/>
  <c r="HV54" i="5"/>
  <c r="HN54" i="5"/>
  <c r="HW50" i="5"/>
  <c r="HR49" i="5"/>
  <c r="IC48" i="5"/>
  <c r="IC40" i="5"/>
  <c r="HM40" i="5"/>
  <c r="IH32" i="5"/>
  <c r="HZ32" i="5"/>
  <c r="HR32" i="5"/>
  <c r="IL28" i="5"/>
  <c r="ID28" i="5"/>
  <c r="HV28" i="5"/>
  <c r="HN28" i="5"/>
  <c r="II20" i="5"/>
  <c r="IA20" i="5"/>
  <c r="HS20" i="5"/>
  <c r="HW16" i="5"/>
  <c r="IK14" i="5"/>
  <c r="IC14" i="5"/>
  <c r="IL11" i="5"/>
  <c r="ID11" i="5"/>
  <c r="HV11" i="5"/>
  <c r="HW8" i="5"/>
  <c r="HZ7" i="5"/>
  <c r="IJ43" i="5"/>
  <c r="HL43" i="5"/>
  <c r="HM60" i="5"/>
  <c r="II49" i="5"/>
  <c r="ID48" i="5"/>
  <c r="HN48" i="5"/>
  <c r="IJ46" i="5"/>
  <c r="HZ27" i="5"/>
  <c r="HV14" i="5"/>
  <c r="HX8" i="5"/>
  <c r="IF56" i="5"/>
  <c r="HR62" i="5"/>
  <c r="IK48" i="5"/>
  <c r="IJ59" i="5"/>
  <c r="IB59" i="5"/>
  <c r="HW58" i="5"/>
  <c r="HO58" i="5"/>
  <c r="IF55" i="5"/>
  <c r="II54" i="5"/>
  <c r="IA54" i="5"/>
  <c r="HS54" i="5"/>
  <c r="ID53" i="5"/>
  <c r="HV53" i="5"/>
  <c r="HN53" i="5"/>
  <c r="HW49" i="5"/>
  <c r="HO49" i="5"/>
  <c r="II45" i="5"/>
  <c r="IA45" i="5"/>
  <c r="ID44" i="5"/>
  <c r="HW41" i="5"/>
  <c r="IK39" i="5"/>
  <c r="ID35" i="5"/>
  <c r="IB33" i="5"/>
  <c r="HL33" i="5"/>
  <c r="IF20" i="5"/>
  <c r="HX20" i="5"/>
  <c r="II19" i="5"/>
  <c r="IA19" i="5"/>
  <c r="ID18" i="5"/>
  <c r="HV18" i="5"/>
  <c r="IJ16" i="5"/>
  <c r="IB16" i="5"/>
  <c r="IH14" i="5"/>
  <c r="HZ14" i="5"/>
  <c r="HR14" i="5"/>
  <c r="IF12" i="5"/>
  <c r="HX12" i="5"/>
  <c r="II11" i="5"/>
  <c r="IA11" i="5"/>
  <c r="ID10" i="5"/>
  <c r="HV10" i="5"/>
  <c r="HY9" i="5"/>
  <c r="HP36" i="5"/>
  <c r="ID34" i="5"/>
  <c r="IK29" i="5"/>
  <c r="II27" i="5"/>
  <c r="ID9" i="5"/>
  <c r="HX56" i="5"/>
  <c r="II59" i="5"/>
  <c r="HZ45" i="5"/>
  <c r="IA42" i="5"/>
  <c r="IC60" i="5"/>
  <c r="IJ26" i="5"/>
  <c r="IB26" i="5"/>
  <c r="HT26" i="5"/>
  <c r="HL26" i="5"/>
  <c r="IL50" i="5"/>
  <c r="HP56" i="5"/>
  <c r="IH54" i="5"/>
  <c r="HY58" i="5"/>
  <c r="HQ58" i="5"/>
  <c r="IB57" i="5"/>
  <c r="HL57" i="5"/>
  <c r="IK54" i="5"/>
  <c r="IC54" i="5"/>
  <c r="HM54" i="5"/>
  <c r="IH46" i="5"/>
  <c r="HZ46" i="5"/>
  <c r="IL42" i="5"/>
  <c r="HQ41" i="5"/>
  <c r="IL33" i="5"/>
  <c r="IK19" i="5"/>
  <c r="IC19" i="5"/>
  <c r="IF18" i="5"/>
  <c r="HX18" i="5"/>
  <c r="II17" i="5"/>
  <c r="IA17" i="5"/>
  <c r="IJ14" i="5"/>
  <c r="IB14" i="5"/>
  <c r="IH12" i="5"/>
  <c r="HZ12" i="5"/>
  <c r="HR12" i="5"/>
  <c r="IF10" i="5"/>
  <c r="HX10" i="5"/>
  <c r="IL8" i="5"/>
  <c r="ID8" i="5"/>
  <c r="HV8" i="5"/>
  <c r="HN8" i="5"/>
  <c r="HW55" i="5"/>
  <c r="HR54" i="5"/>
  <c r="IJ30" i="5"/>
  <c r="HV24" i="5"/>
  <c r="IA16" i="5"/>
  <c r="IK10" i="5"/>
  <c r="IC53" i="5"/>
  <c r="HP46" i="5"/>
  <c r="II46" i="5"/>
  <c r="IA46" i="5"/>
  <c r="HS46" i="5"/>
  <c r="IB34" i="5"/>
  <c r="HZ56" i="5"/>
  <c r="HO48" i="5"/>
  <c r="HO40" i="5"/>
  <c r="IL9" i="5"/>
  <c r="HV9" i="5"/>
  <c r="HW57" i="5"/>
  <c r="HR36" i="5"/>
  <c r="IK36" i="5"/>
  <c r="IC36" i="5"/>
  <c r="HM36" i="5"/>
  <c r="HR3" i="5"/>
  <c r="HY61" i="5"/>
  <c r="HQ61" i="5"/>
  <c r="IJ58" i="5"/>
  <c r="HL47" i="5"/>
  <c r="HO47" i="5"/>
  <c r="HZ47" i="5"/>
  <c r="IK40" i="5"/>
  <c r="IC29" i="5"/>
  <c r="HM29" i="5"/>
  <c r="HX29" i="5"/>
  <c r="IA62" i="5"/>
  <c r="HP55" i="5"/>
  <c r="IE15" i="5"/>
  <c r="IH6" i="5"/>
  <c r="IF61" i="5"/>
  <c r="HX61" i="5"/>
  <c r="HP61" i="5"/>
  <c r="IA60" i="5"/>
  <c r="ID59" i="5"/>
  <c r="HV59" i="5"/>
  <c r="IE56" i="5"/>
  <c r="HW56" i="5"/>
  <c r="HO56" i="5"/>
  <c r="IH55" i="5"/>
  <c r="HZ55" i="5"/>
  <c r="HR55" i="5"/>
  <c r="IF53" i="5"/>
  <c r="HX53" i="5"/>
  <c r="HP53" i="5"/>
  <c r="HV50" i="5"/>
  <c r="HQ49" i="5"/>
  <c r="IJ48" i="5"/>
  <c r="IB48" i="5"/>
  <c r="HT48" i="5"/>
  <c r="HL48" i="5"/>
  <c r="IK45" i="5"/>
  <c r="IC45" i="5"/>
  <c r="II43" i="5"/>
  <c r="IA43" i="5"/>
  <c r="HS43" i="5"/>
  <c r="IF35" i="5"/>
  <c r="HX35" i="5"/>
  <c r="HP35" i="5"/>
  <c r="IF27" i="5"/>
  <c r="HP27" i="5"/>
  <c r="IL25" i="5"/>
  <c r="ID25" i="5"/>
  <c r="HV25" i="5"/>
  <c r="HN25" i="5"/>
  <c r="IH20" i="5"/>
  <c r="HZ20" i="5"/>
  <c r="HR20" i="5"/>
  <c r="ID16" i="5"/>
  <c r="HV16" i="5"/>
  <c r="HY15" i="5"/>
  <c r="II9" i="5"/>
  <c r="IA9" i="5"/>
  <c r="HS9" i="5"/>
  <c r="HY7" i="5"/>
  <c r="IK27" i="5"/>
  <c r="II62" i="5"/>
  <c r="HY17" i="5"/>
  <c r="IL62" i="5"/>
  <c r="HV62" i="5"/>
  <c r="HN62" i="5"/>
  <c r="HO59" i="5"/>
  <c r="II55" i="5"/>
  <c r="IA55" i="5"/>
  <c r="HS55" i="5"/>
  <c r="HY53" i="5"/>
  <c r="HQ53" i="5"/>
  <c r="HO50" i="5"/>
  <c r="HM48" i="5"/>
  <c r="IF47" i="5"/>
  <c r="HX47" i="5"/>
  <c r="HP47" i="5"/>
  <c r="IF39" i="5"/>
  <c r="HX39" i="5"/>
  <c r="HP39" i="5"/>
  <c r="IL36" i="5"/>
  <c r="ID36" i="5"/>
  <c r="HV36" i="5"/>
  <c r="HN36" i="5"/>
  <c r="IJ34" i="5"/>
  <c r="HL34" i="5"/>
  <c r="IF30" i="5"/>
  <c r="HX30" i="5"/>
  <c r="HP30" i="5"/>
  <c r="II29" i="5"/>
  <c r="IH24" i="5"/>
  <c r="HZ24" i="5"/>
  <c r="HR24" i="5"/>
  <c r="IF21" i="5"/>
  <c r="HX21" i="5"/>
  <c r="IF13" i="5"/>
  <c r="HX13" i="5"/>
  <c r="II12" i="5"/>
  <c r="IA12" i="5"/>
  <c r="HY10" i="5"/>
  <c r="IK6" i="5"/>
  <c r="IC6" i="5"/>
  <c r="HO57" i="5"/>
  <c r="HN35" i="5"/>
  <c r="IK31" i="5"/>
  <c r="IC31" i="5"/>
  <c r="HM31" i="5"/>
  <c r="HW15" i="5"/>
  <c r="HZ6" i="5"/>
  <c r="IB15" i="5"/>
  <c r="II58" i="5"/>
  <c r="HS58" i="5"/>
  <c r="HN57" i="5"/>
  <c r="HY47" i="5"/>
  <c r="HS41" i="5"/>
  <c r="IB42" i="5"/>
  <c r="HL42" i="5"/>
  <c r="HW42" i="5"/>
  <c r="IJ24" i="5"/>
  <c r="HW13" i="5"/>
  <c r="IE3" i="5"/>
  <c r="IA3" i="5"/>
  <c r="HZ3" i="5"/>
  <c r="HP3" i="5"/>
  <c r="HM3" i="5"/>
  <c r="IJ3" i="5"/>
  <c r="IJ62" i="5"/>
  <c r="IB62" i="5"/>
  <c r="HT62" i="5"/>
  <c r="HL62" i="5"/>
  <c r="HW61" i="5"/>
  <c r="HO61" i="5"/>
  <c r="IH60" i="5"/>
  <c r="HZ60" i="5"/>
  <c r="HR60" i="5"/>
  <c r="IK59" i="5"/>
  <c r="IC59" i="5"/>
  <c r="HM59" i="5"/>
  <c r="IF58" i="5"/>
  <c r="HX58" i="5"/>
  <c r="HP58" i="5"/>
  <c r="II57" i="5"/>
  <c r="IA57" i="5"/>
  <c r="HS57" i="5"/>
  <c r="ID56" i="5"/>
  <c r="HV56" i="5"/>
  <c r="HN56" i="5"/>
  <c r="HY55" i="5"/>
  <c r="HQ55" i="5"/>
  <c r="IJ54" i="5"/>
  <c r="IB54" i="5"/>
  <c r="HT54" i="5"/>
  <c r="HL54" i="5"/>
  <c r="HW53" i="5"/>
  <c r="HO53" i="5"/>
  <c r="IK50" i="5"/>
  <c r="IC50" i="5"/>
  <c r="HM50" i="5"/>
  <c r="IF49" i="5"/>
  <c r="HX49" i="5"/>
  <c r="HP49" i="5"/>
  <c r="II48" i="5"/>
  <c r="IA48" i="5"/>
  <c r="HS48" i="5"/>
  <c r="ID47" i="5"/>
  <c r="HV47" i="5"/>
  <c r="HY46" i="5"/>
  <c r="HQ46" i="5"/>
  <c r="IJ45" i="5"/>
  <c r="IB45" i="5"/>
  <c r="HW44" i="5"/>
  <c r="HO44" i="5"/>
  <c r="IH43" i="5"/>
  <c r="IK42" i="5"/>
  <c r="IC42" i="5"/>
  <c r="HM42" i="5"/>
  <c r="II40" i="5"/>
  <c r="IA40" i="5"/>
  <c r="HS40" i="5"/>
  <c r="IJ36" i="5"/>
  <c r="IB36" i="5"/>
  <c r="HL36" i="5"/>
  <c r="IH34" i="5"/>
  <c r="HZ34" i="5"/>
  <c r="HR34" i="5"/>
  <c r="IF32" i="5"/>
  <c r="HX32" i="5"/>
  <c r="HP32" i="5"/>
  <c r="ID30" i="5"/>
  <c r="HV30" i="5"/>
  <c r="HN30" i="5"/>
  <c r="IJ28" i="5"/>
  <c r="IB28" i="5"/>
  <c r="HT28" i="5"/>
  <c r="HL28" i="5"/>
  <c r="IH26" i="5"/>
  <c r="HZ26" i="5"/>
  <c r="HR26" i="5"/>
  <c r="IF24" i="5"/>
  <c r="HX24" i="5"/>
  <c r="HP24" i="5"/>
  <c r="ID21" i="5"/>
  <c r="HV21" i="5"/>
  <c r="HY20" i="5"/>
  <c r="IJ19" i="5"/>
  <c r="IB19" i="5"/>
  <c r="HT19" i="5"/>
  <c r="HW18" i="5"/>
  <c r="IH17" i="5"/>
  <c r="HZ17" i="5"/>
  <c r="HR17" i="5"/>
  <c r="IK16" i="5"/>
  <c r="IC16" i="5"/>
  <c r="IF15" i="5"/>
  <c r="HX15" i="5"/>
  <c r="II14" i="5"/>
  <c r="IA14" i="5"/>
  <c r="HS14" i="5"/>
  <c r="ID13" i="5"/>
  <c r="HV13" i="5"/>
  <c r="HY12" i="5"/>
  <c r="IJ11" i="5"/>
  <c r="IB11" i="5"/>
  <c r="HW10" i="5"/>
  <c r="IH9" i="5"/>
  <c r="HZ9" i="5"/>
  <c r="HR9" i="5"/>
  <c r="IK8" i="5"/>
  <c r="IC8" i="5"/>
  <c r="IF7" i="5"/>
  <c r="HX7" i="5"/>
  <c r="II6" i="5"/>
  <c r="IA6" i="5"/>
  <c r="IE60" i="5"/>
  <c r="HW60" i="5"/>
  <c r="HO60" i="5"/>
  <c r="IH59" i="5"/>
  <c r="HZ59" i="5"/>
  <c r="HR59" i="5"/>
  <c r="IF57" i="5"/>
  <c r="HX57" i="5"/>
  <c r="HP57" i="5"/>
  <c r="II56" i="5"/>
  <c r="IA56" i="5"/>
  <c r="HS56" i="5"/>
  <c r="IL55" i="5"/>
  <c r="ID55" i="5"/>
  <c r="HV55" i="5"/>
  <c r="HN55" i="5"/>
  <c r="HY54" i="5"/>
  <c r="HQ54" i="5"/>
  <c r="II47" i="5"/>
  <c r="IA47" i="5"/>
  <c r="HS47" i="5"/>
  <c r="HY45" i="5"/>
  <c r="IJ44" i="5"/>
  <c r="IB44" i="5"/>
  <c r="HW43" i="5"/>
  <c r="HO43" i="5"/>
  <c r="II39" i="5"/>
  <c r="HZ33" i="5"/>
  <c r="HX31" i="5"/>
  <c r="HV29" i="5"/>
  <c r="IB27" i="5"/>
  <c r="HT27" i="5"/>
  <c r="HL27" i="5"/>
  <c r="IH25" i="5"/>
  <c r="HZ25" i="5"/>
  <c r="HR25" i="5"/>
  <c r="HY19" i="5"/>
  <c r="IH16" i="5"/>
  <c r="HZ16" i="5"/>
  <c r="IK15" i="5"/>
  <c r="IC15" i="5"/>
  <c r="HY11" i="5"/>
  <c r="IJ10" i="5"/>
  <c r="IB10" i="5"/>
  <c r="HT10" i="5"/>
  <c r="HW9" i="5"/>
  <c r="IF6" i="5"/>
  <c r="HX6" i="5"/>
  <c r="IC62" i="5"/>
  <c r="HZ49" i="5"/>
  <c r="HW48" i="5"/>
  <c r="IK28" i="5"/>
  <c r="HY18" i="5"/>
  <c r="IH7" i="5"/>
  <c r="ID19" i="5"/>
  <c r="ID3" i="5"/>
  <c r="IK3" i="5"/>
  <c r="HP62" i="5"/>
  <c r="II61" i="5"/>
  <c r="HS61" i="5"/>
  <c r="IL60" i="5"/>
  <c r="HV60" i="5"/>
  <c r="IB58" i="5"/>
  <c r="HL58" i="5"/>
  <c r="IH56" i="5"/>
  <c r="HR56" i="5"/>
  <c r="IK55" i="5"/>
  <c r="IC55" i="5"/>
  <c r="HM55" i="5"/>
  <c r="IA53" i="5"/>
  <c r="IH47" i="5"/>
  <c r="HR47" i="5"/>
  <c r="IC46" i="5"/>
  <c r="HS44" i="5"/>
  <c r="HY42" i="5"/>
  <c r="HQ42" i="5"/>
  <c r="HW40" i="5"/>
  <c r="IF36" i="5"/>
  <c r="HV34" i="5"/>
  <c r="HN34" i="5"/>
  <c r="IJ32" i="5"/>
  <c r="HX28" i="5"/>
  <c r="IF19" i="5"/>
  <c r="HX19" i="5"/>
  <c r="II18" i="5"/>
  <c r="IA18" i="5"/>
  <c r="HS18" i="5"/>
  <c r="ID17" i="5"/>
  <c r="HV17" i="5"/>
  <c r="IJ15" i="5"/>
  <c r="HW14" i="5"/>
  <c r="IK12" i="5"/>
  <c r="IC12" i="5"/>
  <c r="IF11" i="5"/>
  <c r="HX11" i="5"/>
  <c r="HW6" i="5"/>
  <c r="IK62" i="5"/>
  <c r="II60" i="5"/>
  <c r="HS60" i="5"/>
  <c r="IJ57" i="5"/>
  <c r="ID50" i="5"/>
  <c r="HN50" i="5"/>
  <c r="HY49" i="5"/>
  <c r="HW47" i="5"/>
  <c r="HM45" i="5"/>
  <c r="IF44" i="5"/>
  <c r="ID33" i="5"/>
  <c r="HV33" i="5"/>
  <c r="HN33" i="5"/>
  <c r="IH29" i="5"/>
  <c r="HR29" i="5"/>
  <c r="HX27" i="5"/>
  <c r="IK11" i="5"/>
  <c r="IC11" i="5"/>
  <c r="IJ6" i="5"/>
  <c r="IB6" i="5"/>
  <c r="ID62" i="5"/>
  <c r="IB56" i="5"/>
  <c r="HL56" i="5"/>
  <c r="HR46" i="5"/>
  <c r="HO20" i="5"/>
  <c r="IH15" i="5"/>
  <c r="HZ15" i="5"/>
  <c r="IJ9" i="5"/>
  <c r="IB9" i="5"/>
  <c r="HV43" i="5"/>
  <c r="HN43" i="5"/>
  <c r="IB43" i="5"/>
  <c r="IJ41" i="5"/>
  <c r="IB41" i="5"/>
  <c r="HT41" i="5"/>
  <c r="HL41" i="5"/>
  <c r="IA27" i="5"/>
  <c r="HS27" i="5"/>
  <c r="IL27" i="5"/>
  <c r="IJ17" i="5"/>
  <c r="IB17" i="5"/>
  <c r="HV19" i="5"/>
  <c r="HV3" i="5"/>
  <c r="HN3" i="5"/>
  <c r="IH62" i="5"/>
  <c r="IK61" i="5"/>
  <c r="IC61" i="5"/>
  <c r="HM61" i="5"/>
  <c r="IF60" i="5"/>
  <c r="HX60" i="5"/>
  <c r="HP60" i="5"/>
  <c r="IA59" i="5"/>
  <c r="ID58" i="5"/>
  <c r="HV58" i="5"/>
  <c r="HN58" i="5"/>
  <c r="IJ56" i="5"/>
  <c r="HT56" i="5"/>
  <c r="HO55" i="5"/>
  <c r="HZ54" i="5"/>
  <c r="IK53" i="5"/>
  <c r="II50" i="5"/>
  <c r="IA50" i="5"/>
  <c r="HS50" i="5"/>
  <c r="ID49" i="5"/>
  <c r="HV49" i="5"/>
  <c r="HN49" i="5"/>
  <c r="HO46" i="5"/>
  <c r="IH45" i="5"/>
  <c r="IK44" i="5"/>
  <c r="IC44" i="5"/>
  <c r="HM44" i="5"/>
  <c r="IF43" i="5"/>
  <c r="II42" i="5"/>
  <c r="HS42" i="5"/>
  <c r="HY40" i="5"/>
  <c r="HQ40" i="5"/>
  <c r="IB39" i="5"/>
  <c r="IH36" i="5"/>
  <c r="HX34" i="5"/>
  <c r="HT30" i="5"/>
  <c r="HR28" i="5"/>
  <c r="ID24" i="5"/>
  <c r="HN24" i="5"/>
  <c r="HW20" i="5"/>
  <c r="IH19" i="5"/>
  <c r="HZ19" i="5"/>
  <c r="HR19" i="5"/>
  <c r="IK18" i="5"/>
  <c r="IC18" i="5"/>
  <c r="II16" i="5"/>
  <c r="ID15" i="5"/>
  <c r="HV15" i="5"/>
  <c r="HY14" i="5"/>
  <c r="HW12" i="5"/>
  <c r="HR11" i="5"/>
  <c r="IC10" i="5"/>
  <c r="IF9" i="5"/>
  <c r="HX9" i="5"/>
  <c r="II8" i="5"/>
  <c r="IA8" i="5"/>
  <c r="ID7" i="5"/>
  <c r="HV7" i="5"/>
  <c r="HY6" i="5"/>
  <c r="IH61" i="5"/>
  <c r="HZ61" i="5"/>
  <c r="HR61" i="5"/>
  <c r="IK60" i="5"/>
  <c r="IA58" i="5"/>
  <c r="HV57" i="5"/>
  <c r="IJ55" i="5"/>
  <c r="IB55" i="5"/>
  <c r="HT55" i="5"/>
  <c r="HW54" i="5"/>
  <c r="HO54" i="5"/>
  <c r="IA49" i="5"/>
  <c r="HV48" i="5"/>
  <c r="HQ47" i="5"/>
  <c r="IB46" i="5"/>
  <c r="IK43" i="5"/>
  <c r="IC43" i="5"/>
  <c r="HM43" i="5"/>
  <c r="II41" i="5"/>
  <c r="IA41" i="5"/>
  <c r="IH35" i="5"/>
  <c r="HZ35" i="5"/>
  <c r="HR35" i="5"/>
  <c r="HV31" i="5"/>
  <c r="HX25" i="5"/>
  <c r="IH18" i="5"/>
  <c r="HZ18" i="5"/>
  <c r="HR18" i="5"/>
  <c r="IF16" i="5"/>
  <c r="HX16" i="5"/>
  <c r="ID14" i="5"/>
  <c r="IH10" i="5"/>
  <c r="HZ10" i="5"/>
  <c r="HR10" i="5"/>
  <c r="IF8" i="5"/>
  <c r="II7" i="5"/>
  <c r="IA7" i="5"/>
  <c r="ID60" i="5"/>
  <c r="HN60" i="5"/>
  <c r="HY59" i="5"/>
  <c r="HQ59" i="5"/>
  <c r="II53" i="5"/>
  <c r="HS53" i="5"/>
  <c r="IJ39" i="5"/>
  <c r="II34" i="5"/>
  <c r="IA34" i="5"/>
  <c r="HS34" i="5"/>
  <c r="IH31" i="5"/>
  <c r="HR31" i="5"/>
  <c r="IC26" i="5"/>
  <c r="HM26" i="5"/>
  <c r="HX26" i="5"/>
  <c r="HW21" i="5"/>
  <c r="IL56" i="5"/>
  <c r="IL29" i="5"/>
  <c r="IL58" i="5"/>
  <c r="IL49" i="5"/>
  <c r="IL32" i="5"/>
  <c r="IL15" i="5"/>
  <c r="IL7" i="5"/>
  <c r="IL61" i="5"/>
  <c r="IL35" i="5"/>
  <c r="IL18" i="5"/>
  <c r="IL10" i="5"/>
  <c r="IF3" i="5"/>
  <c r="IC3" i="5"/>
  <c r="HS3" i="5"/>
  <c r="IG57" i="5"/>
  <c r="HY57" i="5"/>
  <c r="HQ57" i="5"/>
  <c r="HY48" i="5"/>
  <c r="HQ48" i="5"/>
  <c r="IJ47" i="5"/>
  <c r="IB47" i="5"/>
  <c r="HW46" i="5"/>
  <c r="HL39" i="5"/>
  <c r="HZ36" i="5"/>
  <c r="IF34" i="5"/>
  <c r="HP34" i="5"/>
  <c r="ID32" i="5"/>
  <c r="HV32" i="5"/>
  <c r="HN32" i="5"/>
  <c r="IB30" i="5"/>
  <c r="HL30" i="5"/>
  <c r="HZ28" i="5"/>
  <c r="IF26" i="5"/>
  <c r="HP26" i="5"/>
  <c r="IJ21" i="5"/>
  <c r="IB21" i="5"/>
  <c r="IF17" i="5"/>
  <c r="HX17" i="5"/>
  <c r="IJ13" i="5"/>
  <c r="IB13" i="5"/>
  <c r="IH11" i="5"/>
  <c r="HZ11" i="5"/>
  <c r="HY13" i="5"/>
  <c r="HV46" i="5"/>
  <c r="HN46" i="5"/>
  <c r="IK33" i="5"/>
  <c r="IC33" i="5"/>
  <c r="HM33" i="5"/>
  <c r="ID61" i="5"/>
  <c r="HV61" i="5"/>
  <c r="HN61" i="5"/>
  <c r="HY60" i="5"/>
  <c r="HQ60" i="5"/>
  <c r="IH57" i="5"/>
  <c r="HZ57" i="5"/>
  <c r="HR57" i="5"/>
  <c r="IK56" i="5"/>
  <c r="IC56" i="5"/>
  <c r="HM56" i="5"/>
  <c r="IJ50" i="5"/>
  <c r="IB50" i="5"/>
  <c r="HL50" i="5"/>
  <c r="IH48" i="5"/>
  <c r="HZ48" i="5"/>
  <c r="HR48" i="5"/>
  <c r="IK47" i="5"/>
  <c r="IC47" i="5"/>
  <c r="HM47" i="5"/>
  <c r="IF46" i="5"/>
  <c r="HX46" i="5"/>
  <c r="HS45" i="5"/>
  <c r="HY43" i="5"/>
  <c r="HQ43" i="5"/>
  <c r="IJ42" i="5"/>
  <c r="HO41" i="5"/>
  <c r="HV35" i="5"/>
  <c r="IJ33" i="5"/>
  <c r="HZ31" i="5"/>
  <c r="IF29" i="5"/>
  <c r="HP29" i="5"/>
  <c r="ID27" i="5"/>
  <c r="HV27" i="5"/>
  <c r="HN27" i="5"/>
  <c r="IJ25" i="5"/>
  <c r="IB25" i="5"/>
  <c r="HT25" i="5"/>
  <c r="HL25" i="5"/>
  <c r="IK21" i="5"/>
  <c r="IC21" i="5"/>
  <c r="IK13" i="5"/>
  <c r="IC13" i="5"/>
  <c r="IJ8" i="5"/>
  <c r="IB8" i="5"/>
  <c r="HL8" i="5"/>
  <c r="IE7" i="5"/>
  <c r="HW7" i="5"/>
  <c r="HR44" i="5"/>
  <c r="II32" i="5"/>
  <c r="IA32" i="5"/>
  <c r="HS32" i="5"/>
  <c r="IL31" i="5"/>
  <c r="II30" i="5"/>
  <c r="IA30" i="5"/>
  <c r="HS30" i="5"/>
  <c r="HS11" i="5"/>
  <c r="IL47" i="5"/>
  <c r="IL13" i="5"/>
  <c r="HQ62" i="5"/>
  <c r="IL21" i="5"/>
  <c r="IJ31" i="5"/>
  <c r="IL30" i="5"/>
  <c r="IB60" i="5"/>
  <c r="IC57" i="5"/>
  <c r="HQ44" i="5"/>
  <c r="ID39" i="5"/>
  <c r="IF59" i="5"/>
  <c r="HY56" i="5"/>
  <c r="HZ53" i="5"/>
  <c r="HX50" i="5"/>
  <c r="HO45" i="5"/>
  <c r="HP33" i="5"/>
  <c r="ID31" i="5"/>
  <c r="IB29" i="5"/>
  <c r="HP25" i="5"/>
  <c r="IJ20" i="5"/>
  <c r="IC17" i="5"/>
  <c r="IA15" i="5"/>
  <c r="IK9" i="5"/>
  <c r="HP40" i="5"/>
  <c r="IC28" i="5"/>
  <c r="HM28" i="5"/>
  <c r="IL39" i="5"/>
  <c r="IL43" i="5"/>
  <c r="IL34" i="5"/>
  <c r="IL17" i="5"/>
  <c r="IL19" i="5"/>
  <c r="HY62" i="5"/>
  <c r="HL31" i="5"/>
  <c r="HT60" i="5"/>
  <c r="IK57" i="5"/>
  <c r="HM57" i="5"/>
  <c r="HV39" i="5"/>
  <c r="HO36" i="5"/>
  <c r="HX59" i="5"/>
  <c r="IH53" i="5"/>
  <c r="HP50" i="5"/>
  <c r="HW45" i="5"/>
  <c r="HZ44" i="5"/>
  <c r="HX33" i="5"/>
  <c r="HN31" i="5"/>
  <c r="HL29" i="5"/>
  <c r="IH27" i="5"/>
  <c r="IK26" i="5"/>
  <c r="II15" i="5"/>
  <c r="IJ12" i="5"/>
  <c r="HW11" i="5"/>
  <c r="IL6" i="5"/>
  <c r="HV6" i="5"/>
  <c r="HO42" i="5"/>
  <c r="IF40" i="5"/>
  <c r="HW3" i="5"/>
  <c r="IF62" i="5"/>
  <c r="HX62" i="5"/>
  <c r="IF54" i="5"/>
  <c r="HX54" i="5"/>
  <c r="HP54" i="5"/>
  <c r="HY50" i="5"/>
  <c r="HQ50" i="5"/>
  <c r="IJ49" i="5"/>
  <c r="IB49" i="5"/>
  <c r="HL49" i="5"/>
  <c r="HM46" i="5"/>
  <c r="IF45" i="5"/>
  <c r="II44" i="5"/>
  <c r="IA44" i="5"/>
  <c r="ID43" i="5"/>
  <c r="HX36" i="5"/>
  <c r="IB32" i="5"/>
  <c r="HL32" i="5"/>
  <c r="IH30" i="5"/>
  <c r="HZ30" i="5"/>
  <c r="HR30" i="5"/>
  <c r="IF28" i="5"/>
  <c r="HP28" i="5"/>
  <c r="ID26" i="5"/>
  <c r="HV26" i="5"/>
  <c r="HN26" i="5"/>
  <c r="IB24" i="5"/>
  <c r="HL24" i="5"/>
  <c r="IH21" i="5"/>
  <c r="HZ21" i="5"/>
  <c r="IK20" i="5"/>
  <c r="IC20" i="5"/>
  <c r="HY16" i="5"/>
  <c r="IH13" i="5"/>
  <c r="HZ13" i="5"/>
  <c r="II10" i="5"/>
  <c r="IA10" i="5"/>
  <c r="HS10" i="5"/>
  <c r="HY8" i="5"/>
  <c r="IJ7" i="5"/>
  <c r="IB7" i="5"/>
  <c r="HZ29" i="5"/>
  <c r="HV45" i="5"/>
  <c r="HN45" i="5"/>
  <c r="IH41" i="5"/>
  <c r="HZ41" i="5"/>
  <c r="HR41" i="5"/>
  <c r="HW35" i="5"/>
  <c r="HO35" i="5"/>
  <c r="IK34" i="5"/>
  <c r="IC34" i="5"/>
  <c r="HM34" i="5"/>
  <c r="IC27" i="5"/>
  <c r="HM27" i="5"/>
  <c r="IL26" i="5"/>
  <c r="IK25" i="5"/>
  <c r="IC25" i="5"/>
  <c r="HM25" i="5"/>
  <c r="IL24" i="5"/>
  <c r="IB31" i="5"/>
  <c r="IJ60" i="5"/>
  <c r="HL60" i="5"/>
  <c r="ID45" i="5"/>
  <c r="HY44" i="5"/>
  <c r="HN39" i="5"/>
  <c r="HW36" i="5"/>
  <c r="IE62" i="5"/>
  <c r="HQ56" i="5"/>
  <c r="HR53" i="5"/>
  <c r="IF50" i="5"/>
  <c r="IH44" i="5"/>
  <c r="IF33" i="5"/>
  <c r="HR27" i="5"/>
  <c r="IF25" i="5"/>
  <c r="HY21" i="5"/>
  <c r="IB20" i="5"/>
  <c r="HW19" i="5"/>
  <c r="IK17" i="5"/>
  <c r="IB12" i="5"/>
  <c r="IC9" i="5"/>
  <c r="ID6" i="5"/>
  <c r="IL44" i="5"/>
  <c r="IE42" i="5"/>
  <c r="HX40" i="5"/>
  <c r="HT3" i="5"/>
  <c r="HQ3" i="5"/>
  <c r="IJ61" i="5"/>
  <c r="IB61" i="5"/>
  <c r="HL61" i="5"/>
  <c r="IK58" i="5"/>
  <c r="IC58" i="5"/>
  <c r="HM58" i="5"/>
  <c r="IJ53" i="5"/>
  <c r="IB53" i="5"/>
  <c r="HL53" i="5"/>
  <c r="IH50" i="5"/>
  <c r="HZ50" i="5"/>
  <c r="HR50" i="5"/>
  <c r="IK49" i="5"/>
  <c r="IC49" i="5"/>
  <c r="HM49" i="5"/>
  <c r="IF48" i="5"/>
  <c r="HX48" i="5"/>
  <c r="HP48" i="5"/>
  <c r="ID46" i="5"/>
  <c r="HQ45" i="5"/>
  <c r="IK41" i="5"/>
  <c r="IC41" i="5"/>
  <c r="HM41" i="5"/>
  <c r="IJ35" i="5"/>
  <c r="IB35" i="5"/>
  <c r="HT35" i="5"/>
  <c r="HL35" i="5"/>
  <c r="IH33" i="5"/>
  <c r="HR33" i="5"/>
  <c r="IF31" i="5"/>
  <c r="HP31" i="5"/>
  <c r="ID29" i="5"/>
  <c r="HN29" i="5"/>
  <c r="IJ27" i="5"/>
  <c r="II21" i="5"/>
  <c r="IA21" i="5"/>
  <c r="ID20" i="5"/>
  <c r="HV20" i="5"/>
  <c r="IJ18" i="5"/>
  <c r="IB18" i="5"/>
  <c r="HT18" i="5"/>
  <c r="HW17" i="5"/>
  <c r="IF14" i="5"/>
  <c r="HX14" i="5"/>
  <c r="II13" i="5"/>
  <c r="IA13" i="5"/>
  <c r="ID12" i="5"/>
  <c r="HV12" i="5"/>
  <c r="IH8" i="5"/>
  <c r="HZ8" i="5"/>
  <c r="HR8" i="5"/>
  <c r="IK7" i="5"/>
  <c r="IC7" i="5"/>
  <c r="IL57" i="5"/>
  <c r="IL53" i="5"/>
  <c r="IL48" i="5"/>
  <c r="HX44" i="5"/>
  <c r="HP44" i="5"/>
  <c r="ID42" i="5"/>
  <c r="HV42" i="5"/>
  <c r="HN42" i="5"/>
  <c r="IH40" i="5"/>
  <c r="HZ40" i="5"/>
  <c r="HR40" i="5"/>
  <c r="HY32" i="5"/>
  <c r="HQ32" i="5"/>
  <c r="HY30" i="5"/>
  <c r="HQ30" i="5"/>
  <c r="II24" i="5"/>
  <c r="IA24" i="5"/>
  <c r="HS24" i="5"/>
  <c r="IL14" i="5"/>
  <c r="II26" i="5"/>
  <c r="IA26" i="5"/>
  <c r="HS26" i="5"/>
  <c r="HY24" i="5"/>
  <c r="HQ24" i="5"/>
  <c r="HM20" i="5"/>
  <c r="HM19" i="5"/>
  <c r="HO18" i="5"/>
  <c r="HO17" i="5"/>
  <c r="HW62" i="5"/>
  <c r="HO62" i="5"/>
  <c r="HP59" i="5"/>
  <c r="HL45" i="5"/>
  <c r="IK35" i="5"/>
  <c r="IC35" i="5"/>
  <c r="HM35" i="5"/>
  <c r="II33" i="5"/>
  <c r="IA33" i="5"/>
  <c r="HS33" i="5"/>
  <c r="II31" i="5"/>
  <c r="IA31" i="5"/>
  <c r="HS31" i="5"/>
  <c r="IA29" i="5"/>
  <c r="HS29" i="5"/>
  <c r="II28" i="5"/>
  <c r="IA28" i="5"/>
  <c r="HS28" i="5"/>
  <c r="II25" i="5"/>
  <c r="IA25" i="5"/>
  <c r="HS25" i="5"/>
  <c r="IL20" i="5"/>
  <c r="HM14" i="5"/>
  <c r="IL12" i="5"/>
  <c r="IL41" i="5"/>
  <c r="HX43" i="5"/>
  <c r="HP42" i="5"/>
  <c r="HN41" i="5"/>
  <c r="HT40" i="5"/>
  <c r="HY36" i="5"/>
  <c r="HO34" i="5"/>
  <c r="IC32" i="5"/>
  <c r="IC24" i="5"/>
  <c r="HM11" i="5"/>
  <c r="HS62" i="5"/>
  <c r="HL59" i="5"/>
  <c r="IL46" i="5"/>
  <c r="HX45" i="5"/>
  <c r="HP45" i="5"/>
  <c r="HY35" i="5"/>
  <c r="HQ35" i="5"/>
  <c r="HW33" i="5"/>
  <c r="HO33" i="5"/>
  <c r="HW31" i="5"/>
  <c r="HO31" i="5"/>
  <c r="HW29" i="5"/>
  <c r="HO29" i="5"/>
  <c r="HW28" i="5"/>
  <c r="HO28" i="5"/>
  <c r="HW25" i="5"/>
  <c r="HO25" i="5"/>
  <c r="HO15" i="5"/>
  <c r="IL40" i="5"/>
  <c r="HL44" i="5"/>
  <c r="IF42" i="5"/>
  <c r="ID41" i="5"/>
  <c r="IB40" i="5"/>
  <c r="HQ36" i="5"/>
  <c r="IK30" i="5"/>
  <c r="HM30" i="5"/>
  <c r="HW27" i="5"/>
  <c r="HO26" i="5"/>
  <c r="IK24" i="5"/>
  <c r="HM24" i="5"/>
  <c r="HL55" i="5"/>
  <c r="HN47" i="5"/>
  <c r="HL46" i="5"/>
  <c r="HV44" i="5"/>
  <c r="HN44" i="5"/>
  <c r="HZ43" i="5"/>
  <c r="HR43" i="5"/>
  <c r="IH42" i="5"/>
  <c r="HZ42" i="5"/>
  <c r="HR42" i="5"/>
  <c r="IF41" i="5"/>
  <c r="HX41" i="5"/>
  <c r="HP41" i="5"/>
  <c r="ID40" i="5"/>
  <c r="HV40" i="5"/>
  <c r="HN40" i="5"/>
  <c r="IH39" i="5"/>
  <c r="HZ39" i="5"/>
  <c r="HR39" i="5"/>
  <c r="II36" i="5"/>
  <c r="IA36" i="5"/>
  <c r="HS36" i="5"/>
  <c r="HY34" i="5"/>
  <c r="HQ34" i="5"/>
  <c r="HW32" i="5"/>
  <c r="HO32" i="5"/>
  <c r="HW30" i="5"/>
  <c r="HO30" i="5"/>
  <c r="HY27" i="5"/>
  <c r="HQ27" i="5"/>
  <c r="HY26" i="5"/>
  <c r="HQ26" i="5"/>
  <c r="HW24" i="5"/>
  <c r="HO24" i="5"/>
  <c r="HS19" i="5"/>
  <c r="IL16" i="5"/>
  <c r="HO16" i="5"/>
  <c r="HO11" i="5"/>
  <c r="HP43" i="5"/>
  <c r="HX42" i="5"/>
  <c r="HV41" i="5"/>
  <c r="IJ40" i="5"/>
  <c r="HL40" i="5"/>
  <c r="HW34" i="5"/>
  <c r="IK32" i="5"/>
  <c r="HM32" i="5"/>
  <c r="IC30" i="5"/>
  <c r="HO27" i="5"/>
  <c r="HW26" i="5"/>
  <c r="HS17" i="5"/>
  <c r="HM62" i="5"/>
  <c r="IL59" i="5"/>
  <c r="HN59" i="5"/>
  <c r="IL54" i="5"/>
  <c r="IL45" i="5"/>
  <c r="HR45" i="5"/>
  <c r="II35" i="5"/>
  <c r="IA35" i="5"/>
  <c r="HS35" i="5"/>
  <c r="HY33" i="5"/>
  <c r="HQ33" i="5"/>
  <c r="HY31" i="5"/>
  <c r="HQ31" i="5"/>
  <c r="HY29" i="5"/>
  <c r="HQ29" i="5"/>
  <c r="HY28" i="5"/>
  <c r="HQ28" i="5"/>
  <c r="HY25" i="5"/>
  <c r="HQ25" i="5"/>
  <c r="HM8" i="5"/>
  <c r="IC39" i="5"/>
  <c r="IA39" i="5"/>
  <c r="HY39" i="5"/>
  <c r="HW39" i="5"/>
  <c r="HS39" i="5"/>
  <c r="HQ39" i="5"/>
  <c r="HO39" i="5"/>
  <c r="HM39" i="5"/>
  <c r="EF35" i="1"/>
  <c r="EF49" i="1"/>
  <c r="EF33" i="1"/>
  <c r="EF42" i="1"/>
  <c r="EO57" i="1"/>
  <c r="FJ47" i="1"/>
  <c r="DA45" i="5" s="1"/>
  <c r="FJ56" i="1"/>
  <c r="DA54" i="5" s="1"/>
  <c r="FJ33" i="1"/>
  <c r="DA31" i="5" s="1"/>
  <c r="AP32" i="1"/>
  <c r="BV30" i="5" s="1"/>
  <c r="AP47" i="1"/>
  <c r="BV45" i="5" s="1"/>
  <c r="HT46" i="1"/>
  <c r="FK44" i="5" s="1"/>
  <c r="AP56" i="1"/>
  <c r="BV54" i="5" s="1"/>
  <c r="FJ55" i="1"/>
  <c r="EF64" i="1"/>
  <c r="EF51" i="1"/>
  <c r="EF34" i="1"/>
  <c r="EF58" i="1"/>
  <c r="EF48" i="1"/>
  <c r="EO48" i="1"/>
  <c r="EO45" i="1"/>
  <c r="CZ64" i="1"/>
  <c r="HT38" i="1"/>
  <c r="FK36" i="5" s="1"/>
  <c r="FJ63" i="1"/>
  <c r="DA61" i="5" s="1"/>
  <c r="FJ36" i="1"/>
  <c r="DA34" i="5" s="1"/>
  <c r="AP36" i="1"/>
  <c r="BV34" i="5" s="1"/>
  <c r="IY51" i="1"/>
  <c r="GP49" i="5" s="1"/>
  <c r="GO51" i="1"/>
  <c r="EF49" i="5" s="1"/>
  <c r="HT50" i="1"/>
  <c r="FK48" i="5" s="1"/>
  <c r="AP45" i="1"/>
  <c r="BV43" i="5" s="1"/>
  <c r="HT57" i="1"/>
  <c r="FK55" i="5" s="1"/>
  <c r="AP43" i="1"/>
  <c r="HT42" i="1"/>
  <c r="FK40" i="5" s="1"/>
  <c r="AP55" i="1"/>
  <c r="HT28" i="1"/>
  <c r="FK26" i="5" s="1"/>
  <c r="EF38" i="1"/>
  <c r="EF36" i="1"/>
  <c r="EO59" i="1"/>
  <c r="CZ50" i="1"/>
  <c r="L48" i="5" s="1"/>
  <c r="CZ33" i="1"/>
  <c r="L31" i="5" s="1"/>
  <c r="IY38" i="1"/>
  <c r="GP36" i="5" s="1"/>
  <c r="GO38" i="1"/>
  <c r="EF36" i="5" s="1"/>
  <c r="AP63" i="1"/>
  <c r="BV61" i="5" s="1"/>
  <c r="AP51" i="1"/>
  <c r="BV49" i="5" s="1"/>
  <c r="HT62" i="1"/>
  <c r="FK60" i="5" s="1"/>
  <c r="AP33" i="1"/>
  <c r="BV31" i="5" s="1"/>
  <c r="FJ46" i="1"/>
  <c r="DA44" i="5" s="1"/>
  <c r="FJ57" i="1"/>
  <c r="DA55" i="5" s="1"/>
  <c r="FJ42" i="1"/>
  <c r="DA40" i="5" s="1"/>
  <c r="FJ30" i="1"/>
  <c r="DA28" i="5" s="1"/>
  <c r="FJ28" i="1"/>
  <c r="DA26" i="5" s="1"/>
  <c r="EQ58" i="1"/>
  <c r="HX3" i="5"/>
  <c r="EF52" i="1"/>
  <c r="EF62" i="1"/>
  <c r="EF32" i="1"/>
  <c r="CZ52" i="1"/>
  <c r="L50" i="5" s="1"/>
  <c r="CZ51" i="1"/>
  <c r="L49" i="5" s="1"/>
  <c r="AP52" i="1"/>
  <c r="BV50" i="5" s="1"/>
  <c r="HT63" i="1"/>
  <c r="FK61" i="5" s="1"/>
  <c r="IY36" i="1"/>
  <c r="GP34" i="5" s="1"/>
  <c r="GO36" i="1"/>
  <c r="EF34" i="5" s="1"/>
  <c r="FJ62" i="1"/>
  <c r="DA60" i="5" s="1"/>
  <c r="FJ50" i="1"/>
  <c r="DA48" i="5" s="1"/>
  <c r="HT33" i="1"/>
  <c r="FK31" i="5" s="1"/>
  <c r="AP48" i="1"/>
  <c r="BV46" i="5" s="1"/>
  <c r="HT47" i="1"/>
  <c r="FK45" i="5" s="1"/>
  <c r="AP46" i="1"/>
  <c r="BV44" i="5" s="1"/>
  <c r="HT45" i="1"/>
  <c r="FK43" i="5" s="1"/>
  <c r="AP57" i="1"/>
  <c r="BV55" i="5" s="1"/>
  <c r="HT56" i="1"/>
  <c r="FK54" i="5" s="1"/>
  <c r="HT43" i="1"/>
  <c r="FK41" i="5" s="1"/>
  <c r="AP42" i="1"/>
  <c r="BV40" i="5" s="1"/>
  <c r="HT31" i="1"/>
  <c r="FK29" i="5" s="1"/>
  <c r="AP30" i="1"/>
  <c r="BV28" i="5" s="1"/>
  <c r="HT55" i="1"/>
  <c r="AP28" i="1"/>
  <c r="BV26" i="5" s="1"/>
  <c r="EQ29" i="1"/>
  <c r="EQ62" i="1"/>
  <c r="EO38" i="1"/>
  <c r="EO58" i="1"/>
  <c r="EQ56" i="1"/>
  <c r="EQ49" i="1"/>
  <c r="EQ41" i="1"/>
  <c r="EE37" i="1"/>
  <c r="EO64" i="1"/>
  <c r="EO60" i="1"/>
  <c r="EO56" i="1"/>
  <c r="EO43" i="1"/>
  <c r="EO41" i="1"/>
  <c r="EO30" i="1"/>
  <c r="EO29" i="1"/>
  <c r="EO23" i="1"/>
  <c r="EO15" i="1"/>
  <c r="EO13" i="1"/>
  <c r="EO11" i="1"/>
  <c r="EO9" i="1"/>
  <c r="EQ37" i="1"/>
  <c r="EQ47" i="1"/>
  <c r="EE38" i="1"/>
  <c r="EE35" i="1"/>
  <c r="EE27" i="1"/>
  <c r="EE26" i="1"/>
  <c r="EE22" i="1"/>
  <c r="EE19" i="1"/>
  <c r="EE14" i="1"/>
  <c r="EE11" i="1"/>
  <c r="IY50" i="1"/>
  <c r="GP48" i="5" s="1"/>
  <c r="GO50" i="1"/>
  <c r="EF48" i="5" s="1"/>
  <c r="IY49" i="1"/>
  <c r="GP47" i="5" s="1"/>
  <c r="HT49" i="1"/>
  <c r="FK47" i="5" s="1"/>
  <c r="GO49" i="1"/>
  <c r="EF47" i="5" s="1"/>
  <c r="FJ49" i="1"/>
  <c r="DA47" i="5" s="1"/>
  <c r="IY34" i="1"/>
  <c r="GP32" i="5" s="1"/>
  <c r="GO34" i="1"/>
  <c r="EF32" i="5" s="1"/>
  <c r="HL3" i="5"/>
  <c r="AP62" i="1"/>
  <c r="BV60" i="5" s="1"/>
  <c r="IY62" i="1"/>
  <c r="GP60" i="5" s="1"/>
  <c r="GO62" i="1"/>
  <c r="EF60" i="5" s="1"/>
  <c r="IY61" i="1"/>
  <c r="GP59" i="5" s="1"/>
  <c r="HT61" i="1"/>
  <c r="FK59" i="5" s="1"/>
  <c r="GO61" i="1"/>
  <c r="EF59" i="5" s="1"/>
  <c r="FJ61" i="1"/>
  <c r="DA59" i="5" s="1"/>
  <c r="IY35" i="1"/>
  <c r="GP33" i="5" s="1"/>
  <c r="HT35" i="1"/>
  <c r="FK33" i="5" s="1"/>
  <c r="GO35" i="1"/>
  <c r="EF33" i="5" s="1"/>
  <c r="FJ35" i="1"/>
  <c r="DA33" i="5" s="1"/>
  <c r="IY60" i="1"/>
  <c r="GP58" i="5" s="1"/>
  <c r="GO60" i="1"/>
  <c r="EF58" i="5" s="1"/>
  <c r="EE10" i="1"/>
  <c r="EF63" i="1"/>
  <c r="EF61" i="1"/>
  <c r="EO52" i="1"/>
  <c r="EO51" i="1"/>
  <c r="EO61" i="1"/>
  <c r="EO50" i="1"/>
  <c r="EO33" i="1"/>
  <c r="CZ63" i="1"/>
  <c r="L61" i="5" s="1"/>
  <c r="CZ61" i="1"/>
  <c r="L59" i="5" s="1"/>
  <c r="CZ60" i="1"/>
  <c r="L58" i="5" s="1"/>
  <c r="CZ59" i="1"/>
  <c r="L57" i="5" s="1"/>
  <c r="CZ32" i="1"/>
  <c r="L30" i="5" s="1"/>
  <c r="IY64" i="1"/>
  <c r="GP62" i="5" s="1"/>
  <c r="HT64" i="1"/>
  <c r="FK62" i="5" s="1"/>
  <c r="GO64" i="1"/>
  <c r="EF62" i="5" s="1"/>
  <c r="FJ64" i="1"/>
  <c r="DA62" i="5" s="1"/>
  <c r="IY52" i="1"/>
  <c r="GP50" i="5" s="1"/>
  <c r="HT52" i="1"/>
  <c r="FK50" i="5" s="1"/>
  <c r="GO52" i="1"/>
  <c r="EF50" i="5" s="1"/>
  <c r="FJ52" i="1"/>
  <c r="DA50" i="5" s="1"/>
  <c r="IY37" i="1"/>
  <c r="GP35" i="5" s="1"/>
  <c r="HT37" i="1"/>
  <c r="FK35" i="5" s="1"/>
  <c r="GO37" i="1"/>
  <c r="EF35" i="5" s="1"/>
  <c r="FJ37" i="1"/>
  <c r="DA35" i="5" s="1"/>
  <c r="IY63" i="1"/>
  <c r="GP61" i="5" s="1"/>
  <c r="GO63" i="1"/>
  <c r="EF61" i="5" s="1"/>
  <c r="AP50" i="1"/>
  <c r="BV48" i="5" s="1"/>
  <c r="HT60" i="1"/>
  <c r="FK58" i="5" s="1"/>
  <c r="AP34" i="1"/>
  <c r="BV32" i="5" s="1"/>
  <c r="IY59" i="1"/>
  <c r="GP57" i="5" s="1"/>
  <c r="GO59" i="1"/>
  <c r="EF57" i="5" s="1"/>
  <c r="IY58" i="1"/>
  <c r="GP56" i="5" s="1"/>
  <c r="HT58" i="1"/>
  <c r="FK56" i="5" s="1"/>
  <c r="GO58" i="1"/>
  <c r="EF56" i="5" s="1"/>
  <c r="FJ58" i="1"/>
  <c r="DA56" i="5" s="1"/>
  <c r="IY33" i="1"/>
  <c r="GP31" i="5" s="1"/>
  <c r="GO33" i="1"/>
  <c r="EF31" i="5" s="1"/>
  <c r="IY48" i="1"/>
  <c r="GP46" i="5" s="1"/>
  <c r="GO48" i="1"/>
  <c r="EF46" i="5" s="1"/>
  <c r="IY32" i="1"/>
  <c r="GP30" i="5" s="1"/>
  <c r="HT32" i="1"/>
  <c r="FK30" i="5" s="1"/>
  <c r="GO32" i="1"/>
  <c r="EF30" i="5" s="1"/>
  <c r="FJ32" i="1"/>
  <c r="DA30" i="5" s="1"/>
  <c r="IY47" i="1"/>
  <c r="GP45" i="5" s="1"/>
  <c r="GO47" i="1"/>
  <c r="EF45" i="5" s="1"/>
  <c r="IY46" i="1"/>
  <c r="GP44" i="5" s="1"/>
  <c r="GO46" i="1"/>
  <c r="EF44" i="5" s="1"/>
  <c r="IY45" i="1"/>
  <c r="GP43" i="5" s="1"/>
  <c r="GO45" i="1"/>
  <c r="EF43" i="5" s="1"/>
  <c r="IY57" i="1"/>
  <c r="GP55" i="5" s="1"/>
  <c r="GO57" i="1"/>
  <c r="EF55" i="5" s="1"/>
  <c r="IY56" i="1"/>
  <c r="GP54" i="5" s="1"/>
  <c r="GO56" i="1"/>
  <c r="EF54" i="5" s="1"/>
  <c r="IY43" i="1"/>
  <c r="GP41" i="5" s="1"/>
  <c r="GO43" i="1"/>
  <c r="EF41" i="5" s="1"/>
  <c r="IY42" i="1"/>
  <c r="GP40" i="5" s="1"/>
  <c r="GO42" i="1"/>
  <c r="EF40" i="5" s="1"/>
  <c r="HT41" i="1"/>
  <c r="GO41" i="1"/>
  <c r="FJ41" i="1"/>
  <c r="IY31" i="1"/>
  <c r="GP29" i="5" s="1"/>
  <c r="GO31" i="1"/>
  <c r="EF29" i="5" s="1"/>
  <c r="IY30" i="1"/>
  <c r="GP28" i="5" s="1"/>
  <c r="GO30" i="1"/>
  <c r="EF28" i="5" s="1"/>
  <c r="IY55" i="1"/>
  <c r="GO55" i="1"/>
  <c r="IY29" i="1"/>
  <c r="GP27" i="5" s="1"/>
  <c r="HT29" i="1"/>
  <c r="FK27" i="5" s="1"/>
  <c r="GO29" i="1"/>
  <c r="EF27" i="5" s="1"/>
  <c r="FJ29" i="1"/>
  <c r="DA27" i="5" s="1"/>
  <c r="IY28" i="1"/>
  <c r="GP26" i="5" s="1"/>
  <c r="GO28" i="1"/>
  <c r="EF26" i="5" s="1"/>
  <c r="IY27" i="1"/>
  <c r="GP25" i="5" s="1"/>
  <c r="HT27" i="1"/>
  <c r="FK25" i="5" s="1"/>
  <c r="GO27" i="1"/>
  <c r="EF25" i="5" s="1"/>
  <c r="FJ27" i="1"/>
  <c r="DA25" i="5" s="1"/>
  <c r="IY26" i="1"/>
  <c r="IB3" i="5"/>
  <c r="HU3" i="5"/>
  <c r="IG3" i="5"/>
  <c r="EQ36" i="1"/>
  <c r="EQ34" i="1"/>
  <c r="EQ45" i="1"/>
  <c r="HT8" i="1"/>
  <c r="EQ38" i="1"/>
  <c r="EQ35" i="1"/>
  <c r="EQ48" i="1"/>
  <c r="EQ27" i="1"/>
  <c r="IH3" i="5"/>
  <c r="HY3" i="5"/>
  <c r="IL3" i="5"/>
  <c r="EQ43" i="1"/>
  <c r="EQ30" i="1"/>
  <c r="IG9" i="5" l="1"/>
  <c r="BV15" i="5"/>
  <c r="IE33" i="5"/>
  <c r="IE32" i="5"/>
  <c r="IE27" i="5"/>
  <c r="HP16" i="5"/>
  <c r="HQ9" i="5"/>
  <c r="GK4" i="5"/>
  <c r="HQ19" i="5"/>
  <c r="EE31" i="1"/>
  <c r="HP9" i="5"/>
  <c r="HP10" i="5"/>
  <c r="HP12" i="5"/>
  <c r="DY6" i="1"/>
  <c r="HP8" i="5"/>
  <c r="HP21" i="5"/>
  <c r="EE41" i="1"/>
  <c r="EE48" i="1"/>
  <c r="HP20" i="5"/>
  <c r="HP7" i="5"/>
  <c r="HQ17" i="5"/>
  <c r="HQ12" i="5"/>
  <c r="HQ13" i="5"/>
  <c r="HQ14" i="5"/>
  <c r="HQ16" i="5"/>
  <c r="EE29" i="1"/>
  <c r="IG55" i="5"/>
  <c r="HL51" i="5"/>
  <c r="HP13" i="5"/>
  <c r="HP11" i="5"/>
  <c r="HQ20" i="5"/>
  <c r="HN19" i="5"/>
  <c r="HP18" i="5"/>
  <c r="HQ11" i="5"/>
  <c r="HQ8" i="5"/>
  <c r="HT36" i="5"/>
  <c r="HP19" i="5"/>
  <c r="HQ21" i="5"/>
  <c r="HP15" i="5"/>
  <c r="HP17" i="5"/>
  <c r="EE12" i="1"/>
  <c r="EE23" i="1"/>
  <c r="EE36" i="1"/>
  <c r="EE42" i="1"/>
  <c r="AM4" i="5"/>
  <c r="HL16" i="5"/>
  <c r="FU37" i="5"/>
  <c r="IG25" i="5"/>
  <c r="IG33" i="5"/>
  <c r="IG10" i="5"/>
  <c r="IG18" i="5"/>
  <c r="HO13" i="5"/>
  <c r="IG62" i="5"/>
  <c r="HU18" i="5"/>
  <c r="HN20" i="5"/>
  <c r="EQ24" i="1"/>
  <c r="EE56" i="1"/>
  <c r="HT34" i="5"/>
  <c r="EQ6" i="1"/>
  <c r="ED6" i="1"/>
  <c r="ED24" i="1"/>
  <c r="DW6" i="1"/>
  <c r="DM51" i="5"/>
  <c r="IG43" i="5"/>
  <c r="CH4" i="5"/>
  <c r="BP4" i="5"/>
  <c r="IE14" i="5"/>
  <c r="F4" i="5"/>
  <c r="IG45" i="5"/>
  <c r="HT43" i="5"/>
  <c r="CS4" i="5"/>
  <c r="FW51" i="5"/>
  <c r="ER51" i="5"/>
  <c r="X51" i="5"/>
  <c r="HB51" i="5"/>
  <c r="CH51" i="5"/>
  <c r="HT12" i="5"/>
  <c r="IG44" i="5"/>
  <c r="BC51" i="5"/>
  <c r="HY37" i="5"/>
  <c r="IE16" i="5"/>
  <c r="DY4" i="5"/>
  <c r="HT39" i="5"/>
  <c r="BR4" i="5"/>
  <c r="HM12" i="5"/>
  <c r="IE21" i="5"/>
  <c r="IE55" i="5"/>
  <c r="HO12" i="5"/>
  <c r="IE17" i="5"/>
  <c r="IG15" i="5"/>
  <c r="IG61" i="5"/>
  <c r="DZ4" i="5"/>
  <c r="IE30" i="5"/>
  <c r="HM13" i="5"/>
  <c r="IG53" i="5"/>
  <c r="GL4" i="5"/>
  <c r="GJ4" i="5"/>
  <c r="CF51" i="5"/>
  <c r="FW4" i="5"/>
  <c r="IG20" i="5"/>
  <c r="HB4" i="5"/>
  <c r="AK4" i="5"/>
  <c r="IG34" i="5"/>
  <c r="IG19" i="5"/>
  <c r="IE57" i="5"/>
  <c r="IE13" i="5"/>
  <c r="IG31" i="5"/>
  <c r="HL12" i="5"/>
  <c r="HU7" i="5"/>
  <c r="HT7" i="5"/>
  <c r="CU4" i="5"/>
  <c r="CW4" i="5"/>
  <c r="AQ37" i="5"/>
  <c r="IE49" i="5"/>
  <c r="IA4" i="5"/>
  <c r="HM10" i="5"/>
  <c r="FC4" i="5"/>
  <c r="IC4" i="5"/>
  <c r="X4" i="5"/>
  <c r="IG58" i="5"/>
  <c r="IE48" i="5"/>
  <c r="HO51" i="5"/>
  <c r="ID4" i="5"/>
  <c r="HN15" i="5"/>
  <c r="HT6" i="5"/>
  <c r="IE36" i="5"/>
  <c r="IG28" i="5"/>
  <c r="IG32" i="5"/>
  <c r="IG7" i="5"/>
  <c r="IG59" i="5"/>
  <c r="IE40" i="5"/>
  <c r="HT15" i="5"/>
  <c r="HL20" i="5"/>
  <c r="HL14" i="5"/>
  <c r="IA37" i="5"/>
  <c r="IH4" i="5"/>
  <c r="DM4" i="5"/>
  <c r="BC4" i="5"/>
  <c r="IG42" i="5"/>
  <c r="IG29" i="5"/>
  <c r="IE46" i="5"/>
  <c r="IE50" i="5"/>
  <c r="IG26" i="5"/>
  <c r="GI4" i="5"/>
  <c r="FD4" i="5"/>
  <c r="AQ51" i="5"/>
  <c r="HP51" i="5"/>
  <c r="HU19" i="5"/>
  <c r="IE18" i="5"/>
  <c r="HT46" i="5"/>
  <c r="AQ22" i="5"/>
  <c r="GH4" i="5"/>
  <c r="DX6" i="1"/>
  <c r="GG4" i="5"/>
  <c r="IE53" i="5"/>
  <c r="IY6" i="1"/>
  <c r="GP4" i="5" s="1"/>
  <c r="IH51" i="5"/>
  <c r="HZ22" i="5"/>
  <c r="EE15" i="1"/>
  <c r="HU61" i="5"/>
  <c r="HZ51" i="5"/>
  <c r="DK4" i="5"/>
  <c r="IG46" i="5"/>
  <c r="HN7" i="5"/>
  <c r="HL21" i="5"/>
  <c r="IF4" i="5"/>
  <c r="IG21" i="5"/>
  <c r="DM22" i="5"/>
  <c r="AK14" i="7"/>
  <c r="HO6" i="5"/>
  <c r="ER4" i="5"/>
  <c r="ED39" i="1"/>
  <c r="HT16" i="5"/>
  <c r="HZ37" i="5"/>
  <c r="HN9" i="5"/>
  <c r="IK4" i="5"/>
  <c r="HU15" i="5"/>
  <c r="IG56" i="5"/>
  <c r="ER22" i="5"/>
  <c r="IG40" i="5"/>
  <c r="IE24" i="5"/>
  <c r="HW4" i="5"/>
  <c r="IG47" i="5"/>
  <c r="HU10" i="5"/>
  <c r="IF51" i="5"/>
  <c r="D4" i="5"/>
  <c r="FW22" i="5"/>
  <c r="IG11" i="5"/>
  <c r="EB4" i="5"/>
  <c r="L27" i="5"/>
  <c r="V51" i="5"/>
  <c r="HU16" i="5"/>
  <c r="CV4" i="5"/>
  <c r="HN17" i="5"/>
  <c r="HU32" i="5"/>
  <c r="EO53" i="1"/>
  <c r="EE30" i="1"/>
  <c r="IG27" i="5"/>
  <c r="HU9" i="5"/>
  <c r="HN6" i="5"/>
  <c r="ID37" i="5"/>
  <c r="IG54" i="5"/>
  <c r="IE43" i="5"/>
  <c r="EA6" i="1"/>
  <c r="HT13" i="5"/>
  <c r="AQ4" i="5"/>
  <c r="FE4" i="5"/>
  <c r="EA4" i="5"/>
  <c r="HQ6" i="5"/>
  <c r="DV6" i="1"/>
  <c r="BM4" i="5"/>
  <c r="HU36" i="5"/>
  <c r="II4" i="5"/>
  <c r="HU12" i="5"/>
  <c r="IE61" i="5"/>
  <c r="EE21" i="1"/>
  <c r="EE58" i="1"/>
  <c r="HN12" i="5"/>
  <c r="FG4" i="5"/>
  <c r="DZ6" i="1"/>
  <c r="EE55" i="1"/>
  <c r="HL22" i="5"/>
  <c r="HT8" i="5"/>
  <c r="HU33" i="5"/>
  <c r="IE28" i="5"/>
  <c r="HQ22" i="5"/>
  <c r="IG8" i="5"/>
  <c r="HN14" i="5"/>
  <c r="HL15" i="5"/>
  <c r="HL37" i="5"/>
  <c r="HS22" i="5"/>
  <c r="HV4" i="5"/>
  <c r="HZ4" i="5"/>
  <c r="IE6" i="5"/>
  <c r="IE58" i="5"/>
  <c r="HL19" i="5"/>
  <c r="HS51" i="5"/>
  <c r="HN37" i="5"/>
  <c r="HM22" i="5"/>
  <c r="AK53" i="7"/>
  <c r="IE34" i="5"/>
  <c r="HT4" i="5"/>
  <c r="HL6" i="5"/>
  <c r="IC37" i="5"/>
  <c r="HO7" i="5"/>
  <c r="IJ22" i="5"/>
  <c r="HT9" i="5"/>
  <c r="IE41" i="5"/>
  <c r="HW37" i="5"/>
  <c r="IE11" i="5"/>
  <c r="IF37" i="5"/>
  <c r="HV37" i="5"/>
  <c r="IG16" i="5"/>
  <c r="HY22" i="5"/>
  <c r="HO37" i="5"/>
  <c r="IF22" i="5"/>
  <c r="IL51" i="5"/>
  <c r="HU45" i="5"/>
  <c r="HT24" i="5"/>
  <c r="HU17" i="5"/>
  <c r="HM9" i="5"/>
  <c r="HU60" i="5"/>
  <c r="HU40" i="5"/>
  <c r="HM37" i="5"/>
  <c r="IG6" i="5"/>
  <c r="IB22" i="5"/>
  <c r="IG14" i="5"/>
  <c r="HW22" i="5"/>
  <c r="IB51" i="5"/>
  <c r="HW51" i="5"/>
  <c r="AK47" i="7"/>
  <c r="HS37" i="5"/>
  <c r="HN21" i="5"/>
  <c r="HU14" i="5"/>
  <c r="HL10" i="5"/>
  <c r="HU56" i="5"/>
  <c r="HU11" i="5"/>
  <c r="IE39" i="5"/>
  <c r="HT11" i="5"/>
  <c r="HT58" i="5"/>
  <c r="IJ51" i="5"/>
  <c r="HY4" i="5"/>
  <c r="HT22" i="5"/>
  <c r="ID22" i="5"/>
  <c r="HS6" i="5"/>
  <c r="HT57" i="5"/>
  <c r="HU8" i="5"/>
  <c r="IG30" i="5"/>
  <c r="HY51" i="5"/>
  <c r="HV51" i="5"/>
  <c r="HU34" i="5"/>
  <c r="II37" i="5"/>
  <c r="IC51" i="5"/>
  <c r="HN51" i="5"/>
  <c r="IG50" i="5"/>
  <c r="HR51" i="5"/>
  <c r="HU27" i="5"/>
  <c r="HU29" i="5"/>
  <c r="HU57" i="5"/>
  <c r="HU58" i="5"/>
  <c r="HU49" i="5"/>
  <c r="HU54" i="5"/>
  <c r="IG24" i="5"/>
  <c r="HT32" i="5"/>
  <c r="IG36" i="5"/>
  <c r="IE25" i="5"/>
  <c r="HU21" i="5"/>
  <c r="IL37" i="5"/>
  <c r="IK37" i="5"/>
  <c r="HM51" i="5"/>
  <c r="IG12" i="5"/>
  <c r="HL7" i="5"/>
  <c r="IK51" i="5"/>
  <c r="IC22" i="5"/>
  <c r="HR4" i="5"/>
  <c r="AK19" i="7"/>
  <c r="AK32" i="7"/>
  <c r="HU25" i="5"/>
  <c r="HU35" i="5"/>
  <c r="HU28" i="5"/>
  <c r="IA22" i="5"/>
  <c r="IG41" i="5"/>
  <c r="IE44" i="5"/>
  <c r="IE35" i="5"/>
  <c r="HQ51" i="5"/>
  <c r="AI39" i="7"/>
  <c r="AI38" i="7"/>
  <c r="IK22" i="5"/>
  <c r="HP6" i="5"/>
  <c r="HR6" i="5"/>
  <c r="HU47" i="5"/>
  <c r="HT42" i="5"/>
  <c r="HT51" i="5"/>
  <c r="HL9" i="5"/>
  <c r="HT53" i="5"/>
  <c r="AK20" i="7"/>
  <c r="AK44" i="7"/>
  <c r="HU30" i="5"/>
  <c r="HX51" i="5"/>
  <c r="IJ4" i="5"/>
  <c r="IG48" i="5"/>
  <c r="HN16" i="5"/>
  <c r="IE45" i="5"/>
  <c r="HP37" i="5"/>
  <c r="HQ37" i="5"/>
  <c r="HT21" i="5"/>
  <c r="HO22" i="5"/>
  <c r="HO14" i="5"/>
  <c r="HS4" i="5"/>
  <c r="HT14" i="5"/>
  <c r="HU46" i="5"/>
  <c r="HU42" i="5"/>
  <c r="AK61" i="7"/>
  <c r="HU48" i="5"/>
  <c r="IE19" i="5"/>
  <c r="HL17" i="5"/>
  <c r="GZ51" i="5"/>
  <c r="AK49" i="7"/>
  <c r="IG13" i="5"/>
  <c r="HU20" i="5"/>
  <c r="HV22" i="5"/>
  <c r="GZ4" i="5"/>
  <c r="HU59" i="5"/>
  <c r="HU26" i="5"/>
  <c r="HN10" i="5"/>
  <c r="ID51" i="5"/>
  <c r="IB4" i="5"/>
  <c r="HL13" i="5"/>
  <c r="IH22" i="5"/>
  <c r="HP22" i="5"/>
  <c r="HX4" i="5"/>
  <c r="AJ4" i="5"/>
  <c r="AK51" i="7"/>
  <c r="HN13" i="5"/>
  <c r="HN18" i="5"/>
  <c r="HT20" i="5"/>
  <c r="AK31" i="7"/>
  <c r="HR22" i="5"/>
  <c r="AI31" i="7"/>
  <c r="HT37" i="5"/>
  <c r="IG39" i="5"/>
  <c r="HU50" i="5"/>
  <c r="DK51" i="5"/>
  <c r="IG60" i="5"/>
  <c r="IE29" i="5"/>
  <c r="HU55" i="5"/>
  <c r="HU44" i="5"/>
  <c r="IL4" i="5"/>
  <c r="IG35" i="5"/>
  <c r="HL18" i="5"/>
  <c r="IL22" i="5"/>
  <c r="IH37" i="5"/>
  <c r="AK13" i="7"/>
  <c r="HU31" i="5"/>
  <c r="HU43" i="5"/>
  <c r="IJ37" i="5"/>
  <c r="HR37" i="5"/>
  <c r="HX37" i="5"/>
  <c r="HX22" i="5"/>
  <c r="HN22" i="5"/>
  <c r="HU13" i="5"/>
  <c r="HL11" i="5"/>
  <c r="IE12" i="5"/>
  <c r="HU62" i="5"/>
  <c r="GZ22" i="5"/>
  <c r="IA51" i="5"/>
  <c r="IB37" i="5"/>
  <c r="AK24" i="7"/>
  <c r="AI18" i="7"/>
  <c r="AK35" i="7"/>
  <c r="AI43" i="7"/>
  <c r="AI22" i="7"/>
  <c r="AI24" i="7"/>
  <c r="AK34" i="7"/>
  <c r="AI60" i="7"/>
  <c r="AI26" i="7"/>
  <c r="AI27" i="7"/>
  <c r="AK58" i="7"/>
  <c r="AK16" i="7"/>
  <c r="AI32" i="7"/>
  <c r="AI37" i="7"/>
  <c r="AK48" i="7"/>
  <c r="AI53" i="7"/>
  <c r="AI40" i="7"/>
  <c r="AI19" i="7"/>
  <c r="AI49" i="7"/>
  <c r="AI30" i="7"/>
  <c r="AI47" i="7"/>
  <c r="AI17" i="7"/>
  <c r="AI57" i="7"/>
  <c r="AI29" i="7"/>
  <c r="AI21" i="7"/>
  <c r="AI45" i="7"/>
  <c r="AI36" i="7"/>
  <c r="AK26" i="7"/>
  <c r="AI41" i="7"/>
  <c r="AK33" i="7"/>
  <c r="AI59" i="7"/>
  <c r="AI34" i="7"/>
  <c r="AK64" i="7"/>
  <c r="AI16" i="7"/>
  <c r="AK21" i="7"/>
  <c r="AI44" i="7"/>
  <c r="AI46" i="7"/>
  <c r="AK22" i="7"/>
  <c r="AI50" i="7"/>
  <c r="AI65" i="7"/>
  <c r="AI15" i="7"/>
  <c r="AI33" i="7"/>
  <c r="AI35" i="7"/>
  <c r="AI62" i="7"/>
  <c r="AK65" i="7"/>
  <c r="AI23" i="7"/>
  <c r="AK46" i="7"/>
  <c r="AI52" i="7"/>
  <c r="AK15" i="7"/>
  <c r="AK43" i="7"/>
  <c r="AK29" i="7"/>
  <c r="AI61" i="7"/>
  <c r="AK39" i="7"/>
  <c r="AK18" i="7"/>
  <c r="AK17" i="7"/>
  <c r="AI56" i="7"/>
  <c r="AI48" i="7"/>
  <c r="AK36" i="7"/>
  <c r="AI54" i="7"/>
  <c r="AK54" i="7"/>
  <c r="AK59" i="7"/>
  <c r="AK56" i="7"/>
  <c r="AK30" i="7"/>
  <c r="AI25" i="7"/>
  <c r="AI63" i="7"/>
  <c r="AK37" i="7"/>
  <c r="AK38" i="7"/>
  <c r="AK52" i="7"/>
  <c r="AK27" i="7"/>
  <c r="AK57" i="7"/>
  <c r="AI64" i="7"/>
  <c r="AI14" i="7"/>
  <c r="AK40" i="7"/>
  <c r="AK25" i="7"/>
  <c r="AI58" i="7"/>
  <c r="AK50" i="7"/>
  <c r="AK62" i="7"/>
  <c r="AK23" i="7"/>
  <c r="AK45" i="7"/>
  <c r="AK63" i="7"/>
  <c r="AK60" i="7"/>
  <c r="AK41" i="7"/>
  <c r="AI20" i="7"/>
  <c r="AI13" i="7"/>
  <c r="AI51" i="7"/>
  <c r="AK12" i="7"/>
  <c r="GP53" i="5"/>
  <c r="IY53" i="1"/>
  <c r="GP51" i="5" s="1"/>
  <c r="DA6" i="5"/>
  <c r="FJ6" i="1"/>
  <c r="DA4" i="5" s="1"/>
  <c r="EF53" i="1"/>
  <c r="EO39" i="1"/>
  <c r="BA4" i="5"/>
  <c r="EC6" i="1"/>
  <c r="G4" i="5"/>
  <c r="CF37" i="5"/>
  <c r="EE57" i="1"/>
  <c r="EE64" i="1"/>
  <c r="L62" i="5"/>
  <c r="DA53" i="5"/>
  <c r="FJ53" i="1"/>
  <c r="DA51" i="5" s="1"/>
  <c r="CH22" i="5"/>
  <c r="EE20" i="1"/>
  <c r="L18" i="5"/>
  <c r="EO24" i="1"/>
  <c r="CT4" i="5"/>
  <c r="EF24" i="1"/>
  <c r="DK37" i="5"/>
  <c r="CR4" i="5"/>
  <c r="BA51" i="5"/>
  <c r="EO6" i="1"/>
  <c r="BA22" i="5"/>
  <c r="AP6" i="1"/>
  <c r="BV4" i="5" s="1"/>
  <c r="EP51" i="5"/>
  <c r="FK39" i="5"/>
  <c r="HT39" i="1"/>
  <c r="FK37" i="5" s="1"/>
  <c r="ED53" i="1"/>
  <c r="EE49" i="1"/>
  <c r="GZ37" i="5"/>
  <c r="DM37" i="5"/>
  <c r="CH37" i="5"/>
  <c r="FU4" i="5"/>
  <c r="EF39" i="1"/>
  <c r="X22" i="5"/>
  <c r="AL4" i="5"/>
  <c r="HB22" i="5"/>
  <c r="FW37" i="5"/>
  <c r="EF24" i="5"/>
  <c r="GO24" i="1"/>
  <c r="EF22" i="5" s="1"/>
  <c r="FU51" i="5"/>
  <c r="BN4" i="5"/>
  <c r="EB6" i="1"/>
  <c r="L24" i="5"/>
  <c r="CZ24" i="1"/>
  <c r="L22" i="5" s="1"/>
  <c r="EP22" i="5"/>
  <c r="EE16" i="1"/>
  <c r="L14" i="5"/>
  <c r="EQ53" i="1"/>
  <c r="EF6" i="1"/>
  <c r="BO4" i="5"/>
  <c r="BQ4" i="5"/>
  <c r="GP39" i="5"/>
  <c r="IY39" i="1"/>
  <c r="GP37" i="5" s="1"/>
  <c r="EQ39" i="1"/>
  <c r="EE43" i="1"/>
  <c r="BV41" i="5"/>
  <c r="HU41" i="5" s="1"/>
  <c r="DA24" i="5"/>
  <c r="FJ24" i="1"/>
  <c r="DA22" i="5" s="1"/>
  <c r="EE28" i="1"/>
  <c r="FK53" i="5"/>
  <c r="HT53" i="1"/>
  <c r="FK51" i="5" s="1"/>
  <c r="AP39" i="1"/>
  <c r="BV37" i="5" s="1"/>
  <c r="DK22" i="5"/>
  <c r="CZ53" i="1"/>
  <c r="L51" i="5" s="1"/>
  <c r="L53" i="5"/>
  <c r="GP24" i="5"/>
  <c r="IY24" i="1"/>
  <c r="GP22" i="5" s="1"/>
  <c r="EE46" i="1"/>
  <c r="V37" i="5"/>
  <c r="CF4" i="5"/>
  <c r="EF6" i="5"/>
  <c r="GO6" i="1"/>
  <c r="EF4" i="5" s="1"/>
  <c r="X37" i="5"/>
  <c r="BV24" i="5"/>
  <c r="AP24" i="1"/>
  <c r="BV22" i="5" s="1"/>
  <c r="BC22" i="5"/>
  <c r="CF22" i="5"/>
  <c r="V22" i="5"/>
  <c r="EF53" i="5"/>
  <c r="GO53" i="1"/>
  <c r="EF51" i="5" s="1"/>
  <c r="FK6" i="5"/>
  <c r="HT6" i="1"/>
  <c r="FK4" i="5" s="1"/>
  <c r="DA39" i="5"/>
  <c r="FJ39" i="1"/>
  <c r="DA37" i="5" s="1"/>
  <c r="ER37" i="5"/>
  <c r="BC37" i="5"/>
  <c r="FU22" i="5"/>
  <c r="EP37" i="5"/>
  <c r="CZ39" i="1"/>
  <c r="L37" i="5" s="1"/>
  <c r="L40" i="5"/>
  <c r="FF4" i="5"/>
  <c r="HB37" i="5"/>
  <c r="BA37" i="5"/>
  <c r="CZ6" i="1"/>
  <c r="L4" i="5" s="1"/>
  <c r="L6" i="5"/>
  <c r="EF39" i="5"/>
  <c r="GO39" i="1"/>
  <c r="EF37" i="5" s="1"/>
  <c r="EE18" i="1"/>
  <c r="EE47" i="1"/>
  <c r="EE44" i="1"/>
  <c r="AP53" i="1"/>
  <c r="BV51" i="5" s="1"/>
  <c r="BV53" i="5"/>
  <c r="II22" i="5"/>
  <c r="II51" i="5"/>
  <c r="FK24" i="5"/>
  <c r="HT24" i="1"/>
  <c r="FK22" i="5" s="1"/>
  <c r="C4" i="5"/>
  <c r="DX4" i="5"/>
  <c r="DW4" i="5"/>
  <c r="EE9" i="1"/>
  <c r="L7" i="5"/>
  <c r="EP4" i="5"/>
  <c r="FB4" i="5"/>
  <c r="AI12" i="7"/>
  <c r="V4" i="5"/>
  <c r="EE52" i="1"/>
  <c r="EE33" i="1"/>
  <c r="EE45" i="1"/>
  <c r="EE51" i="1"/>
  <c r="EE34" i="1"/>
  <c r="EE59" i="1"/>
  <c r="EE61" i="1"/>
  <c r="EE50" i="1"/>
  <c r="EE32" i="1"/>
  <c r="EE60" i="1"/>
  <c r="EE63" i="1"/>
  <c r="EE62" i="1"/>
  <c r="EE53" i="1" l="1"/>
  <c r="IG51" i="5"/>
  <c r="IG4" i="5"/>
  <c r="HO4" i="5"/>
  <c r="HQ4" i="5"/>
  <c r="EE6" i="1"/>
  <c r="EE39" i="1"/>
  <c r="IE37" i="5"/>
  <c r="EE24" i="1"/>
  <c r="HL4" i="5"/>
  <c r="IE51" i="5"/>
  <c r="HU53" i="5"/>
  <c r="HN4" i="5"/>
  <c r="IG22" i="5"/>
  <c r="HP4" i="5"/>
  <c r="HU51" i="5"/>
  <c r="HU22" i="5"/>
  <c r="IE22" i="5"/>
  <c r="HU39" i="5"/>
  <c r="IG37" i="5"/>
  <c r="HU24" i="5"/>
  <c r="HU37" i="5"/>
  <c r="HU6" i="5"/>
  <c r="IE4" i="5"/>
  <c r="HM4" i="5"/>
  <c r="HU4" i="5"/>
</calcChain>
</file>

<file path=xl/comments1.xml><?xml version="1.0" encoding="utf-8"?>
<comments xmlns="http://schemas.openxmlformats.org/spreadsheetml/2006/main">
  <authors>
    <author>jmarks</author>
    <author>mloverde</author>
  </authors>
  <commentList>
    <comment ref="K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U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W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AP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AZ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BB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BU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CE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CF4" authorId="1" shapeId="0">
      <text>
        <r>
          <rPr>
            <b/>
            <sz val="10"/>
            <color indexed="81"/>
            <rFont val="Tahoma"/>
            <family val="2"/>
          </rPr>
          <t>no state data available for 2000-2001</t>
        </r>
      </text>
    </comment>
    <comment ref="CG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CZ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DJ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DK4" authorId="1" shapeId="0">
      <text>
        <r>
          <rPr>
            <b/>
            <sz val="10"/>
            <color indexed="81"/>
            <rFont val="Tahoma"/>
            <family val="2"/>
          </rPr>
          <t>no state data available for 2000-2001</t>
        </r>
      </text>
    </comment>
    <comment ref="DL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FJ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FT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FV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GO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GY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GZ4" authorId="1" shapeId="0">
      <text>
        <r>
          <rPr>
            <b/>
            <sz val="10"/>
            <color indexed="81"/>
            <rFont val="Tahoma"/>
            <family val="2"/>
          </rPr>
          <t>no state data available for 2000-2001</t>
        </r>
      </text>
    </comment>
    <comment ref="HA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HT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ID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IE4" authorId="1" shapeId="0">
      <text>
        <r>
          <rPr>
            <b/>
            <sz val="10"/>
            <color indexed="81"/>
            <rFont val="Tahoma"/>
            <family val="2"/>
          </rPr>
          <t>no state data available for 2000-2001</t>
        </r>
      </text>
    </comment>
    <comment ref="IF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IY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JI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JK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</commentList>
</comments>
</file>

<file path=xl/comments2.xml><?xml version="1.0" encoding="utf-8"?>
<comments xmlns="http://schemas.openxmlformats.org/spreadsheetml/2006/main">
  <authors>
    <author>Jos PC</author>
  </authors>
  <commentList>
    <comment ref="P4" authorId="0" shapeId="0">
      <text>
        <r>
          <rPr>
            <b/>
            <sz val="9"/>
            <color indexed="81"/>
            <rFont val="Tahoma"/>
            <family val="2"/>
          </rPr>
          <t>Jos PC:</t>
        </r>
        <r>
          <rPr>
            <sz val="9"/>
            <color indexed="81"/>
            <rFont val="Tahoma"/>
            <family val="2"/>
          </rPr>
          <t xml:space="preserve">
This column was updated from my copy of the FB13 Table 1 fiile. You will need to reverify and refresh the links in this entire population section to make sure the proper and latest numbers are used.</t>
        </r>
      </text>
    </comment>
  </commentList>
</comments>
</file>

<file path=xl/sharedStrings.xml><?xml version="1.0" encoding="utf-8"?>
<sst xmlns="http://schemas.openxmlformats.org/spreadsheetml/2006/main" count="996" uniqueCount="166">
  <si>
    <t>State and Local Government Expenditures, Total and by Function (millions)</t>
  </si>
  <si>
    <t>Total General Expenditures (Direct General + Intergovernmental Transfers)</t>
  </si>
  <si>
    <t>Total Ed (K12+HEd+Oth Ed+Libraries)</t>
  </si>
  <si>
    <t>K-12</t>
  </si>
  <si>
    <t>H.Ed.</t>
  </si>
  <si>
    <t>Other Education Services (Total - K12-HEd)</t>
  </si>
  <si>
    <t>Soc Serv/Inc Maint (Welfare+Hospitals+Health+Soc Ins Adm+Vets Serv)</t>
  </si>
  <si>
    <t>Transp, Pub Saf, Env/Hous (Highways+Air Transp+Parking Facils+Water Transp+Transit Subsidies+Police+Fire+Correction+Protective Inspect+Natural Res+Parks/Rec+Housing/Com Devel+Sewerage+Solid Waste)</t>
  </si>
  <si>
    <t>Administration (Financial+Judicial/Legal+General Public Building+Other)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</si>
  <si>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</si>
  <si>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</si>
  <si>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</si>
  <si>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</si>
  <si>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</si>
  <si>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</si>
  <si>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</si>
  <si>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</si>
  <si>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</si>
  <si>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1991-92</t>
  </si>
  <si>
    <t>1992-93</t>
  </si>
  <si>
    <t>1993-94</t>
  </si>
  <si>
    <t>1994-95</t>
  </si>
  <si>
    <t>Percent Distribution of State and Local Government General Expenditures</t>
  </si>
  <si>
    <t>Higher Education</t>
  </si>
  <si>
    <t>Administration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</si>
  <si>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</si>
  <si>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</si>
  <si>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</si>
  <si>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</si>
  <si>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</si>
  <si>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</si>
  <si>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</si>
  <si>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</si>
  <si>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</si>
  <si>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</si>
  <si>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</si>
  <si>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</si>
  <si>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</si>
  <si>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</si>
  <si>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</si>
  <si>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Delaware</t>
  </si>
  <si>
    <t>SREB states</t>
  </si>
  <si>
    <t>Sources:</t>
  </si>
  <si>
    <t>1995-96</t>
  </si>
  <si>
    <t>1996-97</t>
  </si>
  <si>
    <t>Education</t>
  </si>
  <si>
    <t>Elementary and Secondary Education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</si>
  <si>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</si>
  <si>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</si>
  <si>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</si>
  <si>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</si>
  <si>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</si>
  <si>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</si>
  <si>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</si>
  <si>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</si>
  <si>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</si>
  <si>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</si>
  <si>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</si>
  <si>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</si>
  <si>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</si>
  <si>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</si>
  <si>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</si>
  <si>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</si>
  <si>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</si>
  <si>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</si>
  <si>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</si>
  <si>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</si>
  <si>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</si>
  <si>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</si>
  <si>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</si>
  <si>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</si>
  <si>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</si>
  <si>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</si>
  <si>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</si>
  <si>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</si>
  <si>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</si>
  <si>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</si>
  <si>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</si>
  <si>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</si>
  <si>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</si>
  <si>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</si>
  <si>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1997-98</t>
  </si>
  <si>
    <t>1998-99</t>
  </si>
  <si>
    <t xml:space="preserve"> </t>
  </si>
  <si>
    <t>1999-00</t>
  </si>
  <si>
    <t>continued</t>
  </si>
  <si>
    <t>Total Education</t>
  </si>
  <si>
    <t>Social Welfare</t>
  </si>
  <si>
    <t>Transportation, Public Safety, Environment and Housing</t>
  </si>
  <si>
    <t>Other</t>
  </si>
  <si>
    <t>Total</t>
  </si>
  <si>
    <t>State and Local Government General Expenditures</t>
  </si>
  <si>
    <t>Per-Capita Expenditures</t>
  </si>
  <si>
    <t>National Rank</t>
  </si>
  <si>
    <t>Other (Intergovernmental + Interest on Gen Debt + Misc. Commercial Actv + Other&amp;Unallocable)</t>
  </si>
  <si>
    <t>2001-02</t>
  </si>
  <si>
    <t>1990-91</t>
  </si>
  <si>
    <t>2000-01</t>
  </si>
  <si>
    <t>Per Capita Expenditures</t>
  </si>
  <si>
    <t>2003-04</t>
  </si>
  <si>
    <t>2002-03</t>
  </si>
  <si>
    <r>
      <t xml:space="preserve">Population </t>
    </r>
    <r>
      <rPr>
        <sz val="10"/>
        <color indexed="10"/>
        <rFont val="Arial"/>
        <family val="2"/>
      </rPr>
      <t>[from Table 1 — July 1]</t>
    </r>
  </si>
  <si>
    <t>Total
 (in millions)</t>
  </si>
  <si>
    <t>Percent of U.S. Average</t>
  </si>
  <si>
    <t>2004-05</t>
  </si>
  <si>
    <t>2005-06</t>
  </si>
  <si>
    <t>Ranks</t>
  </si>
  <si>
    <t>2006-07</t>
  </si>
  <si>
    <t>U.S.Bureau of the Census, State and Local Government Finances by Level of Government and by State: 2005-06(www.census.gov) Revised Jan. 11, 2010</t>
  </si>
  <si>
    <t>U.S.Bureau of the Census, Government Finances 2004-05 (www.census.gov) 2007</t>
  </si>
  <si>
    <t>U.S.Bureau of the Census, Government Finances 2003-04 (www.census.gov) 2005</t>
  </si>
  <si>
    <t>U.S.Bureau of the Census, Government Finances 2001-02 (www.census.gov) 2003</t>
  </si>
  <si>
    <t>U.S.Bureau of the Census, Government Finances 1999-00 (www.census.gov) 2003</t>
  </si>
  <si>
    <t>U.S.Bureau of the Census, Government Finances 1998-99 (www.census.gov) 2001</t>
  </si>
  <si>
    <t>U.S.Bureau of the Census, Government Finances 1997-98 (www.census.gov) 2001</t>
  </si>
  <si>
    <t>U.S.Bureau of the Census, Government Finances 1996-97 (www.census.gov) 2001</t>
  </si>
  <si>
    <t>U.S.Bureau of the Census, Government Finances 1995-96 (www.census.gov) 2001</t>
  </si>
  <si>
    <t>U.S.Bureau of the Census, Government Finances 1994-95 (www.census.gov) 2001</t>
  </si>
  <si>
    <t>U.S.Bureau of the Census, Government Finances 1993-94 (www.census.gov) 2001</t>
  </si>
  <si>
    <t>U.S.Bureau of the Census, Government Finances 1992-93 (www.census.gov) 2001</t>
  </si>
  <si>
    <t>U.S.Bureau of the Census, Government Finances 1991-92 www.census.gov) 2001</t>
  </si>
  <si>
    <t>U.S. Bureau of the Census, Governmental Finances in 1989-90 (GF-90-5, 1991) (Washington DC: U.S. Government Printing Office). Tab 22</t>
  </si>
  <si>
    <t>U.S. Bureau of the Census, Governmental Finances in 1988-89 (GF-89-5, 1990) (Washington DC: U.S. Government Printing Office). Tab 22</t>
  </si>
  <si>
    <t>U.S. Bureau of the Census, Governmental Finances in 1987-88 (GF-88-5, 1989) (Washington DC: U.S. Government Printing Office). Tab 22</t>
  </si>
  <si>
    <t>U.S. Bureau of the Census, Governmental Finances in 1986-87 (GF-87-5, 1989) (Washington DC: U.S. Government Printing Office). Tab 29</t>
  </si>
  <si>
    <t>U.S. Bureau of the Census, Governmental Finances in 1985-86 (GF-86-5, 1987) (Washington DC: U.S. Government Printing Office). Tab 29</t>
  </si>
  <si>
    <t>U.S. Bureau of the Census, Governmental Finances in 1984-85 (GF-85-5, 1986) (Washington DC: U.S. Government Printing Office). Tab 29</t>
  </si>
  <si>
    <t>U.S. Bureau of the Census, Governmental Finances in 1983-84 (GF-84-5, 1985) (Washington DC: U.S. Government Printing Office). Tab 13</t>
  </si>
  <si>
    <t>U.S. Bureau of the Census, Governmental Finances in 1982-83 (GF-83-5, 1984) (Washington DC: U.S. Government Printing Office). Tab 13</t>
  </si>
  <si>
    <t>U.S. Bureau of the Census, Governmental Finances in 1981-82 (GF-82-5, 1983) (Washington DC: U.S. Government Printing Office). Tab 13</t>
  </si>
  <si>
    <t>2007-08</t>
  </si>
  <si>
    <t>U.S.Bureau of the Census, State and Local Government Finances by Level of Government and by State: 2007-08 (www.census.gov) Tabulated on July 7, 2010.</t>
  </si>
  <si>
    <t>U.S.Bureau of the Census, State and Local Government Finances by Level of Government and by State: 2006-07 (www.census.gov) Revised on July 14, 2010.</t>
  </si>
  <si>
    <t>District of Columbia</t>
  </si>
  <si>
    <t>50 states and D.C.</t>
  </si>
  <si>
    <t xml:space="preserve">   as a percent of U.S.</t>
  </si>
  <si>
    <t>West</t>
  </si>
  <si>
    <t>Midwest</t>
  </si>
  <si>
    <t>Northeast</t>
  </si>
  <si>
    <r>
      <t>Total Education</t>
    </r>
    <r>
      <rPr>
        <vertAlign val="superscript"/>
        <sz val="10"/>
        <rFont val="Helvetica-Narrow"/>
        <family val="2"/>
      </rPr>
      <t>1</t>
    </r>
  </si>
  <si>
    <r>
      <t>Social Welfare</t>
    </r>
    <r>
      <rPr>
        <vertAlign val="superscript"/>
        <sz val="10"/>
        <rFont val="Helvetica-Narrow"/>
        <family val="2"/>
      </rPr>
      <t>2</t>
    </r>
  </si>
  <si>
    <r>
      <t>Transportation, Public Safety, Environment and Housing</t>
    </r>
    <r>
      <rPr>
        <vertAlign val="superscript"/>
        <sz val="10"/>
        <rFont val="Helvetica-Narrow"/>
        <family val="2"/>
      </rPr>
      <t>3</t>
    </r>
  </si>
  <si>
    <r>
      <t>Other</t>
    </r>
    <r>
      <rPr>
        <vertAlign val="superscript"/>
        <sz val="10"/>
        <rFont val="Helvetica-Narrow"/>
        <family val="2"/>
      </rPr>
      <t>4</t>
    </r>
  </si>
  <si>
    <t>2008-09</t>
  </si>
  <si>
    <t>U.S.Bureau of the Census, State and Local Government Finances by Level of Government and by State: 2008-09 (www.census.gov) Tabulated on October 24, 2011.</t>
  </si>
  <si>
    <t>50 States and D.C.</t>
  </si>
  <si>
    <t>2009-10</t>
  </si>
  <si>
    <t>U.S.Bureau of the Census, State and Local Government Finances by Level of Government and by State: 2009-10 (www.census.gov) Tabulated on September 21, 2012.</t>
  </si>
  <si>
    <t>Table 18</t>
  </si>
  <si>
    <t>Table 15</t>
  </si>
  <si>
    <t>2010-11</t>
  </si>
  <si>
    <t>U.S.Bureau of the Census, State and Local Government Finances by Level of Government and by State: 2010-11 (www.census.gov) Tabulated on , 2013.</t>
  </si>
  <si>
    <t>2011-12</t>
  </si>
  <si>
    <t>U.S.Bureau of the Census, State and Local Government Finances by Level of Government and by State: 2012 (www.census.gov) Initial release 12/16/14</t>
  </si>
  <si>
    <t>2010-12</t>
  </si>
  <si>
    <t>Percentage-Point Change, 2006-07 to 2011-12</t>
  </si>
  <si>
    <t xml:space="preserve"> April 2015</t>
  </si>
  <si>
    <t>JLM</t>
  </si>
  <si>
    <t>Percent Change
 2006-07 to</t>
  </si>
  <si>
    <r>
      <t xml:space="preserve">3 </t>
    </r>
    <r>
      <rPr>
        <sz val="10"/>
        <rFont val="Arial"/>
        <family val="2"/>
      </rPr>
      <t>Includes highways, air transportation, parking facilities, water transportation, transit subsidies, police, fire, corrections, protective inspection, natural resources, parks/recreation, housing/community development, sewerage and solid waste.</t>
    </r>
  </si>
  <si>
    <r>
      <t xml:space="preserve">2 </t>
    </r>
    <r>
      <rPr>
        <sz val="10"/>
        <rFont val="Arial"/>
        <family val="2"/>
      </rPr>
      <t>Includes welfare, hospitals, public health, social insurance administration and veterans services.</t>
    </r>
  </si>
  <si>
    <r>
      <t xml:space="preserve">1 </t>
    </r>
    <r>
      <rPr>
        <sz val="10"/>
        <rFont val="Arial"/>
        <family val="2"/>
      </rPr>
      <t>Includes miscellaneous education not shown separately.</t>
    </r>
  </si>
  <si>
    <r>
      <t xml:space="preserve">4 </t>
    </r>
    <r>
      <rPr>
        <sz val="10"/>
        <rFont val="Arial"/>
        <family val="2"/>
      </rPr>
      <t>Includes interest on the general debt, miscellaneous commercial activities, spending that cannot be allocated, and intergovernmental transfers.</t>
    </r>
  </si>
  <si>
    <t>U.S. Census Bureau, "State and Local Government Finances by Level of Government and by State: 2006-07" (2010) and "2012" (2014) — www.census.gov.</t>
  </si>
  <si>
    <t>Note: Because of rounding, totals may not equal the sum of the figures shown.</t>
  </si>
  <si>
    <t>U.S. Census Bureau: "State and Local Government Finances by Level of Government and by State: 2006-07" (2010) and "2011-12" (2014); "Table 1. Annual Estimates of the Resident Population for the United States, Regions, States, and Puerto Rico:  April 1, 2010 to July 1, 2013." (2013) — www.census.gov.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</si>
</sst>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0.0%"/>
    <numFmt numFmtId="165" formatCode=";;;"/>
    <numFmt numFmtId="166" formatCode="0.0_)"/>
    <numFmt numFmtId="167" formatCode="0.00_)"/>
    <numFmt numFmtId="168" formatCode="#,##0.0"/>
    <numFmt numFmtId="169" formatCode="#,##0.0_);\(#,##0.0\)"/>
    <numFmt numFmtId="170" formatCode="0_)"/>
    <numFmt numFmtId="171" formatCode="&quot;$&quot;#,##0"/>
    <numFmt numFmtId="172" formatCode="_(* #,##0_);_(* \(#,##0\);_(* &quot;-&quot;??_);_(@_)"/>
    <numFmt numFmtId="173" formatCode="#,##0.000_);\(#,##0.000\)"/>
  </numFmts>
  <fonts count="47">
    <font>
      <sz val="10"/>
      <name val="SWISS-C"/>
    </font>
    <font>
      <sz val="11"/>
      <color theme="1"/>
      <name val="Calibri"/>
      <family val="2"/>
      <scheme val="minor"/>
    </font>
    <font>
      <sz val="12"/>
      <name val="AGaramond"/>
      <family val="3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SWISS-C"/>
    </font>
    <font>
      <sz val="9"/>
      <name val="Arial"/>
      <family val="2"/>
    </font>
    <font>
      <sz val="10"/>
      <name val="Helvetica-Narrow"/>
      <family val="2"/>
    </font>
    <font>
      <sz val="8"/>
      <name val="SWISS-C"/>
    </font>
    <font>
      <vertAlign val="superscript"/>
      <sz val="10"/>
      <name val="Arial"/>
      <family val="2"/>
    </font>
    <font>
      <i/>
      <sz val="10"/>
      <name val="Arial"/>
      <family val="2"/>
    </font>
    <font>
      <vertAlign val="superscript"/>
      <sz val="10"/>
      <name val="Helvetica"/>
      <family val="2"/>
    </font>
    <font>
      <sz val="10"/>
      <name val="SWISS-C"/>
    </font>
    <font>
      <sz val="10"/>
      <name val="Helvetica"/>
      <family val="2"/>
    </font>
    <font>
      <vertAlign val="superscript"/>
      <sz val="10"/>
      <name val="Helvetica-Narrow"/>
      <family val="2"/>
    </font>
    <font>
      <sz val="10"/>
      <color indexed="10"/>
      <name val="Arial"/>
      <family val="2"/>
    </font>
    <font>
      <b/>
      <sz val="10"/>
      <color indexed="81"/>
      <name val="Tahoma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SWISS-C"/>
    </font>
    <font>
      <sz val="10"/>
      <color indexed="12"/>
      <name val="SWISS-C"/>
    </font>
    <font>
      <sz val="10"/>
      <color indexed="12"/>
      <name val="Helvetica-Narrow"/>
      <family val="2"/>
    </font>
    <font>
      <sz val="10"/>
      <color rgb="FF0000FF"/>
      <name val="Helvetica-Narrow"/>
      <family val="2"/>
    </font>
    <font>
      <sz val="10"/>
      <color rgb="FF0000FF"/>
      <name val="SWISS-C"/>
    </font>
    <font>
      <sz val="10"/>
      <color rgb="FF0000FF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C00000"/>
      <name val="Helvetica-Narrow"/>
      <family val="2"/>
    </font>
    <font>
      <b/>
      <sz val="10"/>
      <color rgb="FFA50021"/>
      <name val="Arial"/>
      <family val="2"/>
    </font>
    <font>
      <b/>
      <sz val="10"/>
      <color rgb="FFA50021"/>
      <name val="SWISS-C"/>
    </font>
  </fonts>
  <fills count="3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FF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46">
    <xf numFmtId="37" fontId="0" fillId="0" borderId="0"/>
    <xf numFmtId="43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8" applyNumberFormat="0" applyFill="0" applyAlignment="0" applyProtection="0"/>
    <xf numFmtId="0" fontId="28" fillId="0" borderId="39" applyNumberFormat="0" applyFill="0" applyAlignment="0" applyProtection="0"/>
    <xf numFmtId="0" fontId="29" fillId="0" borderId="40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41" applyNumberFormat="0" applyAlignment="0" applyProtection="0"/>
    <xf numFmtId="0" fontId="34" fillId="9" borderId="42" applyNumberFormat="0" applyAlignment="0" applyProtection="0"/>
    <xf numFmtId="0" fontId="35" fillId="9" borderId="41" applyNumberFormat="0" applyAlignment="0" applyProtection="0"/>
    <xf numFmtId="0" fontId="36" fillId="0" borderId="43" applyNumberFormat="0" applyFill="0" applyAlignment="0" applyProtection="0"/>
    <xf numFmtId="0" fontId="37" fillId="10" borderId="44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46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45" applyNumberFormat="0" applyFont="0" applyAlignment="0" applyProtection="0"/>
    <xf numFmtId="0" fontId="3" fillId="0" borderId="0"/>
  </cellStyleXfs>
  <cellXfs count="482">
    <xf numFmtId="37" fontId="0" fillId="0" borderId="0" xfId="0"/>
    <xf numFmtId="37" fontId="3" fillId="0" borderId="0" xfId="0" applyFont="1"/>
    <xf numFmtId="37" fontId="3" fillId="0" borderId="0" xfId="0" applyFont="1" applyAlignment="1" applyProtection="1">
      <alignment horizontal="centerContinuous"/>
    </xf>
    <xf numFmtId="37" fontId="3" fillId="0" borderId="0" xfId="0" applyFont="1" applyProtection="1"/>
    <xf numFmtId="37" fontId="3" fillId="0" borderId="1" xfId="0" applyFont="1" applyBorder="1" applyProtection="1"/>
    <xf numFmtId="37" fontId="3" fillId="0" borderId="3" xfId="0" applyFont="1" applyBorder="1" applyAlignment="1" applyProtection="1">
      <alignment horizontal="centerContinuous"/>
    </xf>
    <xf numFmtId="37" fontId="3" fillId="0" borderId="1" xfId="0" applyFont="1" applyBorder="1" applyAlignment="1" applyProtection="1">
      <alignment horizontal="centerContinuous" wrapText="1"/>
    </xf>
    <xf numFmtId="37" fontId="3" fillId="0" borderId="1" xfId="0" applyFont="1" applyBorder="1" applyAlignment="1" applyProtection="1">
      <alignment horizontal="centerContinuous"/>
    </xf>
    <xf numFmtId="37" fontId="3" fillId="0" borderId="0" xfId="0" applyFont="1" applyAlignment="1" applyProtection="1">
      <alignment horizontal="left"/>
    </xf>
    <xf numFmtId="37" fontId="4" fillId="0" borderId="0" xfId="0" applyFont="1" applyAlignment="1" applyProtection="1">
      <alignment horizontal="left"/>
    </xf>
    <xf numFmtId="164" fontId="3" fillId="0" borderId="0" xfId="0" applyNumberFormat="1" applyFont="1" applyProtection="1"/>
    <xf numFmtId="37" fontId="3" fillId="0" borderId="0" xfId="0" applyFont="1" applyAlignment="1" applyProtection="1">
      <alignment horizontal="right"/>
    </xf>
    <xf numFmtId="37" fontId="3" fillId="0" borderId="0" xfId="0" applyFont="1" applyFill="1" applyProtection="1"/>
    <xf numFmtId="37" fontId="3" fillId="0" borderId="0" xfId="0" applyFont="1" applyFill="1"/>
    <xf numFmtId="37" fontId="3" fillId="2" borderId="0" xfId="0" applyFont="1" applyFill="1" applyProtection="1"/>
    <xf numFmtId="37" fontId="3" fillId="2" borderId="0" xfId="0" applyFont="1" applyFill="1"/>
    <xf numFmtId="37" fontId="3" fillId="0" borderId="0" xfId="0" applyFont="1" applyBorder="1" applyProtection="1"/>
    <xf numFmtId="37" fontId="3" fillId="0" borderId="0" xfId="0" applyFont="1" applyBorder="1"/>
    <xf numFmtId="37" fontId="3" fillId="0" borderId="1" xfId="0" applyFont="1" applyFill="1" applyBorder="1" applyAlignment="1" applyProtection="1">
      <alignment horizontal="centerContinuous" wrapText="1"/>
    </xf>
    <xf numFmtId="37" fontId="3" fillId="0" borderId="0" xfId="0" applyFont="1" applyAlignment="1" applyProtection="1">
      <alignment horizontal="right"/>
      <protection locked="0"/>
    </xf>
    <xf numFmtId="165" fontId="3" fillId="0" borderId="0" xfId="0" applyNumberFormat="1" applyFont="1" applyProtection="1"/>
    <xf numFmtId="37" fontId="3" fillId="0" borderId="1" xfId="0" applyFont="1" applyBorder="1" applyAlignment="1" applyProtection="1">
      <alignment horizontal="centerContinuous"/>
      <protection locked="0"/>
    </xf>
    <xf numFmtId="37" fontId="5" fillId="0" borderId="0" xfId="0" applyFont="1"/>
    <xf numFmtId="37" fontId="5" fillId="2" borderId="0" xfId="0" applyFont="1" applyFill="1"/>
    <xf numFmtId="37" fontId="3" fillId="0" borderId="0" xfId="0" applyFont="1" applyFill="1" applyBorder="1" applyAlignment="1" applyProtection="1">
      <alignment horizontal="centerContinuous"/>
    </xf>
    <xf numFmtId="37" fontId="3" fillId="0" borderId="0" xfId="0" applyFont="1" applyFill="1" applyBorder="1" applyProtection="1"/>
    <xf numFmtId="37" fontId="3" fillId="0" borderId="0" xfId="0" applyFont="1" applyFill="1" applyBorder="1"/>
    <xf numFmtId="37" fontId="5" fillId="0" borderId="0" xfId="0" applyFont="1" applyFill="1" applyBorder="1"/>
    <xf numFmtId="37" fontId="3" fillId="2" borderId="1" xfId="0" applyFont="1" applyFill="1" applyBorder="1" applyAlignment="1" applyProtection="1">
      <alignment horizontal="centerContinuous"/>
    </xf>
    <xf numFmtId="37" fontId="3" fillId="0" borderId="0" xfId="0" applyFont="1" applyBorder="1" applyAlignment="1" applyProtection="1">
      <alignment horizontal="right"/>
    </xf>
    <xf numFmtId="37" fontId="3" fillId="0" borderId="0" xfId="0" applyFont="1" applyFill="1" applyBorder="1" applyAlignment="1" applyProtection="1">
      <alignment horizontal="right"/>
    </xf>
    <xf numFmtId="37" fontId="3" fillId="0" borderId="3" xfId="0" applyFont="1" applyBorder="1" applyAlignment="1">
      <alignment horizontal="centerContinuous"/>
    </xf>
    <xf numFmtId="3" fontId="3" fillId="0" borderId="0" xfId="0" applyNumberFormat="1" applyFont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Alignment="1" applyProtection="1">
      <alignment horizontal="right"/>
      <protection locked="0"/>
    </xf>
    <xf numFmtId="3" fontId="3" fillId="0" borderId="0" xfId="0" applyNumberFormat="1" applyFont="1" applyAlignment="1" applyProtection="1">
      <alignment horizontal="right"/>
    </xf>
    <xf numFmtId="3" fontId="3" fillId="0" borderId="4" xfId="0" applyNumberFormat="1" applyFont="1" applyBorder="1" applyAlignment="1" applyProtection="1">
      <alignment horizontal="right"/>
      <protection locked="0"/>
    </xf>
    <xf numFmtId="3" fontId="3" fillId="0" borderId="4" xfId="0" applyNumberFormat="1" applyFont="1" applyBorder="1" applyAlignment="1" applyProtection="1">
      <alignment horizontal="right"/>
    </xf>
    <xf numFmtId="3" fontId="3" fillId="2" borderId="4" xfId="0" applyNumberFormat="1" applyFont="1" applyFill="1" applyBorder="1" applyAlignment="1" applyProtection="1">
      <alignment horizontal="right"/>
    </xf>
    <xf numFmtId="3" fontId="3" fillId="2" borderId="0" xfId="0" applyNumberFormat="1" applyFont="1" applyFill="1" applyAlignment="1" applyProtection="1">
      <alignment horizontal="right"/>
    </xf>
    <xf numFmtId="3" fontId="3" fillId="2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Fill="1" applyAlignment="1" applyProtection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 applyProtection="1">
      <alignment horizontal="right"/>
      <protection locked="0"/>
    </xf>
    <xf numFmtId="3" fontId="3" fillId="0" borderId="4" xfId="0" applyNumberFormat="1" applyFont="1" applyFill="1" applyBorder="1" applyAlignment="1" applyProtection="1">
      <alignment horizontal="right"/>
      <protection locked="0"/>
    </xf>
    <xf numFmtId="3" fontId="3" fillId="0" borderId="4" xfId="0" applyNumberFormat="1" applyFont="1" applyFill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6" xfId="0" applyNumberFormat="1" applyFont="1" applyBorder="1" applyAlignment="1" applyProtection="1">
      <alignment horizontal="right"/>
    </xf>
    <xf numFmtId="37" fontId="3" fillId="0" borderId="6" xfId="0" applyFont="1" applyBorder="1" applyProtection="1"/>
    <xf numFmtId="37" fontId="3" fillId="0" borderId="1" xfId="0" applyFont="1" applyFill="1" applyBorder="1" applyAlignment="1" applyProtection="1">
      <alignment horizontal="centerContinuous"/>
    </xf>
    <xf numFmtId="37" fontId="3" fillId="0" borderId="0" xfId="0" applyFont="1" applyFill="1" applyAlignment="1" applyProtection="1">
      <alignment horizontal="right"/>
      <protection locked="0"/>
    </xf>
    <xf numFmtId="37" fontId="3" fillId="0" borderId="1" xfId="0" applyFont="1" applyFill="1" applyBorder="1" applyAlignment="1" applyProtection="1">
      <alignment horizontal="centerContinuous"/>
      <protection locked="0"/>
    </xf>
    <xf numFmtId="37" fontId="3" fillId="0" borderId="0" xfId="0" applyFont="1" applyFill="1" applyAlignment="1" applyProtection="1">
      <alignment horizontal="right"/>
    </xf>
    <xf numFmtId="164" fontId="3" fillId="0" borderId="0" xfId="0" applyNumberFormat="1" applyFont="1" applyFill="1" applyProtection="1"/>
    <xf numFmtId="37" fontId="3" fillId="0" borderId="0" xfId="0" applyFont="1" applyFill="1" applyBorder="1" applyAlignment="1"/>
    <xf numFmtId="37" fontId="12" fillId="0" borderId="0" xfId="0" applyFont="1" applyFill="1" applyBorder="1" applyAlignment="1"/>
    <xf numFmtId="37" fontId="10" fillId="0" borderId="0" xfId="0" applyFont="1" applyAlignment="1" applyProtection="1">
      <alignment horizontal="right"/>
    </xf>
    <xf numFmtId="37" fontId="7" fillId="0" borderId="0" xfId="0" applyFont="1" applyFill="1" applyBorder="1" applyProtection="1"/>
    <xf numFmtId="37" fontId="7" fillId="0" borderId="0" xfId="0" applyFont="1" applyFill="1" applyBorder="1" applyAlignment="1" applyProtection="1">
      <alignment horizontal="centerContinuous" wrapText="1"/>
    </xf>
    <xf numFmtId="37" fontId="7" fillId="0" borderId="0" xfId="0" applyFont="1" applyFill="1" applyBorder="1" applyAlignment="1" applyProtection="1">
      <alignment horizontal="centerContinuous"/>
    </xf>
    <xf numFmtId="37" fontId="3" fillId="2" borderId="0" xfId="0" applyFont="1" applyFill="1" applyBorder="1" applyProtection="1"/>
    <xf numFmtId="37" fontId="3" fillId="0" borderId="7" xfId="0" applyFont="1" applyBorder="1" applyAlignment="1" applyProtection="1"/>
    <xf numFmtId="37" fontId="3" fillId="0" borderId="8" xfId="0" applyFont="1" applyBorder="1" applyProtection="1"/>
    <xf numFmtId="37" fontId="3" fillId="0" borderId="0" xfId="0" applyFont="1" applyFill="1" applyAlignment="1" applyProtection="1">
      <alignment horizontal="centerContinuous"/>
    </xf>
    <xf numFmtId="37" fontId="6" fillId="0" borderId="0" xfId="0" applyFont="1" applyFill="1" applyBorder="1"/>
    <xf numFmtId="37" fontId="6" fillId="0" borderId="0" xfId="0" applyFont="1" applyFill="1" applyBorder="1" applyAlignment="1" applyProtection="1"/>
    <xf numFmtId="3" fontId="3" fillId="2" borderId="6" xfId="0" applyNumberFormat="1" applyFont="1" applyFill="1" applyBorder="1" applyAlignment="1" applyProtection="1">
      <alignment horizontal="right"/>
    </xf>
    <xf numFmtId="37" fontId="3" fillId="0" borderId="1" xfId="0" applyFont="1" applyBorder="1" applyAlignment="1" applyProtection="1">
      <alignment horizontal="left"/>
    </xf>
    <xf numFmtId="37" fontId="3" fillId="0" borderId="7" xfId="0" applyFont="1" applyBorder="1" applyAlignment="1" applyProtection="1">
      <alignment horizontal="left"/>
    </xf>
    <xf numFmtId="37" fontId="3" fillId="2" borderId="7" xfId="0" applyFont="1" applyFill="1" applyBorder="1" applyAlignment="1" applyProtection="1">
      <alignment horizontal="left"/>
    </xf>
    <xf numFmtId="37" fontId="3" fillId="0" borderId="9" xfId="0" applyFont="1" applyBorder="1" applyAlignment="1" applyProtection="1">
      <alignment horizontal="left"/>
    </xf>
    <xf numFmtId="3" fontId="3" fillId="0" borderId="0" xfId="0" applyNumberFormat="1" applyFont="1" applyBorder="1" applyProtection="1"/>
    <xf numFmtId="37" fontId="3" fillId="0" borderId="6" xfId="0" applyFont="1" applyBorder="1"/>
    <xf numFmtId="3" fontId="3" fillId="0" borderId="0" xfId="0" applyNumberFormat="1" applyFont="1" applyBorder="1" applyAlignment="1" applyProtection="1">
      <alignment horizontal="right"/>
      <protection locked="0"/>
    </xf>
    <xf numFmtId="164" fontId="3" fillId="0" borderId="0" xfId="0" applyNumberFormat="1" applyFont="1" applyBorder="1" applyAlignment="1" applyProtection="1">
      <alignment horizontal="right"/>
    </xf>
    <xf numFmtId="37" fontId="3" fillId="0" borderId="0" xfId="0" applyFont="1" applyFill="1" applyBorder="1" applyAlignment="1">
      <alignment horizontal="right"/>
    </xf>
    <xf numFmtId="37" fontId="3" fillId="0" borderId="6" xfId="0" applyFont="1" applyFill="1" applyBorder="1" applyAlignment="1">
      <alignment horizontal="right"/>
    </xf>
    <xf numFmtId="37" fontId="3" fillId="0" borderId="0" xfId="0" applyFont="1" applyFill="1" applyAlignment="1">
      <alignment horizontal="right"/>
    </xf>
    <xf numFmtId="37" fontId="3" fillId="0" borderId="0" xfId="0" applyFont="1" applyAlignment="1">
      <alignment horizontal="right"/>
    </xf>
    <xf numFmtId="37" fontId="3" fillId="0" borderId="6" xfId="0" applyFont="1" applyFill="1" applyBorder="1" applyAlignment="1" applyProtection="1">
      <alignment horizontal="right"/>
    </xf>
    <xf numFmtId="37" fontId="3" fillId="0" borderId="10" xfId="0" applyFont="1" applyBorder="1" applyAlignment="1" applyProtection="1">
      <alignment horizontal="right"/>
    </xf>
    <xf numFmtId="3" fontId="3" fillId="0" borderId="4" xfId="0" applyNumberFormat="1" applyFont="1" applyBorder="1" applyAlignment="1" applyProtection="1">
      <alignment horizontal="left"/>
    </xf>
    <xf numFmtId="3" fontId="3" fillId="0" borderId="4" xfId="0" applyNumberFormat="1" applyFont="1" applyBorder="1" applyAlignment="1" applyProtection="1">
      <alignment horizontal="centerContinuous"/>
    </xf>
    <xf numFmtId="3" fontId="3" fillId="2" borderId="4" xfId="0" applyNumberFormat="1" applyFont="1" applyFill="1" applyBorder="1" applyAlignment="1" applyProtection="1">
      <alignment horizontal="centerContinuous"/>
    </xf>
    <xf numFmtId="3" fontId="3" fillId="0" borderId="4" xfId="0" applyNumberFormat="1" applyFont="1" applyBorder="1" applyProtection="1">
      <protection locked="0"/>
    </xf>
    <xf numFmtId="3" fontId="3" fillId="0" borderId="4" xfId="0" applyNumberFormat="1" applyFont="1" applyBorder="1" applyProtection="1"/>
    <xf numFmtId="3" fontId="3" fillId="2" borderId="4" xfId="0" applyNumberFormat="1" applyFont="1" applyFill="1" applyBorder="1" applyProtection="1"/>
    <xf numFmtId="3" fontId="3" fillId="0" borderId="0" xfId="0" applyNumberFormat="1" applyFont="1" applyFill="1" applyBorder="1" applyProtection="1"/>
    <xf numFmtId="3" fontId="3" fillId="2" borderId="0" xfId="0" applyNumberFormat="1" applyFont="1" applyFill="1" applyBorder="1" applyProtection="1"/>
    <xf numFmtId="3" fontId="3" fillId="0" borderId="11" xfId="0" applyNumberFormat="1" applyFont="1" applyBorder="1" applyAlignment="1" applyProtection="1">
      <alignment horizontal="right"/>
    </xf>
    <xf numFmtId="3" fontId="3" fillId="0" borderId="6" xfId="0" applyNumberFormat="1" applyFont="1" applyBorder="1" applyAlignment="1" applyProtection="1">
      <alignment horizontal="right"/>
      <protection locked="0"/>
    </xf>
    <xf numFmtId="3" fontId="3" fillId="0" borderId="6" xfId="0" applyNumberFormat="1" applyFont="1" applyFill="1" applyBorder="1" applyAlignment="1" applyProtection="1">
      <alignment horizontal="right"/>
      <protection locked="0"/>
    </xf>
    <xf numFmtId="3" fontId="3" fillId="2" borderId="11" xfId="0" applyNumberFormat="1" applyFont="1" applyFill="1" applyBorder="1" applyAlignment="1" applyProtection="1">
      <alignment horizontal="right"/>
    </xf>
    <xf numFmtId="37" fontId="4" fillId="0" borderId="0" xfId="0" applyFont="1" applyAlignment="1" applyProtection="1">
      <alignment horizontal="right"/>
    </xf>
    <xf numFmtId="37" fontId="3" fillId="0" borderId="0" xfId="0" applyFont="1" applyBorder="1" applyAlignment="1" applyProtection="1">
      <alignment horizontal="centerContinuous"/>
    </xf>
    <xf numFmtId="1" fontId="4" fillId="0" borderId="0" xfId="1" applyNumberFormat="1" applyFont="1" applyAlignment="1" applyProtection="1">
      <alignment horizontal="right"/>
    </xf>
    <xf numFmtId="37" fontId="3" fillId="2" borderId="3" xfId="0" applyFont="1" applyFill="1" applyBorder="1" applyAlignment="1" applyProtection="1">
      <alignment horizontal="centerContinuous"/>
    </xf>
    <xf numFmtId="37" fontId="3" fillId="0" borderId="0" xfId="0" applyFont="1" applyFill="1" applyBorder="1" applyAlignment="1" applyProtection="1"/>
    <xf numFmtId="37" fontId="5" fillId="0" borderId="0" xfId="0" applyFont="1" applyAlignment="1"/>
    <xf numFmtId="37" fontId="3" fillId="0" borderId="0" xfId="0" applyFont="1" applyAlignment="1"/>
    <xf numFmtId="37" fontId="4" fillId="0" borderId="0" xfId="0" applyFont="1" applyAlignment="1" applyProtection="1"/>
    <xf numFmtId="37" fontId="4" fillId="0" borderId="0" xfId="0" applyFont="1" applyFill="1" applyBorder="1" applyAlignment="1" applyProtection="1"/>
    <xf numFmtId="37" fontId="3" fillId="0" borderId="0" xfId="0" applyFont="1" applyAlignment="1" applyProtection="1"/>
    <xf numFmtId="37" fontId="5" fillId="0" borderId="0" xfId="0" applyFont="1" applyFill="1" applyBorder="1" applyAlignment="1"/>
    <xf numFmtId="37" fontId="11" fillId="0" borderId="0" xfId="0" applyFont="1" applyBorder="1" applyAlignment="1" applyProtection="1"/>
    <xf numFmtId="37" fontId="11" fillId="0" borderId="0" xfId="0" applyFont="1" applyFill="1" applyBorder="1" applyAlignment="1" applyProtection="1"/>
    <xf numFmtId="37" fontId="3" fillId="0" borderId="0" xfId="0" applyFont="1" applyAlignment="1" applyProtection="1">
      <alignment vertical="top"/>
    </xf>
    <xf numFmtId="3" fontId="3" fillId="0" borderId="0" xfId="0" applyNumberFormat="1" applyFont="1" applyFill="1"/>
    <xf numFmtId="170" fontId="3" fillId="0" borderId="10" xfId="0" applyNumberFormat="1" applyFont="1" applyFill="1" applyBorder="1" applyAlignment="1" applyProtection="1">
      <alignment horizontal="right"/>
    </xf>
    <xf numFmtId="37" fontId="0" fillId="0" borderId="0" xfId="0" applyBorder="1"/>
    <xf numFmtId="3" fontId="3" fillId="0" borderId="6" xfId="0" applyNumberFormat="1" applyFont="1" applyBorder="1" applyProtection="1"/>
    <xf numFmtId="37" fontId="3" fillId="0" borderId="2" xfId="0" applyFont="1" applyBorder="1" applyAlignment="1" applyProtection="1">
      <alignment horizontal="right"/>
    </xf>
    <xf numFmtId="37" fontId="0" fillId="0" borderId="0" xfId="0" applyAlignment="1">
      <alignment horizontal="right"/>
    </xf>
    <xf numFmtId="37" fontId="3" fillId="0" borderId="3" xfId="0" applyFont="1" applyBorder="1" applyAlignment="1" applyProtection="1">
      <alignment horizontal="right"/>
      <protection locked="0"/>
    </xf>
    <xf numFmtId="37" fontId="3" fillId="0" borderId="3" xfId="0" applyFont="1" applyFill="1" applyBorder="1" applyAlignment="1" applyProtection="1">
      <alignment horizontal="right"/>
      <protection locked="0"/>
    </xf>
    <xf numFmtId="37" fontId="3" fillId="0" borderId="3" xfId="0" applyFont="1" applyFill="1" applyBorder="1" applyAlignment="1" applyProtection="1">
      <alignment horizontal="right"/>
    </xf>
    <xf numFmtId="37" fontId="3" fillId="0" borderId="3" xfId="0" applyFont="1" applyBorder="1" applyAlignment="1" applyProtection="1">
      <alignment horizontal="right"/>
    </xf>
    <xf numFmtId="37" fontId="3" fillId="0" borderId="3" xfId="0" applyFont="1" applyBorder="1" applyAlignment="1" applyProtection="1">
      <alignment horizontal="right" wrapText="1"/>
    </xf>
    <xf numFmtId="37" fontId="3" fillId="0" borderId="3" xfId="0" applyFont="1" applyFill="1" applyBorder="1" applyAlignment="1" applyProtection="1">
      <alignment horizontal="right" wrapText="1"/>
    </xf>
    <xf numFmtId="37" fontId="3" fillId="2" borderId="3" xfId="0" applyFont="1" applyFill="1" applyBorder="1" applyAlignment="1" applyProtection="1">
      <alignment horizontal="right" wrapText="1"/>
    </xf>
    <xf numFmtId="37" fontId="3" fillId="0" borderId="7" xfId="0" applyFont="1" applyBorder="1" applyAlignment="1" applyProtection="1">
      <alignment horizontal="right"/>
      <protection locked="0"/>
    </xf>
    <xf numFmtId="37" fontId="3" fillId="0" borderId="2" xfId="0" applyFont="1" applyFill="1" applyBorder="1" applyAlignment="1" applyProtection="1">
      <alignment horizontal="right"/>
    </xf>
    <xf numFmtId="37" fontId="3" fillId="0" borderId="7" xfId="0" applyFont="1" applyBorder="1" applyAlignment="1" applyProtection="1">
      <alignment horizontal="right"/>
    </xf>
    <xf numFmtId="37" fontId="3" fillId="2" borderId="7" xfId="0" applyFont="1" applyFill="1" applyBorder="1" applyAlignment="1" applyProtection="1">
      <alignment horizontal="right"/>
    </xf>
    <xf numFmtId="37" fontId="3" fillId="2" borderId="3" xfId="0" applyFont="1" applyFill="1" applyBorder="1" applyAlignment="1" applyProtection="1">
      <alignment horizontal="right"/>
    </xf>
    <xf numFmtId="37" fontId="3" fillId="2" borderId="3" xfId="0" applyFont="1" applyFill="1" applyBorder="1" applyAlignment="1" applyProtection="1">
      <alignment horizontal="right"/>
      <protection locked="0"/>
    </xf>
    <xf numFmtId="37" fontId="3" fillId="0" borderId="13" xfId="0" applyFont="1" applyBorder="1" applyAlignment="1">
      <alignment horizontal="right"/>
    </xf>
    <xf numFmtId="1" fontId="3" fillId="0" borderId="0" xfId="1" applyNumberFormat="1" applyFont="1" applyAlignment="1" applyProtection="1">
      <alignment horizontal="right"/>
    </xf>
    <xf numFmtId="37" fontId="17" fillId="0" borderId="0" xfId="0" applyFont="1" applyProtection="1"/>
    <xf numFmtId="37" fontId="17" fillId="0" borderId="1" xfId="0" applyFont="1" applyBorder="1" applyAlignment="1" applyProtection="1">
      <alignment horizontal="centerContinuous" wrapText="1"/>
    </xf>
    <xf numFmtId="37" fontId="17" fillId="0" borderId="3" xfId="0" applyFont="1" applyBorder="1" applyAlignment="1" applyProtection="1">
      <alignment horizontal="right"/>
      <protection locked="0"/>
    </xf>
    <xf numFmtId="3" fontId="17" fillId="0" borderId="0" xfId="0" applyNumberFormat="1" applyFont="1" applyAlignment="1" applyProtection="1">
      <alignment horizontal="right"/>
      <protection locked="0"/>
    </xf>
    <xf numFmtId="37" fontId="17" fillId="0" borderId="0" xfId="0" applyFont="1"/>
    <xf numFmtId="37" fontId="17" fillId="0" borderId="0" xfId="0" applyFont="1" applyFill="1"/>
    <xf numFmtId="37" fontId="17" fillId="0" borderId="0" xfId="0" applyFont="1" applyAlignment="1" applyProtection="1">
      <alignment horizontal="right"/>
      <protection locked="0"/>
    </xf>
    <xf numFmtId="37" fontId="3" fillId="0" borderId="0" xfId="0" applyFont="1" applyFill="1" applyAlignment="1">
      <alignment horizontal="left"/>
    </xf>
    <xf numFmtId="37" fontId="3" fillId="0" borderId="0" xfId="0" applyFont="1" applyAlignment="1">
      <alignment horizontal="centerContinuous"/>
    </xf>
    <xf numFmtId="37" fontId="3" fillId="0" borderId="0" xfId="0" applyFont="1" applyAlignment="1">
      <alignment horizontal="left"/>
    </xf>
    <xf numFmtId="37" fontId="3" fillId="0" borderId="14" xfId="0" applyFont="1" applyBorder="1" applyAlignment="1">
      <alignment horizontal="centerContinuous"/>
    </xf>
    <xf numFmtId="37" fontId="3" fillId="0" borderId="0" xfId="0" applyFont="1" applyBorder="1" applyAlignment="1">
      <alignment horizontal="center"/>
    </xf>
    <xf numFmtId="37" fontId="3" fillId="0" borderId="2" xfId="0" applyFont="1" applyBorder="1"/>
    <xf numFmtId="37" fontId="3" fillId="0" borderId="4" xfId="0" applyFont="1" applyBorder="1"/>
    <xf numFmtId="37" fontId="3" fillId="0" borderId="0" xfId="0" applyFont="1" applyBorder="1" applyAlignment="1">
      <alignment vertical="top"/>
    </xf>
    <xf numFmtId="37" fontId="20" fillId="0" borderId="0" xfId="0" applyFont="1"/>
    <xf numFmtId="37" fontId="3" fillId="0" borderId="0" xfId="0" applyFont="1" applyBorder="1" applyAlignment="1">
      <alignment horizontal="centerContinuous"/>
    </xf>
    <xf numFmtId="37" fontId="20" fillId="0" borderId="0" xfId="0" applyFont="1" applyBorder="1"/>
    <xf numFmtId="37" fontId="3" fillId="0" borderId="1" xfId="0" applyFont="1" applyBorder="1" applyAlignment="1" applyProtection="1">
      <alignment horizontal="right"/>
    </xf>
    <xf numFmtId="37" fontId="3" fillId="0" borderId="6" xfId="0" applyFont="1" applyBorder="1" applyAlignment="1" applyProtection="1">
      <alignment horizontal="right"/>
    </xf>
    <xf numFmtId="37" fontId="5" fillId="0" borderId="0" xfId="0" applyFont="1" applyAlignment="1">
      <alignment horizontal="right"/>
    </xf>
    <xf numFmtId="37" fontId="11" fillId="0" borderId="0" xfId="0" applyFont="1" applyBorder="1" applyAlignment="1" applyProtection="1">
      <alignment horizontal="right"/>
    </xf>
    <xf numFmtId="37" fontId="13" fillId="0" borderId="0" xfId="0" applyFont="1" applyAlignment="1" applyProtection="1">
      <alignment horizontal="right"/>
    </xf>
    <xf numFmtId="37" fontId="9" fillId="0" borderId="0" xfId="0" applyFont="1" applyBorder="1" applyAlignment="1" applyProtection="1">
      <alignment vertical="top"/>
    </xf>
    <xf numFmtId="37" fontId="3" fillId="0" borderId="0" xfId="0" applyFont="1" applyAlignment="1">
      <alignment vertical="top"/>
    </xf>
    <xf numFmtId="37" fontId="0" fillId="2" borderId="15" xfId="0" applyFill="1" applyBorder="1"/>
    <xf numFmtId="37" fontId="0" fillId="2" borderId="0" xfId="0" applyFill="1" applyBorder="1"/>
    <xf numFmtId="170" fontId="3" fillId="2" borderId="10" xfId="0" applyNumberFormat="1" applyFont="1" applyFill="1" applyBorder="1" applyAlignment="1" applyProtection="1">
      <alignment horizontal="right"/>
    </xf>
    <xf numFmtId="3" fontId="17" fillId="0" borderId="6" xfId="0" applyNumberFormat="1" applyFont="1" applyBorder="1" applyAlignment="1" applyProtection="1">
      <alignment horizontal="right"/>
      <protection locked="0"/>
    </xf>
    <xf numFmtId="37" fontId="17" fillId="0" borderId="13" xfId="0" applyFont="1" applyBorder="1" applyAlignment="1" applyProtection="1">
      <alignment horizontal="centerContinuous" wrapText="1"/>
    </xf>
    <xf numFmtId="37" fontId="3" fillId="2" borderId="16" xfId="0" applyFont="1" applyFill="1" applyBorder="1" applyAlignment="1" applyProtection="1">
      <alignment horizontal="right"/>
      <protection locked="0"/>
    </xf>
    <xf numFmtId="37" fontId="7" fillId="2" borderId="3" xfId="0" applyFont="1" applyFill="1" applyBorder="1" applyAlignment="1" applyProtection="1">
      <alignment horizontal="left"/>
    </xf>
    <xf numFmtId="37" fontId="5" fillId="2" borderId="6" xfId="0" applyFont="1" applyFill="1" applyBorder="1"/>
    <xf numFmtId="37" fontId="7" fillId="2" borderId="3" xfId="0" applyFont="1" applyFill="1" applyBorder="1" applyAlignment="1" applyProtection="1">
      <alignment horizontal="centerContinuous" wrapText="1"/>
    </xf>
    <xf numFmtId="37" fontId="5" fillId="2" borderId="0" xfId="0" applyFont="1" applyFill="1" applyBorder="1"/>
    <xf numFmtId="37" fontId="7" fillId="2" borderId="16" xfId="0" applyFont="1" applyFill="1" applyBorder="1" applyAlignment="1" applyProtection="1">
      <alignment horizontal="left"/>
    </xf>
    <xf numFmtId="37" fontId="7" fillId="2" borderId="0" xfId="0" applyFont="1" applyFill="1" applyBorder="1" applyAlignment="1" applyProtection="1">
      <alignment horizontal="centerContinuous" wrapText="1"/>
    </xf>
    <xf numFmtId="37" fontId="3" fillId="2" borderId="2" xfId="0" applyFont="1" applyFill="1" applyBorder="1" applyProtection="1"/>
    <xf numFmtId="37" fontId="7" fillId="2" borderId="0" xfId="0" applyFont="1" applyFill="1" applyBorder="1" applyProtection="1"/>
    <xf numFmtId="37" fontId="3" fillId="0" borderId="15" xfId="0" applyFont="1" applyBorder="1" applyProtection="1"/>
    <xf numFmtId="37" fontId="6" fillId="0" borderId="0" xfId="0" applyFont="1" applyFill="1" applyBorder="1" applyProtection="1"/>
    <xf numFmtId="37" fontId="21" fillId="2" borderId="0" xfId="0" applyFont="1" applyFill="1"/>
    <xf numFmtId="37" fontId="22" fillId="2" borderId="3" xfId="0" applyFont="1" applyFill="1" applyBorder="1" applyAlignment="1" applyProtection="1">
      <alignment horizontal="centerContinuous" wrapText="1"/>
    </xf>
    <xf numFmtId="37" fontId="3" fillId="0" borderId="7" xfId="0" applyFont="1" applyFill="1" applyBorder="1" applyAlignment="1" applyProtection="1">
      <alignment horizontal="right"/>
      <protection locked="0"/>
    </xf>
    <xf numFmtId="37" fontId="3" fillId="0" borderId="16" xfId="0" applyFont="1" applyBorder="1" applyAlignment="1" applyProtection="1">
      <alignment horizontal="left"/>
    </xf>
    <xf numFmtId="37" fontId="3" fillId="0" borderId="16" xfId="0" applyFont="1" applyBorder="1" applyAlignment="1" applyProtection="1">
      <alignment horizontal="right"/>
    </xf>
    <xf numFmtId="3" fontId="3" fillId="0" borderId="15" xfId="0" applyNumberFormat="1" applyFont="1" applyBorder="1" applyAlignment="1" applyProtection="1">
      <alignment horizontal="right"/>
    </xf>
    <xf numFmtId="3" fontId="3" fillId="0" borderId="15" xfId="0" applyNumberFormat="1" applyFont="1" applyFill="1" applyBorder="1" applyAlignment="1" applyProtection="1">
      <alignment horizontal="right"/>
    </xf>
    <xf numFmtId="3" fontId="3" fillId="0" borderId="17" xfId="0" applyNumberFormat="1" applyFont="1" applyBorder="1" applyAlignment="1" applyProtection="1">
      <alignment horizontal="right"/>
    </xf>
    <xf numFmtId="3" fontId="3" fillId="0" borderId="15" xfId="0" applyNumberFormat="1" applyFont="1" applyBorder="1" applyAlignment="1" applyProtection="1">
      <alignment horizontal="left"/>
    </xf>
    <xf numFmtId="3" fontId="3" fillId="0" borderId="15" xfId="0" applyNumberFormat="1" applyFont="1" applyBorder="1" applyAlignment="1" applyProtection="1">
      <alignment horizontal="centerContinuous"/>
    </xf>
    <xf numFmtId="3" fontId="3" fillId="0" borderId="15" xfId="0" applyNumberFormat="1" applyFont="1" applyBorder="1" applyProtection="1"/>
    <xf numFmtId="37" fontId="3" fillId="0" borderId="18" xfId="0" applyFont="1" applyFill="1" applyBorder="1" applyAlignment="1" applyProtection="1"/>
    <xf numFmtId="37" fontId="3" fillId="0" borderId="10" xfId="0" applyFont="1" applyFill="1" applyBorder="1" applyAlignment="1" applyProtection="1"/>
    <xf numFmtId="37" fontId="3" fillId="0" borderId="15" xfId="0" applyFont="1" applyBorder="1"/>
    <xf numFmtId="37" fontId="3" fillId="0" borderId="15" xfId="0" applyFont="1" applyBorder="1" applyProtection="1">
      <protection locked="0"/>
    </xf>
    <xf numFmtId="37" fontId="0" fillId="0" borderId="0" xfId="0" applyBorder="1" applyAlignment="1">
      <alignment horizontal="right"/>
    </xf>
    <xf numFmtId="37" fontId="7" fillId="0" borderId="13" xfId="0" applyFont="1" applyBorder="1" applyAlignment="1" applyProtection="1">
      <alignment horizontal="centerContinuous" wrapText="1"/>
    </xf>
    <xf numFmtId="37" fontId="7" fillId="0" borderId="21" xfId="0" applyFont="1" applyBorder="1" applyAlignment="1" applyProtection="1">
      <alignment horizontal="centerContinuous"/>
    </xf>
    <xf numFmtId="37" fontId="7" fillId="0" borderId="13" xfId="0" applyFont="1" applyBorder="1" applyAlignment="1" applyProtection="1">
      <alignment horizontal="centerContinuous"/>
    </xf>
    <xf numFmtId="37" fontId="7" fillId="0" borderId="6" xfId="0" applyFont="1" applyBorder="1" applyAlignment="1" applyProtection="1">
      <alignment horizontal="centerContinuous"/>
    </xf>
    <xf numFmtId="37" fontId="7" fillId="0" borderId="15" xfId="0" applyFont="1" applyBorder="1" applyProtection="1"/>
    <xf numFmtId="37" fontId="7" fillId="0" borderId="4" xfId="0" applyFont="1" applyBorder="1" applyAlignment="1" applyProtection="1">
      <alignment horizontal="center" wrapText="1"/>
    </xf>
    <xf numFmtId="37" fontId="7" fillId="0" borderId="23" xfId="0" applyFont="1" applyBorder="1" applyAlignment="1" applyProtection="1">
      <alignment horizontal="centerContinuous"/>
    </xf>
    <xf numFmtId="37" fontId="7" fillId="0" borderId="19" xfId="0" applyFont="1" applyBorder="1" applyProtection="1"/>
    <xf numFmtId="167" fontId="3" fillId="0" borderId="0" xfId="0" applyNumberFormat="1" applyFont="1" applyFill="1" applyProtection="1"/>
    <xf numFmtId="37" fontId="3" fillId="0" borderId="0" xfId="0" applyFont="1" applyFill="1" applyAlignment="1" applyProtection="1"/>
    <xf numFmtId="37" fontId="3" fillId="0" borderId="0" xfId="0" applyFont="1" applyFill="1" applyAlignment="1"/>
    <xf numFmtId="37" fontId="5" fillId="0" borderId="0" xfId="0" applyFont="1" applyFill="1"/>
    <xf numFmtId="37" fontId="7" fillId="0" borderId="10" xfId="0" applyFont="1" applyBorder="1" applyAlignment="1" applyProtection="1">
      <alignment horizontal="centerContinuous"/>
    </xf>
    <xf numFmtId="37" fontId="7" fillId="0" borderId="25" xfId="0" applyFont="1" applyBorder="1" applyAlignment="1" applyProtection="1">
      <alignment horizontal="center" wrapText="1"/>
    </xf>
    <xf numFmtId="37" fontId="7" fillId="0" borderId="26" xfId="0" applyFont="1" applyBorder="1" applyAlignment="1" applyProtection="1">
      <alignment horizontal="centerContinuous"/>
    </xf>
    <xf numFmtId="166" fontId="23" fillId="2" borderId="0" xfId="0" applyNumberFormat="1" applyFont="1" applyFill="1" applyBorder="1" applyAlignment="1" applyProtection="1"/>
    <xf numFmtId="166" fontId="23" fillId="2" borderId="15" xfId="0" applyNumberFormat="1" applyFont="1" applyFill="1" applyBorder="1" applyAlignment="1" applyProtection="1"/>
    <xf numFmtId="169" fontId="24" fillId="2" borderId="0" xfId="0" applyNumberFormat="1" applyFont="1" applyFill="1" applyBorder="1"/>
    <xf numFmtId="166" fontId="23" fillId="2" borderId="6" xfId="0" applyNumberFormat="1" applyFont="1" applyFill="1" applyBorder="1" applyAlignment="1" applyProtection="1"/>
    <xf numFmtId="166" fontId="23" fillId="2" borderId="17" xfId="0" applyNumberFormat="1" applyFont="1" applyFill="1" applyBorder="1" applyAlignment="1" applyProtection="1"/>
    <xf numFmtId="169" fontId="24" fillId="2" borderId="6" xfId="0" applyNumberFormat="1" applyFont="1" applyFill="1" applyBorder="1"/>
    <xf numFmtId="166" fontId="23" fillId="2" borderId="27" xfId="0" applyNumberFormat="1" applyFont="1" applyFill="1" applyBorder="1" applyAlignment="1" applyProtection="1"/>
    <xf numFmtId="166" fontId="23" fillId="2" borderId="1" xfId="0" applyNumberFormat="1" applyFont="1" applyFill="1" applyBorder="1" applyAlignment="1" applyProtection="1"/>
    <xf numFmtId="37" fontId="3" fillId="0" borderId="13" xfId="0" applyFont="1" applyBorder="1" applyAlignment="1">
      <alignment horizontal="centerContinuous"/>
    </xf>
    <xf numFmtId="37" fontId="3" fillId="0" borderId="2" xfId="0" applyFont="1" applyFill="1" applyBorder="1" applyAlignment="1">
      <alignment horizontal="center"/>
    </xf>
    <xf numFmtId="37" fontId="5" fillId="0" borderId="0" xfId="0" applyFont="1" applyBorder="1"/>
    <xf numFmtId="37" fontId="3" fillId="0" borderId="6" xfId="0" applyFont="1" applyFill="1" applyBorder="1" applyProtection="1"/>
    <xf numFmtId="3" fontId="3" fillId="0" borderId="0" xfId="0" applyNumberFormat="1" applyFont="1" applyBorder="1"/>
    <xf numFmtId="3" fontId="3" fillId="0" borderId="15" xfId="0" applyNumberFormat="1" applyFont="1" applyBorder="1" applyAlignment="1" applyProtection="1">
      <alignment horizontal="right"/>
      <protection locked="0"/>
    </xf>
    <xf numFmtId="37" fontId="3" fillId="0" borderId="0" xfId="0" applyFont="1" applyBorder="1" applyProtection="1">
      <protection locked="0"/>
    </xf>
    <xf numFmtId="3" fontId="3" fillId="0" borderId="0" xfId="0" applyNumberFormat="1" applyFont="1" applyFill="1" applyBorder="1" applyAlignment="1" applyProtection="1">
      <alignment horizontal="right"/>
      <protection locked="0"/>
    </xf>
    <xf numFmtId="37" fontId="3" fillId="2" borderId="6" xfId="0" applyFont="1" applyFill="1" applyBorder="1" applyProtection="1"/>
    <xf numFmtId="3" fontId="3" fillId="2" borderId="0" xfId="0" applyNumberFormat="1" applyFont="1" applyFill="1" applyBorder="1" applyAlignment="1" applyProtection="1">
      <alignment horizontal="right"/>
      <protection locked="0"/>
    </xf>
    <xf numFmtId="37" fontId="3" fillId="0" borderId="17" xfId="0" applyFont="1" applyBorder="1" applyProtection="1"/>
    <xf numFmtId="37" fontId="3" fillId="0" borderId="0" xfId="0" applyNumberFormat="1" applyFont="1" applyBorder="1" applyAlignment="1" applyProtection="1"/>
    <xf numFmtId="37" fontId="3" fillId="0" borderId="0" xfId="0" applyNumberFormat="1" applyFont="1" applyBorder="1" applyAlignment="1"/>
    <xf numFmtId="37" fontId="3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ill="1" applyBorder="1"/>
    <xf numFmtId="3" fontId="3" fillId="0" borderId="6" xfId="0" applyNumberFormat="1" applyFont="1" applyFill="1" applyBorder="1" applyAlignment="1" applyProtection="1">
      <alignment horizontal="right"/>
    </xf>
    <xf numFmtId="37" fontId="3" fillId="0" borderId="15" xfId="0" applyFont="1" applyFill="1" applyBorder="1"/>
    <xf numFmtId="3" fontId="3" fillId="0" borderId="11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Protection="1">
      <protection locked="0"/>
    </xf>
    <xf numFmtId="3" fontId="3" fillId="0" borderId="6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17" fillId="0" borderId="0" xfId="0" applyNumberFormat="1" applyFont="1" applyBorder="1" applyAlignment="1" applyProtection="1">
      <alignment horizontal="right"/>
      <protection locked="0"/>
    </xf>
    <xf numFmtId="3" fontId="3" fillId="0" borderId="5" xfId="0" applyNumberFormat="1" applyFont="1" applyFill="1" applyBorder="1" applyAlignment="1">
      <alignment horizontal="right"/>
    </xf>
    <xf numFmtId="37" fontId="17" fillId="0" borderId="0" xfId="0" applyFont="1" applyFill="1" applyBorder="1"/>
    <xf numFmtId="3" fontId="3" fillId="0" borderId="0" xfId="0" applyNumberFormat="1" applyFont="1" applyFill="1" applyBorder="1"/>
    <xf numFmtId="37" fontId="3" fillId="0" borderId="0" xfId="0" applyFont="1" applyFill="1" applyBorder="1" applyProtection="1">
      <protection locked="0"/>
    </xf>
    <xf numFmtId="3" fontId="3" fillId="0" borderId="0" xfId="0" applyNumberFormat="1" applyFont="1" applyFill="1" applyBorder="1" applyProtection="1">
      <protection locked="0"/>
    </xf>
    <xf numFmtId="37" fontId="3" fillId="0" borderId="0" xfId="0" applyFont="1" applyBorder="1" applyAlignment="1" applyProtection="1">
      <alignment horizontal="right"/>
      <protection locked="0"/>
    </xf>
    <xf numFmtId="168" fontId="3" fillId="0" borderId="0" xfId="0" applyNumberFormat="1" applyFont="1" applyBorder="1" applyProtection="1"/>
    <xf numFmtId="37" fontId="4" fillId="0" borderId="0" xfId="0" applyFont="1" applyBorder="1" applyAlignment="1" applyProtection="1">
      <alignment horizontal="left" vertical="top" wrapText="1"/>
    </xf>
    <xf numFmtId="37" fontId="17" fillId="0" borderId="0" xfId="0" applyFont="1" applyBorder="1" applyAlignment="1" applyProtection="1">
      <alignment horizontal="right"/>
      <protection locked="0"/>
    </xf>
    <xf numFmtId="37" fontId="4" fillId="0" borderId="0" xfId="0" applyFont="1" applyBorder="1" applyAlignment="1" applyProtection="1">
      <alignment horizontal="right"/>
    </xf>
    <xf numFmtId="37" fontId="3" fillId="0" borderId="0" xfId="0" applyFont="1" applyFill="1" applyBorder="1" applyAlignment="1" applyProtection="1">
      <alignment horizontal="right"/>
      <protection locked="0"/>
    </xf>
    <xf numFmtId="37" fontId="3" fillId="0" borderId="6" xfId="0" applyNumberFormat="1" applyFont="1" applyFill="1" applyBorder="1" applyAlignment="1"/>
    <xf numFmtId="37" fontId="3" fillId="0" borderId="6" xfId="0" applyNumberFormat="1" applyFont="1" applyBorder="1" applyAlignment="1" applyProtection="1"/>
    <xf numFmtId="3" fontId="3" fillId="0" borderId="17" xfId="0" applyNumberFormat="1" applyFont="1" applyBorder="1" applyAlignment="1" applyProtection="1">
      <alignment horizontal="right"/>
      <protection locked="0"/>
    </xf>
    <xf numFmtId="3" fontId="3" fillId="0" borderId="28" xfId="0" applyNumberFormat="1" applyFont="1" applyBorder="1" applyAlignment="1" applyProtection="1">
      <alignment horizontal="right"/>
    </xf>
    <xf numFmtId="37" fontId="3" fillId="0" borderId="6" xfId="0" applyNumberFormat="1" applyFont="1" applyBorder="1" applyAlignment="1"/>
    <xf numFmtId="3" fontId="3" fillId="0" borderId="11" xfId="0" applyNumberFormat="1" applyFont="1" applyBorder="1" applyProtection="1"/>
    <xf numFmtId="3" fontId="3" fillId="0" borderId="6" xfId="0" applyNumberFormat="1" applyFont="1" applyFill="1" applyBorder="1" applyProtection="1"/>
    <xf numFmtId="3" fontId="3" fillId="2" borderId="11" xfId="0" applyNumberFormat="1" applyFont="1" applyFill="1" applyBorder="1" applyProtection="1"/>
    <xf numFmtId="3" fontId="3" fillId="2" borderId="6" xfId="0" applyNumberFormat="1" applyFont="1" applyFill="1" applyBorder="1" applyProtection="1"/>
    <xf numFmtId="3" fontId="3" fillId="0" borderId="17" xfId="0" applyNumberFormat="1" applyFont="1" applyBorder="1" applyProtection="1"/>
    <xf numFmtId="168" fontId="3" fillId="0" borderId="6" xfId="0" applyNumberFormat="1" applyFont="1" applyBorder="1" applyProtection="1"/>
    <xf numFmtId="0" fontId="3" fillId="0" borderId="10" xfId="0" applyNumberFormat="1" applyFont="1" applyFill="1" applyBorder="1" applyAlignment="1"/>
    <xf numFmtId="37" fontId="3" fillId="0" borderId="10" xfId="0" applyFont="1" applyBorder="1"/>
    <xf numFmtId="3" fontId="17" fillId="0" borderId="10" xfId="0" applyNumberFormat="1" applyFont="1" applyBorder="1" applyAlignment="1" applyProtection="1">
      <alignment horizontal="right"/>
      <protection locked="0"/>
    </xf>
    <xf numFmtId="3" fontId="3" fillId="0" borderId="10" xfId="0" applyNumberFormat="1" applyFont="1" applyBorder="1"/>
    <xf numFmtId="3" fontId="3" fillId="0" borderId="10" xfId="0" applyNumberFormat="1" applyFont="1" applyBorder="1" applyAlignment="1" applyProtection="1">
      <alignment horizontal="right"/>
    </xf>
    <xf numFmtId="37" fontId="3" fillId="0" borderId="10" xfId="0" applyFont="1" applyFill="1" applyBorder="1" applyAlignment="1">
      <alignment horizontal="right"/>
    </xf>
    <xf numFmtId="3" fontId="3" fillId="0" borderId="10" xfId="0" applyNumberFormat="1" applyFont="1" applyBorder="1" applyAlignment="1" applyProtection="1">
      <alignment horizontal="right"/>
      <protection locked="0"/>
    </xf>
    <xf numFmtId="3" fontId="3" fillId="0" borderId="10" xfId="0" applyNumberFormat="1" applyFont="1" applyFill="1" applyBorder="1" applyAlignment="1" applyProtection="1">
      <alignment horizontal="right"/>
      <protection locked="0"/>
    </xf>
    <xf numFmtId="3" fontId="3" fillId="2" borderId="10" xfId="0" applyNumberFormat="1" applyFont="1" applyFill="1" applyBorder="1" applyAlignment="1" applyProtection="1">
      <alignment horizontal="right"/>
    </xf>
    <xf numFmtId="3" fontId="3" fillId="2" borderId="10" xfId="0" applyNumberFormat="1" applyFont="1" applyFill="1" applyBorder="1" applyAlignment="1" applyProtection="1">
      <alignment horizontal="right"/>
      <protection locked="0"/>
    </xf>
    <xf numFmtId="3" fontId="3" fillId="0" borderId="29" xfId="0" applyNumberFormat="1" applyFont="1" applyBorder="1" applyAlignment="1" applyProtection="1">
      <alignment horizontal="right"/>
    </xf>
    <xf numFmtId="3" fontId="3" fillId="0" borderId="10" xfId="0" applyNumberFormat="1" applyFont="1" applyBorder="1" applyAlignment="1">
      <alignment horizontal="right"/>
    </xf>
    <xf numFmtId="3" fontId="3" fillId="0" borderId="10" xfId="0" applyNumberFormat="1" applyFont="1" applyBorder="1" applyProtection="1"/>
    <xf numFmtId="37" fontId="6" fillId="0" borderId="6" xfId="0" applyFont="1" applyFill="1" applyBorder="1" applyAlignment="1" applyProtection="1"/>
    <xf numFmtId="37" fontId="3" fillId="0" borderId="6" xfId="0" applyFont="1" applyBorder="1" applyAlignment="1">
      <alignment horizontal="right"/>
    </xf>
    <xf numFmtId="37" fontId="25" fillId="0" borderId="0" xfId="0" applyFont="1" applyProtection="1"/>
    <xf numFmtId="37" fontId="25" fillId="0" borderId="0" xfId="0" applyFont="1" applyFill="1" applyProtection="1"/>
    <xf numFmtId="3" fontId="25" fillId="0" borderId="0" xfId="0" applyNumberFormat="1" applyFont="1" applyAlignment="1" applyProtection="1">
      <alignment horizontal="right"/>
      <protection locked="0"/>
    </xf>
    <xf numFmtId="37" fontId="25" fillId="0" borderId="0" xfId="0" applyFont="1" applyBorder="1" applyProtection="1"/>
    <xf numFmtId="37" fontId="25" fillId="0" borderId="0" xfId="0" applyFont="1" applyFill="1" applyBorder="1" applyProtection="1"/>
    <xf numFmtId="37" fontId="25" fillId="0" borderId="4" xfId="0" applyFont="1" applyBorder="1" applyProtection="1"/>
    <xf numFmtId="37" fontId="25" fillId="0" borderId="0" xfId="0" applyFont="1" applyFill="1" applyBorder="1" applyAlignment="1">
      <alignment horizontal="right"/>
    </xf>
    <xf numFmtId="37" fontId="25" fillId="2" borderId="4" xfId="0" applyFont="1" applyFill="1" applyBorder="1" applyProtection="1"/>
    <xf numFmtId="37" fontId="25" fillId="2" borderId="0" xfId="0" applyFont="1" applyFill="1" applyProtection="1"/>
    <xf numFmtId="37" fontId="25" fillId="2" borderId="0" xfId="0" applyFont="1" applyFill="1" applyBorder="1" applyProtection="1"/>
    <xf numFmtId="3" fontId="25" fillId="2" borderId="0" xfId="0" applyNumberFormat="1" applyFont="1" applyFill="1" applyBorder="1" applyAlignment="1" applyProtection="1">
      <alignment horizontal="right"/>
    </xf>
    <xf numFmtId="37" fontId="25" fillId="0" borderId="15" xfId="0" applyFont="1" applyBorder="1" applyProtection="1"/>
    <xf numFmtId="37" fontId="25" fillId="0" borderId="0" xfId="0" applyFont="1" applyBorder="1"/>
    <xf numFmtId="37" fontId="25" fillId="0" borderId="0" xfId="0" applyFont="1"/>
    <xf numFmtId="37" fontId="25" fillId="0" borderId="0" xfId="0" applyFont="1" applyFill="1" applyBorder="1"/>
    <xf numFmtId="3" fontId="25" fillId="0" borderId="0" xfId="0" applyNumberFormat="1" applyFont="1" applyFill="1" applyBorder="1"/>
    <xf numFmtId="3" fontId="25" fillId="0" borderId="0" xfId="0" applyNumberFormat="1" applyFont="1" applyFill="1" applyBorder="1" applyAlignment="1" applyProtection="1">
      <alignment horizontal="right"/>
    </xf>
    <xf numFmtId="37" fontId="25" fillId="0" borderId="15" xfId="0" applyFont="1" applyFill="1" applyBorder="1"/>
    <xf numFmtId="3" fontId="25" fillId="0" borderId="4" xfId="0" applyNumberFormat="1" applyFont="1" applyFill="1" applyBorder="1" applyAlignment="1" applyProtection="1">
      <alignment horizontal="right"/>
    </xf>
    <xf numFmtId="3" fontId="25" fillId="0" borderId="0" xfId="0" applyNumberFormat="1" applyFont="1" applyFill="1" applyBorder="1" applyAlignment="1" applyProtection="1">
      <alignment horizontal="right"/>
      <protection locked="0"/>
    </xf>
    <xf numFmtId="3" fontId="25" fillId="0" borderId="15" xfId="0" applyNumberFormat="1" applyFont="1" applyFill="1" applyBorder="1" applyAlignment="1" applyProtection="1">
      <alignment horizontal="right"/>
    </xf>
    <xf numFmtId="3" fontId="25" fillId="0" borderId="0" xfId="0" applyNumberFormat="1" applyFont="1" applyFill="1" applyBorder="1" applyAlignment="1">
      <alignment horizontal="right"/>
    </xf>
    <xf numFmtId="170" fontId="3" fillId="2" borderId="26" xfId="0" applyNumberFormat="1" applyFont="1" applyFill="1" applyBorder="1" applyAlignment="1" applyProtection="1">
      <alignment horizontal="right"/>
    </xf>
    <xf numFmtId="37" fontId="3" fillId="2" borderId="0" xfId="0" applyFont="1" applyFill="1" applyBorder="1" applyAlignment="1" applyProtection="1">
      <alignment horizontal="left"/>
    </xf>
    <xf numFmtId="37" fontId="4" fillId="2" borderId="0" xfId="0" applyFont="1" applyFill="1" applyBorder="1" applyAlignment="1" applyProtection="1">
      <alignment horizontal="left"/>
    </xf>
    <xf numFmtId="37" fontId="7" fillId="2" borderId="6" xfId="0" applyFont="1" applyFill="1" applyBorder="1" applyProtection="1"/>
    <xf numFmtId="3" fontId="3" fillId="0" borderId="6" xfId="0" applyNumberFormat="1" applyFont="1" applyFill="1" applyBorder="1" applyAlignment="1"/>
    <xf numFmtId="3" fontId="3" fillId="0" borderId="0" xfId="0" applyNumberFormat="1" applyFont="1" applyFill="1" applyAlignment="1"/>
    <xf numFmtId="3" fontId="3" fillId="3" borderId="0" xfId="0" applyNumberFormat="1" applyFont="1" applyFill="1" applyAlignment="1"/>
    <xf numFmtId="3" fontId="3" fillId="0" borderId="0" xfId="0" applyNumberFormat="1" applyFont="1" applyAlignment="1"/>
    <xf numFmtId="3" fontId="3" fillId="0" borderId="0" xfId="0" applyNumberFormat="1" applyFont="1" applyBorder="1" applyAlignment="1"/>
    <xf numFmtId="3" fontId="3" fillId="0" borderId="6" xfId="0" applyNumberFormat="1" applyFont="1" applyBorder="1" applyAlignment="1"/>
    <xf numFmtId="3" fontId="3" fillId="3" borderId="6" xfId="0" applyNumberFormat="1" applyFont="1" applyFill="1" applyBorder="1" applyAlignment="1"/>
    <xf numFmtId="3" fontId="3" fillId="0" borderId="24" xfId="0" applyNumberFormat="1" applyFont="1" applyFill="1" applyBorder="1" applyAlignment="1"/>
    <xf numFmtId="3" fontId="3" fillId="3" borderId="10" xfId="0" applyNumberFormat="1" applyFont="1" applyFill="1" applyBorder="1" applyAlignment="1"/>
    <xf numFmtId="3" fontId="3" fillId="3" borderId="0" xfId="0" applyNumberFormat="1" applyFont="1" applyFill="1" applyAlignment="1">
      <alignment horizontal="right"/>
    </xf>
    <xf numFmtId="3" fontId="3" fillId="3" borderId="6" xfId="0" applyNumberFormat="1" applyFont="1" applyFill="1" applyBorder="1" applyAlignment="1">
      <alignment horizontal="right"/>
    </xf>
    <xf numFmtId="3" fontId="3" fillId="0" borderId="24" xfId="0" applyNumberFormat="1" applyFont="1" applyFill="1" applyBorder="1" applyAlignment="1">
      <alignment horizontal="right"/>
    </xf>
    <xf numFmtId="3" fontId="3" fillId="3" borderId="10" xfId="0" applyNumberFormat="1" applyFont="1" applyFill="1" applyBorder="1" applyAlignment="1">
      <alignment horizontal="right"/>
    </xf>
    <xf numFmtId="168" fontId="3" fillId="0" borderId="6" xfId="0" applyNumberFormat="1" applyFont="1" applyFill="1" applyBorder="1" applyAlignment="1">
      <alignment horizontal="right"/>
    </xf>
    <xf numFmtId="168" fontId="3" fillId="0" borderId="28" xfId="0" applyNumberFormat="1" applyFont="1" applyFill="1" applyBorder="1" applyAlignment="1">
      <alignment horizontal="right"/>
    </xf>
    <xf numFmtId="168" fontId="3" fillId="0" borderId="17" xfId="0" applyNumberFormat="1" applyFont="1" applyFill="1" applyBorder="1" applyAlignment="1">
      <alignment horizontal="right"/>
    </xf>
    <xf numFmtId="168" fontId="3" fillId="0" borderId="26" xfId="0" applyNumberFormat="1" applyFont="1" applyFill="1" applyBorder="1" applyAlignment="1">
      <alignment horizontal="right"/>
    </xf>
    <xf numFmtId="168" fontId="3" fillId="0" borderId="0" xfId="0" applyNumberFormat="1" applyFont="1" applyFill="1" applyBorder="1" applyAlignment="1">
      <alignment horizontal="right"/>
    </xf>
    <xf numFmtId="168" fontId="3" fillId="0" borderId="0" xfId="0" applyNumberFormat="1" applyFont="1" applyFill="1" applyAlignment="1">
      <alignment horizontal="right"/>
    </xf>
    <xf numFmtId="168" fontId="3" fillId="0" borderId="12" xfId="0" applyNumberFormat="1" applyFont="1" applyFill="1" applyBorder="1" applyAlignment="1">
      <alignment horizontal="right"/>
    </xf>
    <xf numFmtId="168" fontId="3" fillId="0" borderId="15" xfId="0" applyNumberFormat="1" applyFont="1" applyFill="1" applyBorder="1" applyAlignment="1">
      <alignment horizontal="right"/>
    </xf>
    <xf numFmtId="168" fontId="3" fillId="3" borderId="0" xfId="0" applyNumberFormat="1" applyFont="1" applyFill="1" applyAlignment="1">
      <alignment horizontal="right"/>
    </xf>
    <xf numFmtId="168" fontId="3" fillId="3" borderId="12" xfId="0" applyNumberFormat="1" applyFont="1" applyFill="1" applyBorder="1" applyAlignment="1">
      <alignment horizontal="right"/>
    </xf>
    <xf numFmtId="168" fontId="3" fillId="3" borderId="15" xfId="0" applyNumberFormat="1" applyFont="1" applyFill="1" applyBorder="1" applyAlignment="1">
      <alignment horizontal="right"/>
    </xf>
    <xf numFmtId="168" fontId="3" fillId="3" borderId="0" xfId="0" applyNumberFormat="1" applyFont="1" applyFill="1" applyBorder="1" applyAlignment="1">
      <alignment horizontal="right"/>
    </xf>
    <xf numFmtId="168" fontId="3" fillId="0" borderId="0" xfId="0" applyNumberFormat="1" applyFont="1" applyAlignment="1">
      <alignment horizontal="right"/>
    </xf>
    <xf numFmtId="168" fontId="3" fillId="0" borderId="12" xfId="0" applyNumberFormat="1" applyFont="1" applyBorder="1" applyAlignment="1">
      <alignment horizontal="right"/>
    </xf>
    <xf numFmtId="168" fontId="3" fillId="0" borderId="15" xfId="0" applyNumberFormat="1" applyFont="1" applyBorder="1" applyAlignment="1">
      <alignment horizontal="right"/>
    </xf>
    <xf numFmtId="168" fontId="3" fillId="0" borderId="0" xfId="0" applyNumberFormat="1" applyFont="1" applyBorder="1" applyAlignment="1">
      <alignment horizontal="right"/>
    </xf>
    <xf numFmtId="168" fontId="3" fillId="3" borderId="6" xfId="0" applyNumberFormat="1" applyFont="1" applyFill="1" applyBorder="1" applyAlignment="1">
      <alignment horizontal="right"/>
    </xf>
    <xf numFmtId="168" fontId="3" fillId="3" borderId="28" xfId="0" applyNumberFormat="1" applyFont="1" applyFill="1" applyBorder="1" applyAlignment="1">
      <alignment horizontal="right"/>
    </xf>
    <xf numFmtId="168" fontId="3" fillId="3" borderId="17" xfId="0" applyNumberFormat="1" applyFont="1" applyFill="1" applyBorder="1" applyAlignment="1">
      <alignment horizontal="right"/>
    </xf>
    <xf numFmtId="168" fontId="3" fillId="0" borderId="24" xfId="0" applyNumberFormat="1" applyFont="1" applyFill="1" applyBorder="1" applyAlignment="1">
      <alignment horizontal="right"/>
    </xf>
    <xf numFmtId="168" fontId="3" fillId="0" borderId="32" xfId="0" applyNumberFormat="1" applyFont="1" applyFill="1" applyBorder="1" applyAlignment="1">
      <alignment horizontal="right"/>
    </xf>
    <xf numFmtId="168" fontId="3" fillId="0" borderId="19" xfId="0" applyNumberFormat="1" applyFont="1" applyFill="1" applyBorder="1" applyAlignment="1">
      <alignment horizontal="right"/>
    </xf>
    <xf numFmtId="168" fontId="3" fillId="3" borderId="10" xfId="0" applyNumberFormat="1" applyFont="1" applyFill="1" applyBorder="1" applyAlignment="1">
      <alignment horizontal="right"/>
    </xf>
    <xf numFmtId="168" fontId="3" fillId="3" borderId="26" xfId="0" applyNumberFormat="1" applyFont="1" applyFill="1" applyBorder="1" applyAlignment="1">
      <alignment horizontal="right"/>
    </xf>
    <xf numFmtId="168" fontId="3" fillId="0" borderId="30" xfId="0" applyNumberFormat="1" applyFont="1" applyFill="1" applyBorder="1" applyAlignment="1">
      <alignment horizontal="right"/>
    </xf>
    <xf numFmtId="168" fontId="3" fillId="0" borderId="20" xfId="0" applyNumberFormat="1" applyFont="1" applyFill="1" applyBorder="1" applyAlignment="1">
      <alignment horizontal="right"/>
    </xf>
    <xf numFmtId="168" fontId="3" fillId="3" borderId="20" xfId="0" applyNumberFormat="1" applyFont="1" applyFill="1" applyBorder="1" applyAlignment="1">
      <alignment horizontal="right"/>
    </xf>
    <xf numFmtId="168" fontId="3" fillId="0" borderId="20" xfId="0" applyNumberFormat="1" applyFont="1" applyBorder="1" applyAlignment="1">
      <alignment horizontal="right"/>
    </xf>
    <xf numFmtId="168" fontId="3" fillId="3" borderId="22" xfId="0" applyNumberFormat="1" applyFont="1" applyFill="1" applyBorder="1" applyAlignment="1">
      <alignment horizontal="right"/>
    </xf>
    <xf numFmtId="168" fontId="3" fillId="0" borderId="33" xfId="0" applyNumberFormat="1" applyFont="1" applyFill="1" applyBorder="1" applyAlignment="1">
      <alignment horizontal="right"/>
    </xf>
    <xf numFmtId="168" fontId="3" fillId="0" borderId="22" xfId="0" applyNumberFormat="1" applyFont="1" applyFill="1" applyBorder="1" applyAlignment="1">
      <alignment horizontal="right"/>
    </xf>
    <xf numFmtId="168" fontId="3" fillId="3" borderId="30" xfId="0" applyNumberFormat="1" applyFont="1" applyFill="1" applyBorder="1" applyAlignment="1">
      <alignment horizontal="right"/>
    </xf>
    <xf numFmtId="37" fontId="3" fillId="0" borderId="13" xfId="0" applyFont="1" applyBorder="1" applyAlignment="1">
      <alignment horizontal="centerContinuous" wrapText="1"/>
    </xf>
    <xf numFmtId="37" fontId="3" fillId="0" borderId="27" xfId="0" applyFont="1" applyBorder="1" applyAlignment="1">
      <alignment horizontal="centerContinuous"/>
    </xf>
    <xf numFmtId="37" fontId="3" fillId="0" borderId="16" xfId="0" applyFont="1" applyFill="1" applyBorder="1" applyAlignment="1">
      <alignment horizontal="center"/>
    </xf>
    <xf numFmtId="3" fontId="3" fillId="0" borderId="17" xfId="0" applyNumberFormat="1" applyFont="1" applyFill="1" applyBorder="1" applyAlignment="1"/>
    <xf numFmtId="3" fontId="3" fillId="0" borderId="15" xfId="0" applyNumberFormat="1" applyFont="1" applyFill="1" applyBorder="1" applyAlignment="1"/>
    <xf numFmtId="3" fontId="3" fillId="3" borderId="15" xfId="0" applyNumberFormat="1" applyFont="1" applyFill="1" applyBorder="1" applyAlignment="1"/>
    <xf numFmtId="3" fontId="3" fillId="0" borderId="15" xfId="0" applyNumberFormat="1" applyFont="1" applyBorder="1" applyAlignment="1"/>
    <xf numFmtId="3" fontId="3" fillId="3" borderId="17" xfId="0" applyNumberFormat="1" applyFont="1" applyFill="1" applyBorder="1" applyAlignment="1"/>
    <xf numFmtId="3" fontId="3" fillId="0" borderId="19" xfId="0" applyNumberFormat="1" applyFont="1" applyFill="1" applyBorder="1" applyAlignment="1"/>
    <xf numFmtId="3" fontId="3" fillId="3" borderId="26" xfId="0" applyNumberFormat="1" applyFont="1" applyFill="1" applyBorder="1" applyAlignment="1"/>
    <xf numFmtId="37" fontId="3" fillId="0" borderId="27" xfId="0" applyFont="1" applyBorder="1" applyAlignment="1">
      <alignment horizontal="centerContinuous" wrapText="1"/>
    </xf>
    <xf numFmtId="37" fontId="3" fillId="0" borderId="34" xfId="0" applyFont="1" applyBorder="1" applyAlignment="1">
      <alignment horizontal="centerContinuous" wrapText="1"/>
    </xf>
    <xf numFmtId="37" fontId="3" fillId="0" borderId="35" xfId="0" applyFont="1" applyFill="1" applyBorder="1" applyAlignment="1">
      <alignment horizontal="center"/>
    </xf>
    <xf numFmtId="3" fontId="3" fillId="0" borderId="22" xfId="0" applyNumberFormat="1" applyFont="1" applyFill="1" applyBorder="1" applyAlignment="1"/>
    <xf numFmtId="3" fontId="3" fillId="0" borderId="20" xfId="0" applyNumberFormat="1" applyFont="1" applyFill="1" applyBorder="1" applyAlignment="1"/>
    <xf numFmtId="3" fontId="3" fillId="3" borderId="20" xfId="0" applyNumberFormat="1" applyFont="1" applyFill="1" applyBorder="1" applyAlignment="1"/>
    <xf numFmtId="3" fontId="3" fillId="0" borderId="20" xfId="0" applyNumberFormat="1" applyFont="1" applyBorder="1" applyAlignment="1"/>
    <xf numFmtId="3" fontId="3" fillId="3" borderId="22" xfId="0" applyNumberFormat="1" applyFont="1" applyFill="1" applyBorder="1" applyAlignment="1"/>
    <xf numFmtId="3" fontId="3" fillId="0" borderId="33" xfId="0" applyNumberFormat="1" applyFont="1" applyFill="1" applyBorder="1" applyAlignment="1"/>
    <xf numFmtId="3" fontId="3" fillId="3" borderId="30" xfId="0" applyNumberFormat="1" applyFont="1" applyFill="1" applyBorder="1" applyAlignment="1"/>
    <xf numFmtId="37" fontId="3" fillId="0" borderId="0" xfId="0" applyFont="1" applyBorder="1" applyAlignment="1">
      <alignment horizontal="center" wrapText="1"/>
    </xf>
    <xf numFmtId="37" fontId="3" fillId="0" borderId="24" xfId="0" applyFont="1" applyBorder="1" applyAlignment="1">
      <alignment horizontal="center"/>
    </xf>
    <xf numFmtId="3" fontId="3" fillId="0" borderId="0" xfId="0" applyNumberFormat="1" applyFont="1" applyFill="1" applyBorder="1" applyAlignment="1"/>
    <xf numFmtId="3" fontId="3" fillId="3" borderId="0" xfId="0" applyNumberFormat="1" applyFont="1" applyFill="1" applyBorder="1" applyAlignment="1"/>
    <xf numFmtId="37" fontId="3" fillId="0" borderId="0" xfId="0" applyFont="1" applyBorder="1" applyAlignment="1">
      <alignment horizontal="left" vertical="top"/>
    </xf>
    <xf numFmtId="171" fontId="3" fillId="0" borderId="6" xfId="0" applyNumberFormat="1" applyFont="1" applyFill="1" applyBorder="1" applyAlignment="1"/>
    <xf numFmtId="168" fontId="3" fillId="0" borderId="0" xfId="0" applyNumberFormat="1" applyFont="1" applyFill="1" applyAlignment="1"/>
    <xf numFmtId="168" fontId="3" fillId="3" borderId="0" xfId="0" applyNumberFormat="1" applyFont="1" applyFill="1" applyAlignment="1"/>
    <xf numFmtId="168" fontId="3" fillId="0" borderId="0" xfId="0" applyNumberFormat="1" applyFont="1" applyAlignment="1"/>
    <xf numFmtId="168" fontId="3" fillId="0" borderId="24" xfId="0" applyNumberFormat="1" applyFont="1" applyFill="1" applyBorder="1" applyAlignment="1"/>
    <xf numFmtId="168" fontId="3" fillId="0" borderId="15" xfId="0" applyNumberFormat="1" applyFont="1" applyFill="1" applyBorder="1" applyAlignment="1"/>
    <xf numFmtId="168" fontId="3" fillId="3" borderId="15" xfId="0" applyNumberFormat="1" applyFont="1" applyFill="1" applyBorder="1" applyAlignment="1"/>
    <xf numFmtId="168" fontId="3" fillId="0" borderId="15" xfId="0" applyNumberFormat="1" applyFont="1" applyBorder="1" applyAlignment="1"/>
    <xf numFmtId="168" fontId="3" fillId="3" borderId="17" xfId="0" applyNumberFormat="1" applyFont="1" applyFill="1" applyBorder="1" applyAlignment="1"/>
    <xf numFmtId="168" fontId="3" fillId="0" borderId="19" xfId="0" applyNumberFormat="1" applyFont="1" applyFill="1" applyBorder="1" applyAlignment="1"/>
    <xf numFmtId="168" fontId="3" fillId="0" borderId="17" xfId="0" applyNumberFormat="1" applyFont="1" applyFill="1" applyBorder="1" applyAlignment="1"/>
    <xf numFmtId="171" fontId="3" fillId="0" borderId="36" xfId="0" applyNumberFormat="1" applyFont="1" applyFill="1" applyBorder="1" applyAlignment="1"/>
    <xf numFmtId="37" fontId="3" fillId="0" borderId="27" xfId="0" applyFont="1" applyBorder="1" applyAlignment="1" applyProtection="1">
      <alignment horizontal="left"/>
    </xf>
    <xf numFmtId="37" fontId="3" fillId="0" borderId="16" xfId="0" applyFont="1" applyBorder="1" applyAlignment="1" applyProtection="1">
      <alignment horizontal="right"/>
      <protection locked="0"/>
    </xf>
    <xf numFmtId="3" fontId="3" fillId="0" borderId="15" xfId="0" applyNumberFormat="1" applyFont="1" applyFill="1" applyBorder="1" applyAlignment="1" applyProtection="1">
      <alignment horizontal="right"/>
      <protection locked="0"/>
    </xf>
    <xf numFmtId="37" fontId="3" fillId="0" borderId="15" xfId="0" applyFont="1" applyBorder="1" applyAlignment="1" applyProtection="1">
      <alignment horizontal="centerContinuous"/>
    </xf>
    <xf numFmtId="37" fontId="3" fillId="0" borderId="26" xfId="0" applyFont="1" applyBorder="1"/>
    <xf numFmtId="37" fontId="3" fillId="0" borderId="24" xfId="0" applyFont="1" applyFill="1" applyBorder="1"/>
    <xf numFmtId="37" fontId="25" fillId="0" borderId="19" xfId="0" applyFont="1" applyFill="1" applyBorder="1"/>
    <xf numFmtId="3" fontId="3" fillId="0" borderId="15" xfId="0" applyNumberFormat="1" applyFont="1" applyBorder="1" applyProtection="1">
      <protection locked="0"/>
    </xf>
    <xf numFmtId="3" fontId="3" fillId="0" borderId="26" xfId="0" applyNumberFormat="1" applyFont="1" applyBorder="1" applyAlignment="1" applyProtection="1">
      <alignment horizontal="right"/>
    </xf>
    <xf numFmtId="3" fontId="25" fillId="0" borderId="19" xfId="0" applyNumberFormat="1" applyFont="1" applyFill="1" applyBorder="1" applyAlignment="1" applyProtection="1">
      <alignment horizontal="right"/>
    </xf>
    <xf numFmtId="3" fontId="3" fillId="2" borderId="15" xfId="0" applyNumberFormat="1" applyFont="1" applyFill="1" applyBorder="1" applyAlignment="1" applyProtection="1">
      <alignment horizontal="right"/>
    </xf>
    <xf numFmtId="3" fontId="3" fillId="2" borderId="15" xfId="0" applyNumberFormat="1" applyFont="1" applyFill="1" applyBorder="1" applyProtection="1"/>
    <xf numFmtId="3" fontId="3" fillId="2" borderId="17" xfId="0" applyNumberFormat="1" applyFont="1" applyFill="1" applyBorder="1" applyProtection="1"/>
    <xf numFmtId="3" fontId="3" fillId="2" borderId="26" xfId="0" applyNumberFormat="1" applyFont="1" applyFill="1" applyBorder="1" applyAlignment="1" applyProtection="1">
      <alignment horizontal="right"/>
    </xf>
    <xf numFmtId="37" fontId="5" fillId="2" borderId="15" xfId="0" applyFont="1" applyFill="1" applyBorder="1"/>
    <xf numFmtId="37" fontId="3" fillId="2" borderId="16" xfId="0" applyFont="1" applyFill="1" applyBorder="1" applyAlignment="1" applyProtection="1">
      <alignment horizontal="right" wrapText="1"/>
    </xf>
    <xf numFmtId="166" fontId="23" fillId="2" borderId="21" xfId="0" applyNumberFormat="1" applyFont="1" applyFill="1" applyBorder="1" applyAlignment="1" applyProtection="1"/>
    <xf numFmtId="166" fontId="23" fillId="2" borderId="13" xfId="0" applyNumberFormat="1" applyFont="1" applyFill="1" applyBorder="1" applyAlignment="1" applyProtection="1"/>
    <xf numFmtId="169" fontId="24" fillId="2" borderId="13" xfId="0" applyNumberFormat="1" applyFont="1" applyFill="1" applyBorder="1"/>
    <xf numFmtId="37" fontId="3" fillId="0" borderId="6" xfId="0" applyFont="1" applyFill="1" applyBorder="1"/>
    <xf numFmtId="37" fontId="3" fillId="0" borderId="0" xfId="0" applyFont="1" applyFill="1" applyAlignment="1" applyProtection="1">
      <alignment horizontal="left"/>
    </xf>
    <xf numFmtId="0" fontId="3" fillId="0" borderId="0" xfId="0" applyNumberFormat="1" applyFont="1" applyFill="1"/>
    <xf numFmtId="0" fontId="3" fillId="0" borderId="6" xfId="0" applyNumberFormat="1" applyFont="1" applyFill="1" applyBorder="1"/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Border="1"/>
    <xf numFmtId="0" fontId="3" fillId="0" borderId="10" xfId="0" applyNumberFormat="1" applyFont="1" applyFill="1" applyBorder="1"/>
    <xf numFmtId="37" fontId="6" fillId="0" borderId="10" xfId="0" applyFont="1" applyFill="1" applyBorder="1" applyAlignment="1" applyProtection="1"/>
    <xf numFmtId="37" fontId="3" fillId="0" borderId="10" xfId="0" applyFont="1" applyFill="1" applyBorder="1" applyProtection="1"/>
    <xf numFmtId="37" fontId="3" fillId="0" borderId="6" xfId="0" applyFont="1" applyFill="1" applyBorder="1" applyAlignment="1" applyProtection="1">
      <alignment horizontal="centerContinuous"/>
    </xf>
    <xf numFmtId="37" fontId="24" fillId="2" borderId="10" xfId="0" applyFont="1" applyFill="1" applyBorder="1"/>
    <xf numFmtId="37" fontId="24" fillId="2" borderId="26" xfId="0" applyFont="1" applyFill="1" applyBorder="1"/>
    <xf numFmtId="37" fontId="24" fillId="2" borderId="0" xfId="0" applyFont="1" applyFill="1" applyBorder="1"/>
    <xf numFmtId="37" fontId="24" fillId="2" borderId="15" xfId="0" applyFont="1" applyFill="1" applyBorder="1"/>
    <xf numFmtId="37" fontId="24" fillId="2" borderId="6" xfId="0" applyFont="1" applyFill="1" applyBorder="1"/>
    <xf numFmtId="37" fontId="24" fillId="2" borderId="17" xfId="0" applyFont="1" applyFill="1" applyBorder="1"/>
    <xf numFmtId="3" fontId="3" fillId="0" borderId="4" xfId="0" applyNumberFormat="1" applyFont="1" applyFill="1" applyBorder="1" applyAlignment="1" applyProtection="1">
      <alignment horizontal="left" vertical="top"/>
    </xf>
    <xf numFmtId="37" fontId="3" fillId="0" borderId="10" xfId="0" applyFont="1" applyBorder="1" applyAlignment="1">
      <alignment horizontal="right"/>
    </xf>
    <xf numFmtId="37" fontId="25" fillId="0" borderId="24" xfId="0" applyFont="1" applyFill="1" applyBorder="1" applyProtection="1"/>
    <xf numFmtId="37" fontId="25" fillId="0" borderId="24" xfId="0" applyFont="1" applyFill="1" applyBorder="1"/>
    <xf numFmtId="3" fontId="25" fillId="0" borderId="24" xfId="0" applyNumberFormat="1" applyFont="1" applyFill="1" applyBorder="1" applyAlignment="1" applyProtection="1">
      <alignment horizontal="right"/>
    </xf>
    <xf numFmtId="37" fontId="3" fillId="0" borderId="10" xfId="0" applyFont="1" applyFill="1" applyBorder="1"/>
    <xf numFmtId="37" fontId="0" fillId="2" borderId="37" xfId="0" applyFont="1" applyFill="1" applyBorder="1"/>
    <xf numFmtId="168" fontId="3" fillId="0" borderId="28" xfId="0" applyNumberFormat="1" applyFont="1" applyFill="1" applyBorder="1" applyAlignment="1"/>
    <xf numFmtId="168" fontId="3" fillId="3" borderId="28" xfId="0" applyNumberFormat="1" applyFont="1" applyFill="1" applyBorder="1" applyAlignment="1"/>
    <xf numFmtId="168" fontId="3" fillId="3" borderId="31" xfId="0" applyNumberFormat="1" applyFont="1" applyFill="1" applyBorder="1" applyAlignment="1"/>
    <xf numFmtId="3" fontId="3" fillId="0" borderId="12" xfId="0" applyNumberFormat="1" applyFont="1" applyFill="1" applyBorder="1" applyAlignment="1"/>
    <xf numFmtId="168" fontId="3" fillId="0" borderId="23" xfId="0" applyNumberFormat="1" applyFont="1" applyFill="1" applyBorder="1" applyAlignment="1"/>
    <xf numFmtId="168" fontId="3" fillId="0" borderId="32" xfId="0" applyNumberFormat="1" applyFont="1" applyFill="1" applyBorder="1" applyAlignment="1"/>
    <xf numFmtId="37" fontId="24" fillId="2" borderId="20" xfId="0" applyFont="1" applyFill="1" applyBorder="1"/>
    <xf numFmtId="37" fontId="3" fillId="0" borderId="0" xfId="0" applyFont="1" applyFill="1" applyBorder="1" applyAlignment="1">
      <alignment horizontal="center" wrapText="1"/>
    </xf>
    <xf numFmtId="37" fontId="7" fillId="0" borderId="6" xfId="0" applyFont="1" applyFill="1" applyBorder="1" applyAlignment="1" applyProtection="1">
      <alignment horizontal="centerContinuous" wrapText="1"/>
    </xf>
    <xf numFmtId="37" fontId="7" fillId="0" borderId="31" xfId="0" applyFont="1" applyFill="1" applyBorder="1" applyAlignment="1" applyProtection="1">
      <alignment horizontal="centerContinuous" wrapText="1"/>
    </xf>
    <xf numFmtId="37" fontId="7" fillId="0" borderId="22" xfId="0" applyFont="1" applyFill="1" applyBorder="1" applyAlignment="1" applyProtection="1">
      <alignment horizontal="centerContinuous" wrapText="1"/>
    </xf>
    <xf numFmtId="37" fontId="7" fillId="0" borderId="22" xfId="0" applyFont="1" applyFill="1" applyBorder="1" applyAlignment="1" applyProtection="1">
      <alignment horizontal="center" wrapText="1"/>
    </xf>
    <xf numFmtId="37" fontId="7" fillId="0" borderId="17" xfId="0" applyFont="1" applyFill="1" applyBorder="1" applyAlignment="1" applyProtection="1">
      <alignment horizontal="centerContinuous" wrapText="1"/>
    </xf>
    <xf numFmtId="37" fontId="7" fillId="0" borderId="26" xfId="0" applyFont="1" applyFill="1" applyBorder="1" applyAlignment="1" applyProtection="1">
      <alignment horizontal="centerContinuous" wrapText="1"/>
    </xf>
    <xf numFmtId="37" fontId="7" fillId="0" borderId="13" xfId="0" applyFont="1" applyFill="1" applyBorder="1" applyAlignment="1" applyProtection="1">
      <alignment horizontal="centerContinuous"/>
    </xf>
    <xf numFmtId="37" fontId="7" fillId="0" borderId="13" xfId="0" applyFont="1" applyFill="1" applyBorder="1" applyAlignment="1" applyProtection="1">
      <alignment horizontal="centerContinuous" wrapText="1"/>
    </xf>
    <xf numFmtId="37" fontId="4" fillId="4" borderId="0" xfId="0" applyFont="1" applyFill="1" applyBorder="1" applyAlignment="1" applyProtection="1">
      <alignment horizontal="left" vertical="top" wrapText="1"/>
    </xf>
    <xf numFmtId="37" fontId="4" fillId="0" borderId="0" xfId="0" applyFont="1" applyFill="1" applyBorder="1" applyAlignment="1" applyProtection="1">
      <alignment horizontal="left" vertical="top" wrapText="1"/>
    </xf>
    <xf numFmtId="37" fontId="3" fillId="4" borderId="3" xfId="0" applyFont="1" applyFill="1" applyBorder="1" applyAlignment="1" applyProtection="1">
      <alignment horizontal="right" wrapText="1"/>
    </xf>
    <xf numFmtId="3" fontId="3" fillId="4" borderId="10" xfId="0" applyNumberFormat="1" applyFont="1" applyFill="1" applyBorder="1" applyAlignment="1" applyProtection="1">
      <alignment horizontal="right"/>
    </xf>
    <xf numFmtId="3" fontId="3" fillId="4" borderId="6" xfId="0" applyNumberFormat="1" applyFont="1" applyFill="1" applyBorder="1" applyAlignment="1" applyProtection="1">
      <alignment horizontal="right"/>
    </xf>
    <xf numFmtId="3" fontId="3" fillId="4" borderId="0" xfId="0" applyNumberFormat="1" applyFont="1" applyFill="1" applyBorder="1" applyAlignment="1" applyProtection="1">
      <alignment horizontal="right"/>
    </xf>
    <xf numFmtId="37" fontId="25" fillId="4" borderId="0" xfId="0" applyFont="1" applyFill="1" applyBorder="1"/>
    <xf numFmtId="3" fontId="25" fillId="4" borderId="0" xfId="0" applyNumberFormat="1" applyFont="1" applyFill="1" applyBorder="1" applyAlignment="1" applyProtection="1">
      <alignment horizontal="right"/>
    </xf>
    <xf numFmtId="37" fontId="25" fillId="4" borderId="0" xfId="0" applyFont="1" applyFill="1" applyBorder="1" applyProtection="1"/>
    <xf numFmtId="172" fontId="3" fillId="4" borderId="5" xfId="1" applyNumberFormat="1" applyFont="1" applyFill="1" applyBorder="1"/>
    <xf numFmtId="172" fontId="3" fillId="4" borderId="0" xfId="1" applyNumberFormat="1" applyFont="1" applyFill="1"/>
    <xf numFmtId="172" fontId="3" fillId="4" borderId="47" xfId="1" applyNumberFormat="1" applyFont="1" applyFill="1" applyBorder="1"/>
    <xf numFmtId="37" fontId="3" fillId="4" borderId="10" xfId="0" applyFont="1" applyFill="1" applyBorder="1" applyAlignment="1">
      <alignment horizontal="right"/>
    </xf>
    <xf numFmtId="37" fontId="3" fillId="4" borderId="0" xfId="0" applyFont="1" applyFill="1"/>
    <xf numFmtId="37" fontId="25" fillId="4" borderId="24" xfId="0" applyFont="1" applyFill="1" applyBorder="1" applyProtection="1"/>
    <xf numFmtId="37" fontId="3" fillId="4" borderId="0" xfId="0" applyFont="1" applyFill="1" applyBorder="1"/>
    <xf numFmtId="37" fontId="25" fillId="4" borderId="24" xfId="0" applyFont="1" applyFill="1" applyBorder="1"/>
    <xf numFmtId="3" fontId="25" fillId="4" borderId="24" xfId="0" applyNumberFormat="1" applyFont="1" applyFill="1" applyBorder="1" applyAlignment="1" applyProtection="1">
      <alignment horizontal="right"/>
    </xf>
    <xf numFmtId="37" fontId="3" fillId="4" borderId="10" xfId="0" applyFont="1" applyFill="1" applyBorder="1"/>
    <xf numFmtId="170" fontId="3" fillId="4" borderId="10" xfId="0" applyNumberFormat="1" applyFont="1" applyFill="1" applyBorder="1" applyAlignment="1" applyProtection="1">
      <alignment horizontal="right"/>
    </xf>
    <xf numFmtId="3" fontId="3" fillId="4" borderId="10" xfId="0" applyNumberFormat="1" applyFont="1" applyFill="1" applyBorder="1" applyProtection="1"/>
    <xf numFmtId="3" fontId="3" fillId="4" borderId="0" xfId="0" applyNumberFormat="1" applyFont="1" applyFill="1" applyBorder="1" applyProtection="1"/>
    <xf numFmtId="3" fontId="3" fillId="4" borderId="6" xfId="0" applyNumberFormat="1" applyFont="1" applyFill="1" applyBorder="1" applyProtection="1"/>
    <xf numFmtId="37" fontId="24" fillId="4" borderId="26" xfId="0" applyFont="1" applyFill="1" applyBorder="1"/>
    <xf numFmtId="37" fontId="24" fillId="4" borderId="15" xfId="0" applyFont="1" applyFill="1" applyBorder="1"/>
    <xf numFmtId="37" fontId="24" fillId="4" borderId="17" xfId="0" applyFont="1" applyFill="1" applyBorder="1"/>
    <xf numFmtId="37" fontId="24" fillId="4" borderId="10" xfId="0" applyFont="1" applyFill="1" applyBorder="1"/>
    <xf numFmtId="37" fontId="24" fillId="4" borderId="0" xfId="0" applyFont="1" applyFill="1" applyBorder="1"/>
    <xf numFmtId="37" fontId="24" fillId="4" borderId="6" xfId="0" applyFont="1" applyFill="1" applyBorder="1"/>
    <xf numFmtId="166" fontId="23" fillId="4" borderId="0" xfId="0" applyNumberFormat="1" applyFont="1" applyFill="1" applyBorder="1" applyAlignment="1" applyProtection="1"/>
    <xf numFmtId="166" fontId="23" fillId="4" borderId="6" xfId="0" applyNumberFormat="1" applyFont="1" applyFill="1" applyBorder="1" applyAlignment="1" applyProtection="1"/>
    <xf numFmtId="166" fontId="23" fillId="4" borderId="1" xfId="0" applyNumberFormat="1" applyFont="1" applyFill="1" applyBorder="1" applyAlignment="1" applyProtection="1"/>
    <xf numFmtId="166" fontId="23" fillId="4" borderId="13" xfId="0" applyNumberFormat="1" applyFont="1" applyFill="1" applyBorder="1" applyAlignment="1" applyProtection="1"/>
    <xf numFmtId="37" fontId="44" fillId="2" borderId="0" xfId="0" applyFont="1" applyFill="1" applyBorder="1" applyProtection="1"/>
    <xf numFmtId="39" fontId="3" fillId="0" borderId="0" xfId="0" applyNumberFormat="1" applyFont="1" applyFill="1" applyBorder="1" applyProtection="1"/>
    <xf numFmtId="173" fontId="3" fillId="0" borderId="0" xfId="0" applyNumberFormat="1" applyFont="1" applyFill="1" applyBorder="1" applyProtection="1"/>
    <xf numFmtId="37" fontId="3" fillId="0" borderId="0" xfId="0" applyFont="1" applyAlignment="1" applyProtection="1">
      <alignment vertical="top" wrapText="1"/>
    </xf>
    <xf numFmtId="37" fontId="5" fillId="0" borderId="0" xfId="0" applyFont="1" applyAlignment="1">
      <alignment vertical="top" wrapText="1"/>
    </xf>
    <xf numFmtId="37" fontId="0" fillId="0" borderId="0" xfId="0" applyAlignment="1">
      <alignment wrapText="1"/>
    </xf>
    <xf numFmtId="37" fontId="45" fillId="4" borderId="0" xfId="0" applyFont="1" applyFill="1" applyAlignment="1">
      <alignment vertical="top" wrapText="1"/>
    </xf>
    <xf numFmtId="37" fontId="46" fillId="0" borderId="0" xfId="0" applyFont="1" applyAlignment="1">
      <alignment vertical="top" wrapText="1"/>
    </xf>
    <xf numFmtId="37" fontId="9" fillId="0" borderId="0" xfId="0" applyFont="1" applyBorder="1" applyAlignment="1" applyProtection="1">
      <alignment vertical="top" wrapText="1"/>
    </xf>
    <xf numFmtId="37" fontId="0" fillId="0" borderId="0" xfId="0" applyBorder="1" applyAlignment="1">
      <alignment vertical="top" wrapText="1"/>
    </xf>
    <xf numFmtId="37" fontId="25" fillId="36" borderId="0" xfId="0" applyFont="1" applyFill="1" applyAlignment="1" applyProtection="1">
      <alignment vertical="top" wrapText="1"/>
    </xf>
    <xf numFmtId="37" fontId="24" fillId="36" borderId="0" xfId="0" applyFont="1" applyFill="1" applyAlignment="1">
      <alignment vertical="top" wrapText="1"/>
    </xf>
    <xf numFmtId="37" fontId="24" fillId="36" borderId="0" xfId="0" applyFont="1" applyFill="1" applyAlignment="1">
      <alignment wrapText="1"/>
    </xf>
    <xf numFmtId="37" fontId="0" fillId="0" borderId="0" xfId="0" applyAlignment="1">
      <alignment vertical="top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5"/>
    <cellStyle name="Normal 3" xfId="42"/>
    <cellStyle name="Note 2" xfId="44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A50021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Distribution of State/Local Spending,</a:t>
            </a:r>
          </a:p>
          <a:p>
            <a:pPr>
              <a:defRPr sz="1200"/>
            </a:pPr>
            <a:r>
              <a:rPr lang="en-US" sz="1200"/>
              <a:t>United  States, 2011-12</a:t>
            </a:r>
          </a:p>
        </c:rich>
      </c:tx>
      <c:layout>
        <c:manualLayout>
          <c:xMode val="edge"/>
          <c:yMode val="edge"/>
          <c:x val="0.102145294901200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2525035212205041"/>
          <c:y val="0.18202504148594387"/>
          <c:w val="0.55754961085917998"/>
          <c:h val="0.50426841555944324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'Table 15'!$C$6:$I$6</c:f>
              <c:strCache>
                <c:ptCount val="7"/>
                <c:pt idx="0">
                  <c:v>Higher Education</c:v>
                </c:pt>
                <c:pt idx="1">
                  <c:v>Elementary and Secondary Education</c:v>
                </c:pt>
                <c:pt idx="2">
                  <c:v>Total Education1</c:v>
                </c:pt>
                <c:pt idx="3">
                  <c:v>Social Welfare2</c:v>
                </c:pt>
                <c:pt idx="4">
                  <c:v>Transportation, Public Safety, Environment and Housing3</c:v>
                </c:pt>
                <c:pt idx="5">
                  <c:v>Administration</c:v>
                </c:pt>
                <c:pt idx="6">
                  <c:v>Other4</c:v>
                </c:pt>
              </c:strCache>
            </c:strRef>
          </c:cat>
          <c:val>
            <c:numRef>
              <c:f>'Table 15'!$C$7:$I$7</c:f>
              <c:numCache>
                <c:formatCode>#,##0.0</c:formatCode>
                <c:ptCount val="7"/>
                <c:pt idx="0">
                  <c:v>10.022699970543302</c:v>
                </c:pt>
                <c:pt idx="1">
                  <c:v>21.817813335181523</c:v>
                </c:pt>
                <c:pt idx="2">
                  <c:v>33.982282274378214</c:v>
                </c:pt>
                <c:pt idx="3">
                  <c:v>28.234708429884243</c:v>
                </c:pt>
                <c:pt idx="4">
                  <c:v>23.474553770652005</c:v>
                </c:pt>
                <c:pt idx="5">
                  <c:v>4.7823049775863007</c:v>
                </c:pt>
                <c:pt idx="6">
                  <c:v>9.5261505474992259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6835339276284256E-2"/>
          <c:y val="0.71845020757446865"/>
          <c:w val="0.94632869089561999"/>
          <c:h val="0.25521233668506116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SREB  States, 2011-12</a:t>
            </a:r>
          </a:p>
        </c:rich>
      </c:tx>
      <c:layout>
        <c:manualLayout>
          <c:xMode val="edge"/>
          <c:yMode val="edge"/>
          <c:x val="0.2785338685458929"/>
          <c:y val="1.259842519685039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6934917566441924"/>
          <c:y val="0.19094196558763493"/>
          <c:w val="0.50139374793719649"/>
          <c:h val="0.77530329542140564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'Table 15'!$C$6:$I$6</c:f>
              <c:strCache>
                <c:ptCount val="7"/>
                <c:pt idx="0">
                  <c:v>Higher Education</c:v>
                </c:pt>
                <c:pt idx="1">
                  <c:v>Elementary and Secondary Education</c:v>
                </c:pt>
                <c:pt idx="2">
                  <c:v>Total Education1</c:v>
                </c:pt>
                <c:pt idx="3">
                  <c:v>Social Welfare2</c:v>
                </c:pt>
                <c:pt idx="4">
                  <c:v>Transportation, Public Safety, Environment and Housing3</c:v>
                </c:pt>
                <c:pt idx="5">
                  <c:v>Administration</c:v>
                </c:pt>
                <c:pt idx="6">
                  <c:v>Other4</c:v>
                </c:pt>
              </c:strCache>
            </c:strRef>
          </c:cat>
          <c:val>
            <c:numRef>
              <c:f>'Table 15'!$C$8:$I$8</c:f>
              <c:numCache>
                <c:formatCode>#,##0.0</c:formatCode>
                <c:ptCount val="7"/>
                <c:pt idx="0">
                  <c:v>10.917337055034446</c:v>
                </c:pt>
                <c:pt idx="1">
                  <c:v>21.742117163395168</c:v>
                </c:pt>
                <c:pt idx="2">
                  <c:v>35.040612852945905</c:v>
                </c:pt>
                <c:pt idx="3">
                  <c:v>28.846558409506301</c:v>
                </c:pt>
                <c:pt idx="4">
                  <c:v>23.774726314902264</c:v>
                </c:pt>
                <c:pt idx="5">
                  <c:v>4.5254855219329526</c:v>
                </c:pt>
                <c:pt idx="6">
                  <c:v>7.8126169007125821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State, 2011-12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27713056763426974"/>
          <c:y val="0.22426040118479171"/>
          <c:w val="0.48019524425118487"/>
          <c:h val="0.6460458105387431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'Table 15'!$C$6:$I$6</c:f>
              <c:strCache>
                <c:ptCount val="7"/>
                <c:pt idx="0">
                  <c:v>Higher Education</c:v>
                </c:pt>
                <c:pt idx="1">
                  <c:v>Elementary and Secondary Education</c:v>
                </c:pt>
                <c:pt idx="2">
                  <c:v>Total Education1</c:v>
                </c:pt>
                <c:pt idx="3">
                  <c:v>Social Welfare2</c:v>
                </c:pt>
                <c:pt idx="4">
                  <c:v>Transportation, Public Safety, Environment and Housing3</c:v>
                </c:pt>
                <c:pt idx="5">
                  <c:v>Administration</c:v>
                </c:pt>
                <c:pt idx="6">
                  <c:v>Other4</c:v>
                </c:pt>
              </c:strCache>
            </c:strRef>
          </c:cat>
          <c:val>
            <c:numRef>
              <c:f>'Table 15'!$C$14:$I$14</c:f>
              <c:numCache>
                <c:formatCode>#,##0.0</c:formatCode>
                <c:ptCount val="7"/>
                <c:pt idx="0">
                  <c:v>9.7132948053479691</c:v>
                </c:pt>
                <c:pt idx="1">
                  <c:v>26.499961621873553</c:v>
                </c:pt>
                <c:pt idx="2">
                  <c:v>39.394707125355097</c:v>
                </c:pt>
                <c:pt idx="3">
                  <c:v>27.072647177018656</c:v>
                </c:pt>
                <c:pt idx="4">
                  <c:v>22.559755702712472</c:v>
                </c:pt>
                <c:pt idx="5">
                  <c:v>5.1922214674575624</c:v>
                </c:pt>
                <c:pt idx="6">
                  <c:v>5.7806685274562124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 Capita State/Local Spending as a Percent of U.S. Aveage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3.0555555555555582E-2"/>
          <c:y val="0.38425925925926002"/>
          <c:w val="0.93611111111111112"/>
          <c:h val="0.48851450860309131"/>
        </c:manualLayout>
      </c:layout>
      <c:barChart>
        <c:barDir val="col"/>
        <c:grouping val="clustered"/>
        <c:varyColors val="0"/>
        <c:ser>
          <c:idx val="2"/>
          <c:order val="0"/>
          <c:tx>
            <c:v>SREB States</c:v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18'!$F$6:$G$6</c:f>
              <c:strCache>
                <c:ptCount val="2"/>
                <c:pt idx="0">
                  <c:v>2006-07</c:v>
                </c:pt>
                <c:pt idx="1">
                  <c:v>2011-12</c:v>
                </c:pt>
              </c:strCache>
            </c:strRef>
          </c:cat>
          <c:val>
            <c:numRef>
              <c:f>'Table 18'!$F$8:$G$8</c:f>
              <c:numCache>
                <c:formatCode>#,##0.0</c:formatCode>
                <c:ptCount val="2"/>
                <c:pt idx="0">
                  <c:v>89.701580940001762</c:v>
                </c:pt>
                <c:pt idx="1">
                  <c:v>88.907517235592564</c:v>
                </c:pt>
              </c:numCache>
            </c:numRef>
          </c:val>
        </c:ser>
        <c:ser>
          <c:idx val="0"/>
          <c:order val="1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18'!$F$14:$G$14</c:f>
              <c:numCache>
                <c:formatCode>#,##0.0</c:formatCode>
                <c:ptCount val="2"/>
                <c:pt idx="0">
                  <c:v>91.757778843864827</c:v>
                </c:pt>
                <c:pt idx="1">
                  <c:v>79.149517784032852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574200"/>
        <c:axId val="204574592"/>
      </c:barChart>
      <c:catAx>
        <c:axId val="204574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204574592"/>
        <c:crosses val="autoZero"/>
        <c:auto val="1"/>
        <c:lblAlgn val="ctr"/>
        <c:lblOffset val="100"/>
        <c:noMultiLvlLbl val="0"/>
      </c:catAx>
      <c:valAx>
        <c:axId val="204574592"/>
        <c:scaling>
          <c:orientation val="minMax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045742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2281933508311522"/>
          <c:y val="0.21296296296296349"/>
          <c:w val="0.35991688538932759"/>
          <c:h val="9.4923811606882597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169787</xdr:colOff>
      <xdr:row>31</xdr:row>
      <xdr:rowOff>32694</xdr:rowOff>
    </xdr:from>
    <xdr:to>
      <xdr:col>30</xdr:col>
      <xdr:colOff>84555</xdr:colOff>
      <xdr:row>39</xdr:row>
      <xdr:rowOff>39158</xdr:rowOff>
    </xdr:to>
    <xdr:sp macro="" textlink="">
      <xdr:nvSpPr>
        <xdr:cNvPr id="2" name="Oval Callout 1"/>
        <xdr:cNvSpPr/>
      </xdr:nvSpPr>
      <xdr:spPr>
        <a:xfrm>
          <a:off x="17325370" y="5969944"/>
          <a:ext cx="2497102" cy="1276464"/>
        </a:xfrm>
        <a:prstGeom prst="wedgeEllipseCallout">
          <a:avLst>
            <a:gd name="adj1" fmla="val -83212"/>
            <a:gd name="adj2" fmla="val 9887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Choose tab below</a:t>
          </a:r>
          <a:r>
            <a:rPr lang="en-US" sz="1200" b="1" baseline="0">
              <a:solidFill>
                <a:srgbClr val="C00000"/>
              </a:solidFill>
            </a:rPr>
            <a:t> to see trend data for all 50 states and D.C..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  <xdr:twoCellAnchor>
    <xdr:from>
      <xdr:col>20</xdr:col>
      <xdr:colOff>133350</xdr:colOff>
      <xdr:row>0</xdr:row>
      <xdr:rowOff>69850</xdr:rowOff>
    </xdr:from>
    <xdr:to>
      <xdr:col>25</xdr:col>
      <xdr:colOff>71967</xdr:colOff>
      <xdr:row>13</xdr:row>
      <xdr:rowOff>3175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171979</xdr:colOff>
      <xdr:row>13</xdr:row>
      <xdr:rowOff>136261</xdr:rowOff>
    </xdr:from>
    <xdr:to>
      <xdr:col>25</xdr:col>
      <xdr:colOff>120121</xdr:colOff>
      <xdr:row>26</xdr:row>
      <xdr:rowOff>88636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182032</xdr:colOff>
      <xdr:row>27</xdr:row>
      <xdr:rowOff>53976</xdr:rowOff>
    </xdr:from>
    <xdr:to>
      <xdr:col>25</xdr:col>
      <xdr:colOff>139699</xdr:colOff>
      <xdr:row>41</xdr:row>
      <xdr:rowOff>155576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506640</xdr:colOff>
      <xdr:row>5</xdr:row>
      <xdr:rowOff>227692</xdr:rowOff>
    </xdr:from>
    <xdr:to>
      <xdr:col>28</xdr:col>
      <xdr:colOff>481694</xdr:colOff>
      <xdr:row>11</xdr:row>
      <xdr:rowOff>132717</xdr:rowOff>
    </xdr:to>
    <xdr:sp macro="" textlink="">
      <xdr:nvSpPr>
        <xdr:cNvPr id="6" name="Oval Callout 5"/>
        <xdr:cNvSpPr/>
      </xdr:nvSpPr>
      <xdr:spPr>
        <a:xfrm>
          <a:off x="17016640" y="1021442"/>
          <a:ext cx="1911804" cy="1873525"/>
        </a:xfrm>
        <a:prstGeom prst="wedgeEllipseCallout">
          <a:avLst>
            <a:gd name="adj1" fmla="val -117073"/>
            <a:gd name="adj2" fmla="val 21980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Click</a:t>
          </a:r>
          <a:r>
            <a:rPr lang="en-US" sz="1200" b="1" baseline="0">
              <a:solidFill>
                <a:srgbClr val="C00000"/>
              </a:solidFill>
            </a:rPr>
            <a:t> on this  pie to see state highlighted  to left.  Move highlight box from state to state to change view.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570442</xdr:colOff>
      <xdr:row>41</xdr:row>
      <xdr:rowOff>148165</xdr:rowOff>
    </xdr:from>
    <xdr:to>
      <xdr:col>12</xdr:col>
      <xdr:colOff>746090</xdr:colOff>
      <xdr:row>46</xdr:row>
      <xdr:rowOff>125904</xdr:rowOff>
    </xdr:to>
    <xdr:sp macro="" textlink="">
      <xdr:nvSpPr>
        <xdr:cNvPr id="2" name="Oval Callout 1"/>
        <xdr:cNvSpPr/>
      </xdr:nvSpPr>
      <xdr:spPr>
        <a:xfrm>
          <a:off x="5999692" y="6995582"/>
          <a:ext cx="3117815" cy="771489"/>
        </a:xfrm>
        <a:prstGeom prst="wedgeEllipseCallout">
          <a:avLst>
            <a:gd name="adj1" fmla="val -47750"/>
            <a:gd name="adj2" fmla="val 20871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tab below</a:t>
          </a:r>
          <a:r>
            <a:rPr lang="en-US" sz="1000" b="1" baseline="0">
              <a:solidFill>
                <a:srgbClr val="C00000"/>
              </a:solidFill>
            </a:rPr>
            <a:t> to see trend data for all 50 states and D.C..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247650</xdr:colOff>
      <xdr:row>4</xdr:row>
      <xdr:rowOff>114300</xdr:rowOff>
    </xdr:from>
    <xdr:to>
      <xdr:col>15</xdr:col>
      <xdr:colOff>190500</xdr:colOff>
      <xdr:row>18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63500</xdr:colOff>
      <xdr:row>20</xdr:row>
      <xdr:rowOff>104776</xdr:rowOff>
    </xdr:from>
    <xdr:to>
      <xdr:col>15</xdr:col>
      <xdr:colOff>370417</xdr:colOff>
      <xdr:row>27</xdr:row>
      <xdr:rowOff>84667</xdr:rowOff>
    </xdr:to>
    <xdr:sp macro="" textlink="">
      <xdr:nvSpPr>
        <xdr:cNvPr id="4" name="Oval Callout 3"/>
        <xdr:cNvSpPr/>
      </xdr:nvSpPr>
      <xdr:spPr>
        <a:xfrm>
          <a:off x="7645400" y="3676651"/>
          <a:ext cx="3393017" cy="1113366"/>
        </a:xfrm>
        <a:prstGeom prst="wedgeEllipseCallout">
          <a:avLst>
            <a:gd name="adj1" fmla="val -46129"/>
            <a:gd name="adj2" fmla="val -12131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Click</a:t>
          </a:r>
          <a:r>
            <a:rPr lang="en-US" sz="1000" b="1" baseline="0">
              <a:solidFill>
                <a:srgbClr val="C00000"/>
              </a:solidFill>
            </a:rPr>
            <a:t> on state bar to see state highlighted  to left.  Move highlight box from state to state to change view.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B15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Jul-1 ResPop-both sexes"/>
      <sheetName val="Apr-1 ResPop-both sexes"/>
      <sheetName val="Representatives-Apportionment"/>
    </sheetNames>
    <sheetDataSet>
      <sheetData sheetId="0"/>
      <sheetData sheetId="1">
        <row r="3">
          <cell r="BQ3">
            <v>267783607</v>
          </cell>
          <cell r="BR3">
            <v>270248003</v>
          </cell>
          <cell r="BS3">
            <v>272690813</v>
          </cell>
          <cell r="BT3">
            <v>282162411</v>
          </cell>
          <cell r="BU3">
            <v>284968955</v>
          </cell>
          <cell r="BV3">
            <v>287625193</v>
          </cell>
          <cell r="BW3">
            <v>290107933</v>
          </cell>
          <cell r="BX3">
            <v>292805298</v>
          </cell>
          <cell r="BY3">
            <v>295516599</v>
          </cell>
          <cell r="BZ3">
            <v>298379912</v>
          </cell>
          <cell r="CA3">
            <v>301231207</v>
          </cell>
          <cell r="CB3">
            <v>304093966</v>
          </cell>
          <cell r="CC3">
            <v>306771529</v>
          </cell>
          <cell r="CD3">
            <v>309326225</v>
          </cell>
          <cell r="CE3">
            <v>311587816</v>
          </cell>
        </row>
        <row r="4">
          <cell r="BQ4">
            <v>93648025</v>
          </cell>
          <cell r="BR4">
            <v>94827397</v>
          </cell>
          <cell r="BS4">
            <v>95949455</v>
          </cell>
          <cell r="BT4">
            <v>99993503</v>
          </cell>
          <cell r="BU4">
            <v>101275071</v>
          </cell>
          <cell r="BV4">
            <v>102577629</v>
          </cell>
          <cell r="BW4">
            <v>103811686</v>
          </cell>
          <cell r="BX4">
            <v>105316223</v>
          </cell>
          <cell r="BY4">
            <v>106912635</v>
          </cell>
          <cell r="BZ4">
            <v>108506252</v>
          </cell>
          <cell r="CA4">
            <v>110114338</v>
          </cell>
          <cell r="CB4">
            <v>111604694</v>
          </cell>
          <cell r="CC4">
            <v>112956387</v>
          </cell>
          <cell r="CD4">
            <v>114248811</v>
          </cell>
          <cell r="CE4">
            <v>115403210</v>
          </cell>
        </row>
        <row r="6">
          <cell r="BQ6">
            <v>59340027</v>
          </cell>
          <cell r="BR6">
            <v>60262972</v>
          </cell>
          <cell r="BS6">
            <v>61150112</v>
          </cell>
          <cell r="BT6">
            <v>63439136</v>
          </cell>
          <cell r="BU6">
            <v>64427327</v>
          </cell>
          <cell r="BV6">
            <v>65312198</v>
          </cell>
          <cell r="BW6">
            <v>66116338</v>
          </cell>
          <cell r="BX6">
            <v>66965483</v>
          </cell>
          <cell r="BY6">
            <v>67833726</v>
          </cell>
          <cell r="BZ6">
            <v>68751765</v>
          </cell>
          <cell r="CA6">
            <v>69595414</v>
          </cell>
          <cell r="CB6">
            <v>70509175</v>
          </cell>
          <cell r="CC6">
            <v>71341376</v>
          </cell>
          <cell r="CD6">
            <v>72123364</v>
          </cell>
          <cell r="CE6">
            <v>72822851</v>
          </cell>
        </row>
        <row r="7">
          <cell r="BQ7">
            <v>62675478</v>
          </cell>
          <cell r="BR7">
            <v>62950532</v>
          </cell>
          <cell r="BS7">
            <v>63242284</v>
          </cell>
          <cell r="BT7">
            <v>64491431</v>
          </cell>
          <cell r="BU7">
            <v>64776531</v>
          </cell>
          <cell r="BV7">
            <v>65018293</v>
          </cell>
          <cell r="BW7">
            <v>65276954</v>
          </cell>
          <cell r="BX7">
            <v>65532305</v>
          </cell>
          <cell r="BY7">
            <v>65751872</v>
          </cell>
          <cell r="BZ7">
            <v>66028555</v>
          </cell>
          <cell r="CA7">
            <v>66293689</v>
          </cell>
          <cell r="CB7">
            <v>66523935</v>
          </cell>
          <cell r="CC7">
            <v>66748437</v>
          </cell>
          <cell r="CD7">
            <v>66972135</v>
          </cell>
          <cell r="CE7">
            <v>67145089</v>
          </cell>
        </row>
        <row r="8">
          <cell r="BQ8">
            <v>51591325</v>
          </cell>
          <cell r="BR8">
            <v>51685676</v>
          </cell>
          <cell r="BS8">
            <v>51829962</v>
          </cell>
          <cell r="BT8">
            <v>53666295</v>
          </cell>
          <cell r="BU8">
            <v>53915522</v>
          </cell>
          <cell r="BV8">
            <v>54143915</v>
          </cell>
          <cell r="BW8">
            <v>54334453</v>
          </cell>
          <cell r="BX8">
            <v>54423533</v>
          </cell>
          <cell r="BY8">
            <v>54451230</v>
          </cell>
          <cell r="BZ8">
            <v>54522659</v>
          </cell>
          <cell r="CA8">
            <v>54653362</v>
          </cell>
          <cell r="CB8">
            <v>54875926</v>
          </cell>
          <cell r="CC8">
            <v>55133101</v>
          </cell>
          <cell r="CD8">
            <v>55376926</v>
          </cell>
          <cell r="CE8">
            <v>55597646</v>
          </cell>
        </row>
        <row r="10">
          <cell r="BQ10">
            <v>4320281</v>
          </cell>
          <cell r="BR10">
            <v>4351037</v>
          </cell>
          <cell r="BS10">
            <v>4369862</v>
          </cell>
          <cell r="BT10">
            <v>4452173</v>
          </cell>
          <cell r="BU10">
            <v>4467634</v>
          </cell>
          <cell r="BV10">
            <v>4480089</v>
          </cell>
          <cell r="BW10">
            <v>4503491</v>
          </cell>
          <cell r="BX10">
            <v>4530729</v>
          </cell>
          <cell r="BY10">
            <v>4569805</v>
          </cell>
          <cell r="BZ10">
            <v>4628981</v>
          </cell>
          <cell r="CA10">
            <v>4672840</v>
          </cell>
          <cell r="CB10">
            <v>4718206</v>
          </cell>
          <cell r="CC10">
            <v>4757938</v>
          </cell>
          <cell r="CD10">
            <v>4784762</v>
          </cell>
          <cell r="CE10">
            <v>4803689</v>
          </cell>
        </row>
        <row r="11">
          <cell r="BQ11">
            <v>2524007</v>
          </cell>
          <cell r="BR11">
            <v>2538202</v>
          </cell>
          <cell r="BS11">
            <v>2551373</v>
          </cell>
          <cell r="BT11">
            <v>2678588</v>
          </cell>
          <cell r="BU11">
            <v>2691571</v>
          </cell>
          <cell r="BV11">
            <v>2705927</v>
          </cell>
          <cell r="BW11">
            <v>2724816</v>
          </cell>
          <cell r="BX11">
            <v>2749686</v>
          </cell>
          <cell r="BY11">
            <v>2781097</v>
          </cell>
          <cell r="BZ11">
            <v>2821761</v>
          </cell>
          <cell r="CA11">
            <v>2848650</v>
          </cell>
          <cell r="CB11">
            <v>2874554</v>
          </cell>
          <cell r="CC11">
            <v>2896843</v>
          </cell>
          <cell r="CD11">
            <v>2922750</v>
          </cell>
          <cell r="CE11">
            <v>2938582</v>
          </cell>
        </row>
        <row r="12">
          <cell r="BQ12">
            <v>735024</v>
          </cell>
          <cell r="BR12">
            <v>744066</v>
          </cell>
          <cell r="BS12">
            <v>753538</v>
          </cell>
          <cell r="BT12">
            <v>786373</v>
          </cell>
          <cell r="BU12">
            <v>795699</v>
          </cell>
          <cell r="BV12">
            <v>806169</v>
          </cell>
          <cell r="BW12">
            <v>818003</v>
          </cell>
          <cell r="BX12">
            <v>830803</v>
          </cell>
          <cell r="BY12">
            <v>845150</v>
          </cell>
          <cell r="BZ12">
            <v>859268</v>
          </cell>
          <cell r="CA12">
            <v>871749</v>
          </cell>
          <cell r="CB12">
            <v>883874</v>
          </cell>
          <cell r="CC12">
            <v>891730</v>
          </cell>
          <cell r="CD12">
            <v>899824</v>
          </cell>
          <cell r="CE12">
            <v>908137</v>
          </cell>
        </row>
        <row r="13">
          <cell r="BQ13">
            <v>14683350</v>
          </cell>
          <cell r="BR13">
            <v>14908230</v>
          </cell>
          <cell r="BS13">
            <v>15111244</v>
          </cell>
          <cell r="BT13">
            <v>16047515</v>
          </cell>
          <cell r="BU13">
            <v>16356966</v>
          </cell>
          <cell r="BV13">
            <v>16689370</v>
          </cell>
          <cell r="BW13">
            <v>17004085</v>
          </cell>
          <cell r="BX13">
            <v>17415318</v>
          </cell>
          <cell r="BY13">
            <v>17842038</v>
          </cell>
          <cell r="BZ13">
            <v>18166990</v>
          </cell>
          <cell r="CA13">
            <v>18367842</v>
          </cell>
          <cell r="CB13">
            <v>18527305</v>
          </cell>
          <cell r="CC13">
            <v>18652644</v>
          </cell>
          <cell r="CD13">
            <v>18845967</v>
          </cell>
          <cell r="CE13">
            <v>19082262</v>
          </cell>
        </row>
        <row r="14">
          <cell r="BQ14">
            <v>7486094</v>
          </cell>
          <cell r="BR14">
            <v>7636522</v>
          </cell>
          <cell r="BS14">
            <v>7788240</v>
          </cell>
          <cell r="BT14">
            <v>8227303</v>
          </cell>
          <cell r="BU14">
            <v>8377038</v>
          </cell>
          <cell r="BV14">
            <v>8508256</v>
          </cell>
          <cell r="BW14">
            <v>8622793</v>
          </cell>
          <cell r="BX14">
            <v>8769252</v>
          </cell>
          <cell r="BY14">
            <v>8925922</v>
          </cell>
          <cell r="BZ14">
            <v>9155813</v>
          </cell>
          <cell r="CA14">
            <v>9349988</v>
          </cell>
          <cell r="CB14">
            <v>9504843</v>
          </cell>
          <cell r="CC14">
            <v>9620846</v>
          </cell>
          <cell r="CD14">
            <v>9714748</v>
          </cell>
          <cell r="CE14">
            <v>9812460</v>
          </cell>
        </row>
        <row r="15">
          <cell r="BQ15">
            <v>3907816</v>
          </cell>
          <cell r="BR15">
            <v>3934310</v>
          </cell>
          <cell r="BS15">
            <v>3960825</v>
          </cell>
          <cell r="BT15">
            <v>4049021</v>
          </cell>
          <cell r="BU15">
            <v>4068132</v>
          </cell>
          <cell r="BV15">
            <v>4089875</v>
          </cell>
          <cell r="BW15">
            <v>4117170</v>
          </cell>
          <cell r="BX15">
            <v>4146101</v>
          </cell>
          <cell r="BY15">
            <v>4182742</v>
          </cell>
          <cell r="BZ15">
            <v>4219239</v>
          </cell>
          <cell r="CA15">
            <v>4256672</v>
          </cell>
          <cell r="CB15">
            <v>4289878</v>
          </cell>
          <cell r="CC15">
            <v>4317074</v>
          </cell>
          <cell r="CD15">
            <v>4346655</v>
          </cell>
          <cell r="CE15">
            <v>4366814</v>
          </cell>
        </row>
        <row r="16">
          <cell r="BQ16">
            <v>4351390</v>
          </cell>
          <cell r="BR16">
            <v>4362758</v>
          </cell>
          <cell r="BS16">
            <v>4372035</v>
          </cell>
          <cell r="BT16">
            <v>4471885</v>
          </cell>
          <cell r="BU16">
            <v>4477875</v>
          </cell>
          <cell r="BV16">
            <v>4497267</v>
          </cell>
          <cell r="BW16">
            <v>4521042</v>
          </cell>
          <cell r="BX16">
            <v>4552238</v>
          </cell>
          <cell r="BY16">
            <v>4576628</v>
          </cell>
          <cell r="BZ16">
            <v>4302665</v>
          </cell>
          <cell r="CA16">
            <v>4375581</v>
          </cell>
          <cell r="CB16">
            <v>4435586</v>
          </cell>
          <cell r="CC16">
            <v>4491648</v>
          </cell>
          <cell r="CD16">
            <v>4544125</v>
          </cell>
          <cell r="CE16">
            <v>4574766</v>
          </cell>
        </row>
        <row r="17">
          <cell r="BQ17">
            <v>5092914</v>
          </cell>
          <cell r="BR17">
            <v>5130072</v>
          </cell>
          <cell r="BS17">
            <v>5171634</v>
          </cell>
          <cell r="BT17">
            <v>5311034</v>
          </cell>
          <cell r="BU17">
            <v>5374691</v>
          </cell>
          <cell r="BV17">
            <v>5440389</v>
          </cell>
          <cell r="BW17">
            <v>5496269</v>
          </cell>
          <cell r="BX17">
            <v>5546935</v>
          </cell>
          <cell r="BY17">
            <v>5592379</v>
          </cell>
          <cell r="BZ17">
            <v>5627367</v>
          </cell>
          <cell r="CA17">
            <v>5653408</v>
          </cell>
          <cell r="CB17">
            <v>5684965</v>
          </cell>
          <cell r="CC17">
            <v>5730388</v>
          </cell>
          <cell r="CD17">
            <v>5787998</v>
          </cell>
          <cell r="CE17">
            <v>5839572</v>
          </cell>
        </row>
        <row r="18">
          <cell r="BQ18">
            <v>2731826</v>
          </cell>
          <cell r="BR18">
            <v>2751335</v>
          </cell>
          <cell r="BS18">
            <v>2768619</v>
          </cell>
          <cell r="BT18">
            <v>2848353</v>
          </cell>
          <cell r="BU18">
            <v>2852994</v>
          </cell>
          <cell r="BV18">
            <v>2858681</v>
          </cell>
          <cell r="BW18">
            <v>2868312</v>
          </cell>
          <cell r="BX18">
            <v>2889010</v>
          </cell>
          <cell r="BY18">
            <v>2905943</v>
          </cell>
          <cell r="BZ18">
            <v>2904978</v>
          </cell>
          <cell r="CA18">
            <v>2928350</v>
          </cell>
          <cell r="CB18">
            <v>2947806</v>
          </cell>
          <cell r="CC18">
            <v>2958774</v>
          </cell>
          <cell r="CD18">
            <v>2969137</v>
          </cell>
          <cell r="CE18">
            <v>2977457</v>
          </cell>
        </row>
        <row r="19">
          <cell r="BQ19">
            <v>7428672</v>
          </cell>
          <cell r="BR19">
            <v>7545828</v>
          </cell>
          <cell r="BS19">
            <v>7650789</v>
          </cell>
          <cell r="BT19">
            <v>8081614</v>
          </cell>
          <cell r="BU19">
            <v>8210122</v>
          </cell>
          <cell r="BV19">
            <v>8326201</v>
          </cell>
          <cell r="BW19">
            <v>8422501</v>
          </cell>
          <cell r="BX19">
            <v>8553152</v>
          </cell>
          <cell r="BY19">
            <v>8705407</v>
          </cell>
          <cell r="BZ19">
            <v>8917270</v>
          </cell>
          <cell r="CA19">
            <v>9118037</v>
          </cell>
          <cell r="CB19">
            <v>9309449</v>
          </cell>
          <cell r="CC19">
            <v>9449566</v>
          </cell>
          <cell r="CD19">
            <v>9559048</v>
          </cell>
          <cell r="CE19">
            <v>9651103</v>
          </cell>
        </row>
        <row r="20">
          <cell r="BQ20">
            <v>3314259</v>
          </cell>
          <cell r="BR20">
            <v>3339478</v>
          </cell>
          <cell r="BS20">
            <v>3358044</v>
          </cell>
          <cell r="BT20">
            <v>3454365</v>
          </cell>
          <cell r="BU20">
            <v>3467100</v>
          </cell>
          <cell r="BV20">
            <v>3489080</v>
          </cell>
          <cell r="BW20">
            <v>3504892</v>
          </cell>
          <cell r="BX20">
            <v>3525233</v>
          </cell>
          <cell r="BY20">
            <v>3548597</v>
          </cell>
          <cell r="BZ20">
            <v>3594090</v>
          </cell>
          <cell r="CA20">
            <v>3634349</v>
          </cell>
          <cell r="CB20">
            <v>3668976</v>
          </cell>
          <cell r="CC20">
            <v>3717572</v>
          </cell>
          <cell r="CD20">
            <v>3759482</v>
          </cell>
          <cell r="CE20">
            <v>3784163</v>
          </cell>
        </row>
        <row r="21">
          <cell r="BQ21">
            <v>3790066</v>
          </cell>
          <cell r="BR21">
            <v>3839578</v>
          </cell>
          <cell r="BS21">
            <v>3885736</v>
          </cell>
          <cell r="BT21">
            <v>4024223</v>
          </cell>
          <cell r="BU21">
            <v>4064995</v>
          </cell>
          <cell r="BV21">
            <v>4107795</v>
          </cell>
          <cell r="BW21">
            <v>4150297</v>
          </cell>
          <cell r="BX21">
            <v>4210921</v>
          </cell>
          <cell r="BY21">
            <v>4270150</v>
          </cell>
          <cell r="BZ21">
            <v>4357847</v>
          </cell>
          <cell r="CA21">
            <v>4444110</v>
          </cell>
          <cell r="CB21">
            <v>4528996</v>
          </cell>
          <cell r="CC21">
            <v>4589872</v>
          </cell>
          <cell r="CD21">
            <v>4635835</v>
          </cell>
          <cell r="CE21">
            <v>4673348</v>
          </cell>
        </row>
        <row r="22">
          <cell r="BQ22">
            <v>5378433</v>
          </cell>
          <cell r="BR22">
            <v>5432679</v>
          </cell>
          <cell r="BS22">
            <v>5483535</v>
          </cell>
          <cell r="BT22">
            <v>5703719</v>
          </cell>
          <cell r="BU22">
            <v>5750789</v>
          </cell>
          <cell r="BV22">
            <v>5795918</v>
          </cell>
          <cell r="BW22">
            <v>5847812</v>
          </cell>
          <cell r="BX22">
            <v>5910809</v>
          </cell>
          <cell r="BY22">
            <v>5991057</v>
          </cell>
          <cell r="BZ22">
            <v>6088766</v>
          </cell>
          <cell r="CA22">
            <v>6175727</v>
          </cell>
          <cell r="CB22">
            <v>6247411</v>
          </cell>
          <cell r="CC22">
            <v>6306019</v>
          </cell>
          <cell r="CD22">
            <v>6356673</v>
          </cell>
          <cell r="CE22">
            <v>6399787</v>
          </cell>
        </row>
        <row r="23">
          <cell r="BQ23">
            <v>19355427</v>
          </cell>
          <cell r="BR23">
            <v>19712389</v>
          </cell>
          <cell r="BS23">
            <v>20044141</v>
          </cell>
          <cell r="BT23">
            <v>20944499</v>
          </cell>
          <cell r="BU23">
            <v>21319622</v>
          </cell>
          <cell r="BV23">
            <v>21690325</v>
          </cell>
          <cell r="BW23">
            <v>22030931</v>
          </cell>
          <cell r="BX23">
            <v>22394023</v>
          </cell>
          <cell r="BY23">
            <v>22778123</v>
          </cell>
          <cell r="BZ23">
            <v>23359580</v>
          </cell>
          <cell r="CA23">
            <v>23831983</v>
          </cell>
          <cell r="CB23">
            <v>24309039</v>
          </cell>
          <cell r="CC23">
            <v>24801761</v>
          </cell>
          <cell r="CD23">
            <v>25242683</v>
          </cell>
          <cell r="CE23">
            <v>25631778</v>
          </cell>
        </row>
        <row r="24">
          <cell r="BQ24">
            <v>6732878</v>
          </cell>
          <cell r="BR24">
            <v>6789225</v>
          </cell>
          <cell r="BS24">
            <v>6872912</v>
          </cell>
          <cell r="BT24">
            <v>7105817</v>
          </cell>
          <cell r="BU24">
            <v>7198362</v>
          </cell>
          <cell r="BV24">
            <v>7286873</v>
          </cell>
          <cell r="BW24">
            <v>7366977</v>
          </cell>
          <cell r="BX24">
            <v>7475575</v>
          </cell>
          <cell r="BY24">
            <v>7577105</v>
          </cell>
          <cell r="BZ24">
            <v>7673725</v>
          </cell>
          <cell r="CA24">
            <v>7751000</v>
          </cell>
          <cell r="CB24">
            <v>7833496</v>
          </cell>
          <cell r="CC24">
            <v>7925937</v>
          </cell>
          <cell r="CD24">
            <v>8025105</v>
          </cell>
          <cell r="CE24">
            <v>8104384</v>
          </cell>
        </row>
        <row r="25">
          <cell r="BQ25">
            <v>1815588</v>
          </cell>
          <cell r="BR25">
            <v>1811688</v>
          </cell>
          <cell r="BS25">
            <v>1806928</v>
          </cell>
          <cell r="BT25">
            <v>1807021</v>
          </cell>
          <cell r="BU25">
            <v>1801481</v>
          </cell>
          <cell r="BV25">
            <v>1805414</v>
          </cell>
          <cell r="BW25">
            <v>1812295</v>
          </cell>
          <cell r="BX25">
            <v>1816438</v>
          </cell>
          <cell r="BY25">
            <v>1820492</v>
          </cell>
          <cell r="BZ25">
            <v>1827912</v>
          </cell>
          <cell r="CA25">
            <v>1834052</v>
          </cell>
          <cell r="CB25">
            <v>1840310</v>
          </cell>
          <cell r="CC25">
            <v>1847775</v>
          </cell>
          <cell r="CD25">
            <v>1854019</v>
          </cell>
          <cell r="CE25">
            <v>1854908</v>
          </cell>
        </row>
        <row r="27">
          <cell r="BQ27">
            <v>608846</v>
          </cell>
          <cell r="BR27">
            <v>615205</v>
          </cell>
          <cell r="BS27">
            <v>619500</v>
          </cell>
          <cell r="BT27">
            <v>627963</v>
          </cell>
          <cell r="BU27">
            <v>633714</v>
          </cell>
          <cell r="BV27">
            <v>642337</v>
          </cell>
          <cell r="BW27">
            <v>648414</v>
          </cell>
          <cell r="BX27">
            <v>659286</v>
          </cell>
          <cell r="BY27">
            <v>666946</v>
          </cell>
          <cell r="BZ27">
            <v>675302</v>
          </cell>
          <cell r="CA27">
            <v>680300</v>
          </cell>
          <cell r="CB27">
            <v>687455</v>
          </cell>
          <cell r="CC27">
            <v>698895</v>
          </cell>
          <cell r="CD27">
            <v>714046</v>
          </cell>
          <cell r="CE27">
            <v>723860</v>
          </cell>
        </row>
        <row r="28">
          <cell r="BQ28">
            <v>4552207</v>
          </cell>
          <cell r="BR28">
            <v>4667277</v>
          </cell>
          <cell r="BS28">
            <v>4778332</v>
          </cell>
          <cell r="BT28">
            <v>5160586</v>
          </cell>
          <cell r="BU28">
            <v>5273477</v>
          </cell>
          <cell r="BV28">
            <v>5396255</v>
          </cell>
          <cell r="BW28">
            <v>5510364</v>
          </cell>
          <cell r="BX28">
            <v>5652404</v>
          </cell>
          <cell r="BY28">
            <v>5839077</v>
          </cell>
          <cell r="BZ28">
            <v>6029141</v>
          </cell>
          <cell r="CA28">
            <v>6167681</v>
          </cell>
          <cell r="CB28">
            <v>6280362</v>
          </cell>
          <cell r="CC28">
            <v>6343154</v>
          </cell>
          <cell r="CD28">
            <v>6410810</v>
          </cell>
          <cell r="CE28">
            <v>6467315</v>
          </cell>
        </row>
        <row r="29">
          <cell r="BQ29">
            <v>32217708</v>
          </cell>
          <cell r="BR29">
            <v>32682794</v>
          </cell>
          <cell r="BS29">
            <v>33145121</v>
          </cell>
          <cell r="BT29">
            <v>33987977</v>
          </cell>
          <cell r="BU29">
            <v>34479458</v>
          </cell>
          <cell r="BV29">
            <v>34871843</v>
          </cell>
          <cell r="BW29">
            <v>35253159</v>
          </cell>
          <cell r="BX29">
            <v>35574576</v>
          </cell>
          <cell r="BY29">
            <v>35827943</v>
          </cell>
          <cell r="BZ29">
            <v>36021202</v>
          </cell>
          <cell r="CA29">
            <v>36250311</v>
          </cell>
          <cell r="CB29">
            <v>36604337</v>
          </cell>
          <cell r="CC29">
            <v>36961229</v>
          </cell>
          <cell r="CD29">
            <v>37334410</v>
          </cell>
          <cell r="CE29">
            <v>37683933</v>
          </cell>
        </row>
        <row r="30">
          <cell r="BQ30">
            <v>3891293</v>
          </cell>
          <cell r="BR30">
            <v>3968967</v>
          </cell>
          <cell r="BS30">
            <v>4056133</v>
          </cell>
          <cell r="BT30">
            <v>4326921</v>
          </cell>
          <cell r="BU30">
            <v>4425687</v>
          </cell>
          <cell r="BV30">
            <v>4490406</v>
          </cell>
          <cell r="BW30">
            <v>4528732</v>
          </cell>
          <cell r="BX30">
            <v>4575013</v>
          </cell>
          <cell r="BY30">
            <v>4631888</v>
          </cell>
          <cell r="BZ30">
            <v>4720423</v>
          </cell>
          <cell r="CA30">
            <v>4803868</v>
          </cell>
          <cell r="CB30">
            <v>4889730</v>
          </cell>
          <cell r="CC30">
            <v>4972195</v>
          </cell>
          <cell r="CD30">
            <v>5048472</v>
          </cell>
          <cell r="CE30">
            <v>5116302</v>
          </cell>
        </row>
        <row r="31">
          <cell r="BQ31">
            <v>1189322</v>
          </cell>
          <cell r="BR31">
            <v>1190472</v>
          </cell>
          <cell r="BS31">
            <v>1185497</v>
          </cell>
          <cell r="BT31">
            <v>1213519</v>
          </cell>
          <cell r="BU31">
            <v>1225948</v>
          </cell>
          <cell r="BV31">
            <v>1239613</v>
          </cell>
          <cell r="BW31">
            <v>1251154</v>
          </cell>
          <cell r="BX31">
            <v>1273569</v>
          </cell>
          <cell r="BY31">
            <v>1292729</v>
          </cell>
          <cell r="BZ31">
            <v>1309731</v>
          </cell>
          <cell r="CA31">
            <v>1315675</v>
          </cell>
          <cell r="CB31">
            <v>1332213</v>
          </cell>
          <cell r="CC31">
            <v>1346717</v>
          </cell>
          <cell r="CD31">
            <v>1364274</v>
          </cell>
          <cell r="CE31">
            <v>1378129</v>
          </cell>
        </row>
        <row r="32">
          <cell r="BQ32">
            <v>1210638</v>
          </cell>
          <cell r="BR32">
            <v>1230923</v>
          </cell>
          <cell r="BS32">
            <v>1251700</v>
          </cell>
          <cell r="BT32">
            <v>1299430</v>
          </cell>
          <cell r="BU32">
            <v>1319962</v>
          </cell>
          <cell r="BV32">
            <v>1340372</v>
          </cell>
          <cell r="BW32">
            <v>1363380</v>
          </cell>
          <cell r="BX32">
            <v>1391802</v>
          </cell>
          <cell r="BY32">
            <v>1428241</v>
          </cell>
          <cell r="BZ32">
            <v>1468669</v>
          </cell>
          <cell r="CA32">
            <v>1505105</v>
          </cell>
          <cell r="CB32">
            <v>1534320</v>
          </cell>
          <cell r="CC32">
            <v>1554439</v>
          </cell>
          <cell r="CD32">
            <v>1570784</v>
          </cell>
          <cell r="CE32">
            <v>1583744</v>
          </cell>
        </row>
        <row r="33">
          <cell r="BQ33">
            <v>878706</v>
          </cell>
          <cell r="BR33">
            <v>879533</v>
          </cell>
          <cell r="BS33">
            <v>882779</v>
          </cell>
          <cell r="BT33">
            <v>903773</v>
          </cell>
          <cell r="BU33">
            <v>906961</v>
          </cell>
          <cell r="BV33">
            <v>911667</v>
          </cell>
          <cell r="BW33">
            <v>919630</v>
          </cell>
          <cell r="BX33">
            <v>930009</v>
          </cell>
          <cell r="BY33">
            <v>940102</v>
          </cell>
          <cell r="BZ33">
            <v>952692</v>
          </cell>
          <cell r="CA33">
            <v>964706</v>
          </cell>
          <cell r="CB33">
            <v>976415</v>
          </cell>
          <cell r="CC33">
            <v>983982</v>
          </cell>
          <cell r="CD33">
            <v>990735</v>
          </cell>
          <cell r="CE33">
            <v>997667</v>
          </cell>
        </row>
        <row r="34">
          <cell r="BQ34">
            <v>1675581</v>
          </cell>
          <cell r="BR34">
            <v>1743772</v>
          </cell>
          <cell r="BS34">
            <v>1809253</v>
          </cell>
          <cell r="BT34">
            <v>2018741</v>
          </cell>
          <cell r="BU34">
            <v>2098399</v>
          </cell>
          <cell r="BV34">
            <v>2173791</v>
          </cell>
          <cell r="BW34">
            <v>2248850</v>
          </cell>
          <cell r="BX34">
            <v>2346222</v>
          </cell>
          <cell r="BY34">
            <v>2432143</v>
          </cell>
          <cell r="BZ34">
            <v>2522658</v>
          </cell>
          <cell r="CA34">
            <v>2601072</v>
          </cell>
          <cell r="CB34">
            <v>2653630</v>
          </cell>
          <cell r="CC34">
            <v>2684665</v>
          </cell>
          <cell r="CD34">
            <v>2703758</v>
          </cell>
          <cell r="CE34">
            <v>2720028</v>
          </cell>
        </row>
        <row r="35">
          <cell r="BQ35">
            <v>1722939</v>
          </cell>
          <cell r="BR35">
            <v>1733535</v>
          </cell>
          <cell r="BS35">
            <v>1739844</v>
          </cell>
          <cell r="BT35">
            <v>1821204</v>
          </cell>
          <cell r="BU35">
            <v>1831690</v>
          </cell>
          <cell r="BV35">
            <v>1855309</v>
          </cell>
          <cell r="BW35">
            <v>1877574</v>
          </cell>
          <cell r="BX35">
            <v>1903808</v>
          </cell>
          <cell r="BY35">
            <v>1932274</v>
          </cell>
          <cell r="BZ35">
            <v>1962137</v>
          </cell>
          <cell r="CA35">
            <v>1990070</v>
          </cell>
          <cell r="CB35">
            <v>2010662</v>
          </cell>
          <cell r="CC35">
            <v>2036802</v>
          </cell>
          <cell r="CD35">
            <v>2064767</v>
          </cell>
          <cell r="CE35">
            <v>2078674</v>
          </cell>
        </row>
        <row r="36">
          <cell r="BQ36">
            <v>3243254</v>
          </cell>
          <cell r="BR36">
            <v>3282055</v>
          </cell>
          <cell r="BS36">
            <v>3316154</v>
          </cell>
          <cell r="BT36">
            <v>3429708</v>
          </cell>
          <cell r="BU36">
            <v>3467937</v>
          </cell>
          <cell r="BV36">
            <v>3513424</v>
          </cell>
          <cell r="BW36">
            <v>3547376</v>
          </cell>
          <cell r="BX36">
            <v>3569463</v>
          </cell>
          <cell r="BY36">
            <v>3613202</v>
          </cell>
          <cell r="BZ36">
            <v>3670883</v>
          </cell>
          <cell r="CA36">
            <v>3722417</v>
          </cell>
          <cell r="CB36">
            <v>3768748</v>
          </cell>
          <cell r="CC36">
            <v>3808600</v>
          </cell>
          <cell r="CD36">
            <v>3838212</v>
          </cell>
          <cell r="CE36">
            <v>3868229</v>
          </cell>
        </row>
        <row r="37">
          <cell r="BQ37">
            <v>2065397</v>
          </cell>
          <cell r="BR37">
            <v>2100562</v>
          </cell>
          <cell r="BS37">
            <v>2129836</v>
          </cell>
          <cell r="BT37">
            <v>2244502</v>
          </cell>
          <cell r="BU37">
            <v>2283715</v>
          </cell>
          <cell r="BV37">
            <v>2324815</v>
          </cell>
          <cell r="BW37">
            <v>2360137</v>
          </cell>
          <cell r="BX37">
            <v>2401580</v>
          </cell>
          <cell r="BY37">
            <v>2457719</v>
          </cell>
          <cell r="BZ37">
            <v>2525507</v>
          </cell>
          <cell r="CA37">
            <v>2597746</v>
          </cell>
          <cell r="CB37">
            <v>2663029</v>
          </cell>
          <cell r="CC37">
            <v>2723421</v>
          </cell>
          <cell r="CD37">
            <v>2775093</v>
          </cell>
          <cell r="CE37">
            <v>2814347</v>
          </cell>
        </row>
        <row r="38">
          <cell r="BQ38">
            <v>5604105</v>
          </cell>
          <cell r="BR38">
            <v>5687832</v>
          </cell>
          <cell r="BS38">
            <v>5756361</v>
          </cell>
          <cell r="BT38">
            <v>5910512</v>
          </cell>
          <cell r="BU38">
            <v>5985722</v>
          </cell>
          <cell r="BV38">
            <v>6052349</v>
          </cell>
          <cell r="BW38">
            <v>6104115</v>
          </cell>
          <cell r="BX38">
            <v>6178645</v>
          </cell>
          <cell r="BY38">
            <v>6257305</v>
          </cell>
          <cell r="BZ38">
            <v>6370753</v>
          </cell>
          <cell r="CA38">
            <v>6461587</v>
          </cell>
          <cell r="CB38">
            <v>6562231</v>
          </cell>
          <cell r="CC38">
            <v>6667426</v>
          </cell>
          <cell r="CD38">
            <v>6743636</v>
          </cell>
          <cell r="CE38">
            <v>6823267</v>
          </cell>
        </row>
        <row r="39">
          <cell r="BQ39">
            <v>480031</v>
          </cell>
          <cell r="BR39">
            <v>480045</v>
          </cell>
          <cell r="BS39">
            <v>479602</v>
          </cell>
          <cell r="BT39">
            <v>494300</v>
          </cell>
          <cell r="BU39">
            <v>494657</v>
          </cell>
          <cell r="BV39">
            <v>500017</v>
          </cell>
          <cell r="BW39">
            <v>503453</v>
          </cell>
          <cell r="BX39">
            <v>509106</v>
          </cell>
          <cell r="BY39">
            <v>514157</v>
          </cell>
          <cell r="BZ39">
            <v>522667</v>
          </cell>
          <cell r="CA39">
            <v>534876</v>
          </cell>
          <cell r="CB39">
            <v>546043</v>
          </cell>
          <cell r="CC39">
            <v>559851</v>
          </cell>
          <cell r="CD39">
            <v>564367</v>
          </cell>
          <cell r="CE39">
            <v>567356</v>
          </cell>
        </row>
        <row r="41">
          <cell r="BQ41">
            <v>12011509</v>
          </cell>
          <cell r="BR41">
            <v>12069774</v>
          </cell>
          <cell r="BS41">
            <v>12128370</v>
          </cell>
          <cell r="BT41">
            <v>12434161</v>
          </cell>
          <cell r="BU41">
            <v>12488445</v>
          </cell>
          <cell r="BV41">
            <v>12525556</v>
          </cell>
          <cell r="BW41">
            <v>12556006</v>
          </cell>
          <cell r="BX41">
            <v>12589773</v>
          </cell>
          <cell r="BY41">
            <v>12609903</v>
          </cell>
          <cell r="BZ41">
            <v>12643955</v>
          </cell>
          <cell r="CA41">
            <v>12695866</v>
          </cell>
          <cell r="CB41">
            <v>12747038</v>
          </cell>
          <cell r="CC41">
            <v>12796778</v>
          </cell>
          <cell r="CD41">
            <v>12840459</v>
          </cell>
          <cell r="CE41">
            <v>12859752</v>
          </cell>
        </row>
        <row r="42">
          <cell r="BQ42">
            <v>5872370</v>
          </cell>
          <cell r="BR42">
            <v>5907617</v>
          </cell>
          <cell r="BS42">
            <v>5942901</v>
          </cell>
          <cell r="BT42">
            <v>6091866</v>
          </cell>
          <cell r="BU42">
            <v>6127760</v>
          </cell>
          <cell r="BV42">
            <v>6155967</v>
          </cell>
          <cell r="BW42">
            <v>6196638</v>
          </cell>
          <cell r="BX42">
            <v>6233007</v>
          </cell>
          <cell r="BY42">
            <v>6278616</v>
          </cell>
          <cell r="BZ42">
            <v>6332669</v>
          </cell>
          <cell r="CA42">
            <v>6379599</v>
          </cell>
          <cell r="CB42">
            <v>6424806</v>
          </cell>
          <cell r="CC42">
            <v>6459325</v>
          </cell>
          <cell r="CD42">
            <v>6489856</v>
          </cell>
          <cell r="CE42">
            <v>6516353</v>
          </cell>
        </row>
        <row r="43">
          <cell r="BQ43">
            <v>2854396</v>
          </cell>
          <cell r="BR43">
            <v>2861025</v>
          </cell>
          <cell r="BS43">
            <v>2869413</v>
          </cell>
          <cell r="BT43">
            <v>2929067</v>
          </cell>
          <cell r="BU43">
            <v>2931997</v>
          </cell>
          <cell r="BV43">
            <v>2934234</v>
          </cell>
          <cell r="BW43">
            <v>2941999</v>
          </cell>
          <cell r="BX43">
            <v>2953635</v>
          </cell>
          <cell r="BY43">
            <v>2964454</v>
          </cell>
          <cell r="BZ43">
            <v>2982644</v>
          </cell>
          <cell r="CA43">
            <v>2999212</v>
          </cell>
          <cell r="CB43">
            <v>3016734</v>
          </cell>
          <cell r="CC43">
            <v>3032870</v>
          </cell>
          <cell r="CD43">
            <v>3050321</v>
          </cell>
          <cell r="CE43">
            <v>3064097</v>
          </cell>
        </row>
        <row r="44">
          <cell r="BQ44">
            <v>2616339</v>
          </cell>
          <cell r="BR44">
            <v>2638667</v>
          </cell>
          <cell r="BS44">
            <v>2654052</v>
          </cell>
          <cell r="BT44">
            <v>2693681</v>
          </cell>
          <cell r="BU44">
            <v>2702162</v>
          </cell>
          <cell r="BV44">
            <v>2713535</v>
          </cell>
          <cell r="BW44">
            <v>2723004</v>
          </cell>
          <cell r="BX44">
            <v>2734373</v>
          </cell>
          <cell r="BY44">
            <v>2745299</v>
          </cell>
          <cell r="BZ44">
            <v>2762931</v>
          </cell>
          <cell r="CA44">
            <v>2783785</v>
          </cell>
          <cell r="CB44">
            <v>2808076</v>
          </cell>
          <cell r="CC44">
            <v>2832704</v>
          </cell>
          <cell r="CD44">
            <v>2858837</v>
          </cell>
          <cell r="CE44">
            <v>2870386</v>
          </cell>
        </row>
        <row r="45">
          <cell r="BQ45">
            <v>9785450</v>
          </cell>
          <cell r="BR45">
            <v>9820231</v>
          </cell>
          <cell r="BS45">
            <v>9863775</v>
          </cell>
          <cell r="BT45">
            <v>9952450</v>
          </cell>
          <cell r="BU45">
            <v>9991120</v>
          </cell>
          <cell r="BV45">
            <v>10015710</v>
          </cell>
          <cell r="BW45">
            <v>10041152</v>
          </cell>
          <cell r="BX45">
            <v>10055315</v>
          </cell>
          <cell r="BY45">
            <v>10051137</v>
          </cell>
          <cell r="BZ45">
            <v>10036081</v>
          </cell>
          <cell r="CA45">
            <v>10001284</v>
          </cell>
          <cell r="CB45">
            <v>9946889</v>
          </cell>
          <cell r="CC45">
            <v>9901591</v>
          </cell>
          <cell r="CD45">
            <v>9877670</v>
          </cell>
          <cell r="CE45">
            <v>9876801</v>
          </cell>
        </row>
        <row r="46">
          <cell r="BQ46">
            <v>4687726</v>
          </cell>
          <cell r="BR46">
            <v>4726411</v>
          </cell>
          <cell r="BS46">
            <v>4775508</v>
          </cell>
          <cell r="BT46">
            <v>4933692</v>
          </cell>
          <cell r="BU46">
            <v>4982796</v>
          </cell>
          <cell r="BV46">
            <v>5018935</v>
          </cell>
          <cell r="BW46">
            <v>5053572</v>
          </cell>
          <cell r="BX46">
            <v>5087713</v>
          </cell>
          <cell r="BY46">
            <v>5119598</v>
          </cell>
          <cell r="BZ46">
            <v>5163555</v>
          </cell>
          <cell r="CA46">
            <v>5207203</v>
          </cell>
          <cell r="CB46">
            <v>5247018</v>
          </cell>
          <cell r="CC46">
            <v>5281203</v>
          </cell>
          <cell r="CD46">
            <v>5310737</v>
          </cell>
          <cell r="CE46">
            <v>5347299</v>
          </cell>
        </row>
        <row r="47">
          <cell r="BQ47">
            <v>5407113</v>
          </cell>
          <cell r="BR47">
            <v>5437562</v>
          </cell>
          <cell r="BS47">
            <v>5468338</v>
          </cell>
          <cell r="BT47">
            <v>5607285</v>
          </cell>
          <cell r="BU47">
            <v>5641142</v>
          </cell>
          <cell r="BV47">
            <v>5674825</v>
          </cell>
          <cell r="BW47">
            <v>5709403</v>
          </cell>
          <cell r="BX47">
            <v>5747741</v>
          </cell>
          <cell r="BY47">
            <v>5790300</v>
          </cell>
          <cell r="BZ47">
            <v>5842704</v>
          </cell>
          <cell r="CA47">
            <v>5887612</v>
          </cell>
          <cell r="CB47">
            <v>5923916</v>
          </cell>
          <cell r="CC47">
            <v>5961088</v>
          </cell>
          <cell r="CD47">
            <v>5996092</v>
          </cell>
          <cell r="CE47">
            <v>6008984</v>
          </cell>
        </row>
        <row r="48">
          <cell r="BQ48">
            <v>1656042</v>
          </cell>
          <cell r="BR48">
            <v>1660772</v>
          </cell>
          <cell r="BS48">
            <v>1666028</v>
          </cell>
          <cell r="BT48">
            <v>1713820</v>
          </cell>
          <cell r="BU48">
            <v>1719836</v>
          </cell>
          <cell r="BV48">
            <v>1728292</v>
          </cell>
          <cell r="BW48">
            <v>1738643</v>
          </cell>
          <cell r="BX48">
            <v>1749370</v>
          </cell>
          <cell r="BY48">
            <v>1761497</v>
          </cell>
          <cell r="BZ48">
            <v>1772693</v>
          </cell>
          <cell r="CA48">
            <v>1783440</v>
          </cell>
          <cell r="CB48">
            <v>1796378</v>
          </cell>
          <cell r="CC48">
            <v>1812683</v>
          </cell>
          <cell r="CD48">
            <v>1829696</v>
          </cell>
          <cell r="CE48">
            <v>1842234</v>
          </cell>
        </row>
        <row r="49">
          <cell r="BQ49">
            <v>640945</v>
          </cell>
          <cell r="BR49">
            <v>637808</v>
          </cell>
          <cell r="BS49">
            <v>633666</v>
          </cell>
          <cell r="BT49">
            <v>642023</v>
          </cell>
          <cell r="BU49">
            <v>639062</v>
          </cell>
          <cell r="BV49">
            <v>638168</v>
          </cell>
          <cell r="BW49">
            <v>638817</v>
          </cell>
          <cell r="BX49">
            <v>644705</v>
          </cell>
          <cell r="BY49">
            <v>646089</v>
          </cell>
          <cell r="BZ49">
            <v>649422</v>
          </cell>
          <cell r="CA49">
            <v>652822</v>
          </cell>
          <cell r="CB49">
            <v>657569</v>
          </cell>
          <cell r="CC49">
            <v>664968</v>
          </cell>
          <cell r="CD49">
            <v>674363</v>
          </cell>
          <cell r="CE49">
            <v>684740</v>
          </cell>
        </row>
        <row r="50">
          <cell r="BQ50">
            <v>11212498</v>
          </cell>
          <cell r="BR50">
            <v>11237752</v>
          </cell>
          <cell r="BS50">
            <v>11256654</v>
          </cell>
          <cell r="BT50">
            <v>11363543</v>
          </cell>
          <cell r="BU50">
            <v>11387404</v>
          </cell>
          <cell r="BV50">
            <v>11407889</v>
          </cell>
          <cell r="BW50">
            <v>11434788</v>
          </cell>
          <cell r="BX50">
            <v>11452251</v>
          </cell>
          <cell r="BY50">
            <v>11463320</v>
          </cell>
          <cell r="BZ50">
            <v>11481213</v>
          </cell>
          <cell r="CA50">
            <v>11500468</v>
          </cell>
          <cell r="CB50">
            <v>11515391</v>
          </cell>
          <cell r="CC50">
            <v>11528896</v>
          </cell>
          <cell r="CD50">
            <v>11538290</v>
          </cell>
          <cell r="CE50">
            <v>11541007</v>
          </cell>
        </row>
        <row r="51">
          <cell r="BQ51">
            <v>730855</v>
          </cell>
          <cell r="BR51">
            <v>730789</v>
          </cell>
          <cell r="BS51">
            <v>733133</v>
          </cell>
          <cell r="BT51">
            <v>755844</v>
          </cell>
          <cell r="BU51">
            <v>757972</v>
          </cell>
          <cell r="BV51">
            <v>760020</v>
          </cell>
          <cell r="BW51">
            <v>763729</v>
          </cell>
          <cell r="BX51">
            <v>770396</v>
          </cell>
          <cell r="BY51">
            <v>775493</v>
          </cell>
          <cell r="BZ51">
            <v>783033</v>
          </cell>
          <cell r="CA51">
            <v>791623</v>
          </cell>
          <cell r="CB51">
            <v>799124</v>
          </cell>
          <cell r="CC51">
            <v>807067</v>
          </cell>
          <cell r="CD51">
            <v>816223</v>
          </cell>
          <cell r="CE51">
            <v>823593</v>
          </cell>
        </row>
        <row r="52">
          <cell r="BQ52">
            <v>5200235</v>
          </cell>
          <cell r="BR52">
            <v>5222124</v>
          </cell>
          <cell r="BS52">
            <v>5250446</v>
          </cell>
          <cell r="BT52">
            <v>5373999</v>
          </cell>
          <cell r="BU52">
            <v>5406835</v>
          </cell>
          <cell r="BV52">
            <v>5445162</v>
          </cell>
          <cell r="BW52">
            <v>5479203</v>
          </cell>
          <cell r="BX52">
            <v>5514026</v>
          </cell>
          <cell r="BY52">
            <v>5546166</v>
          </cell>
          <cell r="BZ52">
            <v>5577655</v>
          </cell>
          <cell r="CA52">
            <v>5610775</v>
          </cell>
          <cell r="CB52">
            <v>5640996</v>
          </cell>
          <cell r="CC52">
            <v>5669264</v>
          </cell>
          <cell r="CD52">
            <v>5689591</v>
          </cell>
          <cell r="CE52">
            <v>5709843</v>
          </cell>
        </row>
        <row r="54">
          <cell r="BQ54">
            <v>3268514</v>
          </cell>
          <cell r="BR54">
            <v>3272563</v>
          </cell>
          <cell r="BS54">
            <v>3282031</v>
          </cell>
          <cell r="BT54">
            <v>3411777</v>
          </cell>
          <cell r="BU54">
            <v>3432835</v>
          </cell>
          <cell r="BV54">
            <v>3458749</v>
          </cell>
          <cell r="BW54">
            <v>3484336</v>
          </cell>
          <cell r="BX54">
            <v>3496094</v>
          </cell>
          <cell r="BY54">
            <v>3506956</v>
          </cell>
          <cell r="BZ54">
            <v>3517460</v>
          </cell>
          <cell r="CA54">
            <v>3527270</v>
          </cell>
          <cell r="CB54">
            <v>3545579</v>
          </cell>
          <cell r="CC54">
            <v>3561807</v>
          </cell>
          <cell r="CD54">
            <v>3576616</v>
          </cell>
          <cell r="CE54">
            <v>3586717</v>
          </cell>
        </row>
        <row r="55">
          <cell r="BQ55">
            <v>1245215</v>
          </cell>
          <cell r="BR55">
            <v>1247554</v>
          </cell>
          <cell r="BS55">
            <v>1253040</v>
          </cell>
          <cell r="BT55">
            <v>1277072</v>
          </cell>
          <cell r="BU55">
            <v>1285692</v>
          </cell>
          <cell r="BV55">
            <v>1295960</v>
          </cell>
          <cell r="BW55">
            <v>1306513</v>
          </cell>
          <cell r="BX55">
            <v>1313688</v>
          </cell>
          <cell r="BY55">
            <v>1318787</v>
          </cell>
          <cell r="BZ55">
            <v>1323619</v>
          </cell>
          <cell r="CA55">
            <v>1327040</v>
          </cell>
          <cell r="CB55">
            <v>1330509</v>
          </cell>
          <cell r="CC55">
            <v>1329590</v>
          </cell>
          <cell r="CD55">
            <v>1327585</v>
          </cell>
          <cell r="CE55">
            <v>1328544</v>
          </cell>
        </row>
        <row r="56">
          <cell r="BQ56">
            <v>6115476</v>
          </cell>
          <cell r="BR56">
            <v>6144407</v>
          </cell>
          <cell r="BS56">
            <v>6175169</v>
          </cell>
          <cell r="BT56">
            <v>6361104</v>
          </cell>
          <cell r="BU56">
            <v>6397634</v>
          </cell>
          <cell r="BV56">
            <v>6417206</v>
          </cell>
          <cell r="BW56">
            <v>6422565</v>
          </cell>
          <cell r="BX56">
            <v>6412281</v>
          </cell>
          <cell r="BY56">
            <v>6403290</v>
          </cell>
          <cell r="BZ56">
            <v>6410084</v>
          </cell>
          <cell r="CA56">
            <v>6431559</v>
          </cell>
          <cell r="CB56">
            <v>6468967</v>
          </cell>
          <cell r="CC56">
            <v>6517613</v>
          </cell>
          <cell r="CD56">
            <v>6563259</v>
          </cell>
          <cell r="CE56">
            <v>6607003</v>
          </cell>
        </row>
        <row r="57">
          <cell r="BQ57">
            <v>1173239</v>
          </cell>
          <cell r="BR57">
            <v>1185823</v>
          </cell>
          <cell r="BS57">
            <v>1201134</v>
          </cell>
          <cell r="BT57">
            <v>1239882</v>
          </cell>
          <cell r="BU57">
            <v>1255517</v>
          </cell>
          <cell r="BV57">
            <v>1269089</v>
          </cell>
          <cell r="BW57">
            <v>1279840</v>
          </cell>
          <cell r="BX57">
            <v>1290121</v>
          </cell>
          <cell r="BY57">
            <v>1298492</v>
          </cell>
          <cell r="BZ57">
            <v>1308389</v>
          </cell>
          <cell r="CA57">
            <v>1312540</v>
          </cell>
          <cell r="CB57">
            <v>1315906</v>
          </cell>
          <cell r="CC57">
            <v>1316102</v>
          </cell>
          <cell r="CD57">
            <v>1316843</v>
          </cell>
          <cell r="CE57">
            <v>1317807</v>
          </cell>
        </row>
        <row r="58">
          <cell r="BQ58">
            <v>8054178</v>
          </cell>
          <cell r="BR58">
            <v>8095542</v>
          </cell>
          <cell r="BS58">
            <v>8143412</v>
          </cell>
          <cell r="BT58">
            <v>8430621</v>
          </cell>
          <cell r="BU58">
            <v>8492671</v>
          </cell>
          <cell r="BV58">
            <v>8552643</v>
          </cell>
          <cell r="BW58">
            <v>8601402</v>
          </cell>
          <cell r="BX58">
            <v>8634561</v>
          </cell>
          <cell r="BY58">
            <v>8651974</v>
          </cell>
          <cell r="BZ58">
            <v>8661679</v>
          </cell>
          <cell r="CA58">
            <v>8677885</v>
          </cell>
          <cell r="CB58">
            <v>8711090</v>
          </cell>
          <cell r="CC58">
            <v>8755602</v>
          </cell>
          <cell r="CD58">
            <v>8803388</v>
          </cell>
          <cell r="CE58">
            <v>8834773</v>
          </cell>
        </row>
        <row r="59">
          <cell r="BQ59">
            <v>18143184</v>
          </cell>
          <cell r="BR59">
            <v>18159175</v>
          </cell>
          <cell r="BS59">
            <v>18196601</v>
          </cell>
          <cell r="BT59">
            <v>19001780</v>
          </cell>
          <cell r="BU59">
            <v>19082838</v>
          </cell>
          <cell r="BV59">
            <v>19137800</v>
          </cell>
          <cell r="BW59">
            <v>19175939</v>
          </cell>
          <cell r="BX59">
            <v>19171567</v>
          </cell>
          <cell r="BY59">
            <v>19132610</v>
          </cell>
          <cell r="BZ59">
            <v>19104631</v>
          </cell>
          <cell r="CA59">
            <v>19132335</v>
          </cell>
          <cell r="CB59">
            <v>19212436</v>
          </cell>
          <cell r="CC59">
            <v>19307066</v>
          </cell>
          <cell r="CD59">
            <v>19399242</v>
          </cell>
          <cell r="CE59">
            <v>19501616</v>
          </cell>
        </row>
        <row r="60">
          <cell r="BQ60">
            <v>12015888</v>
          </cell>
          <cell r="BR60">
            <v>12002329</v>
          </cell>
          <cell r="BS60">
            <v>11994016</v>
          </cell>
          <cell r="BT60">
            <v>12284173</v>
          </cell>
          <cell r="BU60">
            <v>12298970</v>
          </cell>
          <cell r="BV60">
            <v>12331031</v>
          </cell>
          <cell r="BW60">
            <v>12374658</v>
          </cell>
          <cell r="BX60">
            <v>12410722</v>
          </cell>
          <cell r="BY60">
            <v>12449990</v>
          </cell>
          <cell r="BZ60">
            <v>12510809</v>
          </cell>
          <cell r="CA60">
            <v>12563937</v>
          </cell>
          <cell r="CB60">
            <v>12612285</v>
          </cell>
          <cell r="CC60">
            <v>12666858</v>
          </cell>
          <cell r="CD60">
            <v>12711308</v>
          </cell>
          <cell r="CE60">
            <v>12743948</v>
          </cell>
        </row>
        <row r="61">
          <cell r="BQ61">
            <v>986966</v>
          </cell>
          <cell r="BR61">
            <v>987704</v>
          </cell>
          <cell r="BS61">
            <v>990819</v>
          </cell>
          <cell r="BT61">
            <v>1050268</v>
          </cell>
          <cell r="BU61">
            <v>1057142</v>
          </cell>
          <cell r="BV61">
            <v>1065995</v>
          </cell>
          <cell r="BW61">
            <v>1071342</v>
          </cell>
          <cell r="BX61">
            <v>1074579</v>
          </cell>
          <cell r="BY61">
            <v>1067916</v>
          </cell>
          <cell r="BZ61">
            <v>1063096</v>
          </cell>
          <cell r="CA61">
            <v>1057315</v>
          </cell>
          <cell r="CB61">
            <v>1055003</v>
          </cell>
          <cell r="CC61">
            <v>1053646</v>
          </cell>
          <cell r="CD61">
            <v>1052769</v>
          </cell>
          <cell r="CE61">
            <v>1050646</v>
          </cell>
        </row>
        <row r="62">
          <cell r="BQ62">
            <v>588665</v>
          </cell>
          <cell r="BR62">
            <v>590579</v>
          </cell>
          <cell r="BS62">
            <v>593740</v>
          </cell>
          <cell r="BT62">
            <v>609618</v>
          </cell>
          <cell r="BU62">
            <v>612223</v>
          </cell>
          <cell r="BV62">
            <v>615442</v>
          </cell>
          <cell r="BW62">
            <v>617858</v>
          </cell>
          <cell r="BX62">
            <v>619920</v>
          </cell>
          <cell r="BY62">
            <v>621215</v>
          </cell>
          <cell r="BZ62">
            <v>622892</v>
          </cell>
          <cell r="CA62">
            <v>623481</v>
          </cell>
          <cell r="CB62">
            <v>624151</v>
          </cell>
          <cell r="CC62">
            <v>624817</v>
          </cell>
          <cell r="CD62">
            <v>625916</v>
          </cell>
          <cell r="CE62">
            <v>626592</v>
          </cell>
        </row>
        <row r="63">
          <cell r="BQ63">
            <v>528752</v>
          </cell>
          <cell r="BR63">
            <v>521426</v>
          </cell>
          <cell r="BS63">
            <v>519000</v>
          </cell>
          <cell r="BT63">
            <v>572046</v>
          </cell>
          <cell r="BU63">
            <v>574504</v>
          </cell>
          <cell r="BV63">
            <v>573158</v>
          </cell>
          <cell r="BW63">
            <v>568502</v>
          </cell>
          <cell r="BX63">
            <v>567754</v>
          </cell>
          <cell r="BY63">
            <v>567136</v>
          </cell>
          <cell r="BZ63">
            <v>570681</v>
          </cell>
          <cell r="CA63">
            <v>574404</v>
          </cell>
          <cell r="CB63">
            <v>580236</v>
          </cell>
          <cell r="CC63">
            <v>592228</v>
          </cell>
          <cell r="CD63">
            <v>604989</v>
          </cell>
          <cell r="CE63">
            <v>619020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C00000"/>
  </sheetPr>
  <dimension ref="A1:V77"/>
  <sheetViews>
    <sheetView showGridLines="0" tabSelected="1" view="pageBreakPreview" zoomScale="90" zoomScaleNormal="100" zoomScaleSheetLayoutView="90" workbookViewId="0">
      <selection activeCell="A70" sqref="A70:I70"/>
    </sheetView>
  </sheetViews>
  <sheetFormatPr defaultColWidth="9.7109375" defaultRowHeight="12.75"/>
  <cols>
    <col min="1" max="1" width="9.7109375" style="22" customWidth="1"/>
    <col min="2" max="2" width="7.5703125" style="22" customWidth="1"/>
    <col min="3" max="3" width="10.28515625" style="22" customWidth="1"/>
    <col min="4" max="5" width="11" style="22" customWidth="1"/>
    <col min="6" max="6" width="9" style="22" customWidth="1"/>
    <col min="7" max="7" width="14" style="22" customWidth="1"/>
    <col min="8" max="8" width="14.42578125" style="22" customWidth="1"/>
    <col min="9" max="9" width="7.5703125" style="22" bestFit="1" customWidth="1"/>
    <col min="10" max="10" width="3.5703125" style="27" customWidth="1"/>
    <col min="11" max="11" width="10.42578125" style="22" customWidth="1"/>
    <col min="12" max="12" width="11" style="22" customWidth="1"/>
    <col min="13" max="13" width="10.140625" style="22" customWidth="1"/>
    <col min="14" max="14" width="8.5703125" style="22" customWidth="1"/>
    <col min="15" max="15" width="14" style="22" customWidth="1"/>
    <col min="16" max="16" width="13.28515625" style="22" customWidth="1"/>
    <col min="17" max="17" width="7.5703125" style="22" customWidth="1"/>
    <col min="18" max="18" width="17.7109375" style="150" customWidth="1"/>
    <col min="19" max="19" width="1.7109375" style="27" customWidth="1"/>
    <col min="20" max="20" width="7.5703125" style="198" customWidth="1"/>
    <col min="21" max="16384" width="9.7109375" style="22"/>
  </cols>
  <sheetData>
    <row r="1" spans="1:22" s="1" customFormat="1">
      <c r="A1" s="8" t="s">
        <v>149</v>
      </c>
      <c r="B1" s="8"/>
      <c r="C1" s="2"/>
      <c r="D1" s="2"/>
      <c r="E1" s="2"/>
      <c r="F1" s="2"/>
      <c r="G1" s="2"/>
      <c r="H1" s="2"/>
      <c r="I1" s="2"/>
      <c r="J1" s="24"/>
      <c r="K1" s="2"/>
      <c r="L1" s="2"/>
      <c r="M1" s="2"/>
      <c r="N1" s="2"/>
      <c r="O1" s="2"/>
      <c r="P1" s="2"/>
      <c r="Q1" s="2"/>
      <c r="R1" s="11" t="s">
        <v>149</v>
      </c>
      <c r="S1" s="24"/>
      <c r="T1" s="12"/>
    </row>
    <row r="2" spans="1:22" s="1" customFormat="1">
      <c r="A2" s="8" t="s">
        <v>22</v>
      </c>
      <c r="B2" s="100"/>
      <c r="C2" s="100"/>
      <c r="D2" s="100"/>
      <c r="E2" s="100"/>
      <c r="F2" s="2"/>
      <c r="G2" s="2"/>
      <c r="H2" s="2"/>
      <c r="I2" s="2"/>
      <c r="J2" s="24"/>
      <c r="K2" s="2"/>
      <c r="L2" s="2"/>
      <c r="M2" s="2"/>
      <c r="N2" s="2"/>
      <c r="O2" s="2"/>
      <c r="P2" s="2"/>
      <c r="Q2" s="2"/>
      <c r="R2" s="58" t="s">
        <v>85</v>
      </c>
      <c r="S2" s="24"/>
      <c r="T2" s="12"/>
    </row>
    <row r="3" spans="1:22">
      <c r="A3" s="3"/>
      <c r="B3" s="3"/>
      <c r="C3" s="3"/>
      <c r="D3" s="3"/>
      <c r="E3" s="3"/>
      <c r="F3" s="3"/>
      <c r="G3" s="3"/>
      <c r="H3" s="3"/>
      <c r="I3" s="3"/>
      <c r="J3" s="25"/>
      <c r="K3" s="3"/>
      <c r="L3" s="3"/>
      <c r="M3" s="3"/>
      <c r="N3" s="3"/>
      <c r="O3" s="3"/>
      <c r="P3" s="3"/>
      <c r="Q3" s="3"/>
      <c r="R3" s="11"/>
      <c r="S3" s="25"/>
      <c r="T3" s="12"/>
      <c r="U3" s="1"/>
      <c r="V3" s="1"/>
    </row>
    <row r="4" spans="1:22">
      <c r="A4" s="4"/>
      <c r="B4" s="4"/>
      <c r="C4" s="189" t="s">
        <v>152</v>
      </c>
      <c r="D4" s="189"/>
      <c r="E4" s="189"/>
      <c r="F4" s="433"/>
      <c r="G4" s="187"/>
      <c r="H4" s="189"/>
      <c r="I4" s="193"/>
      <c r="J4" s="61"/>
      <c r="K4" s="188" t="s">
        <v>155</v>
      </c>
      <c r="L4" s="189"/>
      <c r="M4" s="189"/>
      <c r="N4" s="189"/>
      <c r="O4" s="434"/>
      <c r="P4" s="189"/>
      <c r="Q4" s="189"/>
      <c r="R4" s="148"/>
      <c r="S4" s="25"/>
      <c r="T4" s="12"/>
      <c r="U4" s="1"/>
      <c r="V4" s="1"/>
    </row>
    <row r="5" spans="1:22">
      <c r="A5" s="16"/>
      <c r="B5" s="16"/>
      <c r="C5" s="190" t="s">
        <v>45</v>
      </c>
      <c r="D5" s="190"/>
      <c r="E5" s="190"/>
      <c r="F5" s="191"/>
      <c r="G5" s="192"/>
      <c r="H5" s="194"/>
      <c r="I5" s="194"/>
      <c r="J5" s="59"/>
      <c r="K5" s="201" t="s">
        <v>45</v>
      </c>
      <c r="L5" s="199"/>
      <c r="M5" s="199"/>
      <c r="N5" s="194"/>
      <c r="O5" s="200"/>
      <c r="P5" s="194"/>
      <c r="Q5" s="194"/>
      <c r="R5" s="29"/>
      <c r="S5" s="25"/>
      <c r="T5" s="12"/>
      <c r="U5" s="1"/>
      <c r="V5" s="1"/>
    </row>
    <row r="6" spans="1:22" ht="92.25" customHeight="1">
      <c r="A6" s="50"/>
      <c r="B6" s="50"/>
      <c r="C6" s="427" t="s">
        <v>23</v>
      </c>
      <c r="D6" s="428" t="s">
        <v>46</v>
      </c>
      <c r="E6" s="429" t="s">
        <v>139</v>
      </c>
      <c r="F6" s="429" t="s">
        <v>140</v>
      </c>
      <c r="G6" s="430" t="s">
        <v>141</v>
      </c>
      <c r="H6" s="429" t="s">
        <v>24</v>
      </c>
      <c r="I6" s="431" t="s">
        <v>142</v>
      </c>
      <c r="J6" s="60" t="s">
        <v>83</v>
      </c>
      <c r="K6" s="432" t="s">
        <v>23</v>
      </c>
      <c r="L6" s="428" t="s">
        <v>46</v>
      </c>
      <c r="M6" s="429" t="s">
        <v>139</v>
      </c>
      <c r="N6" s="429" t="s">
        <v>140</v>
      </c>
      <c r="O6" s="430" t="s">
        <v>141</v>
      </c>
      <c r="P6" s="429" t="s">
        <v>24</v>
      </c>
      <c r="Q6" s="431" t="s">
        <v>142</v>
      </c>
      <c r="R6" s="149"/>
      <c r="S6" s="25"/>
      <c r="T6" s="12"/>
      <c r="U6" s="1"/>
      <c r="V6" s="1"/>
    </row>
    <row r="7" spans="1:22">
      <c r="A7" s="295" t="s">
        <v>134</v>
      </c>
      <c r="B7" s="295"/>
      <c r="C7" s="308">
        <f>+'% distribution trends'!AG3</f>
        <v>10.022699970543302</v>
      </c>
      <c r="D7" s="309">
        <f>+'% distribution trends'!BL3</f>
        <v>21.817813335181523</v>
      </c>
      <c r="E7" s="310">
        <f>+'% distribution trends'!CQ3</f>
        <v>33.982282274378214</v>
      </c>
      <c r="F7" s="332">
        <f>+'% distribution trends'!DV3</f>
        <v>28.234708429884243</v>
      </c>
      <c r="G7" s="332">
        <f>+'% distribution trends'!FA3</f>
        <v>23.474553770652005</v>
      </c>
      <c r="H7" s="332">
        <f>+'% distribution trends'!GF3</f>
        <v>4.7823049775863007</v>
      </c>
      <c r="I7" s="311">
        <f>+'% distribution trends'!HK3</f>
        <v>9.5261505474992259</v>
      </c>
      <c r="J7" s="312"/>
      <c r="K7" s="310">
        <f>+'% distribution trends'!AG3-'% distribution trends'!AB3</f>
        <v>0.97654003398714018</v>
      </c>
      <c r="L7" s="308">
        <f>+'% distribution trends'!BL3-'% distribution trends'!BG3</f>
        <v>-1.8202237920186271</v>
      </c>
      <c r="M7" s="338">
        <f>+'% distribution trends'!CQ3-'% distribution trends'!CL3</f>
        <v>-0.7148902706716882</v>
      </c>
      <c r="N7" s="338">
        <f>+'% distribution trends'!DV3-'% distribution trends'!DQ3</f>
        <v>2.477830896874206</v>
      </c>
      <c r="O7" s="338">
        <f>+'% distribution trends'!FA3-'% distribution trends'!EV3</f>
        <v>-0.98215563170274223</v>
      </c>
      <c r="P7" s="310">
        <f>+'% distribution trends'!GF3-'% distribution trends'!GA3</f>
        <v>-0.49393664968048956</v>
      </c>
      <c r="Q7" s="310">
        <f>+'% distribution trends'!HK3-'% distribution trends'!HF3</f>
        <v>-0.28684834481930821</v>
      </c>
      <c r="R7" s="229" t="s">
        <v>134</v>
      </c>
      <c r="S7" s="25"/>
      <c r="T7" s="195"/>
      <c r="U7" s="1"/>
      <c r="V7" s="1"/>
    </row>
    <row r="8" spans="1:22">
      <c r="A8" s="296" t="s">
        <v>41</v>
      </c>
      <c r="B8" s="296"/>
      <c r="C8" s="313">
        <f>+'% distribution trends'!AG4</f>
        <v>10.917337055034446</v>
      </c>
      <c r="D8" s="314">
        <f>+'% distribution trends'!BL4</f>
        <v>21.742117163395168</v>
      </c>
      <c r="E8" s="315">
        <f>+'% distribution trends'!CQ4</f>
        <v>35.040612852945905</v>
      </c>
      <c r="F8" s="333">
        <f>+'% distribution trends'!DV4</f>
        <v>28.846558409506301</v>
      </c>
      <c r="G8" s="333">
        <f>+'% distribution trends'!FA4</f>
        <v>23.774726314902264</v>
      </c>
      <c r="H8" s="333">
        <f>+'% distribution trends'!GF4</f>
        <v>4.5254855219329526</v>
      </c>
      <c r="I8" s="315">
        <f>+'% distribution trends'!HK4</f>
        <v>7.8126169007125821</v>
      </c>
      <c r="J8" s="312"/>
      <c r="K8" s="315">
        <f>+'% distribution trends'!AG4-'% distribution trends'!AB4</f>
        <v>0.98249527660239444</v>
      </c>
      <c r="L8" s="312">
        <f>+'% distribution trends'!BL4-'% distribution trends'!BG4</f>
        <v>-2.3408834745016698</v>
      </c>
      <c r="M8" s="333">
        <f>+'% distribution trends'!CQ4-'% distribution trends'!CL4</f>
        <v>-1.1177323873570444</v>
      </c>
      <c r="N8" s="333">
        <f>+'% distribution trends'!DV4-'% distribution trends'!DQ4</f>
        <v>3.0656220757886814</v>
      </c>
      <c r="O8" s="333">
        <f>+'% distribution trends'!FA4-'% distribution trends'!EV4</f>
        <v>-1.5557566612097879</v>
      </c>
      <c r="P8" s="315">
        <f>+'% distribution trends'!GF4-'% distribution trends'!GA4</f>
        <v>-0.40644570908412181</v>
      </c>
      <c r="Q8" s="315">
        <f>+'% distribution trends'!HK4-'% distribution trends'!HF4</f>
        <v>1.4312681862285181E-2</v>
      </c>
      <c r="R8" s="43" t="s">
        <v>41</v>
      </c>
      <c r="S8" s="25"/>
      <c r="T8" s="195"/>
      <c r="U8" s="1"/>
      <c r="V8" s="1"/>
    </row>
    <row r="9" spans="1:22">
      <c r="A9" s="296"/>
      <c r="B9" s="296"/>
      <c r="C9" s="313"/>
      <c r="D9" s="314"/>
      <c r="E9" s="315"/>
      <c r="F9" s="333"/>
      <c r="G9" s="333"/>
      <c r="H9" s="333"/>
      <c r="I9" s="315"/>
      <c r="J9" s="312"/>
      <c r="K9" s="315"/>
      <c r="L9" s="312"/>
      <c r="M9" s="333"/>
      <c r="N9" s="333"/>
      <c r="O9" s="333"/>
      <c r="P9" s="315"/>
      <c r="Q9" s="315"/>
      <c r="R9" s="43"/>
      <c r="S9" s="25"/>
      <c r="T9" s="195"/>
      <c r="U9" s="1"/>
      <c r="V9" s="1"/>
    </row>
    <row r="10" spans="1:22">
      <c r="A10" s="297" t="s">
        <v>25</v>
      </c>
      <c r="B10" s="297"/>
      <c r="C10" s="316">
        <f>+'% distribution trends'!AG6</f>
        <v>13.183063814202498</v>
      </c>
      <c r="D10" s="317">
        <f>+'% distribution trends'!BL6</f>
        <v>20.795552704401778</v>
      </c>
      <c r="E10" s="318">
        <f>+'% distribution trends'!CQ6</f>
        <v>36.517815752219647</v>
      </c>
      <c r="F10" s="334">
        <f>+'% distribution trends'!DV6</f>
        <v>34.005839631310629</v>
      </c>
      <c r="G10" s="334">
        <f>+'% distribution trends'!FA6</f>
        <v>19.461356575183999</v>
      </c>
      <c r="H10" s="334">
        <f>+'% distribution trends'!GF6</f>
        <v>4.173709189363553</v>
      </c>
      <c r="I10" s="318">
        <f>+'% distribution trends'!HK6</f>
        <v>5.8412788519221683</v>
      </c>
      <c r="J10" s="312"/>
      <c r="K10" s="318">
        <f>+'% distribution trends'!AG6-'% distribution trends'!AB6</f>
        <v>-0.70907785125022471</v>
      </c>
      <c r="L10" s="319">
        <f>+'% distribution trends'!BL6-'% distribution trends'!BG6</f>
        <v>-2.1907369257494054</v>
      </c>
      <c r="M10" s="334">
        <f>+'% distribution trends'!CQ6-'% distribution trends'!CL6</f>
        <v>-2.6314949858069738</v>
      </c>
      <c r="N10" s="334">
        <f>+'% distribution trends'!DV6-'% distribution trends'!DQ6</f>
        <v>3.7443626512335015</v>
      </c>
      <c r="O10" s="334">
        <f>+'% distribution trends'!FA6-'% distribution trends'!EV6</f>
        <v>-1.0807465808221473</v>
      </c>
      <c r="P10" s="318">
        <f>+'% distribution trends'!GF6-'% distribution trends'!GA6</f>
        <v>-0.14685192486676613</v>
      </c>
      <c r="Q10" s="318">
        <f>+'% distribution trends'!HK6-'% distribution trends'!HF6</f>
        <v>0.11473084026238656</v>
      </c>
      <c r="R10" s="304" t="s">
        <v>25</v>
      </c>
      <c r="S10" s="25"/>
      <c r="T10" s="195"/>
      <c r="U10" s="1"/>
      <c r="V10" s="1"/>
    </row>
    <row r="11" spans="1:22">
      <c r="A11" s="297" t="s">
        <v>26</v>
      </c>
      <c r="B11" s="297"/>
      <c r="C11" s="316">
        <f>+'% distribution trends'!AG7</f>
        <v>12.39560386163464</v>
      </c>
      <c r="D11" s="317">
        <f>+'% distribution trends'!BL7</f>
        <v>23.38123604877736</v>
      </c>
      <c r="E11" s="318">
        <f>+'% distribution trends'!CQ7</f>
        <v>39.253581212484839</v>
      </c>
      <c r="F11" s="334">
        <f>+'% distribution trends'!DV7</f>
        <v>31.491814157050669</v>
      </c>
      <c r="G11" s="334">
        <f>+'% distribution trends'!FA7</f>
        <v>19.79950763370379</v>
      </c>
      <c r="H11" s="334">
        <f>+'% distribution trends'!GF7</f>
        <v>4.7765149681680423</v>
      </c>
      <c r="I11" s="318">
        <f>+'% distribution trends'!HK7</f>
        <v>4.6785820285926665</v>
      </c>
      <c r="J11" s="312"/>
      <c r="K11" s="318">
        <f>+'% distribution trends'!AG7-'% distribution trends'!AB7</f>
        <v>0.29045850797840167</v>
      </c>
      <c r="L11" s="319">
        <f>+'% distribution trends'!BL7-'% distribution trends'!BG7</f>
        <v>-2.31939061699563</v>
      </c>
      <c r="M11" s="334">
        <f>+'% distribution trends'!CQ7-'% distribution trends'!CL7</f>
        <v>-0.88467615037033909</v>
      </c>
      <c r="N11" s="334">
        <f>+'% distribution trends'!DV7-'% distribution trends'!DQ7</f>
        <v>2.8251051524604058</v>
      </c>
      <c r="O11" s="334">
        <f>+'% distribution trends'!FA7-'% distribution trends'!EV7</f>
        <v>-1.001882410633165</v>
      </c>
      <c r="P11" s="318">
        <f>+'% distribution trends'!GF7-'% distribution trends'!GA7</f>
        <v>-0.41343424332917866</v>
      </c>
      <c r="Q11" s="318">
        <f>+'% distribution trends'!HK7-'% distribution trends'!HF7</f>
        <v>-0.52511234812771423</v>
      </c>
      <c r="R11" s="304" t="s">
        <v>26</v>
      </c>
      <c r="S11" s="25"/>
      <c r="T11" s="195"/>
      <c r="U11" s="1"/>
      <c r="V11" s="1"/>
    </row>
    <row r="12" spans="1:22">
      <c r="A12" s="297" t="s">
        <v>40</v>
      </c>
      <c r="B12" s="297"/>
      <c r="C12" s="316">
        <f>+'% distribution trends'!AG8</f>
        <v>12.73743396057837</v>
      </c>
      <c r="D12" s="317">
        <f>+'% distribution trends'!BL8</f>
        <v>20.336205316061481</v>
      </c>
      <c r="E12" s="318">
        <f>+'% distribution trends'!CQ8</f>
        <v>37.483764514076576</v>
      </c>
      <c r="F12" s="334">
        <f>+'% distribution trends'!DV8</f>
        <v>26.610572367086853</v>
      </c>
      <c r="G12" s="334">
        <f>+'% distribution trends'!FA8</f>
        <v>22.767674591876428</v>
      </c>
      <c r="H12" s="334">
        <f>+'% distribution trends'!GF8</f>
        <v>6.1107018528966019</v>
      </c>
      <c r="I12" s="318">
        <f>+'% distribution trends'!HK8</f>
        <v>7.0272866740635394</v>
      </c>
      <c r="J12" s="312"/>
      <c r="K12" s="318">
        <f>+'% distribution trends'!AG8-'% distribution trends'!AB8</f>
        <v>1.6194189498434231</v>
      </c>
      <c r="L12" s="319">
        <f>+'% distribution trends'!BL8-'% distribution trends'!BG8</f>
        <v>-1.2013080389202209</v>
      </c>
      <c r="M12" s="334">
        <f>+'% distribution trends'!CQ8-'% distribution trends'!CL8</f>
        <v>1.9919805775214598</v>
      </c>
      <c r="N12" s="334">
        <f>+'% distribution trends'!DV8-'% distribution trends'!DQ8</f>
        <v>3.6264053341164164</v>
      </c>
      <c r="O12" s="334">
        <f>+'% distribution trends'!FA8-'% distribution trends'!EV8</f>
        <v>-1.4224887359534257</v>
      </c>
      <c r="P12" s="318">
        <f>+'% distribution trends'!GF8-'% distribution trends'!GA8</f>
        <v>-2.3592949332635786</v>
      </c>
      <c r="Q12" s="318">
        <f>+'% distribution trends'!HK8-'% distribution trends'!HF8</f>
        <v>-1.836602242420879</v>
      </c>
      <c r="R12" s="304" t="s">
        <v>40</v>
      </c>
      <c r="S12" s="25"/>
      <c r="T12" s="195"/>
      <c r="U12" s="1"/>
      <c r="V12" s="1"/>
    </row>
    <row r="13" spans="1:22">
      <c r="A13" s="297" t="s">
        <v>27</v>
      </c>
      <c r="B13" s="297"/>
      <c r="C13" s="316">
        <f>+'% distribution trends'!AG9</f>
        <v>7.1031654140342031</v>
      </c>
      <c r="D13" s="317">
        <f>+'% distribution trends'!BL9</f>
        <v>18.373687201889716</v>
      </c>
      <c r="E13" s="318">
        <f>+'% distribution trends'!CQ9</f>
        <v>28.182949720250022</v>
      </c>
      <c r="F13" s="334">
        <f>+'% distribution trends'!DV9</f>
        <v>27.164016986858748</v>
      </c>
      <c r="G13" s="334">
        <f>+'% distribution trends'!FA9</f>
        <v>30.323554415330495</v>
      </c>
      <c r="H13" s="334">
        <f>+'% distribution trends'!GF9</f>
        <v>4.869910418858062</v>
      </c>
      <c r="I13" s="318">
        <f>+'% distribution trends'!HK9</f>
        <v>9.459568458702666</v>
      </c>
      <c r="J13" s="312"/>
      <c r="K13" s="318">
        <f>+'% distribution trends'!AG9-'% distribution trends'!AB9</f>
        <v>0.8710492904745708</v>
      </c>
      <c r="L13" s="319">
        <f>+'% distribution trends'!BL9-'% distribution trends'!BG9</f>
        <v>-3.9766314486867103</v>
      </c>
      <c r="M13" s="334">
        <f>+'% distribution trends'!CQ9-'% distribution trends'!CL9</f>
        <v>-2.4998356955246201</v>
      </c>
      <c r="N13" s="334">
        <f>+'% distribution trends'!DV9-'% distribution trends'!DQ9</f>
        <v>4.6556690726744705</v>
      </c>
      <c r="O13" s="334">
        <f>+'% distribution trends'!FA9-'% distribution trends'!EV9</f>
        <v>-1.3680227169346573</v>
      </c>
      <c r="P13" s="318">
        <f>+'% distribution trends'!GF9-'% distribution trends'!GA9</f>
        <v>-1.2211878166224279</v>
      </c>
      <c r="Q13" s="318">
        <f>+'% distribution trends'!HK9-'% distribution trends'!HF9</f>
        <v>0.43337715640723218</v>
      </c>
      <c r="R13" s="304" t="s">
        <v>27</v>
      </c>
      <c r="S13" s="25"/>
      <c r="T13" s="195"/>
      <c r="U13" s="1"/>
      <c r="V13" s="1"/>
    </row>
    <row r="14" spans="1:22">
      <c r="A14" s="298" t="s">
        <v>28</v>
      </c>
      <c r="B14" s="298"/>
      <c r="C14" s="313">
        <f>+'% distribution trends'!AG10</f>
        <v>9.7132948053479691</v>
      </c>
      <c r="D14" s="314">
        <f>+'% distribution trends'!BL10</f>
        <v>26.499961621873553</v>
      </c>
      <c r="E14" s="315">
        <f>+'% distribution trends'!CQ10</f>
        <v>39.394707125355097</v>
      </c>
      <c r="F14" s="333">
        <f>+'% distribution trends'!DV10</f>
        <v>27.072647177018656</v>
      </c>
      <c r="G14" s="333">
        <f>+'% distribution trends'!FA10</f>
        <v>22.559755702712472</v>
      </c>
      <c r="H14" s="333">
        <f>+'% distribution trends'!GF10</f>
        <v>5.1922214674575624</v>
      </c>
      <c r="I14" s="315">
        <f>+'% distribution trends'!HK10</f>
        <v>5.7806685274562124</v>
      </c>
      <c r="J14" s="312"/>
      <c r="K14" s="315">
        <f>+'% distribution trends'!AG10-'% distribution trends'!AB10</f>
        <v>2.196031945379544</v>
      </c>
      <c r="L14" s="312">
        <f>+'% distribution trends'!BL10-'% distribution trends'!BG10</f>
        <v>-0.1360378379006093</v>
      </c>
      <c r="M14" s="333">
        <f>+'% distribution trends'!CQ10-'% distribution trends'!CL10</f>
        <v>2.6446599026801181</v>
      </c>
      <c r="N14" s="333">
        <f>+'% distribution trends'!DV10-'% distribution trends'!DQ10</f>
        <v>1.5184868299243419</v>
      </c>
      <c r="O14" s="333">
        <f>+'% distribution trends'!FA10-'% distribution trends'!EV10</f>
        <v>-4.9532333776472193</v>
      </c>
      <c r="P14" s="315">
        <f>+'% distribution trends'!GF10-'% distribution trends'!GA10</f>
        <v>0.27568612311970497</v>
      </c>
      <c r="Q14" s="315">
        <f>+'% distribution trends'!HK10-'% distribution trends'!HF10</f>
        <v>0.51440052192305696</v>
      </c>
      <c r="R14" s="230" t="s">
        <v>28</v>
      </c>
      <c r="S14" s="25"/>
      <c r="T14" s="195"/>
      <c r="U14" s="1"/>
      <c r="V14" s="1"/>
    </row>
    <row r="15" spans="1:22">
      <c r="A15" s="298" t="s">
        <v>29</v>
      </c>
      <c r="B15" s="298"/>
      <c r="C15" s="313">
        <f>+'% distribution trends'!AG11</f>
        <v>11.456512984285256</v>
      </c>
      <c r="D15" s="314">
        <f>+'% distribution trends'!BL11</f>
        <v>21.168807711217706</v>
      </c>
      <c r="E15" s="315">
        <f>+'% distribution trends'!CQ11</f>
        <v>36.002802262211624</v>
      </c>
      <c r="F15" s="333">
        <f>+'% distribution trends'!DV11</f>
        <v>30.302932754686186</v>
      </c>
      <c r="G15" s="333">
        <f>+'% distribution trends'!FA11</f>
        <v>20.723473050827074</v>
      </c>
      <c r="H15" s="333">
        <f>+'% distribution trends'!GF11</f>
        <v>4.4595618401961659</v>
      </c>
      <c r="I15" s="315">
        <f>+'% distribution trends'!HK11</f>
        <v>8.5112300920789554</v>
      </c>
      <c r="J15" s="312"/>
      <c r="K15" s="315">
        <f>+'% distribution trends'!AG11-'% distribution trends'!AB11</f>
        <v>0.3958229048344144</v>
      </c>
      <c r="L15" s="312">
        <f>+'% distribution trends'!BL11-'% distribution trends'!BG11</f>
        <v>-0.50272270929310992</v>
      </c>
      <c r="M15" s="333">
        <f>+'% distribution trends'!CQ11-'% distribution trends'!CL11</f>
        <v>-0.2342719767356698</v>
      </c>
      <c r="N15" s="333">
        <f>+'% distribution trends'!DV11-'% distribution trends'!DQ11</f>
        <v>1.1239176568166691</v>
      </c>
      <c r="O15" s="333">
        <f>+'% distribution trends'!FA11-'% distribution trends'!EV11</f>
        <v>-1.4274610846392477</v>
      </c>
      <c r="P15" s="315">
        <f>+'% distribution trends'!GF11-'% distribution trends'!GA11</f>
        <v>-0.11841626426150054</v>
      </c>
      <c r="Q15" s="315">
        <f>+'% distribution trends'!HK11-'% distribution trends'!HF11</f>
        <v>0.65623166881975514</v>
      </c>
      <c r="R15" s="230" t="s">
        <v>29</v>
      </c>
      <c r="S15" s="25"/>
      <c r="T15" s="195"/>
      <c r="U15" s="1"/>
      <c r="V15" s="1"/>
    </row>
    <row r="16" spans="1:22">
      <c r="A16" s="298" t="s">
        <v>30</v>
      </c>
      <c r="B16" s="298"/>
      <c r="C16" s="313">
        <f>+'% distribution trends'!AG12</f>
        <v>7.4576334955665597</v>
      </c>
      <c r="D16" s="314">
        <f>+'% distribution trends'!BL12</f>
        <v>20.527349888216037</v>
      </c>
      <c r="E16" s="315">
        <f>+'% distribution trends'!CQ12</f>
        <v>30.622170202034155</v>
      </c>
      <c r="F16" s="333">
        <f>+'% distribution trends'!DV12</f>
        <v>27.405395141468585</v>
      </c>
      <c r="G16" s="333">
        <f>+'% distribution trends'!FA12</f>
        <v>26.991274207856446</v>
      </c>
      <c r="H16" s="333">
        <f>+'% distribution trends'!GF12</f>
        <v>5.0083895290494276</v>
      </c>
      <c r="I16" s="315">
        <f>+'% distribution trends'!HK12</f>
        <v>9.9727709195913814</v>
      </c>
      <c r="J16" s="312"/>
      <c r="K16" s="315">
        <f>+'% distribution trends'!AG12-'% distribution trends'!AB12</f>
        <v>-0.31063448464710941</v>
      </c>
      <c r="L16" s="312">
        <f>+'% distribution trends'!BL12-'% distribution trends'!BG12</f>
        <v>1.4026479733706907</v>
      </c>
      <c r="M16" s="333">
        <f>+'% distribution trends'!CQ12-'% distribution trends'!CL12</f>
        <v>0.99744144437168458</v>
      </c>
      <c r="N16" s="333">
        <f>+'% distribution trends'!DV12-'% distribution trends'!DQ12</f>
        <v>2.8038204783170784</v>
      </c>
      <c r="O16" s="333">
        <f>+'% distribution trends'!FA12-'% distribution trends'!EV12</f>
        <v>-4.3595573710726931</v>
      </c>
      <c r="P16" s="315">
        <f>+'% distribution trends'!GF12-'% distribution trends'!GA12</f>
        <v>-0.15273664546813759</v>
      </c>
      <c r="Q16" s="315">
        <f>+'% distribution trends'!HK12-'% distribution trends'!HF12</f>
        <v>0.71103209385206334</v>
      </c>
      <c r="R16" s="230" t="s">
        <v>30</v>
      </c>
      <c r="S16" s="25"/>
      <c r="T16" s="195"/>
      <c r="U16" s="1"/>
      <c r="V16" s="1"/>
    </row>
    <row r="17" spans="1:22">
      <c r="A17" s="298" t="s">
        <v>31</v>
      </c>
      <c r="B17" s="298"/>
      <c r="C17" s="313">
        <f>+'% distribution trends'!AG13</f>
        <v>11.040362867142033</v>
      </c>
      <c r="D17" s="314">
        <f>+'% distribution trends'!BL13</f>
        <v>22.503216346537496</v>
      </c>
      <c r="E17" s="315">
        <f>+'% distribution trends'!CQ13</f>
        <v>35.20971886818252</v>
      </c>
      <c r="F17" s="333">
        <f>+'% distribution trends'!DV13</f>
        <v>23.004354865520718</v>
      </c>
      <c r="G17" s="333">
        <f>+'% distribution trends'!FA13</f>
        <v>27.618777049378274</v>
      </c>
      <c r="H17" s="333">
        <f>+'% distribution trends'!GF13</f>
        <v>5.0841386820174508</v>
      </c>
      <c r="I17" s="315">
        <f>+'% distribution trends'!HK13</f>
        <v>9.0830105349010335</v>
      </c>
      <c r="J17" s="312"/>
      <c r="K17" s="315">
        <f>+'% distribution trends'!AG13-'% distribution trends'!AB13</f>
        <v>0.92112022057811238</v>
      </c>
      <c r="L17" s="312">
        <f>+'% distribution trends'!BL13-'% distribution trends'!BG13</f>
        <v>-2.4238677512452362</v>
      </c>
      <c r="M17" s="333">
        <f>+'% distribution trends'!CQ13-'% distribution trends'!CL13</f>
        <v>-1.9897604339071648</v>
      </c>
      <c r="N17" s="333">
        <f>+'% distribution trends'!DV13-'% distribution trends'!DQ13</f>
        <v>1.6021033816762014</v>
      </c>
      <c r="O17" s="333">
        <f>+'% distribution trends'!FA13-'% distribution trends'!EV13</f>
        <v>0.51069163385433924</v>
      </c>
      <c r="P17" s="315">
        <f>+'% distribution trends'!GF13-'% distribution trends'!GA13</f>
        <v>-0.36045760380736702</v>
      </c>
      <c r="Q17" s="315">
        <f>+'% distribution trends'!HK13-'% distribution trends'!HF13</f>
        <v>0.23742302218398592</v>
      </c>
      <c r="R17" s="230" t="s">
        <v>31</v>
      </c>
      <c r="S17" s="25"/>
      <c r="T17" s="195"/>
      <c r="U17" s="1"/>
      <c r="V17" s="1"/>
    </row>
    <row r="18" spans="1:22">
      <c r="A18" s="297" t="s">
        <v>32</v>
      </c>
      <c r="B18" s="297"/>
      <c r="C18" s="316">
        <f>+'% distribution trends'!AG14</f>
        <v>11.07586932160492</v>
      </c>
      <c r="D18" s="317">
        <f>+'% distribution trends'!BL14</f>
        <v>18.032459910283492</v>
      </c>
      <c r="E18" s="318">
        <f>+'% distribution trends'!CQ14</f>
        <v>31.130702384337493</v>
      </c>
      <c r="F18" s="334">
        <f>+'% distribution trends'!DV14</f>
        <v>37.444165416829101</v>
      </c>
      <c r="G18" s="334">
        <f>+'% distribution trends'!FA14</f>
        <v>20.540932489381024</v>
      </c>
      <c r="H18" s="334">
        <f>+'% distribution trends'!GF14</f>
        <v>4.1575206758192387</v>
      </c>
      <c r="I18" s="318">
        <f>+'% distribution trends'!HK14</f>
        <v>6.7266790336331468</v>
      </c>
      <c r="J18" s="312"/>
      <c r="K18" s="318">
        <f>+'% distribution trends'!AG14-'% distribution trends'!AB14</f>
        <v>0.67362609849690713</v>
      </c>
      <c r="L18" s="319">
        <f>+'% distribution trends'!BL14-'% distribution trends'!BG14</f>
        <v>-0.41549160086425729</v>
      </c>
      <c r="M18" s="334">
        <f>+'% distribution trends'!CQ14-'% distribution trends'!CL14</f>
        <v>0.58816295578359856</v>
      </c>
      <c r="N18" s="334">
        <f>+'% distribution trends'!DV14-'% distribution trends'!DQ14</f>
        <v>5.4339014256770923</v>
      </c>
      <c r="O18" s="334">
        <f>+'% distribution trends'!FA14-'% distribution trends'!EV14</f>
        <v>0.7469974766085663</v>
      </c>
      <c r="P18" s="318">
        <f>+'% distribution trends'!GF14-'% distribution trends'!GA14</f>
        <v>0.51754462783938981</v>
      </c>
      <c r="Q18" s="318">
        <f>+'% distribution trends'!HK14-'% distribution trends'!HF14</f>
        <v>-7.2866064859086404</v>
      </c>
      <c r="R18" s="304" t="s">
        <v>32</v>
      </c>
      <c r="S18" s="25"/>
      <c r="T18" s="195"/>
      <c r="U18" s="1"/>
      <c r="V18" s="1"/>
    </row>
    <row r="19" spans="1:22">
      <c r="A19" s="297" t="s">
        <v>33</v>
      </c>
      <c r="B19" s="297"/>
      <c r="C19" s="316">
        <f>+'% distribution trends'!AG15</f>
        <v>13.58397683489725</v>
      </c>
      <c r="D19" s="317">
        <f>+'% distribution trends'!BL15</f>
        <v>18.269486851524487</v>
      </c>
      <c r="E19" s="318">
        <f>+'% distribution trends'!CQ15</f>
        <v>34.045024522718521</v>
      </c>
      <c r="F19" s="334">
        <f>+'% distribution trends'!DV15</f>
        <v>33.852489611943</v>
      </c>
      <c r="G19" s="334">
        <f>+'% distribution trends'!FA15</f>
        <v>22.213237487433222</v>
      </c>
      <c r="H19" s="334">
        <f>+'% distribution trends'!GF15</f>
        <v>3.7296441070123616</v>
      </c>
      <c r="I19" s="318">
        <f>+'% distribution trends'!HK15</f>
        <v>6.1596042708929</v>
      </c>
      <c r="J19" s="312"/>
      <c r="K19" s="318">
        <f>+'% distribution trends'!AG15-'% distribution trends'!AB15</f>
        <v>-0.50247533544366796</v>
      </c>
      <c r="L19" s="319">
        <f>+'% distribution trends'!BL15-'% distribution trends'!BG15</f>
        <v>-2.9874491408033492</v>
      </c>
      <c r="M19" s="334">
        <f>+'% distribution trends'!CQ15-'% distribution trends'!CL15</f>
        <v>-2.7521334176498726</v>
      </c>
      <c r="N19" s="334">
        <f>+'% distribution trends'!DV15-'% distribution trends'!DQ15</f>
        <v>4.0575441765485216</v>
      </c>
      <c r="O19" s="334">
        <f>+'% distribution trends'!FA15-'% distribution trends'!EV15</f>
        <v>-0.47615202504571741</v>
      </c>
      <c r="P19" s="318">
        <f>+'% distribution trends'!GF15-'% distribution trends'!GA15</f>
        <v>-0.18585208294505318</v>
      </c>
      <c r="Q19" s="318">
        <f>+'% distribution trends'!HK15-'% distribution trends'!HF15</f>
        <v>-0.64340665090786864</v>
      </c>
      <c r="R19" s="304" t="s">
        <v>33</v>
      </c>
      <c r="S19" s="25"/>
      <c r="T19" s="195"/>
      <c r="U19" s="1"/>
      <c r="V19" s="1"/>
    </row>
    <row r="20" spans="1:22">
      <c r="A20" s="297" t="s">
        <v>34</v>
      </c>
      <c r="B20" s="297"/>
      <c r="C20" s="316">
        <f>+'% distribution trends'!AG16</f>
        <v>12.840575016264259</v>
      </c>
      <c r="D20" s="317">
        <f>+'% distribution trends'!BL16</f>
        <v>20.624671266881847</v>
      </c>
      <c r="E20" s="318">
        <f>+'% distribution trends'!CQ16</f>
        <v>35.799932109515723</v>
      </c>
      <c r="F20" s="334">
        <f>+'% distribution trends'!DV16</f>
        <v>30.547107608294048</v>
      </c>
      <c r="G20" s="334">
        <f>+'% distribution trends'!FA16</f>
        <v>23.726834811643311</v>
      </c>
      <c r="H20" s="334">
        <f>+'% distribution trends'!GF16</f>
        <v>4.310032460958749</v>
      </c>
      <c r="I20" s="318">
        <f>+'% distribution trends'!HK16</f>
        <v>5.6160930095881705</v>
      </c>
      <c r="J20" s="312"/>
      <c r="K20" s="318">
        <f>+'% distribution trends'!AG16-'% distribution trends'!AB16</f>
        <v>0.39244179831697501</v>
      </c>
      <c r="L20" s="319">
        <f>+'% distribution trends'!BL16-'% distribution trends'!BG16</f>
        <v>-3.2222032629260156</v>
      </c>
      <c r="M20" s="334">
        <f>+'% distribution trends'!CQ16-'% distribution trends'!CL16</f>
        <v>-2.7538841644370819</v>
      </c>
      <c r="N20" s="334">
        <f>+'% distribution trends'!DV16-'% distribution trends'!DQ16</f>
        <v>3.4559985629383121</v>
      </c>
      <c r="O20" s="334">
        <f>+'% distribution trends'!FA16-'% distribution trends'!EV16</f>
        <v>0.60286131994934067</v>
      </c>
      <c r="P20" s="318">
        <f>+'% distribution trends'!GF16-'% distribution trends'!GA16</f>
        <v>-0.94461282851076778</v>
      </c>
      <c r="Q20" s="318">
        <f>+'% distribution trends'!HK16-'% distribution trends'!HF16</f>
        <v>-0.36036288993978882</v>
      </c>
      <c r="R20" s="304" t="s">
        <v>34</v>
      </c>
      <c r="S20" s="25"/>
      <c r="T20" s="195"/>
      <c r="U20" s="1"/>
      <c r="V20" s="1"/>
    </row>
    <row r="21" spans="1:22">
      <c r="A21" s="297" t="s">
        <v>35</v>
      </c>
      <c r="B21" s="297"/>
      <c r="C21" s="316">
        <f>+'% distribution trends'!AG17</f>
        <v>10.123551655575946</v>
      </c>
      <c r="D21" s="317">
        <f>+'% distribution trends'!BL17</f>
        <v>21.752601503358242</v>
      </c>
      <c r="E21" s="318">
        <f>+'% distribution trends'!CQ17</f>
        <v>35.570901205940011</v>
      </c>
      <c r="F21" s="334">
        <f>+'% distribution trends'!DV17</f>
        <v>35.461749266893214</v>
      </c>
      <c r="G21" s="334">
        <f>+'% distribution trends'!FA17</f>
        <v>18.309645519342332</v>
      </c>
      <c r="H21" s="334">
        <f>+'% distribution trends'!GF17</f>
        <v>4.109286483317236</v>
      </c>
      <c r="I21" s="318">
        <f>+'% distribution trends'!HK17</f>
        <v>6.5484175245072089</v>
      </c>
      <c r="J21" s="312"/>
      <c r="K21" s="318">
        <f>+'% distribution trends'!AG17-'% distribution trends'!AB17</f>
        <v>0.56160230791472721</v>
      </c>
      <c r="L21" s="319">
        <f>+'% distribution trends'!BL17-'% distribution trends'!BG17</f>
        <v>-2.3332724145119883</v>
      </c>
      <c r="M21" s="334">
        <f>+'% distribution trends'!CQ17-'% distribution trends'!CL17</f>
        <v>-1.302218962352093</v>
      </c>
      <c r="N21" s="334">
        <f>+'% distribution trends'!DV17-'% distribution trends'!DQ17</f>
        <v>1.9488248638303176</v>
      </c>
      <c r="O21" s="334">
        <f>+'% distribution trends'!FA17-'% distribution trends'!EV17</f>
        <v>0.62412521635691931</v>
      </c>
      <c r="P21" s="318">
        <f>+'% distribution trends'!GF17-'% distribution trends'!GA17</f>
        <v>-1.6367658941852818</v>
      </c>
      <c r="Q21" s="318">
        <f>+'% distribution trends'!HK17-'% distribution trends'!HF17</f>
        <v>0.36603477635015302</v>
      </c>
      <c r="R21" s="304" t="s">
        <v>35</v>
      </c>
      <c r="S21" s="25"/>
      <c r="T21" s="195"/>
      <c r="U21" s="1"/>
      <c r="V21" s="1"/>
    </row>
    <row r="22" spans="1:22">
      <c r="A22" s="299" t="s">
        <v>36</v>
      </c>
      <c r="B22" s="299"/>
      <c r="C22" s="313">
        <f>+'% distribution trends'!AG18</f>
        <v>8.8795335329476117</v>
      </c>
      <c r="D22" s="314">
        <f>+'% distribution trends'!BL18</f>
        <v>20.828875567531842</v>
      </c>
      <c r="E22" s="315">
        <f>+'% distribution trends'!CQ18</f>
        <v>32.182582559603453</v>
      </c>
      <c r="F22" s="333">
        <f>+'% distribution trends'!DV18</f>
        <v>34.2360939461676</v>
      </c>
      <c r="G22" s="333">
        <f>+'% distribution trends'!FA18</f>
        <v>21.802083247063088</v>
      </c>
      <c r="H22" s="333">
        <f>+'% distribution trends'!GF18</f>
        <v>4.6081200139929859</v>
      </c>
      <c r="I22" s="315">
        <f>+'% distribution trends'!HK18</f>
        <v>7.1711202331728705</v>
      </c>
      <c r="J22" s="312"/>
      <c r="K22" s="315">
        <f>+'% distribution trends'!AG18-'% distribution trends'!AB18</f>
        <v>0.49916270075340208</v>
      </c>
      <c r="L22" s="312">
        <f>+'% distribution trends'!BL18-'% distribution trends'!BG18</f>
        <v>-0.44192595367142928</v>
      </c>
      <c r="M22" s="333">
        <f>+'% distribution trends'!CQ18-'% distribution trends'!CL18</f>
        <v>0.1111183458881726</v>
      </c>
      <c r="N22" s="333">
        <f>+'% distribution trends'!DV18-'% distribution trends'!DQ18</f>
        <v>0.52421849190704961</v>
      </c>
      <c r="O22" s="333">
        <f>+'% distribution trends'!FA18-'% distribution trends'!EV18</f>
        <v>-0.6726726469327815</v>
      </c>
      <c r="P22" s="315">
        <f>+'% distribution trends'!GF18-'% distribution trends'!GA18</f>
        <v>-0.16522481060409788</v>
      </c>
      <c r="Q22" s="315">
        <f>+'% distribution trends'!HK18-'% distribution trends'!HF18</f>
        <v>0.20256061974165007</v>
      </c>
      <c r="R22" s="47" t="s">
        <v>36</v>
      </c>
      <c r="S22" s="25"/>
      <c r="T22" s="195"/>
      <c r="U22" s="1"/>
      <c r="V22" s="1"/>
    </row>
    <row r="23" spans="1:22">
      <c r="A23" s="299" t="s">
        <v>37</v>
      </c>
      <c r="B23" s="299"/>
      <c r="C23" s="313">
        <f>+'% distribution trends'!AG19</f>
        <v>13.0072124338664</v>
      </c>
      <c r="D23" s="314">
        <f>+'% distribution trends'!BL19</f>
        <v>24.33681150454024</v>
      </c>
      <c r="E23" s="315">
        <f>+'% distribution trends'!CQ19</f>
        <v>38.739328083851746</v>
      </c>
      <c r="F23" s="333">
        <f>+'% distribution trends'!DV19</f>
        <v>27.013650092249129</v>
      </c>
      <c r="G23" s="333">
        <f>+'% distribution trends'!FA19</f>
        <v>21.471347314964884</v>
      </c>
      <c r="H23" s="333">
        <f>+'% distribution trends'!GF19</f>
        <v>3.9119090048497207</v>
      </c>
      <c r="I23" s="315">
        <f>+'% distribution trends'!HK19</f>
        <v>8.8637655040845296</v>
      </c>
      <c r="J23" s="312"/>
      <c r="K23" s="315">
        <f>+'% distribution trends'!AG19-'% distribution trends'!AB19</f>
        <v>1.9121944036567857</v>
      </c>
      <c r="L23" s="312">
        <f>+'% distribution trends'!BL19-'% distribution trends'!BG19</f>
        <v>-3.5452461185406001</v>
      </c>
      <c r="M23" s="333">
        <f>+'% distribution trends'!CQ19-'% distribution trends'!CL19</f>
        <v>-1.6433395073505395</v>
      </c>
      <c r="N23" s="333">
        <f>+'% distribution trends'!DV19-'% distribution trends'!DQ19</f>
        <v>3.7379339109251895</v>
      </c>
      <c r="O23" s="333">
        <f>+'% distribution trends'!FA19-'% distribution trends'!EV19</f>
        <v>-2.3595654485281088</v>
      </c>
      <c r="P23" s="315">
        <f>+'% distribution trends'!GF19-'% distribution trends'!GA19</f>
        <v>8.8381709573962741E-2</v>
      </c>
      <c r="Q23" s="315">
        <f>+'% distribution trends'!HK19-'% distribution trends'!HF19</f>
        <v>0.17658933537950006</v>
      </c>
      <c r="R23" s="47" t="s">
        <v>37</v>
      </c>
      <c r="S23" s="25"/>
      <c r="T23" s="195"/>
      <c r="U23" s="1"/>
      <c r="V23" s="1"/>
    </row>
    <row r="24" spans="1:22">
      <c r="A24" s="299" t="s">
        <v>38</v>
      </c>
      <c r="B24" s="299"/>
      <c r="C24" s="313">
        <f>+'% distribution trends'!AG20</f>
        <v>11.961076119422811</v>
      </c>
      <c r="D24" s="314">
        <f>+'% distribution trends'!BL20</f>
        <v>23.464414149049567</v>
      </c>
      <c r="E24" s="315">
        <f>+'% distribution trends'!CQ20</f>
        <v>37.418810227239462</v>
      </c>
      <c r="F24" s="333">
        <f>+'% distribution trends'!DV20</f>
        <v>24.770167316085036</v>
      </c>
      <c r="G24" s="333">
        <f>+'% distribution trends'!FA20</f>
        <v>25.595270083806014</v>
      </c>
      <c r="H24" s="333">
        <f>+'% distribution trends'!GF20</f>
        <v>4.9748732320927278</v>
      </c>
      <c r="I24" s="315">
        <f>+'% distribution trends'!HK20</f>
        <v>7.240879140776765</v>
      </c>
      <c r="J24" s="312"/>
      <c r="K24" s="315">
        <f>+'% distribution trends'!AG20-'% distribution trends'!AB20</f>
        <v>0.73160631562928202</v>
      </c>
      <c r="L24" s="312">
        <f>+'% distribution trends'!BL20-'% distribution trends'!BG20</f>
        <v>-3.2809368404954462</v>
      </c>
      <c r="M24" s="333">
        <f>+'% distribution trends'!CQ20-'% distribution trends'!CL20</f>
        <v>-2.6115582932395967</v>
      </c>
      <c r="N24" s="333">
        <f>+'% distribution trends'!DV20-'% distribution trends'!DQ20</f>
        <v>1.9138524674244657</v>
      </c>
      <c r="O24" s="333">
        <f>+'% distribution trends'!FA20-'% distribution trends'!EV20</f>
        <v>0.34088554349764166</v>
      </c>
      <c r="P24" s="315">
        <f>+'% distribution trends'!GF20-'% distribution trends'!GA20</f>
        <v>-0.42129644142873879</v>
      </c>
      <c r="Q24" s="315">
        <f>+'% distribution trends'!HK20-'% distribution trends'!HF20</f>
        <v>0.7781167237462272</v>
      </c>
      <c r="R24" s="47" t="s">
        <v>38</v>
      </c>
      <c r="S24" s="25"/>
      <c r="T24" s="195"/>
      <c r="U24" s="1"/>
      <c r="V24" s="1"/>
    </row>
    <row r="25" spans="1:22">
      <c r="A25" s="300" t="s">
        <v>39</v>
      </c>
      <c r="B25" s="300"/>
      <c r="C25" s="308">
        <f>+'% distribution trends'!AG21</f>
        <v>11.565613962248504</v>
      </c>
      <c r="D25" s="309">
        <f>+'% distribution trends'!BL21</f>
        <v>21.955739568994471</v>
      </c>
      <c r="E25" s="338">
        <f>+'% distribution trends'!CQ21</f>
        <v>38.097049423589617</v>
      </c>
      <c r="F25" s="338">
        <f>+'% distribution trends'!DV21</f>
        <v>27.645600496243166</v>
      </c>
      <c r="G25" s="338">
        <f>+'% distribution trends'!FA21</f>
        <v>21.626633858381229</v>
      </c>
      <c r="H25" s="338">
        <f>+'% distribution trends'!GF21</f>
        <v>5.9465909780510158</v>
      </c>
      <c r="I25" s="310">
        <f>+'% distribution trends'!HK21</f>
        <v>6.6841252437349716</v>
      </c>
      <c r="J25" s="312"/>
      <c r="K25" s="310">
        <f>+'% distribution trends'!AG21-'% distribution trends'!AB21</f>
        <v>-6.3415637205190833E-2</v>
      </c>
      <c r="L25" s="309">
        <f>+'% distribution trends'!BL21-'% distribution trends'!BG21</f>
        <v>-1.1606268758438674</v>
      </c>
      <c r="M25" s="338">
        <f>+'% distribution trends'!CQ21-'% distribution trends'!CL21</f>
        <v>-0.67759455303684035</v>
      </c>
      <c r="N25" s="338">
        <f>+'% distribution trends'!DV21-'% distribution trends'!DQ21</f>
        <v>1.5126979784523691</v>
      </c>
      <c r="O25" s="338">
        <f>+'% distribution trends'!FA21-'% distribution trends'!EV21</f>
        <v>-0.4104773102909185</v>
      </c>
      <c r="P25" s="338">
        <f>+'% distribution trends'!GF21-'% distribution trends'!GA21</f>
        <v>-0.41520022571566706</v>
      </c>
      <c r="Q25" s="310">
        <f>+'% distribution trends'!HK21-'% distribution trends'!HF21</f>
        <v>-9.4258894089538359E-3</v>
      </c>
      <c r="R25" s="48" t="s">
        <v>39</v>
      </c>
      <c r="S25" s="25"/>
      <c r="T25" s="195"/>
      <c r="U25" s="1"/>
      <c r="V25" s="1"/>
    </row>
    <row r="26" spans="1:22">
      <c r="A26" s="296" t="s">
        <v>136</v>
      </c>
      <c r="B26" s="296"/>
      <c r="C26" s="313">
        <f>+'% distribution trends'!AG22</f>
        <v>10.645544543002107</v>
      </c>
      <c r="D26" s="314">
        <f>+'% distribution trends'!BL22</f>
        <v>19.224554686923323</v>
      </c>
      <c r="E26" s="315">
        <f>+'% distribution trends'!CQ22</f>
        <v>31.935077693002579</v>
      </c>
      <c r="F26" s="333">
        <f>+'% distribution trends'!DV22</f>
        <v>26.906627604884072</v>
      </c>
      <c r="G26" s="333">
        <f>+'% distribution trends'!FA22</f>
        <v>26.134933023069625</v>
      </c>
      <c r="H26" s="333">
        <f>+'% distribution trends'!GF22</f>
        <v>5.6695134405074299</v>
      </c>
      <c r="I26" s="315">
        <f>+'% distribution trends'!HK22</f>
        <v>9.3538482385363224</v>
      </c>
      <c r="J26" s="312"/>
      <c r="K26" s="315">
        <f>+'% distribution trends'!AG22-'% distribution trends'!AB22</f>
        <v>1.3261768105805327</v>
      </c>
      <c r="L26" s="312">
        <f>+'% distribution trends'!BL22-'% distribution trends'!BG22</f>
        <v>-2.1773331419735023</v>
      </c>
      <c r="M26" s="333">
        <f>+'% distribution trends'!CQ22-'% distribution trends'!CL22</f>
        <v>-0.47952571362327134</v>
      </c>
      <c r="N26" s="333">
        <f>+'% distribution trends'!DV22-'% distribution trends'!DQ22</f>
        <v>3.1369642433544875</v>
      </c>
      <c r="O26" s="333">
        <f>+'% distribution trends'!FA22-'% distribution trends'!EV22</f>
        <v>-1.3145546315084822</v>
      </c>
      <c r="P26" s="315">
        <f>+'% distribution trends'!GF22-'% distribution trends'!GA22</f>
        <v>-0.74940896671623491</v>
      </c>
      <c r="Q26" s="315">
        <f>+'% distribution trends'!HK22-'% distribution trends'!HF22</f>
        <v>-0.59347493150643871</v>
      </c>
      <c r="R26" s="43" t="s">
        <v>136</v>
      </c>
      <c r="S26" s="24"/>
      <c r="T26" s="12"/>
      <c r="U26" s="1"/>
      <c r="V26" s="1"/>
    </row>
    <row r="27" spans="1:22">
      <c r="A27" s="296"/>
      <c r="B27" s="296"/>
      <c r="C27" s="313"/>
      <c r="D27" s="314"/>
      <c r="E27" s="315"/>
      <c r="F27" s="333"/>
      <c r="G27" s="333"/>
      <c r="H27" s="333"/>
      <c r="I27" s="315"/>
      <c r="J27" s="312"/>
      <c r="K27" s="315"/>
      <c r="L27" s="312"/>
      <c r="M27" s="333"/>
      <c r="N27" s="333"/>
      <c r="O27" s="333"/>
      <c r="P27" s="315"/>
      <c r="Q27" s="315"/>
      <c r="R27" s="43"/>
      <c r="S27" s="24"/>
      <c r="T27" s="12"/>
      <c r="U27" s="1"/>
      <c r="V27" s="1"/>
    </row>
    <row r="28" spans="1:22">
      <c r="A28" s="297" t="s">
        <v>47</v>
      </c>
      <c r="B28" s="297"/>
      <c r="C28" s="316">
        <f>+'% distribution trends'!AG24</f>
        <v>7.0733890401131347</v>
      </c>
      <c r="D28" s="317">
        <f>+'% distribution trends'!BL24</f>
        <v>18.105443985891803</v>
      </c>
      <c r="E28" s="318">
        <f>+'% distribution trends'!CQ24</f>
        <v>26.55339461558756</v>
      </c>
      <c r="F28" s="334">
        <f>+'% distribution trends'!DV24</f>
        <v>20.784581204152257</v>
      </c>
      <c r="G28" s="334">
        <f>+'% distribution trends'!FA24</f>
        <v>28.228772499849981</v>
      </c>
      <c r="H28" s="334">
        <f>+'% distribution trends'!GF24</f>
        <v>7.4276040220896942</v>
      </c>
      <c r="I28" s="318">
        <f>+'% distribution trends'!HK24</f>
        <v>17.005647658320505</v>
      </c>
      <c r="J28" s="312"/>
      <c r="K28" s="318">
        <f>+'% distribution trends'!AG24-'% distribution trends'!AB24</f>
        <v>1.0246114771924768</v>
      </c>
      <c r="L28" s="319">
        <f>+'% distribution trends'!BL24-'% distribution trends'!BG24</f>
        <v>-0.23230657127800214</v>
      </c>
      <c r="M28" s="334">
        <f>+'% distribution trends'!CQ24-'% distribution trends'!CL24</f>
        <v>1.0645189114791798</v>
      </c>
      <c r="N28" s="334">
        <f>+'% distribution trends'!DV24-'% distribution trends'!DQ24</f>
        <v>2.6529194044103726</v>
      </c>
      <c r="O28" s="334">
        <f>+'% distribution trends'!FA24-'% distribution trends'!EV24</f>
        <v>-1.4580470554683131</v>
      </c>
      <c r="P28" s="318">
        <f>+'% distribution trends'!GF24-'% distribution trends'!GA24</f>
        <v>0.42105047697139231</v>
      </c>
      <c r="Q28" s="318">
        <f>+'% distribution trends'!HK24-'% distribution trends'!HF24</f>
        <v>-2.6804417373926341</v>
      </c>
      <c r="R28" s="304" t="s">
        <v>47</v>
      </c>
      <c r="S28" s="24"/>
      <c r="T28" s="12"/>
      <c r="U28" s="1"/>
      <c r="V28" s="1"/>
    </row>
    <row r="29" spans="1:22">
      <c r="A29" s="297" t="s">
        <v>48</v>
      </c>
      <c r="B29" s="297"/>
      <c r="C29" s="316">
        <f>+'% distribution trends'!AG25</f>
        <v>11.464182533910678</v>
      </c>
      <c r="D29" s="317">
        <f>+'% distribution trends'!BL25</f>
        <v>18.998039083134842</v>
      </c>
      <c r="E29" s="318">
        <f>+'% distribution trends'!CQ25</f>
        <v>32.903583562940959</v>
      </c>
      <c r="F29" s="334">
        <f>+'% distribution trends'!DV25</f>
        <v>28.555693671634589</v>
      </c>
      <c r="G29" s="334">
        <f>+'% distribution trends'!FA25</f>
        <v>25.969186348207927</v>
      </c>
      <c r="H29" s="334">
        <f>+'% distribution trends'!GF25</f>
        <v>5.2409574932597236</v>
      </c>
      <c r="I29" s="318">
        <f>+'% distribution trends'!HK25</f>
        <v>7.3305789239567947</v>
      </c>
      <c r="J29" s="312"/>
      <c r="K29" s="318">
        <f>+'% distribution trends'!AG25-'% distribution trends'!AB25</f>
        <v>1.4726947366393119</v>
      </c>
      <c r="L29" s="319">
        <f>+'% distribution trends'!BL25-'% distribution trends'!BG25</f>
        <v>-2.66001013319298</v>
      </c>
      <c r="M29" s="334">
        <f>+'% distribution trends'!CQ25-'% distribution trends'!CL25</f>
        <v>-0.58954542254868869</v>
      </c>
      <c r="N29" s="334">
        <f>+'% distribution trends'!DV25-'% distribution trends'!DQ25</f>
        <v>4.9438288374624442</v>
      </c>
      <c r="O29" s="334">
        <f>+'% distribution trends'!FA25-'% distribution trends'!EV25</f>
        <v>-3.9674413549534968</v>
      </c>
      <c r="P29" s="318">
        <f>+'% distribution trends'!GF25-'% distribution trends'!GA25</f>
        <v>-0.87786621872396786</v>
      </c>
      <c r="Q29" s="318">
        <f>+'% distribution trends'!HK25-'% distribution trends'!HF25</f>
        <v>0.49102415876370298</v>
      </c>
      <c r="R29" s="304" t="s">
        <v>48</v>
      </c>
      <c r="S29" s="24"/>
      <c r="T29" s="12"/>
      <c r="U29" s="1"/>
      <c r="V29" s="1"/>
    </row>
    <row r="30" spans="1:22">
      <c r="A30" s="297" t="s">
        <v>49</v>
      </c>
      <c r="B30" s="297"/>
      <c r="C30" s="316">
        <f>+'% distribution trends'!AG26</f>
        <v>10.19621331718259</v>
      </c>
      <c r="D30" s="317">
        <f>+'% distribution trends'!BL26</f>
        <v>19.045535364907394</v>
      </c>
      <c r="E30" s="318">
        <f>+'% distribution trends'!CQ26</f>
        <v>31.038715173444558</v>
      </c>
      <c r="F30" s="334">
        <f>+'% distribution trends'!DV26</f>
        <v>27.5907907423666</v>
      </c>
      <c r="G30" s="334">
        <f>+'% distribution trends'!FA26</f>
        <v>25.870632844795079</v>
      </c>
      <c r="H30" s="334">
        <f>+'% distribution trends'!GF26</f>
        <v>5.6586590011849935</v>
      </c>
      <c r="I30" s="318">
        <f>+'% distribution trends'!HK26</f>
        <v>9.841202238208778</v>
      </c>
      <c r="J30" s="312"/>
      <c r="K30" s="318">
        <f>+'% distribution trends'!AG26-'% distribution trends'!AB26</f>
        <v>1.7761134047899354</v>
      </c>
      <c r="L30" s="319">
        <f>+'% distribution trends'!BL26-'% distribution trends'!BG26</f>
        <v>-2.4499605482943281</v>
      </c>
      <c r="M30" s="334">
        <f>+'% distribution trends'!CQ26-'% distribution trends'!CL26</f>
        <v>-0.32531317993473863</v>
      </c>
      <c r="N30" s="334">
        <f>+'% distribution trends'!DV26-'% distribution trends'!DQ26</f>
        <v>3.4148952110071207</v>
      </c>
      <c r="O30" s="334">
        <f>+'% distribution trends'!FA26-'% distribution trends'!EV26</f>
        <v>-1.0594046379800659</v>
      </c>
      <c r="P30" s="318">
        <f>+'% distribution trends'!GF26-'% distribution trends'!GA26</f>
        <v>-0.93507578418926318</v>
      </c>
      <c r="Q30" s="318">
        <f>+'% distribution trends'!HK26-'% distribution trends'!HF26</f>
        <v>-1.0951016089030379</v>
      </c>
      <c r="R30" s="304" t="s">
        <v>49</v>
      </c>
      <c r="S30" s="24"/>
      <c r="T30" s="12"/>
      <c r="U30" s="1"/>
      <c r="V30" s="1"/>
    </row>
    <row r="31" spans="1:22">
      <c r="A31" s="297" t="s">
        <v>50</v>
      </c>
      <c r="B31" s="297"/>
      <c r="C31" s="316">
        <f>+'% distribution trends'!AG27</f>
        <v>11.548468502212184</v>
      </c>
      <c r="D31" s="317">
        <f>+'% distribution trends'!BL27</f>
        <v>20.09902317256255</v>
      </c>
      <c r="E31" s="318">
        <f>+'% distribution trends'!CQ27</f>
        <v>33.873715504147398</v>
      </c>
      <c r="F31" s="334">
        <f>+'% distribution trends'!DV27</f>
        <v>23.263305655457362</v>
      </c>
      <c r="G31" s="334">
        <f>+'% distribution trends'!FA27</f>
        <v>25.538789237544062</v>
      </c>
      <c r="H31" s="334">
        <f>+'% distribution trends'!GF27</f>
        <v>5.9701059215505978</v>
      </c>
      <c r="I31" s="318">
        <f>+'% distribution trends'!HK27</f>
        <v>11.354083681300569</v>
      </c>
      <c r="J31" s="312"/>
      <c r="K31" s="318">
        <f>+'% distribution trends'!AG27-'% distribution trends'!AB27</f>
        <v>0.87993142101561794</v>
      </c>
      <c r="L31" s="319">
        <f>+'% distribution trends'!BL27-'% distribution trends'!BG27</f>
        <v>-2.7059399136750741</v>
      </c>
      <c r="M31" s="334">
        <f>+'% distribution trends'!CQ27-'% distribution trends'!CL27</f>
        <v>-1.1721042371112631</v>
      </c>
      <c r="N31" s="334">
        <f>+'% distribution trends'!DV27-'% distribution trends'!DQ27</f>
        <v>3.2406174656109847</v>
      </c>
      <c r="O31" s="334">
        <f>+'% distribution trends'!FA27-'% distribution trends'!EV27</f>
        <v>-1.9788166874951933</v>
      </c>
      <c r="P31" s="318">
        <f>+'% distribution trends'!GF27-'% distribution trends'!GA27</f>
        <v>-0.86034173652419366</v>
      </c>
      <c r="Q31" s="318">
        <f>+'% distribution trends'!HK27-'% distribution trends'!HF27</f>
        <v>0.77064519551965915</v>
      </c>
      <c r="R31" s="304" t="s">
        <v>50</v>
      </c>
      <c r="S31" s="24"/>
      <c r="T31" s="12"/>
      <c r="U31" s="1"/>
      <c r="V31" s="1"/>
    </row>
    <row r="32" spans="1:22">
      <c r="A32" s="298" t="s">
        <v>52</v>
      </c>
      <c r="B32" s="298"/>
      <c r="C32" s="313">
        <f>+'% distribution trends'!AG28</f>
        <v>12.234803987206265</v>
      </c>
      <c r="D32" s="314">
        <f>+'% distribution trends'!BL28</f>
        <v>15.394407624662721</v>
      </c>
      <c r="E32" s="315">
        <f>+'% distribution trends'!CQ28</f>
        <v>28.738785403824529</v>
      </c>
      <c r="F32" s="333">
        <f>+'% distribution trends'!DV28</f>
        <v>26.704711594045321</v>
      </c>
      <c r="G32" s="333">
        <f>+'% distribution trends'!FA28</f>
        <v>23.394560932527568</v>
      </c>
      <c r="H32" s="333">
        <f>+'% distribution trends'!GF28</f>
        <v>5.8539568816758045</v>
      </c>
      <c r="I32" s="315">
        <f>+'% distribution trends'!HK28</f>
        <v>15.307985187926779</v>
      </c>
      <c r="J32" s="312"/>
      <c r="K32" s="315">
        <f>+'% distribution trends'!AG28-'% distribution trends'!AB28</f>
        <v>2.8601956311769055</v>
      </c>
      <c r="L32" s="312">
        <f>+'% distribution trends'!BL28-'% distribution trends'!BG28</f>
        <v>-4.2467523672538423</v>
      </c>
      <c r="M32" s="333">
        <f>+'% distribution trends'!CQ28-'% distribution trends'!CL28</f>
        <v>-1.0095220121137842</v>
      </c>
      <c r="N32" s="333">
        <f>+'% distribution trends'!DV28-'% distribution trends'!DQ28</f>
        <v>2.3046624094742185</v>
      </c>
      <c r="O32" s="333">
        <f>+'% distribution trends'!FA28-'% distribution trends'!EV28</f>
        <v>-0.28703699851908837</v>
      </c>
      <c r="P32" s="315">
        <f>+'% distribution trends'!GF28-'% distribution trends'!GA28</f>
        <v>-0.15730172857994251</v>
      </c>
      <c r="Q32" s="315">
        <f>+'% distribution trends'!HK28-'% distribution trends'!HF28</f>
        <v>-0.85080167026140785</v>
      </c>
      <c r="R32" s="230" t="s">
        <v>52</v>
      </c>
      <c r="S32" s="24"/>
      <c r="T32" s="12"/>
      <c r="U32" s="1"/>
      <c r="V32" s="1"/>
    </row>
    <row r="33" spans="1:22">
      <c r="A33" s="298" t="s">
        <v>53</v>
      </c>
      <c r="B33" s="298"/>
      <c r="C33" s="313">
        <f>+'% distribution trends'!AG29</f>
        <v>11.134261470831699</v>
      </c>
      <c r="D33" s="314">
        <f>+'% distribution trends'!BL29</f>
        <v>18.578045044520302</v>
      </c>
      <c r="E33" s="315">
        <f>+'% distribution trends'!CQ29</f>
        <v>31.841062460156188</v>
      </c>
      <c r="F33" s="333">
        <f>+'% distribution trends'!DV29</f>
        <v>28.64523678313348</v>
      </c>
      <c r="G33" s="333">
        <f>+'% distribution trends'!FA29</f>
        <v>27.318083904108388</v>
      </c>
      <c r="H33" s="333">
        <f>+'% distribution trends'!GF29</f>
        <v>5.7737195418855372</v>
      </c>
      <c r="I33" s="315">
        <f>+'% distribution trends'!HK29</f>
        <v>6.4218973107164015</v>
      </c>
      <c r="J33" s="312"/>
      <c r="K33" s="315">
        <f>+'% distribution trends'!AG29-'% distribution trends'!AB29</f>
        <v>0.83149591343812723</v>
      </c>
      <c r="L33" s="312">
        <f>+'% distribution trends'!BL29-'% distribution trends'!BG29</f>
        <v>-2.6570467449054682</v>
      </c>
      <c r="M33" s="333">
        <f>+'% distribution trends'!CQ29-'% distribution trends'!CL29</f>
        <v>-1.6613187488659449</v>
      </c>
      <c r="N33" s="333">
        <f>+'% distribution trends'!DV29-'% distribution trends'!DQ29</f>
        <v>0.91602351483858513</v>
      </c>
      <c r="O33" s="333">
        <f>+'% distribution trends'!FA29-'% distribution trends'!EV29</f>
        <v>0.56232254404553572</v>
      </c>
      <c r="P33" s="315">
        <f>+'% distribution trends'!GF29-'% distribution trends'!GA29</f>
        <v>-0.58095440328386072</v>
      </c>
      <c r="Q33" s="315">
        <f>+'% distribution trends'!HK29-'% distribution trends'!HF29</f>
        <v>0.76392709326568298</v>
      </c>
      <c r="R33" s="230" t="s">
        <v>53</v>
      </c>
      <c r="S33" s="24"/>
      <c r="T33" s="12"/>
      <c r="U33" s="1"/>
      <c r="V33" s="1"/>
    </row>
    <row r="34" spans="1:22">
      <c r="A34" s="298" t="s">
        <v>63</v>
      </c>
      <c r="B34" s="298"/>
      <c r="C34" s="313">
        <f>+'% distribution trends'!AG30</f>
        <v>9.610047881025876</v>
      </c>
      <c r="D34" s="314">
        <f>+'% distribution trends'!BL30</f>
        <v>19.732456032837302</v>
      </c>
      <c r="E34" s="315">
        <f>+'% distribution trends'!CQ30</f>
        <v>31.819728992491065</v>
      </c>
      <c r="F34" s="333">
        <f>+'% distribution trends'!DV30</f>
        <v>22.411188508261095</v>
      </c>
      <c r="G34" s="333">
        <f>+'% distribution trends'!FA30</f>
        <v>29.925415554888048</v>
      </c>
      <c r="H34" s="333">
        <f>+'% distribution trends'!GF30</f>
        <v>6.5391546689701654</v>
      </c>
      <c r="I34" s="315">
        <f>+'% distribution trends'!HK30</f>
        <v>9.3045122753896194</v>
      </c>
      <c r="J34" s="312"/>
      <c r="K34" s="315">
        <f>+'% distribution trends'!AG30-'% distribution trends'!AB30</f>
        <v>-1.732343280258867</v>
      </c>
      <c r="L34" s="312">
        <f>+'% distribution trends'!BL30-'% distribution trends'!BG30</f>
        <v>-1.7691628690170091</v>
      </c>
      <c r="M34" s="333">
        <f>+'% distribution trends'!CQ30-'% distribution trends'!CL30</f>
        <v>-3.7057541397173779</v>
      </c>
      <c r="N34" s="333">
        <f>+'% distribution trends'!DV30-'% distribution trends'!DQ30</f>
        <v>2.3389866137134661</v>
      </c>
      <c r="O34" s="333">
        <f>+'% distribution trends'!FA30-'% distribution trends'!EV30</f>
        <v>1.028728192851954</v>
      </c>
      <c r="P34" s="315">
        <f>+'% distribution trends'!GF30-'% distribution trends'!GA30</f>
        <v>-0.71830901385292822</v>
      </c>
      <c r="Q34" s="315">
        <f>+'% distribution trends'!HK30-'% distribution trends'!HF30</f>
        <v>1.0563483470048727</v>
      </c>
      <c r="R34" s="230" t="s">
        <v>63</v>
      </c>
      <c r="S34" s="24"/>
      <c r="T34" s="12"/>
      <c r="U34" s="1"/>
      <c r="V34" s="1"/>
    </row>
    <row r="35" spans="1:22">
      <c r="A35" s="298" t="s">
        <v>65</v>
      </c>
      <c r="B35" s="298"/>
      <c r="C35" s="313">
        <f>+'% distribution trends'!AG31</f>
        <v>6.5298095757421919</v>
      </c>
      <c r="D35" s="314">
        <f>+'% distribution trends'!BL31</f>
        <v>20.861516559694699</v>
      </c>
      <c r="E35" s="315">
        <f>+'% distribution trends'!CQ31</f>
        <v>29.709670986415038</v>
      </c>
      <c r="F35" s="333">
        <f>+'% distribution trends'!DV31</f>
        <v>21.199189347966254</v>
      </c>
      <c r="G35" s="333">
        <f>+'% distribution trends'!FA31</f>
        <v>34.621019203278856</v>
      </c>
      <c r="H35" s="333">
        <f>+'% distribution trends'!GF31</f>
        <v>6.5088210003561739</v>
      </c>
      <c r="I35" s="315">
        <f>+'% distribution trends'!HK31</f>
        <v>7.961299461983681</v>
      </c>
      <c r="J35" s="312"/>
      <c r="K35" s="315">
        <f>+'% distribution trends'!AG31-'% distribution trends'!AB31</f>
        <v>-1.5157185681371903</v>
      </c>
      <c r="L35" s="312">
        <f>+'% distribution trends'!BL31-'% distribution trends'!BG31</f>
        <v>-3.1317978543589611</v>
      </c>
      <c r="M35" s="333">
        <f>+'% distribution trends'!CQ31-'% distribution trends'!CL31</f>
        <v>-3.8200920583122304</v>
      </c>
      <c r="N35" s="333">
        <f>+'% distribution trends'!DV31-'% distribution trends'!DQ31</f>
        <v>2.7261609284225194</v>
      </c>
      <c r="O35" s="333">
        <f>+'% distribution trends'!FA31-'% distribution trends'!EV31</f>
        <v>0.69615660019488956</v>
      </c>
      <c r="P35" s="315">
        <f>+'% distribution trends'!GF31-'% distribution trends'!GA31</f>
        <v>-1.2866592649780202</v>
      </c>
      <c r="Q35" s="315">
        <f>+'% distribution trends'!HK31-'% distribution trends'!HF31</f>
        <v>1.6844337946728292</v>
      </c>
      <c r="R35" s="230" t="s">
        <v>65</v>
      </c>
      <c r="S35" s="24"/>
      <c r="T35" s="12"/>
      <c r="U35" s="1"/>
      <c r="V35" s="1"/>
    </row>
    <row r="36" spans="1:22">
      <c r="A36" s="297" t="s">
        <v>68</v>
      </c>
      <c r="B36" s="297"/>
      <c r="C36" s="316">
        <f>+'% distribution trends'!AG32</f>
        <v>13.050990705112534</v>
      </c>
      <c r="D36" s="317">
        <f>+'% distribution trends'!BL32</f>
        <v>19.538718186798203</v>
      </c>
      <c r="E36" s="318">
        <f>+'% distribution trends'!CQ32</f>
        <v>34.902148909712515</v>
      </c>
      <c r="F36" s="334">
        <f>+'% distribution trends'!DV32</f>
        <v>31.654889313015598</v>
      </c>
      <c r="G36" s="334">
        <f>+'% distribution trends'!FA32</f>
        <v>21.690025946874588</v>
      </c>
      <c r="H36" s="334">
        <f>+'% distribution trends'!GF32</f>
        <v>5.8961704944559061</v>
      </c>
      <c r="I36" s="318">
        <f>+'% distribution trends'!HK32</f>
        <v>5.8567653359413798</v>
      </c>
      <c r="J36" s="312"/>
      <c r="K36" s="318">
        <f>+'% distribution trends'!AG32-'% distribution trends'!AB32</f>
        <v>0.96302887308583252</v>
      </c>
      <c r="L36" s="319">
        <f>+'% distribution trends'!BL32-'% distribution trends'!BG32</f>
        <v>-0.38068162760650281</v>
      </c>
      <c r="M36" s="334">
        <f>+'% distribution trends'!CQ32-'% distribution trends'!CL32</f>
        <v>0.32780715350396861</v>
      </c>
      <c r="N36" s="334">
        <f>+'% distribution trends'!DV32-'% distribution trends'!DQ32</f>
        <v>3.3507377670038636</v>
      </c>
      <c r="O36" s="334">
        <f>+'% distribution trends'!FA32-'% distribution trends'!EV32</f>
        <v>-2.1912172418540656</v>
      </c>
      <c r="P36" s="318">
        <f>+'% distribution trends'!GF32-'% distribution trends'!GA32</f>
        <v>0.15032676144843116</v>
      </c>
      <c r="Q36" s="318">
        <f>+'% distribution trends'!HK32-'% distribution trends'!HF32</f>
        <v>-1.6376544401021986</v>
      </c>
      <c r="R36" s="304" t="s">
        <v>68</v>
      </c>
      <c r="S36" s="24"/>
      <c r="T36" s="12"/>
      <c r="U36" s="1"/>
      <c r="V36" s="1"/>
    </row>
    <row r="37" spans="1:22">
      <c r="A37" s="297" t="s">
        <v>72</v>
      </c>
      <c r="B37" s="297"/>
      <c r="C37" s="316">
        <f>+'% distribution trends'!AG33</f>
        <v>12.352297040559375</v>
      </c>
      <c r="D37" s="317">
        <f>+'% distribution trends'!BL33</f>
        <v>18.667009357024877</v>
      </c>
      <c r="E37" s="318">
        <f>+'% distribution trends'!CQ33</f>
        <v>32.82956790294989</v>
      </c>
      <c r="F37" s="334">
        <f>+'% distribution trends'!DV33</f>
        <v>28.24788077294702</v>
      </c>
      <c r="G37" s="334">
        <f>+'% distribution trends'!FA33</f>
        <v>25.337981796430388</v>
      </c>
      <c r="H37" s="334">
        <f>+'% distribution trends'!GF33</f>
        <v>6.0572516825837734</v>
      </c>
      <c r="I37" s="318">
        <f>+'% distribution trends'!HK33</f>
        <v>7.5273178450889251</v>
      </c>
      <c r="J37" s="312"/>
      <c r="K37" s="318">
        <f>+'% distribution trends'!AG33-'% distribution trends'!AB33</f>
        <v>1.0420919880731621</v>
      </c>
      <c r="L37" s="319">
        <f>+'% distribution trends'!BL33-'% distribution trends'!BG33</f>
        <v>-1.841307434264678</v>
      </c>
      <c r="M37" s="334">
        <f>+'% distribution trends'!CQ33-'% distribution trends'!CL33</f>
        <v>-0.67539182428068045</v>
      </c>
      <c r="N37" s="334">
        <f>+'% distribution trends'!DV33-'% distribution trends'!DQ33</f>
        <v>5.1045071620344231</v>
      </c>
      <c r="O37" s="334">
        <f>+'% distribution trends'!FA33-'% distribution trends'!EV33</f>
        <v>-3.071408231622101</v>
      </c>
      <c r="P37" s="318">
        <f>+'% distribution trends'!GF33-'% distribution trends'!GA33</f>
        <v>-0.4795263348589236</v>
      </c>
      <c r="Q37" s="318">
        <f>+'% distribution trends'!HK33-'% distribution trends'!HF33</f>
        <v>-0.87818077127271543</v>
      </c>
      <c r="R37" s="304" t="s">
        <v>72</v>
      </c>
      <c r="S37" s="24"/>
      <c r="T37" s="12"/>
      <c r="U37" s="1"/>
      <c r="V37" s="1"/>
    </row>
    <row r="38" spans="1:22">
      <c r="A38" s="297" t="s">
        <v>76</v>
      </c>
      <c r="B38" s="297"/>
      <c r="C38" s="316">
        <f>+'% distribution trends'!AG34</f>
        <v>17.099933364333381</v>
      </c>
      <c r="D38" s="317">
        <f>+'% distribution trends'!BL34</f>
        <v>19.830062113624635</v>
      </c>
      <c r="E38" s="318">
        <f>+'% distribution trends'!CQ34</f>
        <v>39.243618378798075</v>
      </c>
      <c r="F38" s="334">
        <f>+'% distribution trends'!DV34</f>
        <v>21.926488684262672</v>
      </c>
      <c r="G38" s="334">
        <f>+'% distribution trends'!FA34</f>
        <v>24.797792460666422</v>
      </c>
      <c r="H38" s="334">
        <f>+'% distribution trends'!GF34</f>
        <v>6.2697933428692041</v>
      </c>
      <c r="I38" s="318">
        <f>+'% distribution trends'!HK34</f>
        <v>7.7623071334036258</v>
      </c>
      <c r="J38" s="312"/>
      <c r="K38" s="318">
        <f>+'% distribution trends'!AG34-'% distribution trends'!AB34</f>
        <v>1.6659322497837223</v>
      </c>
      <c r="L38" s="319">
        <f>+'% distribution trends'!BL34-'% distribution trends'!BG34</f>
        <v>-1.2518695759716749</v>
      </c>
      <c r="M38" s="334">
        <f>+'% distribution trends'!CQ34-'% distribution trends'!CL34</f>
        <v>0.65735678727580904</v>
      </c>
      <c r="N38" s="334">
        <f>+'% distribution trends'!DV34-'% distribution trends'!DQ34</f>
        <v>0.86249645950235632</v>
      </c>
      <c r="O38" s="334">
        <f>+'% distribution trends'!FA34-'% distribution trends'!EV34</f>
        <v>-5.1695310041562692E-2</v>
      </c>
      <c r="P38" s="318">
        <f>+'% distribution trends'!GF34-'% distribution trends'!GA34</f>
        <v>-1.5163579749357234</v>
      </c>
      <c r="Q38" s="318">
        <f>+'% distribution trends'!HK34-'% distribution trends'!HF34</f>
        <v>4.8200038199118111E-2</v>
      </c>
      <c r="R38" s="304" t="s">
        <v>76</v>
      </c>
      <c r="S38" s="24"/>
      <c r="T38" s="12"/>
      <c r="U38" s="1"/>
      <c r="V38" s="1"/>
    </row>
    <row r="39" spans="1:22">
      <c r="A39" s="297" t="s">
        <v>78</v>
      </c>
      <c r="B39" s="297"/>
      <c r="C39" s="316">
        <f>+'% distribution trends'!AG35</f>
        <v>10.109674777730795</v>
      </c>
      <c r="D39" s="317">
        <f>+'% distribution trends'!BL35</f>
        <v>20.139868052000903</v>
      </c>
      <c r="E39" s="318">
        <f>+'% distribution trends'!CQ35</f>
        <v>33.693131392886109</v>
      </c>
      <c r="F39" s="334">
        <f>+'% distribution trends'!DV35</f>
        <v>27.148121179550603</v>
      </c>
      <c r="G39" s="334">
        <f>+'% distribution trends'!FA35</f>
        <v>27.143413144296463</v>
      </c>
      <c r="H39" s="334">
        <f>+'% distribution trends'!GF35</f>
        <v>4.3694147869347635</v>
      </c>
      <c r="I39" s="318">
        <f>+'% distribution trends'!HK35</f>
        <v>7.6459194963320583</v>
      </c>
      <c r="J39" s="312"/>
      <c r="K39" s="318">
        <f>+'% distribution trends'!AG35-'% distribution trends'!AB35</f>
        <v>-0.22102759698285723</v>
      </c>
      <c r="L39" s="319">
        <f>+'% distribution trends'!BL35-'% distribution trends'!BG35</f>
        <v>-0.54858967289906602</v>
      </c>
      <c r="M39" s="334">
        <f>+'% distribution trends'!CQ35-'% distribution trends'!CL35</f>
        <v>-0.28700971620769877</v>
      </c>
      <c r="N39" s="334">
        <f>+'% distribution trends'!DV35-'% distribution trends'!DQ35</f>
        <v>1.2333433315086104</v>
      </c>
      <c r="O39" s="334">
        <f>+'% distribution trends'!FA35-'% distribution trends'!EV35</f>
        <v>-1.2820867574536443</v>
      </c>
      <c r="P39" s="318">
        <f>+'% distribution trends'!GF35-'% distribution trends'!GA35</f>
        <v>3.2663233111472678E-2</v>
      </c>
      <c r="Q39" s="318">
        <f>+'% distribution trends'!HK35-'% distribution trends'!HF35</f>
        <v>0.30308990904125999</v>
      </c>
      <c r="R39" s="304" t="s">
        <v>78</v>
      </c>
      <c r="S39" s="24"/>
      <c r="T39" s="12"/>
      <c r="U39" s="1"/>
      <c r="V39" s="1"/>
    </row>
    <row r="40" spans="1:22">
      <c r="A40" s="301" t="s">
        <v>80</v>
      </c>
      <c r="B40" s="301"/>
      <c r="C40" s="324">
        <f>+'% distribution trends'!AG36</f>
        <v>9.2599887567281058</v>
      </c>
      <c r="D40" s="325">
        <f>+'% distribution trends'!BL36</f>
        <v>21.390078899608763</v>
      </c>
      <c r="E40" s="336">
        <f>+'% distribution trends'!CQ36</f>
        <v>32.957759565839915</v>
      </c>
      <c r="F40" s="336">
        <f>+'% distribution trends'!DV36</f>
        <v>27.375555304784811</v>
      </c>
      <c r="G40" s="336">
        <f>+'% distribution trends'!FA36</f>
        <v>26.950567909465779</v>
      </c>
      <c r="H40" s="336">
        <f>+'% distribution trends'!GF36</f>
        <v>6.7080067418219684</v>
      </c>
      <c r="I40" s="326">
        <f>+'% distribution trends'!HK36</f>
        <v>6.0081104780875263</v>
      </c>
      <c r="J40" s="312"/>
      <c r="K40" s="326">
        <f>+'% distribution trends'!AG36-'% distribution trends'!AB36</f>
        <v>0.35963225523886244</v>
      </c>
      <c r="L40" s="325">
        <f>+'% distribution trends'!BL36-'% distribution trends'!BG36</f>
        <v>-1.440001081113909</v>
      </c>
      <c r="M40" s="336">
        <f>+'% distribution trends'!CQ36-'% distribution trends'!CL36</f>
        <v>-1.1391642868917486</v>
      </c>
      <c r="N40" s="336">
        <f>+'% distribution trends'!DV36-'% distribution trends'!DQ36</f>
        <v>0.94602008071317201</v>
      </c>
      <c r="O40" s="336">
        <f>+'% distribution trends'!FA36-'% distribution trends'!EV36</f>
        <v>9.4210652638903269E-2</v>
      </c>
      <c r="P40" s="336">
        <f>+'% distribution trends'!GF36-'% distribution trends'!GA36</f>
        <v>0.24755298647490065</v>
      </c>
      <c r="Q40" s="326">
        <f>+'% distribution trends'!HK36-'% distribution trends'!HF36</f>
        <v>-0.14861943293522284</v>
      </c>
      <c r="R40" s="305" t="s">
        <v>80</v>
      </c>
      <c r="S40" s="24"/>
      <c r="T40" s="12"/>
      <c r="U40" s="1"/>
      <c r="V40" s="1"/>
    </row>
    <row r="41" spans="1:22">
      <c r="A41" s="296" t="s">
        <v>137</v>
      </c>
      <c r="B41" s="296"/>
      <c r="C41" s="313">
        <f>+'% distribution trends'!AG37</f>
        <v>11.141931676615314</v>
      </c>
      <c r="D41" s="314">
        <f>+'% distribution trends'!BL37</f>
        <v>22.79584277407054</v>
      </c>
      <c r="E41" s="315">
        <f>+'% distribution trends'!CQ37</f>
        <v>36.128973513181094</v>
      </c>
      <c r="F41" s="333">
        <f>+'% distribution trends'!DV37</f>
        <v>28.154348702856957</v>
      </c>
      <c r="G41" s="333">
        <f>+'% distribution trends'!FA37</f>
        <v>22.557290145309889</v>
      </c>
      <c r="H41" s="333">
        <f>+'% distribution trends'!GF37</f>
        <v>4.3870738391816451</v>
      </c>
      <c r="I41" s="315">
        <f>+'% distribution trends'!HK37</f>
        <v>8.7723137994704192</v>
      </c>
      <c r="J41" s="312"/>
      <c r="K41" s="315">
        <f>+'% distribution trends'!AG37-'% distribution trends'!AB37</f>
        <v>0.93368180914287002</v>
      </c>
      <c r="L41" s="312">
        <f>+'% distribution trends'!BL37-'% distribution trends'!BG37</f>
        <v>-1.340485244963503</v>
      </c>
      <c r="M41" s="333">
        <f>+'% distribution trends'!CQ37-'% distribution trends'!CL37</f>
        <v>-0.55425042318923801</v>
      </c>
      <c r="N41" s="333">
        <f>+'% distribution trends'!DV37-'% distribution trends'!DQ37</f>
        <v>2.178710253396428</v>
      </c>
      <c r="O41" s="333">
        <f>+'% distribution trends'!FA37-'% distribution trends'!EV37</f>
        <v>-0.4916142668115917</v>
      </c>
      <c r="P41" s="315">
        <f>+'% distribution trends'!GF37-'% distribution trends'!GA37</f>
        <v>-0.42045020486304896</v>
      </c>
      <c r="Q41" s="315">
        <f>+'% distribution trends'!HK37-'% distribution trends'!HF37</f>
        <v>-0.71239535853254488</v>
      </c>
      <c r="R41" s="43" t="s">
        <v>137</v>
      </c>
      <c r="S41" s="24"/>
      <c r="T41" s="12"/>
      <c r="U41" s="1"/>
      <c r="V41" s="1"/>
    </row>
    <row r="42" spans="1:22">
      <c r="A42" s="296"/>
      <c r="B42" s="296"/>
      <c r="C42" s="313"/>
      <c r="D42" s="314"/>
      <c r="E42" s="315"/>
      <c r="F42" s="333"/>
      <c r="G42" s="333"/>
      <c r="H42" s="333"/>
      <c r="I42" s="315"/>
      <c r="J42" s="312"/>
      <c r="K42" s="315"/>
      <c r="L42" s="312"/>
      <c r="M42" s="333"/>
      <c r="N42" s="333"/>
      <c r="O42" s="333"/>
      <c r="P42" s="315"/>
      <c r="Q42" s="315"/>
      <c r="R42" s="43"/>
      <c r="S42" s="24"/>
      <c r="T42" s="12"/>
      <c r="U42" s="1"/>
      <c r="V42" s="1"/>
    </row>
    <row r="43" spans="1:22">
      <c r="A43" s="297" t="s">
        <v>54</v>
      </c>
      <c r="B43" s="297"/>
      <c r="C43" s="316">
        <f>+'% distribution trends'!AG39</f>
        <v>8.7399712152620435</v>
      </c>
      <c r="D43" s="317">
        <f>+'% distribution trends'!BL39</f>
        <v>24.186438854821056</v>
      </c>
      <c r="E43" s="318">
        <f>+'% distribution trends'!CQ39</f>
        <v>35.191771867566843</v>
      </c>
      <c r="F43" s="334">
        <f>+'% distribution trends'!DV39</f>
        <v>21.723816425990762</v>
      </c>
      <c r="G43" s="334">
        <f>+'% distribution trends'!FA39</f>
        <v>25.062399218129812</v>
      </c>
      <c r="H43" s="334">
        <f>+'% distribution trends'!GF39</f>
        <v>4.6341072375071857</v>
      </c>
      <c r="I43" s="318">
        <f>+'% distribution trends'!HK39</f>
        <v>13.387905250805405</v>
      </c>
      <c r="J43" s="312"/>
      <c r="K43" s="318">
        <f>+'% distribution trends'!AG39-'% distribution trends'!AB39</f>
        <v>0.3250122783627134</v>
      </c>
      <c r="L43" s="319">
        <f>+'% distribution trends'!BL39-'% distribution trends'!BG39</f>
        <v>0.5931198762248755</v>
      </c>
      <c r="M43" s="334">
        <f>+'% distribution trends'!CQ39-'% distribution trends'!CL39</f>
        <v>0.81998732119017603</v>
      </c>
      <c r="N43" s="334">
        <f>+'% distribution trends'!DV39-'% distribution trends'!DQ39</f>
        <v>-5.2744163331155391E-2</v>
      </c>
      <c r="O43" s="334">
        <f>+'% distribution trends'!FA39-'% distribution trends'!EV39</f>
        <v>-0.80777670293808157</v>
      </c>
      <c r="P43" s="318">
        <f>+'% distribution trends'!GF39-'% distribution trends'!GA39</f>
        <v>-0.27244302856318292</v>
      </c>
      <c r="Q43" s="318">
        <f>+'% distribution trends'!HK39-'% distribution trends'!HF39</f>
        <v>0.31297657364224385</v>
      </c>
      <c r="R43" s="304" t="s">
        <v>54</v>
      </c>
      <c r="S43" s="24"/>
      <c r="T43" s="12"/>
      <c r="U43" s="1"/>
      <c r="V43" s="1"/>
    </row>
    <row r="44" spans="1:22">
      <c r="A44" s="297" t="s">
        <v>55</v>
      </c>
      <c r="B44" s="297"/>
      <c r="C44" s="316">
        <f>+'% distribution trends'!AG40</f>
        <v>13.128335180769247</v>
      </c>
      <c r="D44" s="317">
        <f>+'% distribution trends'!BL40</f>
        <v>21.396197092025247</v>
      </c>
      <c r="E44" s="318">
        <f>+'% distribution trends'!CQ40</f>
        <v>37.793216033909147</v>
      </c>
      <c r="F44" s="334">
        <f>+'% distribution trends'!DV40</f>
        <v>28.582566516960178</v>
      </c>
      <c r="G44" s="334">
        <f>+'% distribution trends'!FA40</f>
        <v>20.86249184964365</v>
      </c>
      <c r="H44" s="334">
        <f>+'% distribution trends'!GF40</f>
        <v>4.143289882646644</v>
      </c>
      <c r="I44" s="318">
        <f>+'% distribution trends'!HK40</f>
        <v>8.618435716840386</v>
      </c>
      <c r="J44" s="312"/>
      <c r="K44" s="318">
        <f>+'% distribution trends'!AG40-'% distribution trends'!AB40</f>
        <v>2.2121450448688833</v>
      </c>
      <c r="L44" s="319">
        <f>+'% distribution trends'!BL40-'% distribution trends'!BG40</f>
        <v>-2.3504378088509661</v>
      </c>
      <c r="M44" s="334">
        <f>+'% distribution trends'!CQ40-'% distribution trends'!CL40</f>
        <v>-7.0668185343357948E-2</v>
      </c>
      <c r="N44" s="334">
        <f>+'% distribution trends'!DV40-'% distribution trends'!DQ40</f>
        <v>2.4171663781539543</v>
      </c>
      <c r="O44" s="334">
        <f>+'% distribution trends'!FA40-'% distribution trends'!EV40</f>
        <v>0.73639184854472717</v>
      </c>
      <c r="P44" s="318">
        <f>+'% distribution trends'!GF40-'% distribution trends'!GA40</f>
        <v>-0.3967976709885086</v>
      </c>
      <c r="Q44" s="318">
        <f>+'% distribution trends'!HK40-'% distribution trends'!HF40</f>
        <v>-2.6860923703668167</v>
      </c>
      <c r="R44" s="304" t="s">
        <v>55</v>
      </c>
      <c r="S44" s="24"/>
      <c r="T44" s="12"/>
      <c r="U44" s="1"/>
      <c r="V44" s="1"/>
    </row>
    <row r="45" spans="1:22">
      <c r="A45" s="297" t="s">
        <v>56</v>
      </c>
      <c r="B45" s="297"/>
      <c r="C45" s="316">
        <f>+'% distribution trends'!AG41</f>
        <v>12.476091971241765</v>
      </c>
      <c r="D45" s="317">
        <f>+'% distribution trends'!BL41</f>
        <v>21.14025418164044</v>
      </c>
      <c r="E45" s="318">
        <f>+'% distribution trends'!CQ41</f>
        <v>35.556181486625036</v>
      </c>
      <c r="F45" s="334">
        <f>+'% distribution trends'!DV41</f>
        <v>31.560903729573713</v>
      </c>
      <c r="G45" s="334">
        <f>+'% distribution trends'!FA41</f>
        <v>22.21291282031746</v>
      </c>
      <c r="H45" s="334">
        <f>+'% distribution trends'!GF41</f>
        <v>3.667027951502094</v>
      </c>
      <c r="I45" s="318">
        <f>+'% distribution trends'!HK41</f>
        <v>7.0029740119816903</v>
      </c>
      <c r="J45" s="312"/>
      <c r="K45" s="318">
        <f>+'% distribution trends'!AG41-'% distribution trends'!AB41</f>
        <v>-0.59776859077487465</v>
      </c>
      <c r="L45" s="319">
        <f>+'% distribution trends'!BL41-'% distribution trends'!BG41</f>
        <v>-1.5389341408322075</v>
      </c>
      <c r="M45" s="334">
        <f>+'% distribution trends'!CQ41-'% distribution trends'!CL41</f>
        <v>-2.4052950682503536</v>
      </c>
      <c r="N45" s="334">
        <f>+'% distribution trends'!DV41-'% distribution trends'!DQ41</f>
        <v>2.5161587768121159</v>
      </c>
      <c r="O45" s="334">
        <f>+'% distribution trends'!FA41-'% distribution trends'!EV41</f>
        <v>1.0990347046986813</v>
      </c>
      <c r="P45" s="318">
        <f>+'% distribution trends'!GF41-'% distribution trends'!GA41</f>
        <v>-0.57325135304319552</v>
      </c>
      <c r="Q45" s="318">
        <f>+'% distribution trends'!HK41-'% distribution trends'!HF41</f>
        <v>-0.63664706021725159</v>
      </c>
      <c r="R45" s="304" t="s">
        <v>56</v>
      </c>
      <c r="S45" s="24"/>
      <c r="T45" s="12"/>
      <c r="U45" s="1"/>
      <c r="V45" s="1"/>
    </row>
    <row r="46" spans="1:22">
      <c r="A46" s="297" t="s">
        <v>57</v>
      </c>
      <c r="B46" s="297"/>
      <c r="C46" s="316">
        <f>+'% distribution trends'!AG42</f>
        <v>13.433458486143865</v>
      </c>
      <c r="D46" s="317">
        <f>+'% distribution trends'!BL42</f>
        <v>22.169120885660533</v>
      </c>
      <c r="E46" s="318">
        <f>+'% distribution trends'!CQ42</f>
        <v>37.174506049236449</v>
      </c>
      <c r="F46" s="334">
        <f>+'% distribution trends'!DV42</f>
        <v>27.89506454833678</v>
      </c>
      <c r="G46" s="334">
        <f>+'% distribution trends'!FA42</f>
        <v>21.003257586127543</v>
      </c>
      <c r="H46" s="334">
        <f>+'% distribution trends'!GF42</f>
        <v>4.8243589755877521</v>
      </c>
      <c r="I46" s="318">
        <f>+'% distribution trends'!HK42</f>
        <v>9.1028128407114703</v>
      </c>
      <c r="J46" s="312"/>
      <c r="K46" s="318">
        <f>+'% distribution trends'!AG42-'% distribution trends'!AB42</f>
        <v>1.0703811225868183</v>
      </c>
      <c r="L46" s="319">
        <f>+'% distribution trends'!BL42-'% distribution trends'!BG42</f>
        <v>-0.94847911727071121</v>
      </c>
      <c r="M46" s="334">
        <f>+'% distribution trends'!CQ42-'% distribution trends'!CL42</f>
        <v>0.22027103274279369</v>
      </c>
      <c r="N46" s="334">
        <f>+'% distribution trends'!DV42-'% distribution trends'!DQ42</f>
        <v>2.2376937178918936</v>
      </c>
      <c r="O46" s="334">
        <f>+'% distribution trends'!FA42-'% distribution trends'!EV42</f>
        <v>-0.77643724173351103</v>
      </c>
      <c r="P46" s="318">
        <f>+'% distribution trends'!GF42-'% distribution trends'!GA42</f>
        <v>9.181331699075379E-2</v>
      </c>
      <c r="Q46" s="318">
        <f>+'% distribution trends'!HK42-'% distribution trends'!HF42</f>
        <v>-1.7733408258919443</v>
      </c>
      <c r="R46" s="304" t="s">
        <v>57</v>
      </c>
      <c r="S46" s="24"/>
      <c r="T46" s="12"/>
      <c r="U46" s="1"/>
      <c r="V46" s="1"/>
    </row>
    <row r="47" spans="1:22">
      <c r="A47" s="298" t="s">
        <v>60</v>
      </c>
      <c r="B47" s="298"/>
      <c r="C47" s="313">
        <f>+'% distribution trends'!AG43</f>
        <v>14.37295639593699</v>
      </c>
      <c r="D47" s="314">
        <f>+'% distribution trends'!BL43</f>
        <v>23.144086438691097</v>
      </c>
      <c r="E47" s="315">
        <f>+'% distribution trends'!CQ43</f>
        <v>39.390552528661388</v>
      </c>
      <c r="F47" s="333">
        <f>+'% distribution trends'!DV43</f>
        <v>28.923413937389025</v>
      </c>
      <c r="G47" s="333">
        <f>+'% distribution trends'!FA43</f>
        <v>19.78291583754374</v>
      </c>
      <c r="H47" s="333">
        <f>+'% distribution trends'!GF43</f>
        <v>3.8670005644826104</v>
      </c>
      <c r="I47" s="315">
        <f>+'% distribution trends'!HK43</f>
        <v>8.0361171319232447</v>
      </c>
      <c r="J47" s="312"/>
      <c r="K47" s="315">
        <f>+'% distribution trends'!AG43-'% distribution trends'!AB43</f>
        <v>2.308922317515675</v>
      </c>
      <c r="L47" s="312">
        <f>+'% distribution trends'!BL43-'% distribution trends'!BG43</f>
        <v>-3.9355075242558719</v>
      </c>
      <c r="M47" s="333">
        <f>+'% distribution trends'!CQ43-'% distribution trends'!CL43</f>
        <v>-1.5851641396403267</v>
      </c>
      <c r="N47" s="333">
        <f>+'% distribution trends'!DV43-'% distribution trends'!DQ43</f>
        <v>3.7542710341472549</v>
      </c>
      <c r="O47" s="333">
        <f>+'% distribution trends'!FA43-'% distribution trends'!EV43</f>
        <v>-1.6021640404765911</v>
      </c>
      <c r="P47" s="315">
        <f>+'% distribution trends'!GF43-'% distribution trends'!GA43</f>
        <v>-0.64011047168440305</v>
      </c>
      <c r="Q47" s="315">
        <f>+'% distribution trends'!HK43-'% distribution trends'!HF43</f>
        <v>7.316761765408053E-2</v>
      </c>
      <c r="R47" s="230" t="s">
        <v>60</v>
      </c>
      <c r="S47" s="24"/>
      <c r="T47" s="12"/>
      <c r="U47" s="1"/>
      <c r="V47" s="1"/>
    </row>
    <row r="48" spans="1:22" ht="12" customHeight="1">
      <c r="A48" s="298" t="s">
        <v>61</v>
      </c>
      <c r="B48" s="298"/>
      <c r="C48" s="313">
        <f>+'% distribution trends'!AG44</f>
        <v>9.0233567308109794</v>
      </c>
      <c r="D48" s="314">
        <f>+'% distribution trends'!BL44</f>
        <v>20.730820266657719</v>
      </c>
      <c r="E48" s="315">
        <f>+'% distribution trends'!CQ44</f>
        <v>32.221119406985807</v>
      </c>
      <c r="F48" s="333">
        <f>+'% distribution trends'!DV44</f>
        <v>33.642189408177806</v>
      </c>
      <c r="G48" s="333">
        <f>+'% distribution trends'!FA44</f>
        <v>22.539967394724037</v>
      </c>
      <c r="H48" s="333">
        <f>+'% distribution trends'!GF44</f>
        <v>4.2932759483106571</v>
      </c>
      <c r="I48" s="315">
        <f>+'% distribution trends'!HK44</f>
        <v>7.3034478418016775</v>
      </c>
      <c r="J48" s="312"/>
      <c r="K48" s="315">
        <f>+'% distribution trends'!AG44-'% distribution trends'!AB44</f>
        <v>6.4953255246690489E-2</v>
      </c>
      <c r="L48" s="312">
        <f>+'% distribution trends'!BL44-'% distribution trends'!BG44</f>
        <v>-1.8932389805084107</v>
      </c>
      <c r="M48" s="333">
        <f>+'% distribution trends'!CQ44-'% distribution trends'!CL44</f>
        <v>-2.3111856543733396</v>
      </c>
      <c r="N48" s="333">
        <f>+'% distribution trends'!DV44-'% distribution trends'!DQ44</f>
        <v>3.8543816025284308</v>
      </c>
      <c r="O48" s="333">
        <f>+'% distribution trends'!FA44-'% distribution trends'!EV44</f>
        <v>-1.022706368770784</v>
      </c>
      <c r="P48" s="315">
        <f>+'% distribution trends'!GF44-'% distribution trends'!GA44</f>
        <v>-0.56495952304623387</v>
      </c>
      <c r="Q48" s="315">
        <f>+'% distribution trends'!HK44-'% distribution trends'!HF44</f>
        <v>4.4469943661915146E-2</v>
      </c>
      <c r="R48" s="230" t="s">
        <v>61</v>
      </c>
      <c r="S48" s="24"/>
      <c r="T48" s="12"/>
      <c r="U48" s="1"/>
      <c r="V48" s="1"/>
    </row>
    <row r="49" spans="1:22">
      <c r="A49" s="298" t="s">
        <v>62</v>
      </c>
      <c r="B49" s="298"/>
      <c r="C49" s="313">
        <f>+'% distribution trends'!AG45</f>
        <v>10.003822470743552</v>
      </c>
      <c r="D49" s="314">
        <f>+'% distribution trends'!BL45</f>
        <v>22.151811177264346</v>
      </c>
      <c r="E49" s="315">
        <f>+'% distribution trends'!CQ45</f>
        <v>34.430293939585567</v>
      </c>
      <c r="F49" s="333">
        <f>+'% distribution trends'!DV45</f>
        <v>31.550236237269726</v>
      </c>
      <c r="G49" s="333">
        <f>+'% distribution trends'!FA45</f>
        <v>21.925756518333557</v>
      </c>
      <c r="H49" s="333">
        <f>+'% distribution trends'!GF45</f>
        <v>3.4993776801320395</v>
      </c>
      <c r="I49" s="315">
        <f>+'% distribution trends'!HK45</f>
        <v>8.5943356246791041</v>
      </c>
      <c r="J49" s="312"/>
      <c r="K49" s="315">
        <f>+'% distribution trends'!AG45-'% distribution trends'!AB45</f>
        <v>0.93653426128111228</v>
      </c>
      <c r="L49" s="312">
        <f>+'% distribution trends'!BL45-'% distribution trends'!BG45</f>
        <v>-2.2173789997623246</v>
      </c>
      <c r="M49" s="333">
        <f>+'% distribution trends'!CQ45-'% distribution trends'!CL45</f>
        <v>-1.0544523803715293</v>
      </c>
      <c r="N49" s="333">
        <f>+'% distribution trends'!DV45-'% distribution trends'!DQ45</f>
        <v>4.9454737034374929</v>
      </c>
      <c r="O49" s="333">
        <f>+'% distribution trends'!FA45-'% distribution trends'!EV45</f>
        <v>-1.6250444783711373</v>
      </c>
      <c r="P49" s="315">
        <f>+'% distribution trends'!GF45-'% distribution trends'!GA45</f>
        <v>-0.5020951475051838</v>
      </c>
      <c r="Q49" s="315">
        <f>+'% distribution trends'!HK45-'% distribution trends'!HF45</f>
        <v>-1.7638816971896478</v>
      </c>
      <c r="R49" s="230" t="s">
        <v>62</v>
      </c>
      <c r="S49" s="24"/>
      <c r="T49" s="12"/>
      <c r="U49" s="1"/>
      <c r="V49" s="1"/>
    </row>
    <row r="50" spans="1:22">
      <c r="A50" s="298" t="s">
        <v>64</v>
      </c>
      <c r="B50" s="298"/>
      <c r="C50" s="313">
        <f>+'% distribution trends'!AG46</f>
        <v>12.752987087770418</v>
      </c>
      <c r="D50" s="314">
        <f>+'% distribution trends'!BL46</f>
        <v>25.304178043086551</v>
      </c>
      <c r="E50" s="315">
        <f>+'% distribution trends'!CQ46</f>
        <v>40.226870923242288</v>
      </c>
      <c r="F50" s="333">
        <f>+'% distribution trends'!DV46</f>
        <v>25.232698659268614</v>
      </c>
      <c r="G50" s="333">
        <f>+'% distribution trends'!FA46</f>
        <v>23.131662167963405</v>
      </c>
      <c r="H50" s="333">
        <f>+'% distribution trends'!GF46</f>
        <v>3.8689406920301552</v>
      </c>
      <c r="I50" s="315">
        <f>+'% distribution trends'!HK46</f>
        <v>7.5398275574955331</v>
      </c>
      <c r="J50" s="312"/>
      <c r="K50" s="315">
        <f>+'% distribution trends'!AG46-'% distribution trends'!AB46</f>
        <v>0.84021197656061553</v>
      </c>
      <c r="L50" s="312">
        <f>+'% distribution trends'!BL46-'% distribution trends'!BG46</f>
        <v>1.1356922104868268</v>
      </c>
      <c r="M50" s="333">
        <f>+'% distribution trends'!CQ46-'% distribution trends'!CL46</f>
        <v>2.2818333040154357</v>
      </c>
      <c r="N50" s="333">
        <f>+'% distribution trends'!DV46-'% distribution trends'!DQ46</f>
        <v>-1.4122058136821458</v>
      </c>
      <c r="O50" s="333">
        <f>+'% distribution trends'!FA46-'% distribution trends'!EV46</f>
        <v>-0.53610337622423998</v>
      </c>
      <c r="P50" s="315">
        <f>+'% distribution trends'!GF46-'% distribution trends'!GA46</f>
        <v>-0.28749952227688347</v>
      </c>
      <c r="Q50" s="315">
        <f>+'% distribution trends'!HK46-'% distribution trends'!HF46</f>
        <v>-4.6024591832167339E-2</v>
      </c>
      <c r="R50" s="230" t="s">
        <v>64</v>
      </c>
      <c r="S50" s="24"/>
      <c r="T50" s="12"/>
      <c r="U50" s="1"/>
      <c r="V50" s="1"/>
    </row>
    <row r="51" spans="1:22">
      <c r="A51" s="297" t="s">
        <v>70</v>
      </c>
      <c r="B51" s="297"/>
      <c r="C51" s="316">
        <f>+'% distribution trends'!AG47</f>
        <v>12.982540528612304</v>
      </c>
      <c r="D51" s="317">
        <f>+'% distribution trends'!BL47</f>
        <v>18.162890616818842</v>
      </c>
      <c r="E51" s="318">
        <f>+'% distribution trends'!CQ47</f>
        <v>32.831584528965706</v>
      </c>
      <c r="F51" s="334">
        <f>+'% distribution trends'!DV47</f>
        <v>16.449524208981046</v>
      </c>
      <c r="G51" s="334">
        <f>+'% distribution trends'!FA47</f>
        <v>35.02237168580524</v>
      </c>
      <c r="H51" s="334">
        <f>+'% distribution trends'!GF47</f>
        <v>3.9776647924077606</v>
      </c>
      <c r="I51" s="318">
        <f>+'% distribution trends'!HK47</f>
        <v>11.718854783840234</v>
      </c>
      <c r="J51" s="312"/>
      <c r="K51" s="318">
        <f>+'% distribution trends'!AG47-'% distribution trends'!AB47</f>
        <v>-2.0885935168143579</v>
      </c>
      <c r="L51" s="319">
        <f>+'% distribution trends'!BL47-'% distribution trends'!BG47</f>
        <v>-2.3485973447059969</v>
      </c>
      <c r="M51" s="334">
        <f>+'% distribution trends'!CQ47-'% distribution trends'!CL47</f>
        <v>-4.2654354782365616</v>
      </c>
      <c r="N51" s="334">
        <f>+'% distribution trends'!DV47-'% distribution trends'!DQ47</f>
        <v>-1.537073485869751</v>
      </c>
      <c r="O51" s="334">
        <f>+'% distribution trends'!FA47-'% distribution trends'!EV47</f>
        <v>6.3284948412784772</v>
      </c>
      <c r="P51" s="318">
        <f>+'% distribution trends'!GF47-'% distribution trends'!GA47</f>
        <v>-0.97685239573407401</v>
      </c>
      <c r="Q51" s="318">
        <f>+'% distribution trends'!HK47-'% distribution trends'!HF47</f>
        <v>0.45086651856189874</v>
      </c>
      <c r="R51" s="304" t="s">
        <v>70</v>
      </c>
      <c r="S51" s="24"/>
      <c r="T51" s="12"/>
      <c r="U51" s="1"/>
      <c r="V51" s="1"/>
    </row>
    <row r="52" spans="1:22">
      <c r="A52" s="297" t="s">
        <v>71</v>
      </c>
      <c r="B52" s="297"/>
      <c r="C52" s="316">
        <f>+'% distribution trends'!AG48</f>
        <v>9.5148043312580004</v>
      </c>
      <c r="D52" s="317">
        <f>+'% distribution trends'!BL48</f>
        <v>24.52501709235678</v>
      </c>
      <c r="E52" s="318">
        <f>+'% distribution trends'!CQ48</f>
        <v>36.072383005806294</v>
      </c>
      <c r="F52" s="334">
        <f>+'% distribution trends'!DV48</f>
        <v>31.138123588309785</v>
      </c>
      <c r="G52" s="334">
        <f>+'% distribution trends'!FA48</f>
        <v>21.20251054058744</v>
      </c>
      <c r="H52" s="334">
        <f>+'% distribution trends'!GF48</f>
        <v>5.4564968924687829</v>
      </c>
      <c r="I52" s="318">
        <f>+'% distribution trends'!HK48</f>
        <v>6.1304859728276968</v>
      </c>
      <c r="J52" s="312"/>
      <c r="K52" s="318">
        <f>+'% distribution trends'!AG48-'% distribution trends'!AB48</f>
        <v>0.68143175009023338</v>
      </c>
      <c r="L52" s="319">
        <f>+'% distribution trends'!BL48-'% distribution trends'!BG48</f>
        <v>0.18111163183213463</v>
      </c>
      <c r="M52" s="334">
        <f>+'% distribution trends'!CQ48-'% distribution trends'!CL48</f>
        <v>0.16446373712624762</v>
      </c>
      <c r="N52" s="334">
        <f>+'% distribution trends'!DV48-'% distribution trends'!DQ48</f>
        <v>1.9283884728296741</v>
      </c>
      <c r="O52" s="334">
        <f>+'% distribution trends'!FA48-'% distribution trends'!EV48</f>
        <v>-0.2748428687509481</v>
      </c>
      <c r="P52" s="318">
        <f>+'% distribution trends'!GF48-'% distribution trends'!GA48</f>
        <v>-0.39245029174992752</v>
      </c>
      <c r="Q52" s="318">
        <f>+'% distribution trends'!HK48-'% distribution trends'!HF48</f>
        <v>-1.4255590494550399</v>
      </c>
      <c r="R52" s="304" t="s">
        <v>71</v>
      </c>
      <c r="S52" s="24"/>
      <c r="T52" s="12"/>
      <c r="U52" s="1"/>
      <c r="V52" s="1"/>
    </row>
    <row r="53" spans="1:22">
      <c r="A53" s="297" t="s">
        <v>75</v>
      </c>
      <c r="B53" s="297"/>
      <c r="C53" s="316">
        <f>+'% distribution trends'!AG49</f>
        <v>10.505025207169529</v>
      </c>
      <c r="D53" s="317">
        <f>+'% distribution trends'!BL49</f>
        <v>20.608889432329754</v>
      </c>
      <c r="E53" s="318">
        <f>+'% distribution trends'!CQ49</f>
        <v>33.214785277662408</v>
      </c>
      <c r="F53" s="334">
        <f>+'% distribution trends'!DV49</f>
        <v>20.415889613610265</v>
      </c>
      <c r="G53" s="334">
        <f>+'% distribution trends'!FA49</f>
        <v>33.236715957700341</v>
      </c>
      <c r="H53" s="334">
        <f>+'% distribution trends'!GF49</f>
        <v>5.6403479930149638</v>
      </c>
      <c r="I53" s="318">
        <f>+'% distribution trends'!HK49</f>
        <v>7.492261158012024</v>
      </c>
      <c r="J53" s="312"/>
      <c r="K53" s="318">
        <f>+'% distribution trends'!AG49-'% distribution trends'!AB49</f>
        <v>1.109319824294424</v>
      </c>
      <c r="L53" s="319">
        <f>+'% distribution trends'!BL49-'% distribution trends'!BG49</f>
        <v>-0.79864091270482618</v>
      </c>
      <c r="M53" s="334">
        <f>+'% distribution trends'!CQ49-'% distribution trends'!CL49</f>
        <v>0.24292039334629578</v>
      </c>
      <c r="N53" s="334">
        <f>+'% distribution trends'!DV49-'% distribution trends'!DQ49</f>
        <v>-0.34954189746111552</v>
      </c>
      <c r="O53" s="334">
        <f>+'% distribution trends'!FA49-'% distribution trends'!EV49</f>
        <v>0.65100192556251812</v>
      </c>
      <c r="P53" s="318">
        <f>+'% distribution trends'!GF49-'% distribution trends'!GA49</f>
        <v>-8.6520877062136847E-2</v>
      </c>
      <c r="Q53" s="318">
        <f>+'% distribution trends'!HK49-'% distribution trends'!HF49</f>
        <v>-0.4578595443855642</v>
      </c>
      <c r="R53" s="304" t="s">
        <v>75</v>
      </c>
      <c r="S53" s="24"/>
      <c r="T53" s="12"/>
      <c r="U53" s="1"/>
      <c r="V53" s="1"/>
    </row>
    <row r="54" spans="1:22">
      <c r="A54" s="297" t="s">
        <v>79</v>
      </c>
      <c r="B54" s="297"/>
      <c r="C54" s="324">
        <f>+'% distribution trends'!AG50</f>
        <v>13.143786071293279</v>
      </c>
      <c r="D54" s="317">
        <f>+'% distribution trends'!BL50</f>
        <v>21.433757245465742</v>
      </c>
      <c r="E54" s="318">
        <f>+'% distribution trends'!CQ50</f>
        <v>36.550165498058234</v>
      </c>
      <c r="F54" s="336">
        <f>+'% distribution trends'!DV50</f>
        <v>27.828144370543008</v>
      </c>
      <c r="G54" s="336">
        <f>+'% distribution trends'!FA50</f>
        <v>23.798353133260292</v>
      </c>
      <c r="H54" s="334">
        <f>+'% distribution trends'!GF50</f>
        <v>4.0095753921434945</v>
      </c>
      <c r="I54" s="326">
        <f>+'% distribution trends'!HK50</f>
        <v>7.8137616059949764</v>
      </c>
      <c r="J54" s="312"/>
      <c r="K54" s="326">
        <f>+'% distribution trends'!AG50-'% distribution trends'!AB50</f>
        <v>1.2285487529595898</v>
      </c>
      <c r="L54" s="319">
        <f>+'% distribution trends'!BL50-'% distribution trends'!BG50</f>
        <v>-2.1444225720897734</v>
      </c>
      <c r="M54" s="336">
        <f>+'% distribution trends'!CQ50-'% distribution trends'!CL50</f>
        <v>-0.77614316955754248</v>
      </c>
      <c r="N54" s="336">
        <f>+'% distribution trends'!DV50-'% distribution trends'!DQ50</f>
        <v>2.5187694292778957</v>
      </c>
      <c r="O54" s="336">
        <f>+'% distribution trends'!FA50-'% distribution trends'!EV50</f>
        <v>-0.75248999531302374</v>
      </c>
      <c r="P54" s="336">
        <f>+'% distribution trends'!GF50-'% distribution trends'!GA50</f>
        <v>-0.28230890798943697</v>
      </c>
      <c r="Q54" s="326">
        <f>+'% distribution trends'!HK50-'% distribution trends'!HF50</f>
        <v>-0.70782735641788186</v>
      </c>
      <c r="R54" s="304" t="s">
        <v>79</v>
      </c>
      <c r="S54" s="24"/>
      <c r="T54" s="12"/>
      <c r="U54" s="1"/>
      <c r="V54" s="1"/>
    </row>
    <row r="55" spans="1:22">
      <c r="A55" s="302" t="s">
        <v>138</v>
      </c>
      <c r="B55" s="302"/>
      <c r="C55" s="313">
        <f>+'% distribution trends'!AG51</f>
        <v>7.0742657432881995</v>
      </c>
      <c r="D55" s="328">
        <f>+'% distribution trends'!BL51</f>
        <v>23.94459242249081</v>
      </c>
      <c r="E55" s="329">
        <f>+'% distribution trends'!CQ51</f>
        <v>32.866891338952108</v>
      </c>
      <c r="F55" s="333">
        <f>+'% distribution trends'!DV51</f>
        <v>28.776173141256518</v>
      </c>
      <c r="G55" s="333">
        <f>+'% distribution trends'!FA51</f>
        <v>20.81010646511675</v>
      </c>
      <c r="H55" s="337">
        <f>+'% distribution trends'!GF51</f>
        <v>4.5622557488535209</v>
      </c>
      <c r="I55" s="315">
        <f>+'% distribution trends'!HK51</f>
        <v>12.984573305821101</v>
      </c>
      <c r="J55" s="312"/>
      <c r="K55" s="315">
        <f>+'% distribution trends'!AG51-'% distribution trends'!AB51</f>
        <v>0.67866729623666</v>
      </c>
      <c r="L55" s="327">
        <f>+'% distribution trends'!BL51-'% distribution trends'!BG51</f>
        <v>-1.2323421490683977</v>
      </c>
      <c r="M55" s="333">
        <f>+'% distribution trends'!CQ51-'% distribution trends'!CL51</f>
        <v>-0.60499161070508478</v>
      </c>
      <c r="N55" s="333">
        <f>+'% distribution trends'!DV51-'% distribution trends'!DQ51</f>
        <v>1.0846803919288881</v>
      </c>
      <c r="O55" s="333">
        <f>+'% distribution trends'!FA51-'% distribution trends'!EV51</f>
        <v>-0.15458204727505276</v>
      </c>
      <c r="P55" s="315">
        <f>+'% distribution trends'!GF51-'% distribution trends'!GA51</f>
        <v>-0.35582772361997073</v>
      </c>
      <c r="Q55" s="315">
        <f>+'% distribution trends'!HK51-'% distribution trends'!HF51</f>
        <v>3.072098967123793E-2</v>
      </c>
      <c r="R55" s="306" t="s">
        <v>138</v>
      </c>
      <c r="S55" s="24"/>
      <c r="T55" s="12"/>
      <c r="U55" s="1"/>
      <c r="V55" s="1"/>
    </row>
    <row r="56" spans="1:22">
      <c r="A56" s="298"/>
      <c r="B56" s="298"/>
      <c r="C56" s="320"/>
      <c r="D56" s="321"/>
      <c r="E56" s="322"/>
      <c r="F56" s="335"/>
      <c r="G56" s="335"/>
      <c r="H56" s="335"/>
      <c r="I56" s="322"/>
      <c r="J56" s="312"/>
      <c r="K56" s="322"/>
      <c r="L56" s="323"/>
      <c r="M56" s="335"/>
      <c r="N56" s="335"/>
      <c r="O56" s="335"/>
      <c r="P56" s="322"/>
      <c r="Q56" s="322"/>
      <c r="R56" s="230"/>
      <c r="S56" s="24"/>
      <c r="T56" s="12"/>
      <c r="U56" s="1"/>
      <c r="V56" s="1"/>
    </row>
    <row r="57" spans="1:22">
      <c r="A57" s="297" t="s">
        <v>51</v>
      </c>
      <c r="B57" s="297"/>
      <c r="C57" s="316">
        <f>+'% distribution trends'!AG53</f>
        <v>7.5778484056762423</v>
      </c>
      <c r="D57" s="317">
        <f>+'% distribution trends'!BL53</f>
        <v>26.157111438170183</v>
      </c>
      <c r="E57" s="318">
        <f>+'% distribution trends'!CQ53</f>
        <v>36.118380850449533</v>
      </c>
      <c r="F57" s="334">
        <f>+'% distribution trends'!DV53</f>
        <v>25.160431435577401</v>
      </c>
      <c r="G57" s="334">
        <f>+'% distribution trends'!FA53</f>
        <v>19.242092968073493</v>
      </c>
      <c r="H57" s="334">
        <f>+'% distribution trends'!GF53</f>
        <v>5.2008133522338156</v>
      </c>
      <c r="I57" s="318">
        <f>+'% distribution trends'!HK53</f>
        <v>14.278281393665763</v>
      </c>
      <c r="J57" s="312"/>
      <c r="K57" s="318">
        <f>+'% distribution trends'!AG53-'% distribution trends'!AB53</f>
        <v>0.14593872075752135</v>
      </c>
      <c r="L57" s="319">
        <f>+'% distribution trends'!BL53-'% distribution trends'!BG53</f>
        <v>-1.8712546831070469</v>
      </c>
      <c r="M57" s="334">
        <f>+'% distribution trends'!CQ53-'% distribution trends'!CL53</f>
        <v>-2.0361234557200021</v>
      </c>
      <c r="N57" s="334">
        <f>+'% distribution trends'!DV53-'% distribution trends'!DQ53</f>
        <v>1.145873236243137</v>
      </c>
      <c r="O57" s="334">
        <f>+'% distribution trends'!FA53-'% distribution trends'!EV53</f>
        <v>0.77205298850358162</v>
      </c>
      <c r="P57" s="318">
        <f>+'% distribution trends'!GF53-'% distribution trends'!GA53</f>
        <v>-0.71104842764959209</v>
      </c>
      <c r="Q57" s="318">
        <f>+'% distribution trends'!HK53-'% distribution trends'!HF53</f>
        <v>0.82924565862287736</v>
      </c>
      <c r="R57" s="304" t="s">
        <v>51</v>
      </c>
      <c r="S57" s="24"/>
      <c r="T57" s="12"/>
      <c r="U57" s="1"/>
      <c r="V57" s="1"/>
    </row>
    <row r="58" spans="1:22">
      <c r="A58" s="297" t="s">
        <v>58</v>
      </c>
      <c r="B58" s="297"/>
      <c r="C58" s="316">
        <f>+'% distribution trends'!AG54</f>
        <v>7.0820327464139288</v>
      </c>
      <c r="D58" s="317">
        <f>+'% distribution trends'!BL54</f>
        <v>20.770047956186776</v>
      </c>
      <c r="E58" s="318">
        <f>+'% distribution trends'!CQ54</f>
        <v>30.124749932605955</v>
      </c>
      <c r="F58" s="334">
        <f>+'% distribution trends'!DV54</f>
        <v>32.911360863211364</v>
      </c>
      <c r="G58" s="334">
        <f>+'% distribution trends'!FA54</f>
        <v>22.727055873214059</v>
      </c>
      <c r="H58" s="334">
        <f>+'% distribution trends'!GF54</f>
        <v>4.4306266937188745</v>
      </c>
      <c r="I58" s="318">
        <f>+'% distribution trends'!HK54</f>
        <v>9.8062066372497565</v>
      </c>
      <c r="J58" s="312"/>
      <c r="K58" s="318">
        <f>+'% distribution trends'!AG54-'% distribution trends'!AB54</f>
        <v>-0.39518923731701161</v>
      </c>
      <c r="L58" s="319">
        <f>+'% distribution trends'!BL54-'% distribution trends'!BG54</f>
        <v>-0.98365101709002545</v>
      </c>
      <c r="M58" s="334">
        <f>+'% distribution trends'!CQ54-'% distribution trends'!CL54</f>
        <v>-0.92980416944520172</v>
      </c>
      <c r="N58" s="334">
        <f>+'% distribution trends'!DV54-'% distribution trends'!DQ54</f>
        <v>2.1141586277516069</v>
      </c>
      <c r="O58" s="334">
        <f>+'% distribution trends'!FA54-'% distribution trends'!EV54</f>
        <v>0.96047240565067327</v>
      </c>
      <c r="P58" s="318">
        <f>+'% distribution trends'!GF54-'% distribution trends'!GA54</f>
        <v>-0.63414274441974516</v>
      </c>
      <c r="Q58" s="318">
        <f>+'% distribution trends'!HK54-'% distribution trends'!HF54</f>
        <v>-1.5106841195373182</v>
      </c>
      <c r="R58" s="304" t="s">
        <v>58</v>
      </c>
      <c r="S58" s="24"/>
      <c r="T58" s="12"/>
      <c r="U58" s="1"/>
      <c r="V58" s="1"/>
    </row>
    <row r="59" spans="1:22">
      <c r="A59" s="297" t="s">
        <v>59</v>
      </c>
      <c r="B59" s="297"/>
      <c r="C59" s="316">
        <f>+'% distribution trends'!AG55</f>
        <v>7.9571521755937322</v>
      </c>
      <c r="D59" s="317">
        <f>+'% distribution trends'!BL55</f>
        <v>21.349680121839899</v>
      </c>
      <c r="E59" s="318">
        <f>+'% distribution trends'!CQ55</f>
        <v>31.308281442979474</v>
      </c>
      <c r="F59" s="334">
        <f>+'% distribution trends'!DV55</f>
        <v>28.127728918354578</v>
      </c>
      <c r="G59" s="334">
        <f>+'% distribution trends'!FA55</f>
        <v>20.414282956074558</v>
      </c>
      <c r="H59" s="334">
        <f>+'% distribution trends'!GF55</f>
        <v>4.0158438278117536</v>
      </c>
      <c r="I59" s="318">
        <f>+'% distribution trends'!HK55</f>
        <v>16.133862854779625</v>
      </c>
      <c r="J59" s="312"/>
      <c r="K59" s="318">
        <f>+'% distribution trends'!AG55-'% distribution trends'!AB55</f>
        <v>1.1755655289372866</v>
      </c>
      <c r="L59" s="319">
        <f>+'% distribution trends'!BL55-'% distribution trends'!BG55</f>
        <v>-0.75646642946942322</v>
      </c>
      <c r="M59" s="334">
        <f>+'% distribution trends'!CQ55-'% distribution trends'!CL55</f>
        <v>8.1806678540356614E-2</v>
      </c>
      <c r="N59" s="334">
        <f>+'% distribution trends'!DV55-'% distribution trends'!DQ55</f>
        <v>0.9932764637835092</v>
      </c>
      <c r="O59" s="334">
        <f>+'% distribution trends'!FA55-'% distribution trends'!EV55</f>
        <v>7.3315031581770995E-2</v>
      </c>
      <c r="P59" s="318">
        <f>+'% distribution trends'!GF55-'% distribution trends'!GA55</f>
        <v>-0.6501332572090055</v>
      </c>
      <c r="Q59" s="318">
        <f>+'% distribution trends'!HK55-'% distribution trends'!HF55</f>
        <v>-0.49826491669664108</v>
      </c>
      <c r="R59" s="304" t="s">
        <v>59</v>
      </c>
      <c r="S59" s="24"/>
      <c r="T59" s="12"/>
      <c r="U59" s="1"/>
      <c r="V59" s="1"/>
    </row>
    <row r="60" spans="1:22">
      <c r="A60" s="297" t="s">
        <v>66</v>
      </c>
      <c r="B60" s="297"/>
      <c r="C60" s="316">
        <f>+'% distribution trends'!AG56</f>
        <v>9.2454841636156466</v>
      </c>
      <c r="D60" s="317">
        <f>+'% distribution trends'!BL56</f>
        <v>27.49819440293313</v>
      </c>
      <c r="E60" s="318">
        <f>+'% distribution trends'!CQ56</f>
        <v>38.76966461389523</v>
      </c>
      <c r="F60" s="334">
        <f>+'% distribution trends'!DV56</f>
        <v>21.125819544737396</v>
      </c>
      <c r="G60" s="334">
        <f>+'% distribution trends'!FA56</f>
        <v>21.978105210872911</v>
      </c>
      <c r="H60" s="334">
        <f>+'% distribution trends'!GF56</f>
        <v>5.093263685339469</v>
      </c>
      <c r="I60" s="318">
        <f>+'% distribution trends'!HK56</f>
        <v>13.033146945154996</v>
      </c>
      <c r="J60" s="312"/>
      <c r="K60" s="318">
        <f>+'% distribution trends'!AG56-'% distribution trends'!AB56</f>
        <v>0.21329252683127109</v>
      </c>
      <c r="L60" s="319">
        <f>+'% distribution trends'!BL56-'% distribution trends'!BG56</f>
        <v>-0.788370474432881</v>
      </c>
      <c r="M60" s="334">
        <f>+'% distribution trends'!CQ56-'% distribution trends'!CL56</f>
        <v>-0.13865381519190834</v>
      </c>
      <c r="N60" s="334">
        <f>+'% distribution trends'!DV56-'% distribution trends'!DQ56</f>
        <v>0.22094494408795029</v>
      </c>
      <c r="O60" s="334">
        <f>+'% distribution trends'!FA56-'% distribution trends'!EV56</f>
        <v>-1.4576633033062834</v>
      </c>
      <c r="P60" s="318">
        <f>+'% distribution trends'!GF56-'% distribution trends'!GA56</f>
        <v>-0.37424789179722318</v>
      </c>
      <c r="Q60" s="318">
        <f>+'% distribution trends'!HK56-'% distribution trends'!HF56</f>
        <v>1.7496200662074664</v>
      </c>
      <c r="R60" s="304" t="s">
        <v>66</v>
      </c>
      <c r="S60" s="24"/>
      <c r="T60" s="12"/>
      <c r="U60" s="1"/>
      <c r="V60" s="1"/>
    </row>
    <row r="61" spans="1:22">
      <c r="A61" s="298" t="s">
        <v>67</v>
      </c>
      <c r="B61" s="298"/>
      <c r="C61" s="313">
        <f>+'% distribution trends'!AG57</f>
        <v>7.1071613074565931</v>
      </c>
      <c r="D61" s="314">
        <f>+'% distribution trends'!BL57</f>
        <v>28.820048871210286</v>
      </c>
      <c r="E61" s="315">
        <f>+'% distribution trends'!CQ57</f>
        <v>38.460868979708728</v>
      </c>
      <c r="F61" s="333">
        <f>+'% distribution trends'!DV57</f>
        <v>23.087933403993365</v>
      </c>
      <c r="G61" s="333">
        <f>+'% distribution trends'!FA57</f>
        <v>19.879682555798418</v>
      </c>
      <c r="H61" s="333">
        <f>+'% distribution trends'!GF57</f>
        <v>4.0508623648429376</v>
      </c>
      <c r="I61" s="315">
        <f>+'% distribution trends'!HK57</f>
        <v>14.520652695656544</v>
      </c>
      <c r="J61" s="312"/>
      <c r="K61" s="315">
        <f>+'% distribution trends'!AG57-'% distribution trends'!AB57</f>
        <v>0.75560521099931499</v>
      </c>
      <c r="L61" s="312">
        <f>+'% distribution trends'!BL57-'% distribution trends'!BG57</f>
        <v>-2.7380448669965531</v>
      </c>
      <c r="M61" s="333">
        <f>+'% distribution trends'!CQ57-'% distribution trends'!CL57</f>
        <v>-1.5824741772572182</v>
      </c>
      <c r="N61" s="333">
        <f>+'% distribution trends'!DV57-'% distribution trends'!DQ57</f>
        <v>1.6985325419880404</v>
      </c>
      <c r="O61" s="333">
        <f>+'% distribution trends'!FA57-'% distribution trends'!EV57</f>
        <v>-0.22483336520759067</v>
      </c>
      <c r="P61" s="315">
        <f>+'% distribution trends'!GF57-'% distribution trends'!GA57</f>
        <v>-0.48747103026907546</v>
      </c>
      <c r="Q61" s="315">
        <f>+'% distribution trends'!HK57-'% distribution trends'!HF57</f>
        <v>0.59624603074582261</v>
      </c>
      <c r="R61" s="230" t="s">
        <v>67</v>
      </c>
      <c r="S61" s="24"/>
      <c r="T61" s="12"/>
      <c r="U61" s="1"/>
      <c r="V61" s="1"/>
    </row>
    <row r="62" spans="1:22">
      <c r="A62" s="298" t="s">
        <v>69</v>
      </c>
      <c r="B62" s="298"/>
      <c r="C62" s="313">
        <f>+'% distribution trends'!AG58</f>
        <v>5.8650783994449558</v>
      </c>
      <c r="D62" s="314">
        <f>+'% distribution trends'!BL58</f>
        <v>23.262600162256213</v>
      </c>
      <c r="E62" s="315">
        <f>+'% distribution trends'!CQ58</f>
        <v>30.423822337639013</v>
      </c>
      <c r="F62" s="333">
        <f>+'% distribution trends'!DV58</f>
        <v>30.867572058614627</v>
      </c>
      <c r="G62" s="333">
        <f>+'% distribution trends'!FA58</f>
        <v>20.383349114975978</v>
      </c>
      <c r="H62" s="333">
        <f>+'% distribution trends'!GF58</f>
        <v>4.2682995101340442</v>
      </c>
      <c r="I62" s="315">
        <f>+'% distribution trends'!HK58</f>
        <v>14.056956978636336</v>
      </c>
      <c r="J62" s="312"/>
      <c r="K62" s="315">
        <f>+'% distribution trends'!AG58-'% distribution trends'!AB58</f>
        <v>0.52801726234117652</v>
      </c>
      <c r="L62" s="312">
        <f>+'% distribution trends'!BL58-'% distribution trends'!BG58</f>
        <v>-0.16966659571397713</v>
      </c>
      <c r="M62" s="333">
        <f>+'% distribution trends'!CQ58-'% distribution trends'!CL58</f>
        <v>0.23651866430813584</v>
      </c>
      <c r="N62" s="333">
        <f>+'% distribution trends'!DV58-'% distribution trends'!DQ58</f>
        <v>0.49226711330477713</v>
      </c>
      <c r="O62" s="333">
        <f>+'% distribution trends'!FA58-'% distribution trends'!EV58</f>
        <v>-0.59610929241979704</v>
      </c>
      <c r="P62" s="315">
        <f>+'% distribution trends'!GF58-'% distribution trends'!GA58</f>
        <v>-0.36573064195985694</v>
      </c>
      <c r="Q62" s="315">
        <f>+'% distribution trends'!HK58-'% distribution trends'!HF58</f>
        <v>0.23305415676673391</v>
      </c>
      <c r="R62" s="230" t="s">
        <v>69</v>
      </c>
      <c r="S62" s="24"/>
      <c r="T62" s="12"/>
      <c r="U62" s="1"/>
      <c r="V62" s="1"/>
    </row>
    <row r="63" spans="1:22">
      <c r="A63" s="298" t="s">
        <v>73</v>
      </c>
      <c r="B63" s="298"/>
      <c r="C63" s="313">
        <f>+'% distribution trends'!AG59</f>
        <v>8.5669205451454591</v>
      </c>
      <c r="D63" s="314">
        <f>+'% distribution trends'!BL59</f>
        <v>22.563482584792254</v>
      </c>
      <c r="E63" s="315">
        <f>+'% distribution trends'!CQ59</f>
        <v>33.161449004074967</v>
      </c>
      <c r="F63" s="333">
        <f>+'% distribution trends'!DV59</f>
        <v>30.566160670846426</v>
      </c>
      <c r="G63" s="333">
        <f>+'% distribution trends'!FA59</f>
        <v>22.717003922912436</v>
      </c>
      <c r="H63" s="333">
        <f>+'% distribution trends'!GF59</f>
        <v>5.668471130913086</v>
      </c>
      <c r="I63" s="315">
        <f>+'% distribution trends'!HK59</f>
        <v>7.8869152712530894</v>
      </c>
      <c r="J63" s="312"/>
      <c r="K63" s="315">
        <f>+'% distribution trends'!AG59-'% distribution trends'!AB59</f>
        <v>1.1117790498986144</v>
      </c>
      <c r="L63" s="312">
        <f>+'% distribution trends'!BL59-'% distribution trends'!BG59</f>
        <v>-2.4299525910429445</v>
      </c>
      <c r="M63" s="333">
        <f>+'% distribution trends'!CQ59-'% distribution trends'!CL59</f>
        <v>-1.5047010567022809</v>
      </c>
      <c r="N63" s="333">
        <f>+'% distribution trends'!DV59-'% distribution trends'!DQ59</f>
        <v>1.812916868960972</v>
      </c>
      <c r="O63" s="333">
        <f>+'% distribution trends'!FA59-'% distribution trends'!EV59</f>
        <v>0.33743763452680753</v>
      </c>
      <c r="P63" s="315">
        <f>+'% distribution trends'!GF59-'% distribution trends'!GA59</f>
        <v>0.19586945019594282</v>
      </c>
      <c r="Q63" s="315">
        <f>+'% distribution trends'!HK59-'% distribution trends'!HF59</f>
        <v>-0.84152289698144145</v>
      </c>
      <c r="R63" s="230" t="s">
        <v>73</v>
      </c>
      <c r="S63" s="24"/>
      <c r="T63" s="12"/>
      <c r="U63" s="1"/>
      <c r="V63" s="1"/>
    </row>
    <row r="64" spans="1:22">
      <c r="A64" s="298" t="s">
        <v>74</v>
      </c>
      <c r="B64" s="298"/>
      <c r="C64" s="313">
        <f>+'% distribution trends'!AG60</f>
        <v>7.2486677636119143</v>
      </c>
      <c r="D64" s="314">
        <f>+'% distribution trends'!BL60</f>
        <v>23.568143274984141</v>
      </c>
      <c r="E64" s="315">
        <f>+'% distribution trends'!CQ60</f>
        <v>34.046025514019881</v>
      </c>
      <c r="F64" s="333">
        <f>+'% distribution trends'!DV60</f>
        <v>27.131414420279398</v>
      </c>
      <c r="G64" s="333">
        <f>+'% distribution trends'!FA60</f>
        <v>20.919792779817438</v>
      </c>
      <c r="H64" s="333">
        <f>+'% distribution trends'!GF60</f>
        <v>5.4028330746715101</v>
      </c>
      <c r="I64" s="315">
        <f>+'% distribution trends'!HK60</f>
        <v>12.499934211211764</v>
      </c>
      <c r="J64" s="312"/>
      <c r="K64" s="315">
        <f>+'% distribution trends'!AG60-'% distribution trends'!AB60</f>
        <v>0.65881918443439247</v>
      </c>
      <c r="L64" s="312">
        <f>+'% distribution trends'!BL60-'% distribution trends'!BG60</f>
        <v>-0.63589442679703012</v>
      </c>
      <c r="M64" s="333">
        <f>+'% distribution trends'!CQ60-'% distribution trends'!CL60</f>
        <v>0.88194168682485241</v>
      </c>
      <c r="N64" s="333">
        <f>+'% distribution trends'!DV60-'% distribution trends'!DQ60</f>
        <v>0.20671990306666999</v>
      </c>
      <c r="O64" s="333">
        <f>+'% distribution trends'!FA60-'% distribution trends'!EV60</f>
        <v>-0.70116803553191787</v>
      </c>
      <c r="P64" s="315">
        <f>+'% distribution trends'!GF60-'% distribution trends'!GA60</f>
        <v>-1.4945299397148908</v>
      </c>
      <c r="Q64" s="315">
        <f>+'% distribution trends'!HK60-'% distribution trends'!HF60</f>
        <v>1.1070363853552863</v>
      </c>
      <c r="R64" s="230" t="s">
        <v>74</v>
      </c>
      <c r="S64" s="24"/>
      <c r="T64" s="12"/>
      <c r="U64" s="1"/>
      <c r="V64" s="1"/>
    </row>
    <row r="65" spans="1:22">
      <c r="A65" s="295" t="s">
        <v>77</v>
      </c>
      <c r="B65" s="295"/>
      <c r="C65" s="308">
        <f>+'% distribution trends'!AG61</f>
        <v>11.678037601122702</v>
      </c>
      <c r="D65" s="309">
        <f>+'% distribution trends'!BL61</f>
        <v>23.68420841669872</v>
      </c>
      <c r="E65" s="338">
        <f>+'% distribution trends'!CQ61</f>
        <v>38.406577029937466</v>
      </c>
      <c r="F65" s="338">
        <f>+'% distribution trends'!DV61</f>
        <v>27.631971969028562</v>
      </c>
      <c r="G65" s="333">
        <f>+'% distribution trends'!FA61</f>
        <v>23.926500468727379</v>
      </c>
      <c r="H65" s="338">
        <f>+'% distribution trends'!GF61</f>
        <v>3.7898055522910403</v>
      </c>
      <c r="I65" s="310">
        <f>+'% distribution trends'!HK61</f>
        <v>6.2451449800155556</v>
      </c>
      <c r="J65" s="312"/>
      <c r="K65" s="310">
        <f>+'% distribution trends'!AG61-'% distribution trends'!AB61</f>
        <v>-1.8126729082525213</v>
      </c>
      <c r="L65" s="309">
        <f>+'% distribution trends'!BL61-'% distribution trends'!BG61</f>
        <v>-1.2353618203628152</v>
      </c>
      <c r="M65" s="338">
        <f>+'% distribution trends'!CQ61-'% distribution trends'!CL61</f>
        <v>-2.7668610621900314</v>
      </c>
      <c r="N65" s="338">
        <f>+'% distribution trends'!DV61-'% distribution trends'!DQ61</f>
        <v>1.1700014673387891</v>
      </c>
      <c r="O65" s="338">
        <f>+'% distribution trends'!FA61-'% distribution trends'!EV61</f>
        <v>2.5797908151453193</v>
      </c>
      <c r="P65" s="315">
        <f>+'% distribution trends'!GF61-'% distribution trends'!GA61</f>
        <v>-0.79352446180906311</v>
      </c>
      <c r="Q65" s="310">
        <f>+'% distribution trends'!HK61-'% distribution trends'!HF61</f>
        <v>-0.18940675848500899</v>
      </c>
      <c r="R65" s="229" t="s">
        <v>77</v>
      </c>
      <c r="S65" s="24"/>
      <c r="T65" s="12"/>
      <c r="U65" s="1"/>
      <c r="V65" s="1"/>
    </row>
    <row r="66" spans="1:22">
      <c r="A66" s="303" t="s">
        <v>133</v>
      </c>
      <c r="B66" s="303"/>
      <c r="C66" s="330">
        <f>+'% distribution trends'!AG62</f>
        <v>1.583671379480019</v>
      </c>
      <c r="D66" s="325">
        <f>+'% distribution trends'!BL62</f>
        <v>20.447384865596057</v>
      </c>
      <c r="E66" s="336">
        <f>+'% distribution trends'!CQ62</f>
        <v>22.639497507164151</v>
      </c>
      <c r="F66" s="336">
        <f>+'% distribution trends'!DV62</f>
        <v>33.341232352960027</v>
      </c>
      <c r="G66" s="339">
        <f>+'% distribution trends'!FA62</f>
        <v>28.25259782839818</v>
      </c>
      <c r="H66" s="336">
        <f>+'% distribution trends'!GF62</f>
        <v>4.0878959306176865</v>
      </c>
      <c r="I66" s="326">
        <f>+'% distribution trends'!HK62</f>
        <v>11.678776380859949</v>
      </c>
      <c r="J66" s="312"/>
      <c r="K66" s="326">
        <f>+'% distribution trends'!AG62-'% distribution trends'!AB62</f>
        <v>0.13282599242145432</v>
      </c>
      <c r="L66" s="325">
        <f>+'% distribution trends'!BL62-'% distribution trends'!BG62</f>
        <v>3.6647080335703386</v>
      </c>
      <c r="M66" s="336">
        <f>+'% distribution trends'!CQ62-'% distribution trends'!CL62</f>
        <v>3.87172203338244</v>
      </c>
      <c r="N66" s="336">
        <f>+'% distribution trends'!DV62-'% distribution trends'!DQ62</f>
        <v>1.494965032946368</v>
      </c>
      <c r="O66" s="336">
        <f>+'% distribution trends'!FA62-'% distribution trends'!EV62</f>
        <v>-0.68499794351682297</v>
      </c>
      <c r="P66" s="331">
        <f>+'% distribution trends'!GD62-'% distribution trends'!FY62</f>
        <v>-9.8867428523883305E-3</v>
      </c>
      <c r="Q66" s="326">
        <f>+'% distribution trends'!HK62-'% distribution trends'!HF62</f>
        <v>-2.5413314320057818</v>
      </c>
      <c r="R66" s="307" t="s">
        <v>133</v>
      </c>
      <c r="S66" s="24"/>
      <c r="T66" s="12"/>
      <c r="U66" s="1"/>
      <c r="V66" s="1"/>
    </row>
    <row r="67" spans="1:22" ht="9.75" customHeight="1">
      <c r="A67" s="16"/>
      <c r="B67" s="16"/>
      <c r="C67" s="16"/>
      <c r="D67" s="16"/>
      <c r="E67" s="16"/>
      <c r="F67" s="16"/>
      <c r="G67" s="16"/>
      <c r="H67" s="96"/>
      <c r="I67" s="96"/>
      <c r="J67" s="24"/>
      <c r="K67" s="96"/>
      <c r="L67" s="96"/>
      <c r="M67" s="96"/>
      <c r="N67" s="96"/>
      <c r="O67" s="96"/>
      <c r="P67" s="96"/>
      <c r="Q67" s="96"/>
      <c r="R67" s="29"/>
      <c r="S67" s="24"/>
      <c r="T67" s="12"/>
      <c r="U67" s="1"/>
      <c r="V67" s="1"/>
    </row>
    <row r="68" spans="1:22" s="100" customFormat="1" ht="20.25" customHeight="1">
      <c r="A68" s="153" t="s">
        <v>161</v>
      </c>
      <c r="B68" s="144"/>
      <c r="C68" s="144"/>
      <c r="D68" s="144"/>
      <c r="E68" s="144"/>
      <c r="J68" s="105"/>
      <c r="R68" s="150"/>
      <c r="S68" s="99"/>
      <c r="T68" s="196"/>
      <c r="U68" s="101"/>
      <c r="V68" s="101"/>
    </row>
    <row r="69" spans="1:22" s="100" customFormat="1" ht="25.5" customHeight="1">
      <c r="A69" s="153" t="s">
        <v>160</v>
      </c>
      <c r="B69" s="154"/>
      <c r="C69" s="154"/>
      <c r="D69" s="154"/>
      <c r="E69" s="154"/>
      <c r="J69" s="105"/>
      <c r="R69" s="150"/>
      <c r="S69" s="99"/>
      <c r="T69" s="196"/>
      <c r="U69" s="101"/>
      <c r="V69" s="101"/>
    </row>
    <row r="70" spans="1:22" s="100" customFormat="1" ht="50.25" customHeight="1">
      <c r="A70" s="476" t="s">
        <v>159</v>
      </c>
      <c r="B70" s="477"/>
      <c r="C70" s="477"/>
      <c r="D70" s="477"/>
      <c r="E70" s="477"/>
      <c r="F70" s="473"/>
      <c r="G70" s="473"/>
      <c r="H70" s="473"/>
      <c r="I70" s="473"/>
      <c r="J70" s="105"/>
      <c r="R70" s="150"/>
      <c r="S70" s="105"/>
      <c r="T70" s="196"/>
      <c r="U70" s="101"/>
      <c r="V70" s="101"/>
    </row>
    <row r="71" spans="1:22" s="100" customFormat="1" ht="36.75" customHeight="1">
      <c r="A71" s="476" t="s">
        <v>162</v>
      </c>
      <c r="B71" s="477"/>
      <c r="C71" s="477"/>
      <c r="D71" s="477"/>
      <c r="E71" s="477"/>
      <c r="F71" s="473"/>
      <c r="G71" s="473"/>
      <c r="H71" s="473"/>
      <c r="I71" s="473"/>
      <c r="J71" s="107"/>
      <c r="K71" s="106"/>
      <c r="L71" s="106"/>
      <c r="M71" s="106"/>
      <c r="N71" s="106"/>
      <c r="O71" s="106"/>
      <c r="P71" s="106"/>
      <c r="Q71" s="106"/>
      <c r="R71" s="151"/>
      <c r="S71" s="57"/>
      <c r="T71" s="197"/>
      <c r="U71" s="101"/>
      <c r="V71" s="101"/>
    </row>
    <row r="72" spans="1:22" s="100" customFormat="1" ht="28.5" customHeight="1">
      <c r="A72" s="108" t="s">
        <v>42</v>
      </c>
      <c r="B72" s="471" t="s">
        <v>163</v>
      </c>
      <c r="C72" s="472"/>
      <c r="D72" s="472"/>
      <c r="E72" s="472"/>
      <c r="F72" s="473"/>
      <c r="G72" s="473"/>
      <c r="H72" s="473"/>
      <c r="I72" s="473"/>
      <c r="J72" s="103"/>
      <c r="K72" s="102"/>
      <c r="L72" s="102"/>
      <c r="M72" s="102"/>
      <c r="N72" s="102"/>
      <c r="O72" s="102"/>
      <c r="P72" s="102"/>
      <c r="Q72" s="102"/>
      <c r="R72" s="152"/>
      <c r="S72" s="103"/>
      <c r="T72" s="197"/>
      <c r="U72" s="101"/>
      <c r="V72" s="101"/>
    </row>
    <row r="73" spans="1:22" s="100" customFormat="1" ht="12" customHeight="1">
      <c r="A73" s="104"/>
      <c r="D73" s="102"/>
      <c r="E73" s="102"/>
      <c r="F73" s="102"/>
      <c r="G73" s="104"/>
      <c r="H73" s="102"/>
      <c r="I73" s="102"/>
      <c r="J73" s="103"/>
      <c r="K73" s="102"/>
      <c r="L73" s="102"/>
      <c r="M73" s="102"/>
      <c r="N73" s="102"/>
      <c r="O73" s="102"/>
      <c r="P73" s="102"/>
      <c r="Q73" s="102"/>
      <c r="R73" s="186" t="s">
        <v>156</v>
      </c>
      <c r="S73" s="103"/>
      <c r="T73" s="197" t="s">
        <v>157</v>
      </c>
      <c r="U73" s="101"/>
      <c r="V73" s="101"/>
    </row>
    <row r="74" spans="1:22" s="100" customFormat="1">
      <c r="B74" s="101"/>
      <c r="C74" s="101"/>
      <c r="D74" s="101"/>
      <c r="E74" s="101"/>
      <c r="F74" s="101"/>
      <c r="G74" s="101"/>
      <c r="H74" s="101"/>
      <c r="I74" s="101"/>
      <c r="J74" s="56"/>
      <c r="K74" s="101"/>
      <c r="L74" s="101"/>
      <c r="M74" s="101"/>
      <c r="N74" s="101"/>
      <c r="O74" s="101"/>
      <c r="P74" s="101"/>
      <c r="Q74" s="101"/>
      <c r="R74" s="150"/>
      <c r="S74" s="56"/>
      <c r="T74" s="197"/>
      <c r="U74" s="101"/>
      <c r="V74" s="101"/>
    </row>
    <row r="75" spans="1:22" ht="55.5" customHeight="1">
      <c r="A75" s="8"/>
      <c r="B75" s="478"/>
      <c r="C75" s="479"/>
      <c r="D75" s="479"/>
      <c r="E75" s="479"/>
      <c r="F75" s="480"/>
      <c r="G75" s="480"/>
      <c r="H75" s="480"/>
      <c r="I75" s="480"/>
      <c r="J75" s="450"/>
      <c r="K75" s="474"/>
      <c r="L75" s="475"/>
      <c r="M75" s="475"/>
      <c r="N75" s="475"/>
      <c r="O75" s="475"/>
      <c r="P75" s="475"/>
      <c r="Q75" s="475"/>
      <c r="R75" s="475"/>
      <c r="S75" s="450"/>
      <c r="T75" s="448"/>
      <c r="U75" s="1"/>
      <c r="V75" s="1"/>
    </row>
    <row r="76" spans="1:22">
      <c r="A76" s="8"/>
      <c r="B76" s="471"/>
      <c r="C76" s="472"/>
      <c r="D76" s="472"/>
      <c r="E76" s="472"/>
      <c r="F76" s="473"/>
      <c r="G76" s="473"/>
      <c r="H76" s="473"/>
      <c r="I76" s="473"/>
      <c r="J76" s="26"/>
      <c r="K76" s="1"/>
      <c r="L76" s="1"/>
      <c r="M76" s="1"/>
      <c r="N76" s="1"/>
      <c r="O76" s="1"/>
      <c r="P76" s="1"/>
      <c r="Q76" s="1"/>
      <c r="R76" s="11"/>
      <c r="S76" s="26"/>
      <c r="T76" s="13"/>
      <c r="U76" s="1"/>
      <c r="V76" s="1"/>
    </row>
    <row r="77" spans="1:22">
      <c r="A77" s="9"/>
      <c r="B77" s="471"/>
      <c r="C77" s="472"/>
      <c r="D77" s="472"/>
      <c r="E77" s="472"/>
      <c r="F77" s="473"/>
      <c r="G77" s="473"/>
      <c r="H77" s="473"/>
      <c r="I77" s="473"/>
      <c r="J77" s="26"/>
      <c r="K77" s="1"/>
      <c r="L77" s="1"/>
      <c r="M77" s="1"/>
      <c r="N77" s="1"/>
      <c r="O77" s="1"/>
      <c r="P77" s="1"/>
      <c r="Q77" s="1"/>
      <c r="R77" s="95"/>
      <c r="S77" s="26"/>
      <c r="T77" s="13"/>
      <c r="U77" s="1"/>
      <c r="V77" s="1"/>
    </row>
  </sheetData>
  <mergeCells count="7">
    <mergeCell ref="B77:I77"/>
    <mergeCell ref="K75:R75"/>
    <mergeCell ref="A70:I70"/>
    <mergeCell ref="A71:I71"/>
    <mergeCell ref="B72:I72"/>
    <mergeCell ref="B75:I75"/>
    <mergeCell ref="B76:I76"/>
  </mergeCells>
  <pageMargins left="0.25" right="0.25" top="0.5" bottom="0.68" header="0.5" footer="0.34"/>
  <pageSetup scale="63" orientation="portrait" r:id="rId1"/>
  <headerFooter alignWithMargins="0">
    <oddFooter>&amp;LSREB Fact Book&amp;R &amp;D</oddFooter>
  </headerFooter>
  <colBreaks count="1" manualBreakCount="1">
    <brk id="9" max="7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75"/>
  <sheetViews>
    <sheetView showGridLines="0" view="pageBreakPreview" zoomScale="90" zoomScaleNormal="100" zoomScaleSheetLayoutView="90" workbookViewId="0">
      <selection activeCell="G72" sqref="G72"/>
    </sheetView>
  </sheetViews>
  <sheetFormatPr defaultColWidth="11.5703125" defaultRowHeight="12.75"/>
  <cols>
    <col min="1" max="1" width="9.28515625" style="145" customWidth="1"/>
    <col min="2" max="2" width="8.42578125" style="145" customWidth="1"/>
    <col min="3" max="3" width="12.140625" style="145" customWidth="1"/>
    <col min="4" max="4" width="10.42578125" style="145" customWidth="1"/>
    <col min="5" max="5" width="12.140625" style="145" customWidth="1"/>
    <col min="6" max="6" width="9.42578125" style="145" customWidth="1"/>
    <col min="7" max="7" width="10" style="145" customWidth="1"/>
    <col min="8" max="8" width="9.28515625" style="145" customWidth="1"/>
    <col min="9" max="9" width="9.42578125" style="147" customWidth="1"/>
    <col min="10" max="16384" width="11.5703125" style="145"/>
  </cols>
  <sheetData>
    <row r="1" spans="1:10" s="22" customFormat="1">
      <c r="A1" s="137" t="s">
        <v>148</v>
      </c>
      <c r="B1" s="138"/>
      <c r="C1" s="138"/>
      <c r="D1" s="138"/>
      <c r="E1" s="138"/>
      <c r="F1" s="138"/>
      <c r="G1" s="138"/>
      <c r="H1" s="1"/>
      <c r="I1" s="17"/>
    </row>
    <row r="2" spans="1:10" s="22" customFormat="1">
      <c r="A2" s="139" t="s">
        <v>91</v>
      </c>
      <c r="B2" s="138"/>
      <c r="C2" s="138"/>
      <c r="D2" s="138"/>
      <c r="E2" s="138"/>
      <c r="F2" s="138"/>
      <c r="G2" s="138"/>
      <c r="H2" s="1"/>
      <c r="I2" s="17"/>
    </row>
    <row r="3" spans="1:10" s="22" customFormat="1">
      <c r="A3" s="74"/>
      <c r="B3" s="74"/>
      <c r="C3" s="74"/>
      <c r="D3" s="74"/>
      <c r="E3" s="74"/>
      <c r="F3" s="74"/>
      <c r="G3" s="74"/>
      <c r="H3" s="74"/>
      <c r="I3" s="74"/>
    </row>
    <row r="4" spans="1:10" s="22" customFormat="1">
      <c r="A4" s="1"/>
      <c r="B4" s="1"/>
      <c r="C4" s="141"/>
      <c r="D4" s="361"/>
      <c r="E4" s="140" t="s">
        <v>98</v>
      </c>
      <c r="F4" s="138"/>
      <c r="G4" s="138"/>
      <c r="H4" s="138"/>
      <c r="I4" s="146"/>
    </row>
    <row r="5" spans="1:10" s="22" customFormat="1" ht="38.25">
      <c r="A5" s="141"/>
      <c r="B5" s="1"/>
      <c r="C5" s="426" t="s">
        <v>102</v>
      </c>
      <c r="D5" s="360" t="s">
        <v>158</v>
      </c>
      <c r="E5" s="351"/>
      <c r="F5" s="350" t="s">
        <v>103</v>
      </c>
      <c r="G5" s="340"/>
      <c r="H5" s="341" t="s">
        <v>93</v>
      </c>
      <c r="I5" s="210"/>
    </row>
    <row r="6" spans="1:10" s="22" customFormat="1">
      <c r="A6" s="142"/>
      <c r="B6" s="142"/>
      <c r="C6" s="211" t="s">
        <v>152</v>
      </c>
      <c r="D6" s="211" t="s">
        <v>152</v>
      </c>
      <c r="E6" s="352" t="s">
        <v>152</v>
      </c>
      <c r="F6" s="342" t="s">
        <v>107</v>
      </c>
      <c r="G6" s="211" t="s">
        <v>152</v>
      </c>
      <c r="H6" s="342" t="s">
        <v>107</v>
      </c>
      <c r="I6" s="211" t="s">
        <v>152</v>
      </c>
      <c r="J6" s="212"/>
    </row>
    <row r="7" spans="1:10" s="22" customFormat="1">
      <c r="A7" s="295" t="s">
        <v>134</v>
      </c>
      <c r="B7" s="295"/>
      <c r="C7" s="365">
        <f>+'Expenditure DATA'!AF5</f>
        <v>2591475.1690000002</v>
      </c>
      <c r="D7" s="423">
        <f>(('Expenditure DATA'!AF5-'Expenditure DATA'!AA5)/'Expenditure DATA'!AA5)*100</f>
        <v>14.520110331503522</v>
      </c>
      <c r="E7" s="376">
        <f>+'Per-Capita Data'!AE5</f>
        <v>8316.9977641230998</v>
      </c>
      <c r="F7" s="343"/>
      <c r="G7" s="295"/>
      <c r="H7" s="343"/>
      <c r="I7" s="295"/>
    </row>
    <row r="8" spans="1:10" s="22" customFormat="1" ht="13.5" customHeight="1">
      <c r="A8" s="296" t="s">
        <v>41</v>
      </c>
      <c r="B8" s="296"/>
      <c r="C8" s="296">
        <f>+'Expenditure DATA'!AF6</f>
        <v>853341.67599999998</v>
      </c>
      <c r="D8" s="424">
        <f>(('Expenditure DATA'!AF6-'Expenditure DATA'!AA6)/'Expenditure DATA'!AA6)*100</f>
        <v>15.603872986309145</v>
      </c>
      <c r="E8" s="422">
        <f>+'Per-Capita Data'!AE6</f>
        <v>7394.4362206215928</v>
      </c>
      <c r="F8" s="370">
        <f>('Per-Capita Data'!Z6/'Per-Capita Data'!Z$5)*100</f>
        <v>89.701580940001762</v>
      </c>
      <c r="G8" s="366">
        <f>('Per-Capita Data'!AE6/'Per-Capita Data'!AE$5)*100</f>
        <v>88.907517235592564</v>
      </c>
      <c r="H8" s="344"/>
      <c r="I8" s="362"/>
    </row>
    <row r="9" spans="1:10" s="22" customFormat="1">
      <c r="A9" s="296"/>
      <c r="B9" s="296"/>
      <c r="C9" s="296"/>
      <c r="D9" s="366"/>
      <c r="E9" s="354"/>
      <c r="F9" s="370"/>
      <c r="G9" s="366"/>
      <c r="H9" s="344"/>
      <c r="I9" s="362"/>
    </row>
    <row r="10" spans="1:10" s="22" customFormat="1">
      <c r="A10" s="297" t="s">
        <v>25</v>
      </c>
      <c r="B10" s="297"/>
      <c r="C10" s="297">
        <f>+'Expenditure DATA'!AF8</f>
        <v>34900.491000000002</v>
      </c>
      <c r="D10" s="367">
        <f>(('Expenditure DATA'!AF8-'Expenditure DATA'!AA8)/'Expenditure DATA'!AA8)*100</f>
        <v>12.628726530391484</v>
      </c>
      <c r="E10" s="355">
        <f>+'Per-Capita Data'!AE12</f>
        <v>7265.3518993423595</v>
      </c>
      <c r="F10" s="371">
        <f>('Per-Capita Data'!Z12/'Per-Capita Data'!Z$5)*100</f>
        <v>88.267586627816087</v>
      </c>
      <c r="G10" s="367">
        <f>('Per-Capita Data'!AE12/'Per-Capita Data'!AE$5)*100</f>
        <v>87.355462937393</v>
      </c>
      <c r="H10" s="345">
        <f>+'Per-Capita Data'!AO12</f>
        <v>37</v>
      </c>
      <c r="I10" s="363">
        <f>+'Per-Capita Data'!AT12</f>
        <v>40</v>
      </c>
    </row>
    <row r="11" spans="1:10" s="22" customFormat="1">
      <c r="A11" s="297" t="s">
        <v>26</v>
      </c>
      <c r="B11" s="297"/>
      <c r="C11" s="297">
        <f>+'Expenditure DATA'!AF9</f>
        <v>21320.712</v>
      </c>
      <c r="D11" s="367">
        <f>(('Expenditure DATA'!AF9-'Expenditure DATA'!AA9)/'Expenditure DATA'!AA9)*100</f>
        <v>25.024193308626042</v>
      </c>
      <c r="E11" s="355">
        <f>+'Per-Capita Data'!AE13</f>
        <v>7255.4422507182035</v>
      </c>
      <c r="F11" s="371">
        <f>('Per-Capita Data'!Z13/'Per-Capita Data'!Z$5)*100</f>
        <v>79.687775470401178</v>
      </c>
      <c r="G11" s="367">
        <f>('Per-Capita Data'!AE13/'Per-Capita Data'!AE$5)*100</f>
        <v>87.236313589212315</v>
      </c>
      <c r="H11" s="345">
        <f>+'Per-Capita Data'!AO13</f>
        <v>50</v>
      </c>
      <c r="I11" s="363">
        <f>+'Per-Capita Data'!AT13</f>
        <v>41</v>
      </c>
    </row>
    <row r="12" spans="1:10" s="22" customFormat="1">
      <c r="A12" s="297" t="s">
        <v>40</v>
      </c>
      <c r="B12" s="297"/>
      <c r="C12" s="297">
        <f>+'Expenditure DATA'!AF10</f>
        <v>9043.4619999999995</v>
      </c>
      <c r="D12" s="367">
        <f>(('Expenditure DATA'!AF10-'Expenditure DATA'!AA10)/'Expenditure DATA'!AA10)*100</f>
        <v>16.676990261587974</v>
      </c>
      <c r="E12" s="355">
        <f>+'Per-Capita Data'!AE14</f>
        <v>9958.2573994892846</v>
      </c>
      <c r="F12" s="371">
        <f>('Per-Capita Data'!Z14/'Per-Capita Data'!Z$5)*100</f>
        <v>118.93923727896191</v>
      </c>
      <c r="G12" s="367">
        <f>('Per-Capita Data'!AE14/'Per-Capita Data'!AE$5)*100</f>
        <v>119.73379916543996</v>
      </c>
      <c r="H12" s="345">
        <f>+'Per-Capita Data'!AO14</f>
        <v>5</v>
      </c>
      <c r="I12" s="363">
        <f>+'Per-Capita Data'!AT14</f>
        <v>6</v>
      </c>
    </row>
    <row r="13" spans="1:10" s="22" customFormat="1">
      <c r="A13" s="297" t="s">
        <v>27</v>
      </c>
      <c r="B13" s="297"/>
      <c r="C13" s="297">
        <f>+'Expenditure DATA'!AF11</f>
        <v>134652.55900000001</v>
      </c>
      <c r="D13" s="367">
        <f>(('Expenditure DATA'!AF11-'Expenditure DATA'!AA11)/'Expenditure DATA'!AA11)*100</f>
        <v>3.0791669089536082</v>
      </c>
      <c r="E13" s="355">
        <f>+'Per-Capita Data'!AE15</f>
        <v>7056.4254384516898</v>
      </c>
      <c r="F13" s="371">
        <f>('Per-Capita Data'!Z15/'Per-Capita Data'!Z$5)*100</f>
        <v>94.812374166739332</v>
      </c>
      <c r="G13" s="367">
        <f>('Per-Capita Data'!AE15/'Per-Capita Data'!AE$5)*100</f>
        <v>84.843421130770039</v>
      </c>
      <c r="H13" s="345">
        <f>+'Per-Capita Data'!AO15</f>
        <v>26</v>
      </c>
      <c r="I13" s="363">
        <f>+'Per-Capita Data'!AT15</f>
        <v>44</v>
      </c>
    </row>
    <row r="14" spans="1:10" s="22" customFormat="1">
      <c r="A14" s="298" t="s">
        <v>28</v>
      </c>
      <c r="B14" s="298"/>
      <c r="C14" s="296">
        <f>+'Expenditure DATA'!AF12</f>
        <v>64594.086000000003</v>
      </c>
      <c r="D14" s="366">
        <f>(('Expenditure DATA'!AF12-'Expenditure DATA'!AA12)/'Expenditure DATA'!AA12)*100</f>
        <v>1.3811559278994732</v>
      </c>
      <c r="E14" s="354">
        <f>+'Per-Capita Data'!AE16</f>
        <v>6582.8636244122272</v>
      </c>
      <c r="F14" s="370">
        <f>('Per-Capita Data'!Z16/'Per-Capita Data'!Z$5)*100</f>
        <v>91.757778843864827</v>
      </c>
      <c r="G14" s="366">
        <f>('Per-Capita Data'!AE16/'Per-Capita Data'!AE$5)*100</f>
        <v>79.149517784032852</v>
      </c>
      <c r="H14" s="344">
        <f>+'Per-Capita Data'!AO16</f>
        <v>34</v>
      </c>
      <c r="I14" s="362">
        <f>+'Per-Capita Data'!AT16</f>
        <v>49</v>
      </c>
    </row>
    <row r="15" spans="1:10" s="22" customFormat="1">
      <c r="A15" s="298" t="s">
        <v>29</v>
      </c>
      <c r="B15" s="298"/>
      <c r="C15" s="296">
        <f>+'Expenditure DATA'!AF13</f>
        <v>32742.117999999999</v>
      </c>
      <c r="D15" s="366">
        <f>(('Expenditure DATA'!AF13-'Expenditure DATA'!AA13)/'Expenditure DATA'!AA13)*100</f>
        <v>20.776309042524556</v>
      </c>
      <c r="E15" s="354">
        <f>+'Per-Capita Data'!AE17</f>
        <v>7497.9419778355568</v>
      </c>
      <c r="F15" s="370">
        <f>('Per-Capita Data'!Z17/'Per-Capita Data'!Z$5)*100</f>
        <v>84.721800468370034</v>
      </c>
      <c r="G15" s="366">
        <f>('Per-Capita Data'!AE17/'Per-Capita Data'!AE$5)*100</f>
        <v>90.152025893036907</v>
      </c>
      <c r="H15" s="344">
        <f>+'Per-Capita Data'!AO17</f>
        <v>44</v>
      </c>
      <c r="I15" s="362">
        <f>+'Per-Capita Data'!AT17</f>
        <v>35</v>
      </c>
    </row>
    <row r="16" spans="1:10" s="22" customFormat="1">
      <c r="A16" s="298" t="s">
        <v>30</v>
      </c>
      <c r="B16" s="298"/>
      <c r="C16" s="296">
        <f>+'Expenditure DATA'!AF14</f>
        <v>42526.224999999999</v>
      </c>
      <c r="D16" s="366">
        <f>(('Expenditure DATA'!AF14-'Expenditure DATA'!AA14)/'Expenditure DATA'!AA14)*100</f>
        <v>22.74448178065435</v>
      </c>
      <c r="E16" s="354">
        <f>+'Per-Capita Data'!AE18</f>
        <v>9295.825185375601</v>
      </c>
      <c r="F16" s="370">
        <f>('Per-Capita Data'!Z18/'Per-Capita Data'!Z$5)*100</f>
        <v>106.17483863156754</v>
      </c>
      <c r="G16" s="366">
        <f>('Per-Capita Data'!AE18/'Per-Capita Data'!AE$5)*100</f>
        <v>111.76899945163932</v>
      </c>
      <c r="H16" s="344">
        <f>+'Per-Capita Data'!AO18</f>
        <v>14</v>
      </c>
      <c r="I16" s="362">
        <f>+'Per-Capita Data'!AT18</f>
        <v>12</v>
      </c>
    </row>
    <row r="17" spans="1:9" s="22" customFormat="1">
      <c r="A17" s="298" t="s">
        <v>31</v>
      </c>
      <c r="B17" s="298"/>
      <c r="C17" s="296">
        <f>+'Expenditure DATA'!AF15</f>
        <v>53847.587</v>
      </c>
      <c r="D17" s="366">
        <f>(('Expenditure DATA'!AF15-'Expenditure DATA'!AA15)/'Expenditure DATA'!AA15)*100</f>
        <v>25.931182973135304</v>
      </c>
      <c r="E17" s="354">
        <f>+'Per-Capita Data'!AE19</f>
        <v>9221.1530228585252</v>
      </c>
      <c r="F17" s="370">
        <f>('Per-Capita Data'!Z19/'Per-Capita Data'!Z$5)*100</f>
        <v>100.19176135779983</v>
      </c>
      <c r="G17" s="366">
        <f>('Per-Capita Data'!AE19/'Per-Capita Data'!AE$5)*100</f>
        <v>110.87117352172035</v>
      </c>
      <c r="H17" s="344">
        <f>+'Per-Capita Data'!AO19</f>
        <v>19</v>
      </c>
      <c r="I17" s="362">
        <f>+'Per-Capita Data'!AT19</f>
        <v>13</v>
      </c>
    </row>
    <row r="18" spans="1:9" s="22" customFormat="1">
      <c r="A18" s="297" t="s">
        <v>32</v>
      </c>
      <c r="B18" s="297"/>
      <c r="C18" s="297">
        <f>+'Expenditure DATA'!AF16</f>
        <v>24135.803</v>
      </c>
      <c r="D18" s="367">
        <f>(('Expenditure DATA'!AF16-'Expenditure DATA'!AA16)/'Expenditure DATA'!AA16)*100</f>
        <v>8.9113111926057318</v>
      </c>
      <c r="E18" s="355">
        <f>+'Per-Capita Data'!AE20</f>
        <v>8106.1802068006355</v>
      </c>
      <c r="F18" s="371">
        <f>('Per-Capita Data'!Z20/'Per-Capita Data'!Z$5)*100</f>
        <v>100.58893395503723</v>
      </c>
      <c r="G18" s="367">
        <f>('Per-Capita Data'!AE20/'Per-Capita Data'!AE$5)*100</f>
        <v>97.465220464145546</v>
      </c>
      <c r="H18" s="345">
        <f>+'Per-Capita Data'!AO20</f>
        <v>17</v>
      </c>
      <c r="I18" s="363">
        <f>+'Per-Capita Data'!AT20</f>
        <v>25</v>
      </c>
    </row>
    <row r="19" spans="1:9" s="22" customFormat="1">
      <c r="A19" s="297" t="s">
        <v>33</v>
      </c>
      <c r="B19" s="297"/>
      <c r="C19" s="297">
        <f>+'Expenditure DATA'!AF17</f>
        <v>70263.620999999999</v>
      </c>
      <c r="D19" s="367">
        <f>(('Expenditure DATA'!AF17-'Expenditure DATA'!AA17)/'Expenditure DATA'!AA17)*100</f>
        <v>18.615462226087484</v>
      </c>
      <c r="E19" s="355">
        <f>+'Per-Capita Data'!AE21</f>
        <v>7280.3720984016027</v>
      </c>
      <c r="F19" s="371">
        <f>('Per-Capita Data'!Z21/'Per-Capita Data'!Z$5)*100</f>
        <v>87.59142513388116</v>
      </c>
      <c r="G19" s="367">
        <f>('Per-Capita Data'!AE21/'Per-Capita Data'!AE$5)*100</f>
        <v>87.536059343514879</v>
      </c>
      <c r="H19" s="345">
        <f>+'Per-Capita Data'!AO21</f>
        <v>39</v>
      </c>
      <c r="I19" s="363">
        <f>+'Per-Capita Data'!AT21</f>
        <v>39</v>
      </c>
    </row>
    <row r="20" spans="1:9" s="22" customFormat="1">
      <c r="A20" s="297" t="s">
        <v>34</v>
      </c>
      <c r="B20" s="297"/>
      <c r="C20" s="297">
        <f>+'Expenditure DATA'!AF18</f>
        <v>26645.855</v>
      </c>
      <c r="D20" s="367">
        <f>(('Expenditure DATA'!AF18-'Expenditure DATA'!AA18)/'Expenditure DATA'!AA18)*100</f>
        <v>17.158821989466631</v>
      </c>
      <c r="E20" s="355">
        <f>+'Per-Capita Data'!AE22</f>
        <v>7041.4131209464285</v>
      </c>
      <c r="F20" s="371">
        <f>('Per-Capita Data'!Z22/'Per-Capita Data'!Z$5)*100</f>
        <v>83.439175361036547</v>
      </c>
      <c r="G20" s="367">
        <f>('Per-Capita Data'!AE22/'Per-Capita Data'!AE$5)*100</f>
        <v>84.662919489059618</v>
      </c>
      <c r="H20" s="345">
        <f>+'Per-Capita Data'!AO22</f>
        <v>46</v>
      </c>
      <c r="I20" s="363">
        <f>+'Per-Capita Data'!AT22</f>
        <v>45</v>
      </c>
    </row>
    <row r="21" spans="1:9" s="22" customFormat="1">
      <c r="A21" s="297" t="s">
        <v>35</v>
      </c>
      <c r="B21" s="297"/>
      <c r="C21" s="297">
        <f>+'Expenditure DATA'!AF19</f>
        <v>34486.79</v>
      </c>
      <c r="D21" s="367">
        <f>(('Expenditure DATA'!AF19-'Expenditure DATA'!AA19)/'Expenditure DATA'!AA19)*100</f>
        <v>10.767350980759694</v>
      </c>
      <c r="E21" s="355">
        <f>+'Per-Capita Data'!AE23</f>
        <v>7379.4611486240701</v>
      </c>
      <c r="F21" s="371">
        <f>('Per-Capita Data'!Z23/'Per-Capita Data'!Z$5)*100</f>
        <v>94.204860719829867</v>
      </c>
      <c r="G21" s="367">
        <f>('Per-Capita Data'!AE23/'Per-Capita Data'!AE$5)*100</f>
        <v>88.727463417830094</v>
      </c>
      <c r="H21" s="345">
        <f>+'Per-Capita Data'!AO23</f>
        <v>28</v>
      </c>
      <c r="I21" s="363">
        <f>+'Per-Capita Data'!AT23</f>
        <v>38</v>
      </c>
    </row>
    <row r="22" spans="1:9" s="22" customFormat="1">
      <c r="A22" s="299" t="s">
        <v>36</v>
      </c>
      <c r="B22" s="299"/>
      <c r="C22" s="296">
        <f>+'Expenditure DATA'!AF20</f>
        <v>42864.334999999999</v>
      </c>
      <c r="D22" s="366">
        <f>(('Expenditure DATA'!AF20-'Expenditure DATA'!AA20)/'Expenditure DATA'!AA20)*100</f>
        <v>19.092209612208752</v>
      </c>
      <c r="E22" s="354">
        <f>+'Per-Capita Data'!AE24</f>
        <v>6697.775254082675</v>
      </c>
      <c r="F22" s="370">
        <f>('Per-Capita Data'!Z24/'Per-Capita Data'!Z$5)*100</f>
        <v>77.944906586353028</v>
      </c>
      <c r="G22" s="366">
        <f>('Per-Capita Data'!AE24/'Per-Capita Data'!AE$5)*100</f>
        <v>80.531165740776814</v>
      </c>
      <c r="H22" s="344">
        <f>+'Per-Capita Data'!AO24</f>
        <v>51</v>
      </c>
      <c r="I22" s="362">
        <f>+'Per-Capita Data'!AT24</f>
        <v>48</v>
      </c>
    </row>
    <row r="23" spans="1:9" s="22" customFormat="1">
      <c r="A23" s="299" t="s">
        <v>37</v>
      </c>
      <c r="B23" s="299"/>
      <c r="C23" s="296">
        <f>+'Expenditure DATA'!AF21</f>
        <v>183968.13399999999</v>
      </c>
      <c r="D23" s="366">
        <f>(('Expenditure DATA'!AF21-'Expenditure DATA'!AA21)/'Expenditure DATA'!AA21)*100</f>
        <v>24.891148693867144</v>
      </c>
      <c r="E23" s="354">
        <f>+'Per-Capita Data'!AE25</f>
        <v>7177.3457931790763</v>
      </c>
      <c r="F23" s="370">
        <f>('Per-Capita Data'!Z25/'Per-Capita Data'!Z$5)*100</f>
        <v>83.147692383608657</v>
      </c>
      <c r="G23" s="366">
        <f>('Per-Capita Data'!AE25/'Per-Capita Data'!AE$5)*100</f>
        <v>86.297315410374139</v>
      </c>
      <c r="H23" s="344">
        <f>+'Per-Capita Data'!AO25</f>
        <v>47</v>
      </c>
      <c r="I23" s="362">
        <f>+'Per-Capita Data'!AT25</f>
        <v>42</v>
      </c>
    </row>
    <row r="24" spans="1:9" s="22" customFormat="1">
      <c r="A24" s="299" t="s">
        <v>38</v>
      </c>
      <c r="B24" s="299"/>
      <c r="C24" s="296">
        <f>+'Expenditure DATA'!AF22</f>
        <v>62782.845999999998</v>
      </c>
      <c r="D24" s="366">
        <f>(('Expenditure DATA'!AF22-'Expenditure DATA'!AA22)/'Expenditure DATA'!AA22)*100</f>
        <v>18.16245720545734</v>
      </c>
      <c r="E24" s="354">
        <f>+'Per-Capita Data'!AE26</f>
        <v>7746.7758191122239</v>
      </c>
      <c r="F24" s="370">
        <f>('Per-Capita Data'!Z26/'Per-Capita Data'!Z$5)*100</f>
        <v>91.29763782677071</v>
      </c>
      <c r="G24" s="366">
        <f>('Per-Capita Data'!AE26/'Per-Capita Data'!AE$5)*100</f>
        <v>93.143896858183211</v>
      </c>
      <c r="H24" s="344">
        <f>+'Per-Capita Data'!AO26</f>
        <v>35</v>
      </c>
      <c r="I24" s="362">
        <f>+'Per-Capita Data'!AT26</f>
        <v>32</v>
      </c>
    </row>
    <row r="25" spans="1:9" s="22" customFormat="1">
      <c r="A25" s="300" t="s">
        <v>39</v>
      </c>
      <c r="B25" s="300"/>
      <c r="C25" s="295">
        <f>+'Expenditure DATA'!AF23</f>
        <v>14567.052</v>
      </c>
      <c r="D25" s="419">
        <f>(('Expenditure DATA'!AF23-'Expenditure DATA'!AA23)/'Expenditure DATA'!AA23)*100</f>
        <v>23.388672677371332</v>
      </c>
      <c r="E25" s="353">
        <f>+'Per-Capita Data'!AE27</f>
        <v>7853.2477082421337</v>
      </c>
      <c r="F25" s="375">
        <f>('Per-Capita Data'!Z27/'Per-Capita Data'!Z$5)*100</f>
        <v>85.161907724242099</v>
      </c>
      <c r="G25" s="419">
        <f>('Per-Capita Data'!AE27/'Per-Capita Data'!AE$5)*100</f>
        <v>94.424069008633893</v>
      </c>
      <c r="H25" s="343">
        <f>+'Per-Capita Data'!AO27</f>
        <v>43</v>
      </c>
      <c r="I25" s="295">
        <f>+'Per-Capita Data'!AT27</f>
        <v>30</v>
      </c>
    </row>
    <row r="26" spans="1:9" s="22" customFormat="1">
      <c r="A26" s="296" t="s">
        <v>136</v>
      </c>
      <c r="B26" s="296"/>
      <c r="C26" s="296">
        <f>+'Expenditure DATA'!AF24</f>
        <v>632095.40599999984</v>
      </c>
      <c r="D26" s="366">
        <f>(('Expenditure DATA'!AF24-'Expenditure DATA'!AA24)/'Expenditure DATA'!AA24)*100</f>
        <v>12.800320812796892</v>
      </c>
      <c r="E26" s="354">
        <f>+'Per-Capita Data'!AE8</f>
        <v>8679.9046909053304</v>
      </c>
      <c r="F26" s="370">
        <f>('Per-Capita Data'!Z8/'Per-Capita Data'!Z$5)*100</f>
        <v>107.47135751259904</v>
      </c>
      <c r="G26" s="366">
        <f>('Per-Capita Data'!AE8/'Per-Capita Data'!AE$5)*100</f>
        <v>104.36343662791032</v>
      </c>
      <c r="H26" s="344"/>
      <c r="I26" s="362"/>
    </row>
    <row r="27" spans="1:9" s="22" customFormat="1">
      <c r="A27" s="296"/>
      <c r="B27" s="296"/>
      <c r="C27" s="296"/>
      <c r="D27" s="366"/>
      <c r="E27" s="354"/>
      <c r="F27" s="370"/>
      <c r="G27" s="366"/>
      <c r="H27" s="344"/>
      <c r="I27" s="362"/>
    </row>
    <row r="28" spans="1:9" s="22" customFormat="1">
      <c r="A28" s="297" t="s">
        <v>47</v>
      </c>
      <c r="B28" s="297"/>
      <c r="C28" s="297">
        <f>+'Expenditure DATA'!AF26</f>
        <v>12648.251</v>
      </c>
      <c r="D28" s="367">
        <f>(('Expenditure DATA'!AF26-'Expenditure DATA'!AA26)/'Expenditure DATA'!AA26)*100</f>
        <v>22.321085510393658</v>
      </c>
      <c r="E28" s="355">
        <f>+'Per-Capita Data'!AE29</f>
        <v>17473.338767164922</v>
      </c>
      <c r="F28" s="371">
        <f>('Per-Capita Data'!Z29/'Per-Capita Data'!Z$5)*100</f>
        <v>201.89957299248272</v>
      </c>
      <c r="G28" s="367">
        <f>('Per-Capita Data'!AE29/'Per-Capita Data'!AE$5)*100</f>
        <v>210.09190170207071</v>
      </c>
      <c r="H28" s="345">
        <f>+'Per-Capita Data'!AO29</f>
        <v>1</v>
      </c>
      <c r="I28" s="363">
        <f>+'Per-Capita Data'!AT29</f>
        <v>1</v>
      </c>
    </row>
    <row r="29" spans="1:9" s="22" customFormat="1">
      <c r="A29" s="297" t="s">
        <v>48</v>
      </c>
      <c r="B29" s="297"/>
      <c r="C29" s="297">
        <f>+'Expenditure DATA'!AF27</f>
        <v>41567.29</v>
      </c>
      <c r="D29" s="367">
        <f>(('Expenditure DATA'!AF27-'Expenditure DATA'!AA27)/'Expenditure DATA'!AA27)*100</f>
        <v>5.8006755853007981</v>
      </c>
      <c r="E29" s="355">
        <f>+'Per-Capita Data'!AE30</f>
        <v>6427.2870580758781</v>
      </c>
      <c r="F29" s="371">
        <f>('Per-Capita Data'!Z30/'Per-Capita Data'!Z$5)*100</f>
        <v>85.923531284707835</v>
      </c>
      <c r="G29" s="367">
        <f>('Per-Capita Data'!AE30/'Per-Capita Data'!AE$5)*100</f>
        <v>77.278932138243007</v>
      </c>
      <c r="H29" s="345">
        <f>+'Per-Capita Data'!AO30</f>
        <v>41</v>
      </c>
      <c r="I29" s="363">
        <f>+'Per-Capita Data'!AT30</f>
        <v>50</v>
      </c>
    </row>
    <row r="30" spans="1:9" s="22" customFormat="1">
      <c r="A30" s="297" t="s">
        <v>49</v>
      </c>
      <c r="B30" s="297"/>
      <c r="C30" s="297">
        <f>+'Expenditure DATA'!AF28</f>
        <v>351547.902</v>
      </c>
      <c r="D30" s="367">
        <f>(('Expenditure DATA'!AF28-'Expenditure DATA'!AA28)/'Expenditure DATA'!AA28)*100</f>
        <v>10.431274474353573</v>
      </c>
      <c r="E30" s="355">
        <f>+'Per-Capita Data'!AE31</f>
        <v>9328.8538115169667</v>
      </c>
      <c r="F30" s="371">
        <f>('Per-Capita Data'!Z31/'Per-Capita Data'!Z$5)*100</f>
        <v>116.53020560969239</v>
      </c>
      <c r="G30" s="367">
        <f>('Per-Capita Data'!AE31/'Per-Capita Data'!AE$5)*100</f>
        <v>112.16612143096508</v>
      </c>
      <c r="H30" s="345">
        <f>+'Per-Capita Data'!AO31</f>
        <v>6</v>
      </c>
      <c r="I30" s="363">
        <f>+'Per-Capita Data'!AT31</f>
        <v>11</v>
      </c>
    </row>
    <row r="31" spans="1:9" s="22" customFormat="1">
      <c r="A31" s="297" t="s">
        <v>50</v>
      </c>
      <c r="B31" s="297"/>
      <c r="C31" s="297">
        <f>+'Expenditure DATA'!AF29</f>
        <v>39748.474000000002</v>
      </c>
      <c r="D31" s="367">
        <f>(('Expenditure DATA'!AF29-'Expenditure DATA'!AA29)/'Expenditure DATA'!AA29)*100</f>
        <v>18.473584368874434</v>
      </c>
      <c r="E31" s="355">
        <f>+'Per-Capita Data'!AE32</f>
        <v>7768.9850990031473</v>
      </c>
      <c r="F31" s="371">
        <f>('Per-Capita Data'!Z32/'Per-Capita Data'!Z$5)*100</f>
        <v>93.717846746910311</v>
      </c>
      <c r="G31" s="367">
        <f>('Per-Capita Data'!AE32/'Per-Capita Data'!AE$5)*100</f>
        <v>93.410931676765557</v>
      </c>
      <c r="H31" s="345">
        <f>+'Per-Capita Data'!AO32</f>
        <v>29</v>
      </c>
      <c r="I31" s="363">
        <f>+'Per-Capita Data'!AT32</f>
        <v>31</v>
      </c>
    </row>
    <row r="32" spans="1:9" s="22" customFormat="1">
      <c r="A32" s="298" t="s">
        <v>52</v>
      </c>
      <c r="B32" s="298"/>
      <c r="C32" s="296">
        <f>+'Expenditure DATA'!AF30</f>
        <v>12315.089</v>
      </c>
      <c r="D32" s="366">
        <f>(('Expenditure DATA'!AF30-'Expenditure DATA'!AA30)/'Expenditure DATA'!AA30)*100</f>
        <v>12.003027106628481</v>
      </c>
      <c r="E32" s="354">
        <f>+'Per-Capita Data'!AE33</f>
        <v>8936.0930653081105</v>
      </c>
      <c r="F32" s="370">
        <f>('Per-Capita Data'!Z33/'Per-Capita Data'!Z$5)*100</f>
        <v>110.69550216273227</v>
      </c>
      <c r="G32" s="366">
        <f>('Per-Capita Data'!AE33/'Per-Capita Data'!AE$5)*100</f>
        <v>107.44373533266524</v>
      </c>
      <c r="H32" s="344">
        <f>+'Per-Capita Data'!AO33</f>
        <v>10</v>
      </c>
      <c r="I32" s="362">
        <f>+'Per-Capita Data'!AT33</f>
        <v>16</v>
      </c>
    </row>
    <row r="33" spans="1:9" s="22" customFormat="1">
      <c r="A33" s="298" t="s">
        <v>53</v>
      </c>
      <c r="B33" s="298"/>
      <c r="C33" s="296">
        <f>+'Expenditure DATA'!AF31</f>
        <v>9974.8870000000006</v>
      </c>
      <c r="D33" s="366">
        <f>(('Expenditure DATA'!AF31-'Expenditure DATA'!AA31)/'Expenditure DATA'!AA31)*100</f>
        <v>10.958311349990286</v>
      </c>
      <c r="E33" s="354">
        <f>+'Per-Capita Data'!AE34</f>
        <v>6298.2950527357953</v>
      </c>
      <c r="F33" s="370">
        <f>('Per-Capita Data'!Z34/'Per-Capita Data'!Z$5)*100</f>
        <v>80.71021517760947</v>
      </c>
      <c r="G33" s="366">
        <f>('Per-Capita Data'!AE34/'Per-Capita Data'!AE$5)*100</f>
        <v>75.72798780714659</v>
      </c>
      <c r="H33" s="344">
        <f>+'Per-Capita Data'!AO34</f>
        <v>49</v>
      </c>
      <c r="I33" s="362">
        <f>+'Per-Capita Data'!AT34</f>
        <v>51</v>
      </c>
    </row>
    <row r="34" spans="1:9" s="22" customFormat="1">
      <c r="A34" s="298" t="s">
        <v>63</v>
      </c>
      <c r="B34" s="298"/>
      <c r="C34" s="296">
        <f>+'Expenditure DATA'!AF32</f>
        <v>8199.6990000000005</v>
      </c>
      <c r="D34" s="366">
        <f>(('Expenditure DATA'!AF32-'Expenditure DATA'!AA32)/'Expenditure DATA'!AA32)*100</f>
        <v>23.340375525061969</v>
      </c>
      <c r="E34" s="354">
        <f>+'Per-Capita Data'!AE35</f>
        <v>8218.873632183886</v>
      </c>
      <c r="F34" s="370">
        <f>('Per-Capita Data'!Z35/'Per-Capita Data'!Z$5)*100</f>
        <v>92.011987767076789</v>
      </c>
      <c r="G34" s="366">
        <f>('Per-Capita Data'!AE35/'Per-Capita Data'!AE$5)*100</f>
        <v>98.820197687650108</v>
      </c>
      <c r="H34" s="344">
        <f>+'Per-Capita Data'!AO35</f>
        <v>32</v>
      </c>
      <c r="I34" s="362">
        <f>+'Per-Capita Data'!AT35</f>
        <v>24</v>
      </c>
    </row>
    <row r="35" spans="1:9" s="22" customFormat="1">
      <c r="A35" s="298" t="s">
        <v>65</v>
      </c>
      <c r="B35" s="298"/>
      <c r="C35" s="296">
        <f>+'Expenditure DATA'!AF33</f>
        <v>18538.656999999999</v>
      </c>
      <c r="D35" s="366">
        <f>(('Expenditure DATA'!AF33-'Expenditure DATA'!AA33)/'Expenditure DATA'!AA33)*100</f>
        <v>7.5883547771181226</v>
      </c>
      <c r="E35" s="354">
        <f>+'Per-Capita Data'!AE36</f>
        <v>6815.6125598707076</v>
      </c>
      <c r="F35" s="370">
        <f>('Per-Capita Data'!Z36/'Per-Capita Data'!Z$5)*100</f>
        <v>90.065593171312784</v>
      </c>
      <c r="G35" s="366">
        <f>('Per-Capita Data'!AE36/'Per-Capita Data'!AE$5)*100</f>
        <v>81.947990767426987</v>
      </c>
      <c r="H35" s="344">
        <f>+'Per-Capita Data'!AO36</f>
        <v>36</v>
      </c>
      <c r="I35" s="362">
        <f>+'Per-Capita Data'!AT36</f>
        <v>47</v>
      </c>
    </row>
    <row r="36" spans="1:9" s="22" customFormat="1">
      <c r="A36" s="297" t="s">
        <v>68</v>
      </c>
      <c r="B36" s="297"/>
      <c r="C36" s="297">
        <f>+'Expenditure DATA'!AF34</f>
        <v>18139.757000000001</v>
      </c>
      <c r="D36" s="367">
        <f>(('Expenditure DATA'!AF34-'Expenditure DATA'!AA34)/'Expenditure DATA'!AA34)*100</f>
        <v>11.871253087678701</v>
      </c>
      <c r="E36" s="355">
        <f>+'Per-Capita Data'!AE37</f>
        <v>8726.6002268754019</v>
      </c>
      <c r="F36" s="371">
        <f>('Per-Capita Data'!Z37/'Per-Capita Data'!Z$5)*100</f>
        <v>108.9652255951937</v>
      </c>
      <c r="G36" s="367">
        <f>('Per-Capita Data'!AE37/'Per-Capita Data'!AE$5)*100</f>
        <v>104.92488364634649</v>
      </c>
      <c r="H36" s="345">
        <f>+'Per-Capita Data'!AO37</f>
        <v>11</v>
      </c>
      <c r="I36" s="363">
        <f>+'Per-Capita Data'!AT37</f>
        <v>18</v>
      </c>
    </row>
    <row r="37" spans="1:9" s="22" customFormat="1">
      <c r="A37" s="297" t="s">
        <v>72</v>
      </c>
      <c r="B37" s="297"/>
      <c r="C37" s="297">
        <f>+'Expenditure DATA'!AF35</f>
        <v>32063.931</v>
      </c>
      <c r="D37" s="367">
        <f>(('Expenditure DATA'!AF35-'Expenditure DATA'!AA35)/'Expenditure DATA'!AA35)*100</f>
        <v>21.754445694833429</v>
      </c>
      <c r="E37" s="355">
        <f>+'Per-Capita Data'!AE38</f>
        <v>8289.0467446472267</v>
      </c>
      <c r="F37" s="371">
        <f>('Per-Capita Data'!Z38/'Per-Capita Data'!Z$5)*100</f>
        <v>94.59445560238639</v>
      </c>
      <c r="G37" s="367">
        <f>('Per-Capita Data'!AE38/'Per-Capita Data'!AE$5)*100</f>
        <v>99.663928976914661</v>
      </c>
      <c r="H37" s="345">
        <f>+'Per-Capita Data'!AO38</f>
        <v>27</v>
      </c>
      <c r="I37" s="363">
        <f>+'Per-Capita Data'!AT38</f>
        <v>22</v>
      </c>
    </row>
    <row r="38" spans="1:9" s="22" customFormat="1">
      <c r="A38" s="297" t="s">
        <v>76</v>
      </c>
      <c r="B38" s="297"/>
      <c r="C38" s="297">
        <f>+'Expenditure DATA'!AF36</f>
        <v>21255.883999999998</v>
      </c>
      <c r="D38" s="367">
        <f>(('Expenditure DATA'!AF36-'Expenditure DATA'!AA36)/'Expenditure DATA'!AA36)*100</f>
        <v>26.810503350837877</v>
      </c>
      <c r="E38" s="355">
        <f>+'Per-Capita Data'!AE39</f>
        <v>7552.6877105062031</v>
      </c>
      <c r="F38" s="371">
        <f>('Per-Capita Data'!Z39/'Per-Capita Data'!Z$5)*100</f>
        <v>87.514427434497875</v>
      </c>
      <c r="G38" s="367">
        <f>('Per-Capita Data'!AE39/'Per-Capita Data'!AE$5)*100</f>
        <v>90.810265010363608</v>
      </c>
      <c r="H38" s="345">
        <f>+'Per-Capita Data'!AO39</f>
        <v>40</v>
      </c>
      <c r="I38" s="363">
        <f>+'Per-Capita Data'!AT39</f>
        <v>34</v>
      </c>
    </row>
    <row r="39" spans="1:9" s="22" customFormat="1">
      <c r="A39" s="297" t="s">
        <v>78</v>
      </c>
      <c r="B39" s="297"/>
      <c r="C39" s="297">
        <f>+'Expenditure DATA'!AF37</f>
        <v>58368.296999999999</v>
      </c>
      <c r="D39" s="367">
        <f>(('Expenditure DATA'!AF37-'Expenditure DATA'!AA37)/'Expenditure DATA'!AA37)*100</f>
        <v>17.610316335644839</v>
      </c>
      <c r="E39" s="355">
        <f>+'Per-Capita Data'!AE40</f>
        <v>8554.3035323108415</v>
      </c>
      <c r="F39" s="371">
        <f>('Per-Capita Data'!Z40/'Per-Capita Data'!Z$5)*100</f>
        <v>102.71766162440288</v>
      </c>
      <c r="G39" s="367">
        <f>('Per-Capita Data'!AE40/'Per-Capita Data'!AE$5)*100</f>
        <v>102.85326237805911</v>
      </c>
      <c r="H39" s="345">
        <f>+'Per-Capita Data'!AO40</f>
        <v>16</v>
      </c>
      <c r="I39" s="363">
        <f>+'Per-Capita Data'!AT40</f>
        <v>19</v>
      </c>
    </row>
    <row r="40" spans="1:9" s="22" customFormat="1">
      <c r="A40" s="301" t="s">
        <v>80</v>
      </c>
      <c r="B40" s="301"/>
      <c r="C40" s="301">
        <f>+'Expenditure DATA'!AF38</f>
        <v>7727.2879999999996</v>
      </c>
      <c r="D40" s="420">
        <f>(('Expenditure DATA'!AF38-'Expenditure DATA'!AA38)/'Expenditure DATA'!AA38)*100</f>
        <v>27.885877155687091</v>
      </c>
      <c r="E40" s="357">
        <f>+'Per-Capita Data'!AE41</f>
        <v>13619.82247477774</v>
      </c>
      <c r="F40" s="373">
        <f>('Per-Capita Data'!Z41/'Per-Capita Data'!Z$5)*100</f>
        <v>152.43465744312394</v>
      </c>
      <c r="G40" s="420">
        <f>('Per-Capita Data'!AE41/'Per-Capita Data'!AE$5)*100</f>
        <v>163.75888104153822</v>
      </c>
      <c r="H40" s="347">
        <f>+'Per-Capita Data'!AO41</f>
        <v>3</v>
      </c>
      <c r="I40" s="301">
        <f>+'Per-Capita Data'!AT41</f>
        <v>3</v>
      </c>
    </row>
    <row r="41" spans="1:9" s="22" customFormat="1">
      <c r="A41" s="296" t="s">
        <v>137</v>
      </c>
      <c r="B41" s="296"/>
      <c r="C41" s="296">
        <f>+'Expenditure DATA'!AF39</f>
        <v>531769.03</v>
      </c>
      <c r="D41" s="366">
        <f>(('Expenditure DATA'!AF39-'Expenditure DATA'!AA39)/'Expenditure DATA'!AA39)*100</f>
        <v>13.33011721039091</v>
      </c>
      <c r="E41" s="354">
        <f>+'Per-Capita Data'!AE9</f>
        <v>7919.7010223636762</v>
      </c>
      <c r="F41" s="370">
        <f>('Per-Capita Data'!Z9/'Per-Capita Data'!Z$5)*100</f>
        <v>93.702288325138611</v>
      </c>
      <c r="G41" s="366">
        <f>('Per-Capita Data'!AE9/'Per-Capita Data'!AE$5)*100</f>
        <v>95.223075044299804</v>
      </c>
      <c r="H41" s="344"/>
      <c r="I41" s="362"/>
    </row>
    <row r="42" spans="1:9" s="22" customFormat="1">
      <c r="A42" s="296"/>
      <c r="B42" s="296"/>
      <c r="C42" s="296"/>
      <c r="D42" s="366"/>
      <c r="E42" s="354"/>
      <c r="F42" s="370"/>
      <c r="G42" s="366"/>
      <c r="H42" s="344"/>
      <c r="I42" s="362"/>
    </row>
    <row r="43" spans="1:9" s="22" customFormat="1">
      <c r="A43" s="297" t="s">
        <v>54</v>
      </c>
      <c r="B43" s="297"/>
      <c r="C43" s="297">
        <f>+'Expenditure DATA'!AF41</f>
        <v>102728.05</v>
      </c>
      <c r="D43" s="367">
        <f>(('Expenditure DATA'!AF41-'Expenditure DATA'!AA41)/'Expenditure DATA'!AA41)*100</f>
        <v>12.733868506554616</v>
      </c>
      <c r="E43" s="355">
        <f>+'Per-Capita Data'!AE43</f>
        <v>7988.3383443164375</v>
      </c>
      <c r="F43" s="371">
        <f>('Per-Capita Data'!Z43/'Per-Capita Data'!Z$5)*100</f>
        <v>95.028960799828624</v>
      </c>
      <c r="G43" s="367">
        <f>('Per-Capita Data'!AE43/'Per-Capita Data'!AE$5)*100</f>
        <v>96.048340649742684</v>
      </c>
      <c r="H43" s="345">
        <f>+'Per-Capita Data'!AO43</f>
        <v>25</v>
      </c>
      <c r="I43" s="363">
        <f>+'Per-Capita Data'!AT43</f>
        <v>28</v>
      </c>
    </row>
    <row r="44" spans="1:9" s="22" customFormat="1">
      <c r="A44" s="297" t="s">
        <v>55</v>
      </c>
      <c r="B44" s="297"/>
      <c r="C44" s="297">
        <f>+'Expenditure DATA'!AF42</f>
        <v>45859.957999999999</v>
      </c>
      <c r="D44" s="367">
        <f>(('Expenditure DATA'!AF42-'Expenditure DATA'!AA42)/'Expenditure DATA'!AA42)*100</f>
        <v>8.8479793218081131</v>
      </c>
      <c r="E44" s="355">
        <f>+'Per-Capita Data'!AE44</f>
        <v>7037.6724526740645</v>
      </c>
      <c r="F44" s="371">
        <f>('Per-Capita Data'!Z44/'Per-Capita Data'!Z$5)*100</f>
        <v>87.726495464112176</v>
      </c>
      <c r="G44" s="367">
        <f>('Per-Capita Data'!AE44/'Per-Capita Data'!AE$5)*100</f>
        <v>84.617943304401976</v>
      </c>
      <c r="H44" s="345">
        <f>+'Per-Capita Data'!AO44</f>
        <v>38</v>
      </c>
      <c r="I44" s="363">
        <f>+'Per-Capita Data'!AT44</f>
        <v>46</v>
      </c>
    </row>
    <row r="45" spans="1:9" s="22" customFormat="1">
      <c r="A45" s="297" t="s">
        <v>56</v>
      </c>
      <c r="B45" s="297"/>
      <c r="C45" s="297">
        <f>+'Expenditure DATA'!AF43</f>
        <v>27929.948</v>
      </c>
      <c r="D45" s="367">
        <f>(('Expenditure DATA'!AF43-'Expenditure DATA'!AA43)/'Expenditure DATA'!AA43)*100</f>
        <v>29.100272502385792</v>
      </c>
      <c r="E45" s="355">
        <f>+'Per-Capita Data'!AE45</f>
        <v>9115.2297071535268</v>
      </c>
      <c r="F45" s="371">
        <f>('Per-Capita Data'!Z45/'Per-Capita Data'!Z$5)*100</f>
        <v>95.641380311529645</v>
      </c>
      <c r="G45" s="367">
        <f>('Per-Capita Data'!AE45/'Per-Capita Data'!AE$5)*100</f>
        <v>109.59759718192721</v>
      </c>
      <c r="H45" s="345">
        <f>+'Per-Capita Data'!AO45</f>
        <v>24</v>
      </c>
      <c r="I45" s="363">
        <f>+'Per-Capita Data'!AT45</f>
        <v>14</v>
      </c>
    </row>
    <row r="46" spans="1:9" s="22" customFormat="1">
      <c r="A46" s="297" t="s">
        <v>57</v>
      </c>
      <c r="B46" s="297"/>
      <c r="C46" s="297">
        <f>+'Expenditure DATA'!AF44</f>
        <v>22953.806</v>
      </c>
      <c r="D46" s="367">
        <f>(('Expenditure DATA'!AF44-'Expenditure DATA'!AA44)/'Expenditure DATA'!AA44)*100</f>
        <v>18.456234995128629</v>
      </c>
      <c r="E46" s="355">
        <f>+'Per-Capita Data'!AE46</f>
        <v>7996.7662885758218</v>
      </c>
      <c r="F46" s="371">
        <f>('Per-Capita Data'!Z46/'Per-Capita Data'!Z$5)*100</f>
        <v>92.476424534671636</v>
      </c>
      <c r="G46" s="367">
        <f>('Per-Capita Data'!AE46/'Per-Capita Data'!AE$5)*100</f>
        <v>96.149674622630585</v>
      </c>
      <c r="H46" s="345">
        <f>+'Per-Capita Data'!AO46</f>
        <v>31</v>
      </c>
      <c r="I46" s="363">
        <f>+'Per-Capita Data'!AT46</f>
        <v>27</v>
      </c>
    </row>
    <row r="47" spans="1:9" s="22" customFormat="1">
      <c r="A47" s="298" t="s">
        <v>60</v>
      </c>
      <c r="B47" s="298"/>
      <c r="C47" s="296">
        <f>+'Expenditure DATA'!AF45</f>
        <v>73807.410999999993</v>
      </c>
      <c r="D47" s="366">
        <f>(('Expenditure DATA'!AF45-'Expenditure DATA'!AA45)/'Expenditure DATA'!AA45)*100</f>
        <v>5.5347836388837477</v>
      </c>
      <c r="E47" s="354">
        <f>+'Per-Capita Data'!AE47</f>
        <v>7472.8053141902928</v>
      </c>
      <c r="F47" s="370">
        <f>('Per-Capita Data'!Z47/'Per-Capita Data'!Z$5)*100</f>
        <v>91.884969819311266</v>
      </c>
      <c r="G47" s="366">
        <f>('Per-Capita Data'!AE47/'Per-Capita Data'!AE$5)*100</f>
        <v>89.849793472659258</v>
      </c>
      <c r="H47" s="344">
        <f>+'Per-Capita Data'!AO47</f>
        <v>33</v>
      </c>
      <c r="I47" s="362">
        <f>+'Per-Capita Data'!AT47</f>
        <v>36</v>
      </c>
    </row>
    <row r="48" spans="1:9" s="22" customFormat="1">
      <c r="A48" s="298" t="s">
        <v>61</v>
      </c>
      <c r="B48" s="298"/>
      <c r="C48" s="296">
        <f>+'Expenditure DATA'!AF46</f>
        <v>48666.357000000004</v>
      </c>
      <c r="D48" s="366">
        <f>(('Expenditure DATA'!AF46-'Expenditure DATA'!AA46)/'Expenditure DATA'!AA46)*100</f>
        <v>18.896458108166641</v>
      </c>
      <c r="E48" s="354">
        <f>+'Per-Capita Data'!AE48</f>
        <v>9101.1101118527313</v>
      </c>
      <c r="F48" s="370">
        <f>('Per-Capita Data'!Z48/'Per-Capita Data'!Z$5)*100</f>
        <v>104.52385058412355</v>
      </c>
      <c r="G48" s="366">
        <f>('Per-Capita Data'!AE48/'Per-Capita Data'!AE$5)*100</f>
        <v>109.42782924761678</v>
      </c>
      <c r="H48" s="344">
        <f>+'Per-Capita Data'!AO48</f>
        <v>15</v>
      </c>
      <c r="I48" s="362">
        <f>+'Per-Capita Data'!AT48</f>
        <v>15</v>
      </c>
    </row>
    <row r="49" spans="1:9" s="22" customFormat="1">
      <c r="A49" s="298" t="s">
        <v>62</v>
      </c>
      <c r="B49" s="298"/>
      <c r="C49" s="296">
        <f>+'Expenditure DATA'!AF47</f>
        <v>42901.571000000004</v>
      </c>
      <c r="D49" s="366">
        <f>(('Expenditure DATA'!AF47-'Expenditure DATA'!AA47)/'Expenditure DATA'!AA47)*100</f>
        <v>17.072962738295825</v>
      </c>
      <c r="E49" s="354">
        <f>+'Per-Capita Data'!AE49</f>
        <v>7139.5715149183288</v>
      </c>
      <c r="F49" s="370">
        <f>('Per-Capita Data'!Z49/'Per-Capita Data'!Z$5)*100</f>
        <v>82.700281769074195</v>
      </c>
      <c r="G49" s="366">
        <f>('Per-Capita Data'!AE49/'Per-Capita Data'!AE$5)*100</f>
        <v>85.843133753338066</v>
      </c>
      <c r="H49" s="344">
        <f>+'Per-Capita Data'!AO49</f>
        <v>48</v>
      </c>
      <c r="I49" s="362">
        <f>+'Per-Capita Data'!AT49</f>
        <v>43</v>
      </c>
    </row>
    <row r="50" spans="1:9" s="22" customFormat="1">
      <c r="A50" s="298" t="s">
        <v>64</v>
      </c>
      <c r="B50" s="298"/>
      <c r="C50" s="296">
        <f>+'Expenditure DATA'!AF48</f>
        <v>14910.593000000001</v>
      </c>
      <c r="D50" s="366">
        <f>(('Expenditure DATA'!AF48-'Expenditure DATA'!AA48)/'Expenditure DATA'!AA48)*100</f>
        <v>18.929487349747827</v>
      </c>
      <c r="E50" s="354">
        <f>+'Per-Capita Data'!AE50</f>
        <v>8093.7562763470869</v>
      </c>
      <c r="F50" s="370">
        <f>('Per-Capita Data'!Z50/'Per-Capita Data'!Z$5)*100</f>
        <v>93.25585896633271</v>
      </c>
      <c r="G50" s="366">
        <f>('Per-Capita Data'!AE50/'Per-Capita Data'!AE$5)*100</f>
        <v>97.315840473842542</v>
      </c>
      <c r="H50" s="344">
        <f>+'Per-Capita Data'!AO50</f>
        <v>30</v>
      </c>
      <c r="I50" s="362">
        <f>+'Per-Capita Data'!AT50</f>
        <v>26</v>
      </c>
    </row>
    <row r="51" spans="1:9" s="22" customFormat="1">
      <c r="A51" s="297" t="s">
        <v>70</v>
      </c>
      <c r="B51" s="297"/>
      <c r="C51" s="297">
        <f>+'Expenditure DATA'!AF49</f>
        <v>7209.7830000000004</v>
      </c>
      <c r="D51" s="367">
        <f>(('Expenditure DATA'!AF49-'Expenditure DATA'!AA49)/'Expenditure DATA'!AA49)*100</f>
        <v>52.188798314009766</v>
      </c>
      <c r="E51" s="355">
        <f>+'Per-Capita Data'!AE51</f>
        <v>10529.227151911675</v>
      </c>
      <c r="F51" s="371">
        <f>('Per-Capita Data'!Z51/'Per-Capita Data'!Z$5)*100</f>
        <v>96.187092277464245</v>
      </c>
      <c r="G51" s="367">
        <f>('Per-Capita Data'!AE51/'Per-Capita Data'!AE$5)*100</f>
        <v>126.59889362158343</v>
      </c>
      <c r="H51" s="345">
        <f>+'Per-Capita Data'!AO51</f>
        <v>22</v>
      </c>
      <c r="I51" s="363">
        <f>+'Per-Capita Data'!AT51</f>
        <v>5</v>
      </c>
    </row>
    <row r="52" spans="1:9" s="22" customFormat="1">
      <c r="A52" s="297" t="s">
        <v>71</v>
      </c>
      <c r="B52" s="297"/>
      <c r="C52" s="297">
        <f>+'Expenditure DATA'!AF50</f>
        <v>91435.606</v>
      </c>
      <c r="D52" s="367">
        <f>(('Expenditure DATA'!AF50-'Expenditure DATA'!AA50)/'Expenditure DATA'!AA50)*100</f>
        <v>7.929309043350262</v>
      </c>
      <c r="E52" s="355">
        <f>+'Per-Capita Data'!AE52</f>
        <v>7922.6713925396634</v>
      </c>
      <c r="F52" s="371">
        <f>('Per-Capita Data'!Z52/'Per-Capita Data'!Z$5)*100</f>
        <v>97.295435016634187</v>
      </c>
      <c r="G52" s="367">
        <f>('Per-Capita Data'!AE52/'Per-Capita Data'!AE$5)*100</f>
        <v>95.258789496319991</v>
      </c>
      <c r="H52" s="345">
        <f>+'Per-Capita Data'!AO52</f>
        <v>20</v>
      </c>
      <c r="I52" s="363">
        <f>+'Per-Capita Data'!AT52</f>
        <v>29</v>
      </c>
    </row>
    <row r="53" spans="1:9" s="22" customFormat="1">
      <c r="A53" s="297" t="s">
        <v>75</v>
      </c>
      <c r="B53" s="297"/>
      <c r="C53" s="297">
        <f>+'Expenditure DATA'!AF51</f>
        <v>6101.0420000000004</v>
      </c>
      <c r="D53" s="367">
        <f>(('Expenditure DATA'!AF51-'Expenditure DATA'!AA51)/'Expenditure DATA'!AA51)*100</f>
        <v>23.063234824255378</v>
      </c>
      <c r="E53" s="355">
        <f>+'Per-Capita Data'!AE53</f>
        <v>7407.8361520799717</v>
      </c>
      <c r="F53" s="371">
        <f>('Per-Capita Data'!Z53/'Per-Capita Data'!Z$5)*100</f>
        <v>83.483358101386813</v>
      </c>
      <c r="G53" s="367">
        <f>('Per-Capita Data'!AE53/'Per-Capita Data'!AE$5)*100</f>
        <v>89.068632241733141</v>
      </c>
      <c r="H53" s="345">
        <f>+'Per-Capita Data'!AO53</f>
        <v>45</v>
      </c>
      <c r="I53" s="363">
        <f>+'Per-Capita Data'!AT53</f>
        <v>37</v>
      </c>
    </row>
    <row r="54" spans="1:9" s="22" customFormat="1">
      <c r="A54" s="297" t="s">
        <v>79</v>
      </c>
      <c r="B54" s="297"/>
      <c r="C54" s="301">
        <f>+'Expenditure DATA'!AF52</f>
        <v>47264.904999999999</v>
      </c>
      <c r="D54" s="420">
        <f>(('Expenditure DATA'!AF52-'Expenditure DATA'!AA52)/'Expenditure DATA'!AA52)*100</f>
        <v>16.734774231677278</v>
      </c>
      <c r="E54" s="355">
        <f>+'Per-Capita Data'!AE54</f>
        <v>8277.7941530091102</v>
      </c>
      <c r="F54" s="371">
        <f>('Per-Capita Data'!Z54/'Per-Capita Data'!Z$5)*100</f>
        <v>95.717463445035918</v>
      </c>
      <c r="G54" s="367">
        <f>('Per-Capita Data'!AE54/'Per-Capita Data'!AE$5)*100</f>
        <v>99.528632660175745</v>
      </c>
      <c r="H54" s="345">
        <f>+'Per-Capita Data'!AO54</f>
        <v>23</v>
      </c>
      <c r="I54" s="363">
        <f>+'Per-Capita Data'!AT54</f>
        <v>23</v>
      </c>
    </row>
    <row r="55" spans="1:9" s="22" customFormat="1">
      <c r="A55" s="302" t="s">
        <v>138</v>
      </c>
      <c r="B55" s="302"/>
      <c r="C55" s="296">
        <f>+'Expenditure DATA'!AF53</f>
        <v>563504.00800000003</v>
      </c>
      <c r="D55" s="366">
        <f>(('Expenditure DATA'!AF53-'Expenditure DATA'!AA53)/'Expenditure DATA'!AA53)*100</f>
        <v>15.787430026003058</v>
      </c>
      <c r="E55" s="358">
        <f>+'Per-Capita Data'!AE10</f>
        <v>10135.393286255321</v>
      </c>
      <c r="F55" s="374">
        <f>('Per-Capita Data'!Z10/'Per-Capita Data'!Z$5)*100</f>
        <v>117.69631200988435</v>
      </c>
      <c r="G55" s="369">
        <f>('Per-Capita Data'!AE10/'Per-Capita Data'!AE$5)*100</f>
        <v>121.86360479710845</v>
      </c>
      <c r="H55" s="348"/>
      <c r="I55" s="302"/>
    </row>
    <row r="56" spans="1:9" s="22" customFormat="1">
      <c r="A56" s="298"/>
      <c r="B56" s="298"/>
      <c r="C56" s="298"/>
      <c r="D56" s="368"/>
      <c r="E56" s="356"/>
      <c r="F56" s="372"/>
      <c r="G56" s="368"/>
      <c r="H56" s="346"/>
      <c r="I56" s="299"/>
    </row>
    <row r="57" spans="1:9" s="22" customFormat="1">
      <c r="A57" s="297" t="s">
        <v>51</v>
      </c>
      <c r="B57" s="297"/>
      <c r="C57" s="297">
        <f>+'Expenditure DATA'!AF55</f>
        <v>34372.315999999999</v>
      </c>
      <c r="D57" s="367">
        <f>(('Expenditure DATA'!AF55-'Expenditure DATA'!AA55)/'Expenditure DATA'!AA55)*100</f>
        <v>21.074044981419181</v>
      </c>
      <c r="E57" s="355">
        <f>+'Per-Capita Data'!AE56</f>
        <v>9583.2249937756442</v>
      </c>
      <c r="F57" s="371">
        <f>('Per-Capita Data'!Z56/'Per-Capita Data'!Z$5)*100</f>
        <v>106.42235466506342</v>
      </c>
      <c r="G57" s="367">
        <f>('Per-Capita Data'!AE56/'Per-Capita Data'!AE$5)*100</f>
        <v>115.22457099982218</v>
      </c>
      <c r="H57" s="345">
        <f>+'Per-Capita Data'!AO56</f>
        <v>12</v>
      </c>
      <c r="I57" s="363">
        <f>+'Per-Capita Data'!AT56</f>
        <v>9</v>
      </c>
    </row>
    <row r="58" spans="1:9" s="22" customFormat="1">
      <c r="A58" s="297" t="s">
        <v>58</v>
      </c>
      <c r="B58" s="297"/>
      <c r="C58" s="297">
        <f>+'Expenditure DATA'!AF56</f>
        <v>11276.96</v>
      </c>
      <c r="D58" s="367">
        <f>(('Expenditure DATA'!AF56-'Expenditure DATA'!AA56)/'Expenditure DATA'!AA56)*100</f>
        <v>12.112597754638252</v>
      </c>
      <c r="E58" s="355">
        <f>+'Per-Capita Data'!AE57</f>
        <v>8488.2096490594213</v>
      </c>
      <c r="F58" s="371">
        <f>('Per-Capita Data'!Z57/'Per-Capita Data'!Z$5)*100</f>
        <v>100.20258351179689</v>
      </c>
      <c r="G58" s="367">
        <f>('Per-Capita Data'!AE57/'Per-Capita Data'!AE$5)*100</f>
        <v>102.05857798441254</v>
      </c>
      <c r="H58" s="345">
        <f>+'Per-Capita Data'!AO57</f>
        <v>18</v>
      </c>
      <c r="I58" s="363">
        <f>+'Per-Capita Data'!AT57</f>
        <v>20</v>
      </c>
    </row>
    <row r="59" spans="1:9" s="22" customFormat="1">
      <c r="A59" s="297" t="s">
        <v>59</v>
      </c>
      <c r="B59" s="297"/>
      <c r="C59" s="297">
        <f>+'Expenditure DATA'!AF57</f>
        <v>63612.658000000003</v>
      </c>
      <c r="D59" s="367">
        <f>(('Expenditure DATA'!AF57-'Expenditure DATA'!AA57)/'Expenditure DATA'!AA57)*100</f>
        <v>16.47522145846445</v>
      </c>
      <c r="E59" s="355">
        <f>+'Per-Capita Data'!AE58</f>
        <v>9628.0655540795124</v>
      </c>
      <c r="F59" s="371">
        <f>('Per-Capita Data'!Z58/'Per-Capita Data'!Z$5)*100</f>
        <v>112.34417631517593</v>
      </c>
      <c r="G59" s="367">
        <f>('Per-Capita Data'!AE58/'Per-Capita Data'!AE$5)*100</f>
        <v>115.76371458955951</v>
      </c>
      <c r="H59" s="345">
        <f>+'Per-Capita Data'!AO58</f>
        <v>8</v>
      </c>
      <c r="I59" s="363">
        <f>+'Per-Capita Data'!AT58</f>
        <v>8</v>
      </c>
    </row>
    <row r="60" spans="1:9" s="22" customFormat="1">
      <c r="A60" s="297" t="s">
        <v>66</v>
      </c>
      <c r="B60" s="297"/>
      <c r="C60" s="297">
        <f>+'Expenditure DATA'!AF58</f>
        <v>10034.076999999999</v>
      </c>
      <c r="D60" s="367">
        <f>(('Expenditure DATA'!AF58-'Expenditure DATA'!AA58)/'Expenditure DATA'!AA58)*100</f>
        <v>18.479187130854964</v>
      </c>
      <c r="E60" s="355">
        <f>+'Per-Capita Data'!AE59</f>
        <v>7614.2234788554015</v>
      </c>
      <c r="F60" s="371">
        <f>('Per-Capita Data'!Z59/'Per-Capita Data'!Z$5)*100</f>
        <v>85.349850888874329</v>
      </c>
      <c r="G60" s="367">
        <f>('Per-Capita Data'!AE59/'Per-Capita Data'!AE$5)*100</f>
        <v>91.550144593049623</v>
      </c>
      <c r="H60" s="345">
        <f>+'Per-Capita Data'!AO59</f>
        <v>42</v>
      </c>
      <c r="I60" s="363">
        <f>+'Per-Capita Data'!AT59</f>
        <v>33</v>
      </c>
    </row>
    <row r="61" spans="1:9" s="22" customFormat="1">
      <c r="A61" s="298" t="s">
        <v>67</v>
      </c>
      <c r="B61" s="298"/>
      <c r="C61" s="296">
        <f>+'Expenditure DATA'!AF59</f>
        <v>83049.304000000004</v>
      </c>
      <c r="D61" s="366">
        <f>(('Expenditure DATA'!AF59-'Expenditure DATA'!AA59)/'Expenditure DATA'!AA59)*100</f>
        <v>10.773868730891776</v>
      </c>
      <c r="E61" s="354">
        <f>+'Per-Capita Data'!AE60</f>
        <v>9400.2759323867176</v>
      </c>
      <c r="F61" s="370">
        <f>('Per-Capita Data'!Z60/'Per-Capita Data'!Z$5)*100</f>
        <v>114.13027828963693</v>
      </c>
      <c r="G61" s="366">
        <f>('Per-Capita Data'!AE60/'Per-Capita Data'!AE$5)*100</f>
        <v>113.02487025951284</v>
      </c>
      <c r="H61" s="344">
        <f>+'Per-Capita Data'!AO60</f>
        <v>7</v>
      </c>
      <c r="I61" s="362">
        <f>+'Per-Capita Data'!AT60</f>
        <v>10</v>
      </c>
    </row>
    <row r="62" spans="1:9" s="22" customFormat="1">
      <c r="A62" s="298" t="s">
        <v>69</v>
      </c>
      <c r="B62" s="298"/>
      <c r="C62" s="296">
        <f>+'Expenditure DATA'!AF60</f>
        <v>238464.826</v>
      </c>
      <c r="D62" s="366">
        <f>(('Expenditure DATA'!AF60-'Expenditure DATA'!AA60)/'Expenditure DATA'!AA60)*100</f>
        <v>16.526155952135863</v>
      </c>
      <c r="E62" s="354">
        <f>+'Per-Capita Data'!AE61</f>
        <v>12227.952083560665</v>
      </c>
      <c r="F62" s="370">
        <f>('Per-Capita Data'!Z61/'Per-Capita Data'!Z$5)*100</f>
        <v>141.24287289207791</v>
      </c>
      <c r="G62" s="366">
        <f>('Per-Capita Data'!AE61/'Per-Capita Data'!AE$5)*100</f>
        <v>147.0236307662386</v>
      </c>
      <c r="H62" s="344">
        <f>+'Per-Capita Data'!AO61</f>
        <v>4</v>
      </c>
      <c r="I62" s="362">
        <f>+'Per-Capita Data'!AT61</f>
        <v>4</v>
      </c>
    </row>
    <row r="63" spans="1:9" s="22" customFormat="1">
      <c r="A63" s="298" t="s">
        <v>73</v>
      </c>
      <c r="B63" s="298"/>
      <c r="C63" s="296">
        <f>+'Expenditure DATA'!AF61</f>
        <v>107146.66899999999</v>
      </c>
      <c r="D63" s="366">
        <f>(('Expenditure DATA'!AF61-'Expenditure DATA'!AA61)/'Expenditure DATA'!AA61)*100</f>
        <v>16.863107132258815</v>
      </c>
      <c r="E63" s="354">
        <f>+'Per-Capita Data'!AE62</f>
        <v>8407.6511454692063</v>
      </c>
      <c r="F63" s="370">
        <f>('Per-Capita Data'!Z62/'Per-Capita Data'!Z$5)*100</f>
        <v>96.631815408184877</v>
      </c>
      <c r="G63" s="366">
        <f>('Per-Capita Data'!AE62/'Per-Capita Data'!AE$5)*100</f>
        <v>101.08997722395883</v>
      </c>
      <c r="H63" s="344">
        <f>+'Per-Capita Data'!AO62</f>
        <v>21</v>
      </c>
      <c r="I63" s="362">
        <f>+'Per-Capita Data'!AT62</f>
        <v>21</v>
      </c>
    </row>
    <row r="64" spans="1:9" s="22" customFormat="1">
      <c r="A64" s="298" t="s">
        <v>74</v>
      </c>
      <c r="B64" s="298"/>
      <c r="C64" s="296">
        <f>+'Expenditure DATA'!AF62</f>
        <v>9310.0969999999998</v>
      </c>
      <c r="D64" s="366">
        <f>(('Expenditure DATA'!AF62-'Expenditure DATA'!AA62)/'Expenditure DATA'!AA62)*100</f>
        <v>8.7059733718676906</v>
      </c>
      <c r="E64" s="354">
        <f>+'Per-Capita Data'!AE63</f>
        <v>8861.3072338351831</v>
      </c>
      <c r="F64" s="370">
        <f>('Per-Capita Data'!Z63/'Per-Capita Data'!Z$5)*100</f>
        <v>106.22643338550708</v>
      </c>
      <c r="G64" s="366">
        <f>('Per-Capita Data'!AE63/'Per-Capita Data'!AE$5)*100</f>
        <v>106.54454269616451</v>
      </c>
      <c r="H64" s="344">
        <f>+'Per-Capita Data'!AO63</f>
        <v>13</v>
      </c>
      <c r="I64" s="362">
        <f>+'Per-Capita Data'!AT63</f>
        <v>17</v>
      </c>
    </row>
    <row r="65" spans="1:17" s="22" customFormat="1">
      <c r="A65" s="295" t="s">
        <v>77</v>
      </c>
      <c r="B65" s="295"/>
      <c r="C65" s="295">
        <f>+'Expenditure DATA'!AF63</f>
        <v>6237.1009999999997</v>
      </c>
      <c r="D65" s="419">
        <f>(('Expenditure DATA'!AF63-'Expenditure DATA'!AA63)/'Expenditure DATA'!AA63)*100</f>
        <v>18.299388009260472</v>
      </c>
      <c r="E65" s="354">
        <f>+'Per-Capita Data'!AE64</f>
        <v>9954.0067539962201</v>
      </c>
      <c r="F65" s="375">
        <f>('Per-Capita Data'!Z64/'Per-Capita Data'!Z$5)*100</f>
        <v>111.60709733197645</v>
      </c>
      <c r="G65" s="419">
        <f>('Per-Capita Data'!AE64/'Per-Capita Data'!AE$5)*100</f>
        <v>119.68269123426556</v>
      </c>
      <c r="H65" s="343">
        <f>+'Per-Capita Data'!AO64</f>
        <v>9</v>
      </c>
      <c r="I65" s="295">
        <f>+'Per-Capita Data'!AT64</f>
        <v>7</v>
      </c>
    </row>
    <row r="66" spans="1:17" s="22" customFormat="1">
      <c r="A66" s="303" t="s">
        <v>133</v>
      </c>
      <c r="B66" s="303"/>
      <c r="C66" s="301">
        <f>+'Expenditure DATA'!AF64</f>
        <v>10765.049000000001</v>
      </c>
      <c r="D66" s="421">
        <f>(('Expenditure DATA'!AF64-'Expenditure DATA'!AA64)/'Expenditure DATA'!AA64)*100</f>
        <v>26.939820893621629</v>
      </c>
      <c r="E66" s="359">
        <f>+'Per-Capita Data'!AE65</f>
        <v>17390.470420988015</v>
      </c>
      <c r="F66" s="373">
        <f>('Per-Capita Data'!Z65/'Per-Capita Data'!Z$5)*100</f>
        <v>195.94266186149352</v>
      </c>
      <c r="G66" s="420">
        <f>('Per-Capita Data'!AE65/'Per-Capita Data'!AE$5)*100</f>
        <v>209.09552838892188</v>
      </c>
      <c r="H66" s="349">
        <f>+'Per-Capita Data'!AO65</f>
        <v>2</v>
      </c>
      <c r="I66" s="301">
        <f>+'Per-Capita Data'!AT65</f>
        <v>2</v>
      </c>
    </row>
    <row r="67" spans="1:17" s="212" customFormat="1" ht="6" customHeight="1">
      <c r="A67" s="17"/>
      <c r="B67" s="17"/>
      <c r="C67" s="17"/>
      <c r="D67" s="17"/>
      <c r="E67" s="17"/>
      <c r="F67" s="17"/>
      <c r="G67" s="17"/>
      <c r="H67" s="17"/>
      <c r="I67" s="17"/>
    </row>
    <row r="68" spans="1:17" s="22" customFormat="1" ht="18" customHeight="1">
      <c r="A68" s="144" t="s">
        <v>164</v>
      </c>
      <c r="B68" s="17"/>
      <c r="C68" s="17"/>
      <c r="D68" s="17"/>
      <c r="E68" s="17"/>
      <c r="F68" s="17"/>
      <c r="G68" s="17"/>
      <c r="H68" s="1"/>
      <c r="I68" s="17"/>
    </row>
    <row r="69" spans="1:17" ht="54.75" customHeight="1">
      <c r="A69" s="364" t="s">
        <v>42</v>
      </c>
      <c r="B69" s="481" t="s">
        <v>165</v>
      </c>
      <c r="C69" s="481"/>
      <c r="D69" s="481"/>
      <c r="E69" s="481"/>
      <c r="F69" s="481"/>
      <c r="G69" s="481"/>
      <c r="H69" s="481"/>
      <c r="I69" s="481"/>
    </row>
    <row r="70" spans="1:17">
      <c r="I70" s="186" t="s">
        <v>156</v>
      </c>
      <c r="J70" s="103"/>
      <c r="K70" s="197"/>
    </row>
    <row r="73" spans="1:17" ht="50.25" customHeight="1">
      <c r="B73" s="478"/>
      <c r="C73" s="479"/>
      <c r="D73" s="479"/>
      <c r="E73" s="479"/>
      <c r="F73" s="480"/>
      <c r="G73" s="480"/>
      <c r="H73" s="480"/>
      <c r="I73" s="480"/>
      <c r="J73" s="474"/>
      <c r="K73" s="475"/>
      <c r="L73" s="475"/>
      <c r="M73" s="475"/>
      <c r="N73" s="475"/>
      <c r="O73" s="475"/>
      <c r="P73" s="475"/>
      <c r="Q73" s="475"/>
    </row>
    <row r="75" spans="1:17" ht="48" customHeight="1">
      <c r="J75" s="474"/>
      <c r="K75" s="475"/>
      <c r="L75" s="475"/>
      <c r="M75" s="475"/>
      <c r="N75" s="475"/>
      <c r="O75" s="475"/>
      <c r="P75" s="475"/>
      <c r="Q75" s="475"/>
    </row>
  </sheetData>
  <mergeCells count="4">
    <mergeCell ref="B69:I69"/>
    <mergeCell ref="B73:I73"/>
    <mergeCell ref="J73:Q73"/>
    <mergeCell ref="J75:Q75"/>
  </mergeCells>
  <pageMargins left="0.75" right="0.75" top="1" bottom="1" header="0.5" footer="0.5"/>
  <pageSetup scale="67" orientation="portrait" r:id="rId1"/>
  <headerFooter alignWithMargins="0">
    <oddFooter>&amp;LSREB Fact Book&amp;R&amp;D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indexed="18"/>
  </sheetPr>
  <dimension ref="A1:JT81"/>
  <sheetViews>
    <sheetView zoomScale="80" zoomScaleNormal="80" workbookViewId="0">
      <pane xSplit="1" ySplit="4" topLeftCell="IQ5" activePane="bottomRight" state="frozen"/>
      <selection pane="topRight" activeCell="B1" sqref="B1"/>
      <selection pane="bottomLeft" activeCell="A5" sqref="A5"/>
      <selection pane="bottomRight" activeCell="AF8" sqref="AF8"/>
    </sheetView>
  </sheetViews>
  <sheetFormatPr defaultColWidth="7.7109375" defaultRowHeight="12.75"/>
  <cols>
    <col min="1" max="1" width="23.42578125" style="224" customWidth="1"/>
    <col min="2" max="8" width="10.28515625" style="1" customWidth="1"/>
    <col min="9" max="9" width="10.28515625" style="13" customWidth="1"/>
    <col min="10" max="10" width="10.28515625" style="1" customWidth="1"/>
    <col min="11" max="11" width="10.28515625" style="134" customWidth="1"/>
    <col min="12" max="15" width="10.28515625" style="1" customWidth="1"/>
    <col min="16" max="16" width="10.28515625" style="13" customWidth="1"/>
    <col min="17" max="20" width="10.28515625" style="26" customWidth="1"/>
    <col min="21" max="21" width="10.28515625" style="134" customWidth="1"/>
    <col min="22" max="22" width="10.28515625" style="26" customWidth="1"/>
    <col min="23" max="23" width="10.28515625" style="134" customWidth="1"/>
    <col min="24" max="28" width="10.28515625" style="26" customWidth="1"/>
    <col min="29" max="29" width="12.140625" style="26" customWidth="1"/>
    <col min="30" max="30" width="13.28515625" style="26" customWidth="1"/>
    <col min="31" max="32" width="12.140625" style="26" customWidth="1"/>
    <col min="33" max="33" width="10.28515625" style="17" customWidth="1"/>
    <col min="34" max="39" width="10.28515625" style="1" customWidth="1"/>
    <col min="40" max="40" width="10.28515625" style="13" customWidth="1"/>
    <col min="41" max="41" width="10.28515625" style="1" customWidth="1"/>
    <col min="42" max="42" width="10.28515625" style="134" customWidth="1"/>
    <col min="43" max="43" width="10.28515625" style="80" customWidth="1"/>
    <col min="44" max="47" width="10.28515625" style="1" customWidth="1"/>
    <col min="48" max="51" width="10.28515625" style="17" customWidth="1"/>
    <col min="52" max="52" width="10.28515625" style="134" customWidth="1"/>
    <col min="53" max="53" width="10.28515625" style="26" customWidth="1"/>
    <col min="54" max="54" width="10.28515625" style="134" customWidth="1"/>
    <col min="55" max="63" width="10.28515625" style="26" customWidth="1"/>
    <col min="64" max="64" width="10.28515625" style="17" customWidth="1"/>
    <col min="65" max="70" width="10.28515625" style="1" customWidth="1"/>
    <col min="71" max="71" width="10.28515625" style="13" customWidth="1"/>
    <col min="72" max="72" width="10.28515625" style="1" customWidth="1"/>
    <col min="73" max="73" width="10.28515625" style="134" customWidth="1"/>
    <col min="74" max="78" width="10.28515625" style="1" customWidth="1"/>
    <col min="79" max="82" width="10.28515625" style="17" customWidth="1"/>
    <col min="83" max="83" width="10.28515625" style="134" customWidth="1"/>
    <col min="84" max="84" width="10.28515625" style="26" customWidth="1"/>
    <col min="85" max="85" width="10.28515625" style="134" customWidth="1"/>
    <col min="86" max="94" width="10.28515625" style="26" customWidth="1"/>
    <col min="95" max="95" width="10.28515625" style="17" customWidth="1"/>
    <col min="96" max="101" width="10.28515625" style="1" customWidth="1"/>
    <col min="102" max="102" width="10.28515625" style="13" customWidth="1"/>
    <col min="103" max="103" width="10.28515625" style="1" customWidth="1"/>
    <col min="104" max="104" width="10.28515625" style="134" customWidth="1"/>
    <col min="105" max="109" width="10.28515625" style="1" customWidth="1"/>
    <col min="110" max="113" width="10.28515625" style="17" customWidth="1"/>
    <col min="114" max="114" width="10.28515625" style="134" customWidth="1"/>
    <col min="115" max="115" width="10.28515625" style="26" customWidth="1"/>
    <col min="116" max="116" width="10.28515625" style="134" customWidth="1"/>
    <col min="117" max="125" width="10.28515625" style="26" customWidth="1"/>
    <col min="126" max="126" width="10.28515625" style="17" customWidth="1"/>
    <col min="127" max="140" width="10.28515625" style="1" customWidth="1"/>
    <col min="141" max="157" width="10.28515625" style="17" customWidth="1"/>
    <col min="158" max="163" width="10.28515625" style="1" customWidth="1"/>
    <col min="164" max="164" width="10.28515625" style="13" customWidth="1"/>
    <col min="165" max="165" width="10.28515625" style="1" customWidth="1"/>
    <col min="166" max="166" width="10.28515625" style="134" customWidth="1"/>
    <col min="167" max="171" width="10.28515625" style="1" customWidth="1"/>
    <col min="172" max="175" width="10.28515625" style="17" customWidth="1"/>
    <col min="176" max="176" width="10.28515625" style="134" customWidth="1"/>
    <col min="177" max="177" width="10.28515625" style="26" customWidth="1"/>
    <col min="178" max="178" width="10.28515625" style="134" customWidth="1"/>
    <col min="179" max="187" width="10.28515625" style="26" customWidth="1"/>
    <col min="188" max="188" width="10.28515625" style="17" customWidth="1"/>
    <col min="189" max="194" width="10.28515625" style="1" customWidth="1"/>
    <col min="195" max="195" width="10.28515625" style="13" customWidth="1"/>
    <col min="196" max="196" width="10.28515625" style="1" customWidth="1"/>
    <col min="197" max="197" width="10.28515625" style="134" customWidth="1"/>
    <col min="198" max="202" width="10.28515625" style="1" customWidth="1"/>
    <col min="203" max="206" width="10.28515625" style="17" customWidth="1"/>
    <col min="207" max="207" width="10.28515625" style="134" customWidth="1"/>
    <col min="208" max="208" width="10.28515625" style="26" customWidth="1"/>
    <col min="209" max="209" width="10.28515625" style="134" customWidth="1"/>
    <col min="210" max="218" width="10.28515625" style="26" customWidth="1"/>
    <col min="219" max="219" width="10.28515625" style="17" customWidth="1"/>
    <col min="220" max="225" width="10.28515625" style="1" customWidth="1"/>
    <col min="226" max="226" width="10.28515625" style="13" customWidth="1"/>
    <col min="227" max="227" width="10.28515625" style="1" customWidth="1"/>
    <col min="228" max="228" width="10.28515625" style="134" customWidth="1"/>
    <col min="229" max="233" width="10.28515625" style="1" customWidth="1"/>
    <col min="234" max="237" width="10.28515625" style="17" customWidth="1"/>
    <col min="238" max="238" width="10.28515625" style="134" customWidth="1"/>
    <col min="239" max="239" width="10.28515625" style="26" customWidth="1"/>
    <col min="240" max="240" width="10.28515625" style="134" customWidth="1"/>
    <col min="241" max="249" width="10.28515625" style="26" customWidth="1"/>
    <col min="250" max="250" width="10.28515625" style="17" customWidth="1"/>
    <col min="251" max="256" width="10.28515625" style="1" customWidth="1"/>
    <col min="257" max="257" width="10.28515625" style="13" customWidth="1"/>
    <col min="258" max="258" width="10.28515625" style="1" customWidth="1"/>
    <col min="259" max="259" width="10.28515625" style="134" customWidth="1"/>
    <col min="260" max="264" width="10.28515625" style="1" customWidth="1"/>
    <col min="265" max="265" width="10.28515625" style="17" customWidth="1"/>
    <col min="266" max="268" width="10.28515625" style="1" customWidth="1"/>
    <col min="269" max="269" width="10.28515625" style="134" customWidth="1"/>
    <col min="270" max="270" width="10.28515625" style="1" customWidth="1"/>
    <col min="271" max="271" width="10.28515625" style="134" customWidth="1"/>
    <col min="272" max="274" width="8.85546875" style="1" customWidth="1"/>
    <col min="275" max="278" width="10.28515625" style="26" customWidth="1"/>
    <col min="279" max="280" width="8.85546875" style="1" customWidth="1"/>
    <col min="281" max="16384" width="7.7109375" style="1"/>
  </cols>
  <sheetData>
    <row r="1" spans="1:280">
      <c r="A1" s="3" t="s">
        <v>0</v>
      </c>
      <c r="B1" s="3"/>
      <c r="C1" s="3"/>
      <c r="D1" s="3"/>
      <c r="E1" s="3"/>
      <c r="F1" s="3"/>
      <c r="G1" s="3"/>
      <c r="H1" s="3"/>
      <c r="I1" s="12"/>
      <c r="J1" s="3"/>
      <c r="K1" s="130"/>
      <c r="L1" s="3"/>
      <c r="M1" s="3"/>
      <c r="N1" s="3"/>
      <c r="O1" s="3"/>
      <c r="P1" s="12"/>
      <c r="Q1" s="25"/>
      <c r="R1" s="1"/>
      <c r="S1" s="25"/>
      <c r="T1" s="25"/>
      <c r="U1" s="130"/>
      <c r="V1" s="25"/>
      <c r="W1" s="130"/>
      <c r="X1" s="25"/>
      <c r="Y1" s="25"/>
      <c r="Z1" s="25"/>
      <c r="AA1" s="25"/>
      <c r="AB1" s="25"/>
      <c r="AC1" s="25"/>
      <c r="AD1" s="25">
        <v>26645.855</v>
      </c>
      <c r="AE1" s="25">
        <f>+AF1*AF18</f>
        <v>26589.212999999989</v>
      </c>
      <c r="AF1" s="469">
        <v>0.99787426599746898</v>
      </c>
      <c r="AG1" s="16"/>
      <c r="AH1" s="10"/>
      <c r="AI1" s="10"/>
      <c r="AJ1" s="10"/>
      <c r="AK1" s="10"/>
      <c r="AL1" s="10"/>
      <c r="AM1" s="10"/>
      <c r="AN1" s="55"/>
      <c r="AO1" s="10"/>
      <c r="AP1" s="130"/>
      <c r="AQ1" s="76"/>
      <c r="AR1" s="3"/>
      <c r="AS1" s="3"/>
      <c r="AT1" s="3"/>
      <c r="AU1" s="3"/>
      <c r="AV1" s="16"/>
      <c r="AW1" s="16"/>
      <c r="AX1" s="16"/>
      <c r="AY1" s="16"/>
      <c r="AZ1" s="130"/>
      <c r="BA1" s="25"/>
      <c r="BB1" s="130"/>
      <c r="BC1" s="25"/>
      <c r="BD1" s="25"/>
      <c r="BE1" s="25"/>
      <c r="BF1" s="25"/>
      <c r="BG1" s="25"/>
      <c r="BH1" s="25"/>
      <c r="BI1" s="25"/>
      <c r="BJ1" s="25"/>
      <c r="BK1" s="25"/>
      <c r="BL1" s="16"/>
      <c r="BM1" s="3"/>
      <c r="BN1" s="3"/>
      <c r="BO1" s="3"/>
      <c r="BP1" s="3"/>
      <c r="BQ1" s="3"/>
      <c r="BR1" s="3"/>
      <c r="BS1" s="12"/>
      <c r="BT1" s="3"/>
      <c r="BU1" s="130"/>
      <c r="BV1" s="3"/>
      <c r="BW1" s="3"/>
      <c r="BX1" s="3"/>
      <c r="BY1" s="3"/>
      <c r="BZ1" s="3"/>
      <c r="CA1" s="16"/>
      <c r="CB1" s="16"/>
      <c r="CC1" s="16"/>
      <c r="CD1" s="16"/>
      <c r="CE1" s="130"/>
      <c r="CF1" s="25"/>
      <c r="CG1" s="130"/>
      <c r="CH1" s="25"/>
      <c r="CI1" s="25"/>
      <c r="CJ1" s="25"/>
      <c r="CK1" s="25"/>
      <c r="CL1" s="25"/>
      <c r="CM1" s="25"/>
      <c r="CN1" s="25"/>
      <c r="CO1" s="25"/>
      <c r="CP1" s="25"/>
      <c r="CQ1" s="16"/>
      <c r="CR1" s="3"/>
      <c r="CS1" s="3"/>
      <c r="CT1" s="3"/>
      <c r="CU1" s="3"/>
      <c r="CV1" s="3"/>
      <c r="CW1" s="3"/>
      <c r="CX1" s="12"/>
      <c r="CY1" s="3"/>
      <c r="CZ1" s="130"/>
      <c r="DA1" s="3"/>
      <c r="DB1" s="3"/>
      <c r="DC1" s="3"/>
      <c r="DD1" s="3"/>
      <c r="DE1" s="3"/>
      <c r="DF1" s="16"/>
      <c r="DG1" s="16"/>
      <c r="DH1" s="16"/>
      <c r="DI1" s="16"/>
      <c r="DJ1" s="130"/>
      <c r="DK1" s="25"/>
      <c r="DL1" s="130"/>
      <c r="DM1" s="25"/>
      <c r="DN1" s="25"/>
      <c r="DO1" s="25"/>
      <c r="DP1" s="25"/>
      <c r="DQ1" s="25"/>
      <c r="DR1" s="25"/>
      <c r="DS1" s="25"/>
      <c r="DT1" s="25"/>
      <c r="DU1" s="25"/>
      <c r="DV1" s="16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3"/>
      <c r="FC1" s="3"/>
      <c r="FD1" s="3"/>
      <c r="FE1" s="3"/>
      <c r="FF1" s="3"/>
      <c r="FG1" s="3"/>
      <c r="FH1" s="12"/>
      <c r="FI1" s="3"/>
      <c r="FJ1" s="130"/>
      <c r="FK1" s="3"/>
      <c r="FL1" s="3"/>
      <c r="FM1" s="3"/>
      <c r="FN1" s="3"/>
      <c r="FO1" s="3"/>
      <c r="FP1" s="16"/>
      <c r="FQ1" s="16"/>
      <c r="FR1" s="16"/>
      <c r="FS1" s="16"/>
      <c r="FT1" s="130"/>
      <c r="FU1" s="25"/>
      <c r="FV1" s="130"/>
      <c r="FW1" s="25"/>
      <c r="FX1" s="25"/>
      <c r="FY1" s="25"/>
      <c r="FZ1" s="25"/>
      <c r="GA1" s="25"/>
      <c r="GB1" s="25"/>
      <c r="GC1" s="25"/>
      <c r="GD1" s="25"/>
      <c r="GE1" s="25"/>
      <c r="GF1" s="16"/>
      <c r="GG1" s="3"/>
      <c r="GH1" s="3"/>
      <c r="GI1" s="3"/>
      <c r="GJ1" s="3"/>
      <c r="GK1" s="3"/>
      <c r="GL1" s="3"/>
      <c r="GM1" s="3"/>
      <c r="GN1" s="3"/>
      <c r="GO1" s="130"/>
      <c r="GP1" s="3"/>
      <c r="GQ1" s="3"/>
      <c r="GR1" s="3"/>
      <c r="GS1" s="3"/>
      <c r="GT1" s="3"/>
      <c r="GU1" s="16"/>
      <c r="GV1" s="16"/>
      <c r="GW1" s="16"/>
      <c r="GX1" s="16"/>
      <c r="GY1" s="130"/>
      <c r="GZ1" s="25"/>
      <c r="HA1" s="130"/>
      <c r="HB1" s="25"/>
      <c r="HC1" s="25"/>
      <c r="HD1" s="25"/>
      <c r="HE1" s="25"/>
      <c r="HF1" s="25"/>
      <c r="HG1" s="25"/>
      <c r="HH1" s="25"/>
      <c r="HI1" s="25"/>
      <c r="HJ1" s="25"/>
      <c r="HK1" s="16"/>
      <c r="HL1" s="3"/>
      <c r="HM1" s="3"/>
      <c r="HN1" s="3"/>
      <c r="HO1" s="3"/>
      <c r="HP1" s="3"/>
      <c r="HQ1" s="3"/>
      <c r="HR1" s="12"/>
      <c r="HS1" s="3"/>
      <c r="HT1" s="130"/>
      <c r="HU1" s="3"/>
      <c r="HV1" s="3"/>
      <c r="HW1" s="3"/>
      <c r="HX1" s="3"/>
      <c r="HY1" s="3"/>
      <c r="HZ1" s="16"/>
      <c r="IA1" s="16"/>
      <c r="IB1" s="16"/>
      <c r="IC1" s="16"/>
      <c r="ID1" s="130"/>
      <c r="IE1" s="25"/>
      <c r="IF1" s="130"/>
      <c r="IG1" s="25"/>
      <c r="IH1" s="25"/>
      <c r="II1" s="25"/>
      <c r="IJ1" s="25"/>
      <c r="IK1" s="25"/>
      <c r="IL1" s="25"/>
      <c r="IM1" s="25"/>
      <c r="IN1" s="25"/>
      <c r="IO1" s="25"/>
      <c r="IP1" s="16"/>
      <c r="IQ1" s="3"/>
      <c r="IR1" s="3"/>
      <c r="IS1" s="3"/>
      <c r="IT1" s="19"/>
      <c r="IU1" s="3"/>
      <c r="IV1" s="3"/>
      <c r="IW1" s="52"/>
      <c r="IX1" s="3"/>
      <c r="IY1" s="130"/>
      <c r="IZ1" s="3"/>
      <c r="JA1" s="3"/>
      <c r="JB1" s="3"/>
      <c r="JC1" s="3"/>
      <c r="JI1" s="130"/>
      <c r="JK1" s="130"/>
      <c r="JL1" s="130"/>
      <c r="JM1" s="130"/>
      <c r="JN1" s="130"/>
      <c r="JO1" s="25"/>
      <c r="JP1" s="25"/>
      <c r="JQ1" s="25"/>
      <c r="JR1" s="25"/>
    </row>
    <row r="2" spans="1:280" ht="12" customHeight="1">
      <c r="B2" s="20"/>
      <c r="C2" s="3"/>
      <c r="D2" s="3"/>
      <c r="E2" s="3"/>
      <c r="F2" s="3"/>
      <c r="G2" s="3"/>
      <c r="H2" s="3"/>
      <c r="I2" s="12"/>
      <c r="J2" s="3"/>
      <c r="K2" s="130"/>
      <c r="L2" s="3"/>
      <c r="M2" s="3"/>
      <c r="N2" s="3"/>
      <c r="O2" s="3"/>
      <c r="P2" s="12"/>
      <c r="Q2" s="25"/>
      <c r="R2" s="1"/>
      <c r="S2" s="25"/>
      <c r="T2" s="25"/>
      <c r="U2" s="130"/>
      <c r="V2" s="25"/>
      <c r="W2" s="130"/>
      <c r="X2" s="25"/>
      <c r="Y2" s="25"/>
      <c r="Z2" s="25"/>
      <c r="AA2" s="25"/>
      <c r="AB2" s="25"/>
      <c r="AC2" s="25"/>
      <c r="AD2" s="25"/>
      <c r="AE2" s="470">
        <f>+AD1-AE1</f>
        <v>56.642000000010739</v>
      </c>
      <c r="AF2" s="25"/>
      <c r="AG2" s="16"/>
      <c r="AH2" s="3"/>
      <c r="AI2" s="3"/>
      <c r="AJ2" s="3"/>
      <c r="AK2" s="3"/>
      <c r="AL2" s="3"/>
      <c r="AM2" s="3"/>
      <c r="AN2" s="12"/>
      <c r="AO2" s="3"/>
      <c r="AP2" s="130"/>
      <c r="AQ2" s="29"/>
      <c r="AR2" s="3"/>
      <c r="AS2" s="3"/>
      <c r="AT2" s="3"/>
      <c r="AU2" s="3"/>
      <c r="AV2" s="16"/>
      <c r="AW2" s="16"/>
      <c r="AX2" s="16"/>
      <c r="AY2" s="16"/>
      <c r="AZ2" s="130"/>
      <c r="BA2" s="25"/>
      <c r="BB2" s="130"/>
      <c r="BC2" s="25"/>
      <c r="BD2" s="25"/>
      <c r="BE2" s="25"/>
      <c r="BF2" s="25"/>
      <c r="BG2" s="25"/>
      <c r="BH2" s="25"/>
      <c r="BI2" s="25"/>
      <c r="BJ2" s="25"/>
      <c r="BK2" s="25"/>
      <c r="BL2" s="16"/>
      <c r="BM2" s="3"/>
      <c r="BN2" s="3"/>
      <c r="BO2" s="3"/>
      <c r="BP2" s="3"/>
      <c r="BQ2" s="3"/>
      <c r="BR2" s="3"/>
      <c r="BS2" s="12"/>
      <c r="BT2" s="3"/>
      <c r="BU2" s="130"/>
      <c r="BV2" s="3"/>
      <c r="BW2" s="3"/>
      <c r="BX2" s="3"/>
      <c r="BY2" s="3"/>
      <c r="BZ2" s="3"/>
      <c r="CA2" s="16"/>
      <c r="CB2" s="16"/>
      <c r="CC2" s="16"/>
      <c r="CD2" s="16"/>
      <c r="CE2" s="130"/>
      <c r="CF2" s="25"/>
      <c r="CG2" s="130"/>
      <c r="CH2" s="25"/>
      <c r="CI2" s="25"/>
      <c r="CJ2" s="25"/>
      <c r="CK2" s="25"/>
      <c r="CL2" s="25"/>
      <c r="CM2" s="25"/>
      <c r="CN2" s="25"/>
      <c r="CO2" s="25"/>
      <c r="CP2" s="25"/>
      <c r="CQ2" s="16"/>
      <c r="CR2" s="3"/>
      <c r="CS2" s="3"/>
      <c r="CT2" s="3"/>
      <c r="CU2" s="3"/>
      <c r="CV2" s="3"/>
      <c r="CW2" s="3"/>
      <c r="CX2" s="12"/>
      <c r="CY2" s="3"/>
      <c r="CZ2" s="130"/>
      <c r="DA2" s="3"/>
      <c r="DB2" s="3"/>
      <c r="DC2" s="3"/>
      <c r="DD2" s="3"/>
      <c r="DE2" s="3"/>
      <c r="DF2" s="16"/>
      <c r="DG2" s="16"/>
      <c r="DH2" s="16"/>
      <c r="DI2" s="16"/>
      <c r="DJ2" s="130"/>
      <c r="DK2" s="25"/>
      <c r="DL2" s="130"/>
      <c r="DM2" s="25"/>
      <c r="DN2" s="25"/>
      <c r="DO2" s="25"/>
      <c r="DP2" s="25"/>
      <c r="DQ2" s="25"/>
      <c r="DR2" s="25"/>
      <c r="DS2" s="25"/>
      <c r="DT2" s="25"/>
      <c r="DU2" s="25"/>
      <c r="DV2" s="16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3"/>
      <c r="FC2" s="3"/>
      <c r="FD2" s="3"/>
      <c r="FE2" s="3"/>
      <c r="FF2" s="3"/>
      <c r="FG2" s="3"/>
      <c r="FH2" s="12"/>
      <c r="FI2" s="3"/>
      <c r="FJ2" s="130"/>
      <c r="FK2" s="3"/>
      <c r="FL2" s="3"/>
      <c r="FM2" s="3"/>
      <c r="FN2" s="3"/>
      <c r="FO2" s="3"/>
      <c r="FP2" s="16"/>
      <c r="FQ2" s="16"/>
      <c r="FR2" s="16"/>
      <c r="FS2" s="16"/>
      <c r="FT2" s="130"/>
      <c r="FU2" s="25"/>
      <c r="FV2" s="130"/>
      <c r="FW2" s="25"/>
      <c r="FX2" s="25"/>
      <c r="FY2" s="25"/>
      <c r="FZ2" s="25"/>
      <c r="GA2" s="25"/>
      <c r="GB2" s="25"/>
      <c r="GC2" s="25"/>
      <c r="GD2" s="25"/>
      <c r="GE2" s="25"/>
      <c r="GF2" s="16"/>
      <c r="GG2" s="3"/>
      <c r="GH2" s="3"/>
      <c r="GI2" s="3"/>
      <c r="GJ2" s="3"/>
      <c r="GK2" s="3"/>
      <c r="GL2" s="3"/>
      <c r="GM2" s="12"/>
      <c r="GN2" s="3"/>
      <c r="GO2" s="130"/>
      <c r="GP2" s="3"/>
      <c r="GQ2" s="3"/>
      <c r="GR2" s="3"/>
      <c r="GS2" s="3"/>
      <c r="GT2" s="3"/>
      <c r="GU2" s="16"/>
      <c r="GV2" s="16"/>
      <c r="GW2" s="16"/>
      <c r="GX2" s="16"/>
      <c r="GY2" s="130"/>
      <c r="GZ2" s="25"/>
      <c r="HA2" s="130"/>
      <c r="HB2" s="25"/>
      <c r="HC2" s="25"/>
      <c r="HD2" s="25"/>
      <c r="HE2" s="25"/>
      <c r="HF2" s="25"/>
      <c r="HG2" s="25"/>
      <c r="HH2" s="25"/>
      <c r="HI2" s="25"/>
      <c r="HJ2" s="25"/>
      <c r="HK2" s="16"/>
      <c r="HL2" s="3"/>
      <c r="HM2" s="3"/>
      <c r="HN2" s="3"/>
      <c r="HO2" s="3"/>
      <c r="HP2" s="3"/>
      <c r="HQ2" s="3"/>
      <c r="HR2" s="12"/>
      <c r="HS2" s="3"/>
      <c r="HT2" s="130"/>
      <c r="HU2" s="3"/>
      <c r="HV2" s="3"/>
      <c r="HW2" s="3"/>
      <c r="HX2" s="3"/>
      <c r="HY2" s="3"/>
      <c r="HZ2" s="16"/>
      <c r="IA2" s="16"/>
      <c r="IB2" s="16"/>
      <c r="IC2" s="16"/>
      <c r="ID2" s="130"/>
      <c r="IE2" s="25"/>
      <c r="IF2" s="130"/>
      <c r="IG2" s="25"/>
      <c r="IH2" s="25"/>
      <c r="II2" s="25"/>
      <c r="IJ2" s="25"/>
      <c r="IK2" s="25"/>
      <c r="IL2" s="25"/>
      <c r="IM2" s="25"/>
      <c r="IN2" s="25"/>
      <c r="IO2" s="25"/>
      <c r="IP2" s="16"/>
      <c r="IQ2" s="3"/>
      <c r="IR2" s="3"/>
      <c r="IS2" s="3"/>
      <c r="IT2" s="19"/>
      <c r="IU2" s="3"/>
      <c r="IV2" s="3"/>
      <c r="IW2" s="52"/>
      <c r="IX2" s="3"/>
      <c r="IY2" s="130"/>
      <c r="IZ2" s="3"/>
      <c r="JA2" s="3"/>
      <c r="JB2" s="3"/>
      <c r="JC2" s="3"/>
      <c r="JI2" s="130"/>
      <c r="JK2" s="130"/>
      <c r="JL2" s="130"/>
      <c r="JM2" s="130"/>
      <c r="JN2" s="130"/>
      <c r="JO2" s="25"/>
      <c r="JP2" s="25"/>
      <c r="JQ2" s="25"/>
      <c r="JR2" s="25"/>
    </row>
    <row r="3" spans="1:280" ht="21" customHeight="1">
      <c r="B3" s="69" t="s">
        <v>1</v>
      </c>
      <c r="C3" s="6"/>
      <c r="D3" s="6"/>
      <c r="E3" s="6"/>
      <c r="F3" s="6"/>
      <c r="G3" s="6"/>
      <c r="H3" s="6"/>
      <c r="I3" s="18"/>
      <c r="J3" s="6"/>
      <c r="K3" s="131"/>
      <c r="L3" s="6"/>
      <c r="M3" s="6"/>
      <c r="N3" s="6"/>
      <c r="O3" s="6"/>
      <c r="P3" s="18"/>
      <c r="Q3" s="18"/>
      <c r="R3" s="18"/>
      <c r="S3" s="18"/>
      <c r="T3" s="18"/>
      <c r="U3" s="131"/>
      <c r="V3" s="18"/>
      <c r="W3" s="131"/>
      <c r="X3" s="18"/>
      <c r="Y3" s="18"/>
      <c r="Z3" s="18"/>
      <c r="AA3" s="18"/>
      <c r="AB3" s="18"/>
      <c r="AC3" s="18"/>
      <c r="AD3" s="18"/>
      <c r="AE3" s="18"/>
      <c r="AF3" s="18"/>
      <c r="AG3" s="377" t="s">
        <v>2</v>
      </c>
      <c r="AH3" s="7"/>
      <c r="AI3" s="7"/>
      <c r="AJ3" s="7"/>
      <c r="AK3" s="7"/>
      <c r="AL3" s="7"/>
      <c r="AM3" s="7"/>
      <c r="AN3" s="51"/>
      <c r="AO3" s="7"/>
      <c r="AP3" s="131"/>
      <c r="AQ3" s="82"/>
      <c r="AR3" s="7"/>
      <c r="AS3" s="7"/>
      <c r="AT3" s="5"/>
      <c r="AU3" s="5"/>
      <c r="AV3" s="7"/>
      <c r="AW3" s="7"/>
      <c r="AX3" s="7"/>
      <c r="AY3" s="7"/>
      <c r="AZ3" s="131"/>
      <c r="BA3" s="18"/>
      <c r="BB3" s="131"/>
      <c r="BC3" s="18"/>
      <c r="BD3" s="18"/>
      <c r="BE3" s="18"/>
      <c r="BF3" s="18"/>
      <c r="BG3" s="18"/>
      <c r="BH3" s="18"/>
      <c r="BI3" s="18"/>
      <c r="BJ3" s="18"/>
      <c r="BK3" s="18"/>
      <c r="BL3" s="70" t="s">
        <v>3</v>
      </c>
      <c r="BM3" s="7"/>
      <c r="BN3" s="7"/>
      <c r="BO3" s="7"/>
      <c r="BP3" s="7"/>
      <c r="BQ3" s="7"/>
      <c r="BR3" s="7"/>
      <c r="BS3" s="51"/>
      <c r="BT3" s="7"/>
      <c r="BU3" s="131"/>
      <c r="BV3" s="7"/>
      <c r="BW3" s="7"/>
      <c r="BX3" s="7"/>
      <c r="BY3" s="5"/>
      <c r="BZ3" s="5"/>
      <c r="CA3" s="7"/>
      <c r="CB3" s="7"/>
      <c r="CC3" s="7"/>
      <c r="CD3" s="7"/>
      <c r="CE3" s="131"/>
      <c r="CF3" s="18"/>
      <c r="CG3" s="131"/>
      <c r="CH3" s="18"/>
      <c r="CI3" s="18"/>
      <c r="CJ3" s="18"/>
      <c r="CK3" s="18"/>
      <c r="CL3" s="18"/>
      <c r="CM3" s="18"/>
      <c r="CN3" s="18"/>
      <c r="CO3" s="18"/>
      <c r="CP3" s="18"/>
      <c r="CQ3" s="70" t="s">
        <v>4</v>
      </c>
      <c r="CR3" s="7"/>
      <c r="CS3" s="7"/>
      <c r="CT3" s="7"/>
      <c r="CU3" s="7"/>
      <c r="CV3" s="7"/>
      <c r="CW3" s="7"/>
      <c r="CX3" s="51"/>
      <c r="CY3" s="7"/>
      <c r="CZ3" s="131"/>
      <c r="DA3" s="7"/>
      <c r="DB3" s="7"/>
      <c r="DC3" s="7"/>
      <c r="DD3" s="7"/>
      <c r="DE3" s="7"/>
      <c r="DF3" s="7"/>
      <c r="DG3" s="7"/>
      <c r="DH3" s="7"/>
      <c r="DI3" s="7"/>
      <c r="DJ3" s="131"/>
      <c r="DK3" s="18"/>
      <c r="DL3" s="131"/>
      <c r="DM3" s="18"/>
      <c r="DN3" s="18"/>
      <c r="DO3" s="18"/>
      <c r="DP3" s="18"/>
      <c r="DQ3" s="18"/>
      <c r="DR3" s="18"/>
      <c r="DS3" s="18"/>
      <c r="DT3" s="18"/>
      <c r="DU3" s="18"/>
      <c r="DV3" s="71" t="s">
        <v>5</v>
      </c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9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174" t="s">
        <v>6</v>
      </c>
      <c r="FB3" s="7"/>
      <c r="FC3" s="7"/>
      <c r="FD3" s="7"/>
      <c r="FE3" s="7"/>
      <c r="FF3" s="7"/>
      <c r="FG3" s="7"/>
      <c r="FH3" s="51"/>
      <c r="FI3" s="7"/>
      <c r="FJ3" s="131"/>
      <c r="FK3" s="7"/>
      <c r="FL3" s="7"/>
      <c r="FM3" s="7"/>
      <c r="FN3" s="5"/>
      <c r="FO3" s="7"/>
      <c r="FP3" s="7"/>
      <c r="FQ3" s="7"/>
      <c r="FR3" s="7"/>
      <c r="FS3" s="7"/>
      <c r="FT3" s="131"/>
      <c r="FU3" s="18"/>
      <c r="FV3" s="131"/>
      <c r="FW3" s="18"/>
      <c r="FX3" s="18"/>
      <c r="FY3" s="18"/>
      <c r="FZ3" s="18"/>
      <c r="GA3" s="18"/>
      <c r="GB3" s="18"/>
      <c r="GC3" s="18"/>
      <c r="GD3" s="18"/>
      <c r="GE3" s="18"/>
      <c r="GF3" s="63" t="s">
        <v>7</v>
      </c>
      <c r="GG3" s="7"/>
      <c r="GH3" s="7"/>
      <c r="GI3" s="7"/>
      <c r="GJ3" s="7"/>
      <c r="GK3" s="7"/>
      <c r="GL3" s="7"/>
      <c r="GM3" s="51"/>
      <c r="GN3" s="7"/>
      <c r="GO3" s="131"/>
      <c r="GP3" s="7"/>
      <c r="GQ3" s="7"/>
      <c r="GR3" s="7"/>
      <c r="GS3" s="7"/>
      <c r="GT3" s="5"/>
      <c r="GU3" s="7"/>
      <c r="GV3" s="7"/>
      <c r="GW3" s="7"/>
      <c r="GX3" s="7"/>
      <c r="GY3" s="131"/>
      <c r="GZ3" s="18"/>
      <c r="HA3" s="131"/>
      <c r="HB3" s="18"/>
      <c r="HC3" s="18"/>
      <c r="HD3" s="18"/>
      <c r="HE3" s="18"/>
      <c r="HF3" s="18"/>
      <c r="HG3" s="18"/>
      <c r="HH3" s="18"/>
      <c r="HI3" s="18"/>
      <c r="HJ3" s="18"/>
      <c r="HK3" s="72" t="s">
        <v>8</v>
      </c>
      <c r="HL3" s="7"/>
      <c r="HM3" s="7"/>
      <c r="HN3" s="7"/>
      <c r="HO3" s="7"/>
      <c r="HP3" s="7"/>
      <c r="HQ3" s="7"/>
      <c r="HR3" s="51"/>
      <c r="HS3" s="7"/>
      <c r="HT3" s="131"/>
      <c r="HU3" s="7"/>
      <c r="HV3" s="7"/>
      <c r="HW3" s="7"/>
      <c r="HX3" s="5"/>
      <c r="HY3" s="5"/>
      <c r="HZ3" s="7"/>
      <c r="IA3" s="7"/>
      <c r="IB3" s="7"/>
      <c r="IC3" s="7"/>
      <c r="ID3" s="131"/>
      <c r="IE3" s="18"/>
      <c r="IF3" s="131"/>
      <c r="IG3" s="18"/>
      <c r="IH3" s="18"/>
      <c r="II3" s="18"/>
      <c r="IJ3" s="18"/>
      <c r="IK3" s="18"/>
      <c r="IL3" s="18"/>
      <c r="IM3" s="18"/>
      <c r="IN3" s="18"/>
      <c r="IO3" s="18"/>
      <c r="IP3" s="70" t="s">
        <v>94</v>
      </c>
      <c r="IQ3" s="7"/>
      <c r="IR3" s="7"/>
      <c r="IS3" s="7"/>
      <c r="IT3" s="21"/>
      <c r="IU3" s="7"/>
      <c r="IV3" s="7"/>
      <c r="IW3" s="53"/>
      <c r="IX3" s="7"/>
      <c r="IY3" s="131"/>
      <c r="IZ3" s="7"/>
      <c r="JA3" s="7"/>
      <c r="JB3" s="7"/>
      <c r="JC3" s="5"/>
      <c r="JD3" s="31"/>
      <c r="JE3" s="31"/>
      <c r="JF3" s="31"/>
      <c r="JG3" s="31"/>
      <c r="JH3" s="31"/>
      <c r="JI3" s="131"/>
      <c r="JJ3" s="18"/>
      <c r="JK3" s="131"/>
      <c r="JL3" s="159"/>
      <c r="JM3" s="159"/>
      <c r="JN3" s="159"/>
      <c r="JO3" s="18"/>
      <c r="JP3" s="18"/>
      <c r="JQ3" s="18"/>
      <c r="JR3" s="18"/>
      <c r="JS3" s="255"/>
      <c r="JT3" s="255"/>
    </row>
    <row r="4" spans="1:280" s="80" customFormat="1">
      <c r="A4" s="268"/>
      <c r="B4" s="115" t="s">
        <v>9</v>
      </c>
      <c r="C4" s="115" t="s">
        <v>10</v>
      </c>
      <c r="D4" s="115" t="s">
        <v>11</v>
      </c>
      <c r="E4" s="115" t="s">
        <v>12</v>
      </c>
      <c r="F4" s="115" t="s">
        <v>13</v>
      </c>
      <c r="G4" s="115" t="s">
        <v>14</v>
      </c>
      <c r="H4" s="115" t="s">
        <v>15</v>
      </c>
      <c r="I4" s="116" t="s">
        <v>16</v>
      </c>
      <c r="J4" s="115" t="s">
        <v>17</v>
      </c>
      <c r="K4" s="132" t="s">
        <v>96</v>
      </c>
      <c r="L4" s="117" t="s">
        <v>18</v>
      </c>
      <c r="M4" s="118" t="s">
        <v>19</v>
      </c>
      <c r="N4" s="119" t="s">
        <v>20</v>
      </c>
      <c r="O4" s="119" t="s">
        <v>21</v>
      </c>
      <c r="P4" s="120" t="s">
        <v>43</v>
      </c>
      <c r="Q4" s="120" t="s">
        <v>44</v>
      </c>
      <c r="R4" s="120" t="s">
        <v>81</v>
      </c>
      <c r="S4" s="120" t="s">
        <v>82</v>
      </c>
      <c r="T4" s="120" t="s">
        <v>84</v>
      </c>
      <c r="U4" s="132" t="s">
        <v>97</v>
      </c>
      <c r="V4" s="120" t="s">
        <v>95</v>
      </c>
      <c r="W4" s="132" t="s">
        <v>100</v>
      </c>
      <c r="X4" s="120" t="s">
        <v>99</v>
      </c>
      <c r="Y4" s="120" t="s">
        <v>104</v>
      </c>
      <c r="Z4" s="120" t="s">
        <v>105</v>
      </c>
      <c r="AA4" s="120" t="s">
        <v>107</v>
      </c>
      <c r="AB4" s="120" t="s">
        <v>130</v>
      </c>
      <c r="AC4" s="120" t="s">
        <v>143</v>
      </c>
      <c r="AD4" s="120" t="s">
        <v>146</v>
      </c>
      <c r="AE4" s="120" t="s">
        <v>150</v>
      </c>
      <c r="AF4" s="437" t="s">
        <v>152</v>
      </c>
      <c r="AG4" s="378" t="s">
        <v>9</v>
      </c>
      <c r="AH4" s="115" t="s">
        <v>10</v>
      </c>
      <c r="AI4" s="115" t="s">
        <v>11</v>
      </c>
      <c r="AJ4" s="115" t="s">
        <v>12</v>
      </c>
      <c r="AK4" s="115" t="s">
        <v>13</v>
      </c>
      <c r="AL4" s="115" t="s">
        <v>14</v>
      </c>
      <c r="AM4" s="115" t="s">
        <v>15</v>
      </c>
      <c r="AN4" s="116" t="s">
        <v>16</v>
      </c>
      <c r="AO4" s="115" t="s">
        <v>17</v>
      </c>
      <c r="AP4" s="132" t="s">
        <v>96</v>
      </c>
      <c r="AQ4" s="123" t="s">
        <v>18</v>
      </c>
      <c r="AR4" s="118" t="s">
        <v>19</v>
      </c>
      <c r="AS4" s="119" t="s">
        <v>20</v>
      </c>
      <c r="AT4" s="119" t="s">
        <v>21</v>
      </c>
      <c r="AU4" s="119" t="s">
        <v>43</v>
      </c>
      <c r="AV4" s="119" t="s">
        <v>44</v>
      </c>
      <c r="AW4" s="119" t="s">
        <v>81</v>
      </c>
      <c r="AX4" s="119" t="s">
        <v>82</v>
      </c>
      <c r="AY4" s="119" t="s">
        <v>84</v>
      </c>
      <c r="AZ4" s="132" t="s">
        <v>97</v>
      </c>
      <c r="BA4" s="120" t="s">
        <v>95</v>
      </c>
      <c r="BB4" s="132" t="s">
        <v>100</v>
      </c>
      <c r="BC4" s="120" t="s">
        <v>99</v>
      </c>
      <c r="BD4" s="120" t="s">
        <v>104</v>
      </c>
      <c r="BE4" s="120" t="s">
        <v>105</v>
      </c>
      <c r="BF4" s="120" t="s">
        <v>107</v>
      </c>
      <c r="BG4" s="120" t="s">
        <v>130</v>
      </c>
      <c r="BH4" s="120" t="s">
        <v>143</v>
      </c>
      <c r="BI4" s="120" t="s">
        <v>146</v>
      </c>
      <c r="BJ4" s="120" t="s">
        <v>150</v>
      </c>
      <c r="BK4" s="437" t="s">
        <v>152</v>
      </c>
      <c r="BL4" s="122" t="s">
        <v>9</v>
      </c>
      <c r="BM4" s="115" t="s">
        <v>10</v>
      </c>
      <c r="BN4" s="115" t="s">
        <v>11</v>
      </c>
      <c r="BO4" s="115" t="s">
        <v>12</v>
      </c>
      <c r="BP4" s="115" t="s">
        <v>13</v>
      </c>
      <c r="BQ4" s="115" t="s">
        <v>14</v>
      </c>
      <c r="BR4" s="115" t="s">
        <v>15</v>
      </c>
      <c r="BS4" s="116" t="s">
        <v>16</v>
      </c>
      <c r="BT4" s="115" t="s">
        <v>17</v>
      </c>
      <c r="BU4" s="132" t="s">
        <v>96</v>
      </c>
      <c r="BV4" s="115" t="s">
        <v>18</v>
      </c>
      <c r="BW4" s="118" t="s">
        <v>19</v>
      </c>
      <c r="BX4" s="119" t="s">
        <v>20</v>
      </c>
      <c r="BY4" s="119" t="s">
        <v>21</v>
      </c>
      <c r="BZ4" s="119" t="s">
        <v>43</v>
      </c>
      <c r="CA4" s="119" t="s">
        <v>44</v>
      </c>
      <c r="CB4" s="119" t="s">
        <v>81</v>
      </c>
      <c r="CC4" s="119" t="s">
        <v>82</v>
      </c>
      <c r="CD4" s="119" t="s">
        <v>84</v>
      </c>
      <c r="CE4" s="132" t="s">
        <v>97</v>
      </c>
      <c r="CF4" s="120" t="s">
        <v>95</v>
      </c>
      <c r="CG4" s="132" t="s">
        <v>100</v>
      </c>
      <c r="CH4" s="120" t="s">
        <v>99</v>
      </c>
      <c r="CI4" s="120" t="s">
        <v>104</v>
      </c>
      <c r="CJ4" s="120" t="s">
        <v>105</v>
      </c>
      <c r="CK4" s="120" t="s">
        <v>107</v>
      </c>
      <c r="CL4" s="120" t="s">
        <v>130</v>
      </c>
      <c r="CM4" s="120" t="s">
        <v>143</v>
      </c>
      <c r="CN4" s="120" t="s">
        <v>146</v>
      </c>
      <c r="CO4" s="120" t="s">
        <v>150</v>
      </c>
      <c r="CP4" s="437" t="s">
        <v>152</v>
      </c>
      <c r="CQ4" s="124" t="s">
        <v>9</v>
      </c>
      <c r="CR4" s="118" t="s">
        <v>10</v>
      </c>
      <c r="CS4" s="118" t="s">
        <v>11</v>
      </c>
      <c r="CT4" s="115" t="s">
        <v>12</v>
      </c>
      <c r="CU4" s="115" t="s">
        <v>13</v>
      </c>
      <c r="CV4" s="115" t="s">
        <v>14</v>
      </c>
      <c r="CW4" s="115" t="s">
        <v>15</v>
      </c>
      <c r="CX4" s="116" t="s">
        <v>16</v>
      </c>
      <c r="CY4" s="115" t="s">
        <v>17</v>
      </c>
      <c r="CZ4" s="132" t="s">
        <v>96</v>
      </c>
      <c r="DA4" s="115" t="s">
        <v>18</v>
      </c>
      <c r="DB4" s="118" t="s">
        <v>19</v>
      </c>
      <c r="DC4" s="119" t="s">
        <v>20</v>
      </c>
      <c r="DD4" s="119" t="s">
        <v>21</v>
      </c>
      <c r="DE4" s="119" t="s">
        <v>43</v>
      </c>
      <c r="DF4" s="119" t="s">
        <v>44</v>
      </c>
      <c r="DG4" s="119" t="s">
        <v>81</v>
      </c>
      <c r="DH4" s="119" t="s">
        <v>82</v>
      </c>
      <c r="DI4" s="119" t="s">
        <v>84</v>
      </c>
      <c r="DJ4" s="132" t="s">
        <v>97</v>
      </c>
      <c r="DK4" s="120" t="s">
        <v>95</v>
      </c>
      <c r="DL4" s="132" t="s">
        <v>100</v>
      </c>
      <c r="DM4" s="120" t="s">
        <v>99</v>
      </c>
      <c r="DN4" s="120" t="s">
        <v>104</v>
      </c>
      <c r="DO4" s="120" t="s">
        <v>105</v>
      </c>
      <c r="DP4" s="120" t="s">
        <v>107</v>
      </c>
      <c r="DQ4" s="120" t="s">
        <v>130</v>
      </c>
      <c r="DR4" s="120" t="s">
        <v>143</v>
      </c>
      <c r="DS4" s="120" t="s">
        <v>146</v>
      </c>
      <c r="DT4" s="120" t="s">
        <v>150</v>
      </c>
      <c r="DU4" s="437" t="s">
        <v>152</v>
      </c>
      <c r="DV4" s="125" t="s">
        <v>9</v>
      </c>
      <c r="DW4" s="126" t="s">
        <v>10</v>
      </c>
      <c r="DX4" s="126" t="s">
        <v>11</v>
      </c>
      <c r="DY4" s="127" t="s">
        <v>12</v>
      </c>
      <c r="DZ4" s="127" t="s">
        <v>13</v>
      </c>
      <c r="EA4" s="127" t="s">
        <v>14</v>
      </c>
      <c r="EB4" s="127" t="s">
        <v>15</v>
      </c>
      <c r="EC4" s="127" t="s">
        <v>16</v>
      </c>
      <c r="ED4" s="127" t="s">
        <v>17</v>
      </c>
      <c r="EE4" s="127" t="s">
        <v>96</v>
      </c>
      <c r="EF4" s="126" t="s">
        <v>18</v>
      </c>
      <c r="EG4" s="126" t="s">
        <v>19</v>
      </c>
      <c r="EH4" s="121" t="s">
        <v>20</v>
      </c>
      <c r="EI4" s="121" t="s">
        <v>21</v>
      </c>
      <c r="EJ4" s="121" t="s">
        <v>43</v>
      </c>
      <c r="EK4" s="121" t="s">
        <v>44</v>
      </c>
      <c r="EL4" s="121" t="s">
        <v>81</v>
      </c>
      <c r="EM4" s="121" t="s">
        <v>82</v>
      </c>
      <c r="EN4" s="121" t="s">
        <v>84</v>
      </c>
      <c r="EO4" s="121" t="s">
        <v>97</v>
      </c>
      <c r="EP4" s="121" t="s">
        <v>95</v>
      </c>
      <c r="EQ4" s="121" t="s">
        <v>100</v>
      </c>
      <c r="ER4" s="121" t="s">
        <v>99</v>
      </c>
      <c r="ES4" s="121" t="s">
        <v>104</v>
      </c>
      <c r="ET4" s="121" t="s">
        <v>105</v>
      </c>
      <c r="EU4" s="121" t="s">
        <v>107</v>
      </c>
      <c r="EV4" s="121" t="s">
        <v>130</v>
      </c>
      <c r="EW4" s="121" t="s">
        <v>143</v>
      </c>
      <c r="EX4" s="121" t="s">
        <v>146</v>
      </c>
      <c r="EY4" s="121" t="s">
        <v>150</v>
      </c>
      <c r="EZ4" s="121" t="s">
        <v>152</v>
      </c>
      <c r="FA4" s="175" t="s">
        <v>9</v>
      </c>
      <c r="FB4" s="118" t="s">
        <v>10</v>
      </c>
      <c r="FC4" s="118" t="s">
        <v>11</v>
      </c>
      <c r="FD4" s="115" t="s">
        <v>12</v>
      </c>
      <c r="FE4" s="116" t="s">
        <v>13</v>
      </c>
      <c r="FF4" s="115" t="s">
        <v>14</v>
      </c>
      <c r="FG4" s="115" t="s">
        <v>15</v>
      </c>
      <c r="FH4" s="116" t="s">
        <v>16</v>
      </c>
      <c r="FI4" s="115" t="s">
        <v>17</v>
      </c>
      <c r="FJ4" s="132" t="s">
        <v>96</v>
      </c>
      <c r="FK4" s="115" t="s">
        <v>18</v>
      </c>
      <c r="FL4" s="118" t="s">
        <v>19</v>
      </c>
      <c r="FM4" s="119" t="s">
        <v>20</v>
      </c>
      <c r="FN4" s="119" t="s">
        <v>21</v>
      </c>
      <c r="FO4" s="119" t="s">
        <v>43</v>
      </c>
      <c r="FP4" s="119" t="s">
        <v>44</v>
      </c>
      <c r="FQ4" s="119" t="s">
        <v>81</v>
      </c>
      <c r="FR4" s="119" t="s">
        <v>82</v>
      </c>
      <c r="FS4" s="119" t="s">
        <v>84</v>
      </c>
      <c r="FT4" s="132" t="s">
        <v>97</v>
      </c>
      <c r="FU4" s="120" t="s">
        <v>95</v>
      </c>
      <c r="FV4" s="132" t="s">
        <v>100</v>
      </c>
      <c r="FW4" s="120" t="s">
        <v>99</v>
      </c>
      <c r="FX4" s="120" t="s">
        <v>104</v>
      </c>
      <c r="FY4" s="120" t="s">
        <v>105</v>
      </c>
      <c r="FZ4" s="120" t="s">
        <v>107</v>
      </c>
      <c r="GA4" s="120" t="s">
        <v>130</v>
      </c>
      <c r="GB4" s="120" t="s">
        <v>143</v>
      </c>
      <c r="GC4" s="120" t="s">
        <v>146</v>
      </c>
      <c r="GD4" s="120" t="s">
        <v>150</v>
      </c>
      <c r="GE4" s="437" t="s">
        <v>152</v>
      </c>
      <c r="GF4" s="124" t="s">
        <v>9</v>
      </c>
      <c r="GG4" s="118" t="s">
        <v>10</v>
      </c>
      <c r="GH4" s="118" t="s">
        <v>11</v>
      </c>
      <c r="GI4" s="115" t="s">
        <v>12</v>
      </c>
      <c r="GJ4" s="116" t="s">
        <v>13</v>
      </c>
      <c r="GK4" s="115" t="s">
        <v>14</v>
      </c>
      <c r="GL4" s="115" t="s">
        <v>15</v>
      </c>
      <c r="GM4" s="116" t="s">
        <v>16</v>
      </c>
      <c r="GN4" s="115" t="s">
        <v>17</v>
      </c>
      <c r="GO4" s="132" t="s">
        <v>96</v>
      </c>
      <c r="GP4" s="115" t="s">
        <v>18</v>
      </c>
      <c r="GQ4" s="118" t="s">
        <v>19</v>
      </c>
      <c r="GR4" s="118" t="s">
        <v>20</v>
      </c>
      <c r="GS4" s="118" t="s">
        <v>21</v>
      </c>
      <c r="GT4" s="118" t="s">
        <v>43</v>
      </c>
      <c r="GU4" s="118" t="s">
        <v>44</v>
      </c>
      <c r="GV4" s="118" t="s">
        <v>81</v>
      </c>
      <c r="GW4" s="118" t="s">
        <v>82</v>
      </c>
      <c r="GX4" s="118" t="s">
        <v>84</v>
      </c>
      <c r="GY4" s="132" t="s">
        <v>97</v>
      </c>
      <c r="GZ4" s="120" t="s">
        <v>95</v>
      </c>
      <c r="HA4" s="132" t="s">
        <v>100</v>
      </c>
      <c r="HB4" s="120" t="s">
        <v>99</v>
      </c>
      <c r="HC4" s="120" t="s">
        <v>104</v>
      </c>
      <c r="HD4" s="120" t="s">
        <v>105</v>
      </c>
      <c r="HE4" s="120" t="s">
        <v>107</v>
      </c>
      <c r="HF4" s="120" t="s">
        <v>130</v>
      </c>
      <c r="HG4" s="120" t="s">
        <v>143</v>
      </c>
      <c r="HH4" s="120" t="s">
        <v>146</v>
      </c>
      <c r="HI4" s="120" t="s">
        <v>150</v>
      </c>
      <c r="HJ4" s="437" t="s">
        <v>152</v>
      </c>
      <c r="HK4" s="124" t="s">
        <v>9</v>
      </c>
      <c r="HL4" s="118" t="s">
        <v>10</v>
      </c>
      <c r="HM4" s="118" t="s">
        <v>11</v>
      </c>
      <c r="HN4" s="115" t="s">
        <v>12</v>
      </c>
      <c r="HO4" s="115" t="s">
        <v>13</v>
      </c>
      <c r="HP4" s="115" t="s">
        <v>14</v>
      </c>
      <c r="HQ4" s="115" t="s">
        <v>15</v>
      </c>
      <c r="HR4" s="116" t="s">
        <v>16</v>
      </c>
      <c r="HS4" s="116" t="s">
        <v>17</v>
      </c>
      <c r="HT4" s="132" t="s">
        <v>96</v>
      </c>
      <c r="HU4" s="116" t="s">
        <v>18</v>
      </c>
      <c r="HV4" s="118" t="s">
        <v>19</v>
      </c>
      <c r="HW4" s="118" t="s">
        <v>20</v>
      </c>
      <c r="HX4" s="118" t="s">
        <v>21</v>
      </c>
      <c r="HY4" s="118" t="s">
        <v>43</v>
      </c>
      <c r="HZ4" s="118" t="s">
        <v>44</v>
      </c>
      <c r="IA4" s="118" t="s">
        <v>81</v>
      </c>
      <c r="IB4" s="118" t="s">
        <v>82</v>
      </c>
      <c r="IC4" s="118" t="s">
        <v>84</v>
      </c>
      <c r="ID4" s="132" t="s">
        <v>97</v>
      </c>
      <c r="IE4" s="120" t="s">
        <v>95</v>
      </c>
      <c r="IF4" s="132" t="s">
        <v>100</v>
      </c>
      <c r="IG4" s="120" t="s">
        <v>99</v>
      </c>
      <c r="IH4" s="120" t="s">
        <v>104</v>
      </c>
      <c r="II4" s="120" t="s">
        <v>105</v>
      </c>
      <c r="IJ4" s="120" t="s">
        <v>107</v>
      </c>
      <c r="IK4" s="120" t="s">
        <v>130</v>
      </c>
      <c r="IL4" s="120" t="s">
        <v>143</v>
      </c>
      <c r="IM4" s="120" t="s">
        <v>146</v>
      </c>
      <c r="IN4" s="120" t="s">
        <v>150</v>
      </c>
      <c r="IO4" s="437" t="s">
        <v>152</v>
      </c>
      <c r="IP4" s="173" t="s">
        <v>9</v>
      </c>
      <c r="IQ4" s="116" t="s">
        <v>10</v>
      </c>
      <c r="IR4" s="117" t="s">
        <v>11</v>
      </c>
      <c r="IS4" s="116" t="s">
        <v>12</v>
      </c>
      <c r="IT4" s="116" t="s">
        <v>13</v>
      </c>
      <c r="IU4" s="116" t="s">
        <v>14</v>
      </c>
      <c r="IV4" s="116" t="s">
        <v>15</v>
      </c>
      <c r="IW4" s="116" t="s">
        <v>16</v>
      </c>
      <c r="IX4" s="116" t="s">
        <v>17</v>
      </c>
      <c r="IY4" s="132" t="s">
        <v>96</v>
      </c>
      <c r="IZ4" s="116" t="s">
        <v>18</v>
      </c>
      <c r="JA4" s="118" t="s">
        <v>19</v>
      </c>
      <c r="JB4" s="118" t="s">
        <v>20</v>
      </c>
      <c r="JC4" s="118" t="s">
        <v>21</v>
      </c>
      <c r="JD4" s="118" t="s">
        <v>43</v>
      </c>
      <c r="JE4" s="118" t="s">
        <v>44</v>
      </c>
      <c r="JF4" s="128" t="s">
        <v>81</v>
      </c>
      <c r="JG4" s="128" t="s">
        <v>82</v>
      </c>
      <c r="JH4" s="128" t="s">
        <v>84</v>
      </c>
      <c r="JI4" s="132" t="s">
        <v>97</v>
      </c>
      <c r="JJ4" s="120" t="s">
        <v>95</v>
      </c>
      <c r="JK4" s="132" t="s">
        <v>100</v>
      </c>
      <c r="JL4" s="80" t="s">
        <v>99</v>
      </c>
      <c r="JM4" s="80" t="s">
        <v>104</v>
      </c>
      <c r="JN4" s="80" t="s">
        <v>105</v>
      </c>
      <c r="JO4" s="120" t="s">
        <v>107</v>
      </c>
      <c r="JP4" s="120" t="s">
        <v>130</v>
      </c>
      <c r="JQ4" s="120" t="s">
        <v>143</v>
      </c>
      <c r="JR4" s="120" t="s">
        <v>146</v>
      </c>
      <c r="JS4" s="413" t="s">
        <v>150</v>
      </c>
      <c r="JT4" s="447" t="s">
        <v>152</v>
      </c>
    </row>
    <row r="5" spans="1:280">
      <c r="A5" s="243" t="s">
        <v>134</v>
      </c>
      <c r="B5" s="49">
        <v>435323.2</v>
      </c>
      <c r="C5" s="92">
        <v>466421.2</v>
      </c>
      <c r="D5" s="92">
        <v>505006.1</v>
      </c>
      <c r="E5" s="92">
        <v>554160.93799999997</v>
      </c>
      <c r="F5" s="92">
        <v>606560.853</v>
      </c>
      <c r="G5" s="92">
        <v>656063.7919999999</v>
      </c>
      <c r="H5" s="92">
        <v>704896.70600000001</v>
      </c>
      <c r="I5" s="93">
        <v>762311.30599999998</v>
      </c>
      <c r="J5" s="92">
        <v>834785.58600000001</v>
      </c>
      <c r="K5" s="158">
        <v>905316.56349999993</v>
      </c>
      <c r="L5" s="92">
        <v>975847.54099999997</v>
      </c>
      <c r="M5" s="49">
        <v>1030433.331</v>
      </c>
      <c r="N5" s="49">
        <v>1077664.5290000001</v>
      </c>
      <c r="O5" s="49">
        <v>1149863.246</v>
      </c>
      <c r="P5" s="49">
        <v>1193276.179</v>
      </c>
      <c r="Q5" s="49">
        <v>1251299.2379999999</v>
      </c>
      <c r="R5" s="49">
        <v>1318042.0959999999</v>
      </c>
      <c r="S5" s="49">
        <v>1402368.7590000001</v>
      </c>
      <c r="T5" s="49">
        <v>1506796.6939999999</v>
      </c>
      <c r="U5" s="158">
        <v>1620996.5320000001</v>
      </c>
      <c r="V5" s="49">
        <v>1735196.37</v>
      </c>
      <c r="W5" s="158">
        <v>1821555.4850000001</v>
      </c>
      <c r="X5" s="49">
        <v>1907914.6</v>
      </c>
      <c r="Y5" s="49">
        <v>2014357.4650000001</v>
      </c>
      <c r="Z5" s="49">
        <v>2122966.5060000001</v>
      </c>
      <c r="AA5" s="49">
        <v>2262899.6439999999</v>
      </c>
      <c r="AB5" s="49">
        <v>2404965.5260000001</v>
      </c>
      <c r="AC5" s="49">
        <v>2479895.3229999999</v>
      </c>
      <c r="AD5" s="49">
        <v>2542453.2400000002</v>
      </c>
      <c r="AE5" s="49">
        <v>2587396.6609999998</v>
      </c>
      <c r="AF5" s="439">
        <v>2591475.1690000002</v>
      </c>
      <c r="AG5" s="245">
        <v>156568</v>
      </c>
      <c r="AH5" s="92">
        <v>166088.9</v>
      </c>
      <c r="AI5" s="92">
        <v>178520.1</v>
      </c>
      <c r="AJ5" s="92">
        <v>195385.90299999999</v>
      </c>
      <c r="AK5" s="92">
        <v>213766.00599999999</v>
      </c>
      <c r="AL5" s="92">
        <v>229931.64599999998</v>
      </c>
      <c r="AM5" s="92">
        <v>246184.16399999999</v>
      </c>
      <c r="AN5" s="93">
        <v>267681.674</v>
      </c>
      <c r="AO5" s="92">
        <v>292217.25099999999</v>
      </c>
      <c r="AP5" s="158">
        <v>311500.99100000004</v>
      </c>
      <c r="AQ5" s="81">
        <v>330784.73100000003</v>
      </c>
      <c r="AR5" s="49">
        <v>346949.53600000002</v>
      </c>
      <c r="AS5" s="49">
        <v>358241.08900000004</v>
      </c>
      <c r="AT5" s="49">
        <v>383557.34100000001</v>
      </c>
      <c r="AU5" s="225">
        <v>404578.636</v>
      </c>
      <c r="AV5" s="225">
        <v>425345.68400000001</v>
      </c>
      <c r="AW5" s="225">
        <v>456934.049</v>
      </c>
      <c r="AX5" s="225">
        <v>490100.45799999998</v>
      </c>
      <c r="AY5" s="225">
        <v>528767.46299999999</v>
      </c>
      <c r="AZ5" s="158">
        <v>565807.62100000004</v>
      </c>
      <c r="BA5" s="49">
        <v>602847.77899999998</v>
      </c>
      <c r="BB5" s="158">
        <v>633704.42749999999</v>
      </c>
      <c r="BC5" s="49">
        <v>664561.076</v>
      </c>
      <c r="BD5" s="49">
        <v>699246.55900000001</v>
      </c>
      <c r="BE5" s="49">
        <v>739410.47400000005</v>
      </c>
      <c r="BF5" s="49">
        <v>785162.19400000002</v>
      </c>
      <c r="BG5" s="49">
        <v>837674.64800000004</v>
      </c>
      <c r="BH5" s="49">
        <v>862051.95799999998</v>
      </c>
      <c r="BI5" s="49">
        <v>871989.00899999996</v>
      </c>
      <c r="BJ5" s="49">
        <v>872710.62899999996</v>
      </c>
      <c r="BK5" s="439">
        <v>880642.40700000001</v>
      </c>
      <c r="BL5" s="227">
        <v>106101.2</v>
      </c>
      <c r="BM5" s="92">
        <v>112945.2</v>
      </c>
      <c r="BN5" s="92">
        <v>120895.7</v>
      </c>
      <c r="BO5" s="92">
        <v>131986.576</v>
      </c>
      <c r="BP5" s="92">
        <v>145110.764</v>
      </c>
      <c r="BQ5" s="92">
        <v>156781.72899999999</v>
      </c>
      <c r="BR5" s="92">
        <v>169694.20300000001</v>
      </c>
      <c r="BS5" s="93">
        <v>185170.7</v>
      </c>
      <c r="BT5" s="92">
        <v>202009.43100000001</v>
      </c>
      <c r="BU5" s="158">
        <v>215352.20250000001</v>
      </c>
      <c r="BV5" s="92">
        <v>228694.97399999999</v>
      </c>
      <c r="BW5" s="49">
        <v>240310.02499999999</v>
      </c>
      <c r="BX5" s="49">
        <v>246981.37400000001</v>
      </c>
      <c r="BY5" s="49">
        <v>264240.47899999999</v>
      </c>
      <c r="BZ5" s="49">
        <v>279352.85800000001</v>
      </c>
      <c r="CA5" s="49">
        <v>294598.41800000001</v>
      </c>
      <c r="CB5" s="49">
        <v>318065.05800000002</v>
      </c>
      <c r="CC5" s="49">
        <v>339871.17</v>
      </c>
      <c r="CD5" s="49">
        <v>365180.87199999997</v>
      </c>
      <c r="CE5" s="158">
        <v>388126.89899999998</v>
      </c>
      <c r="CF5" s="49">
        <v>411072.92599999998</v>
      </c>
      <c r="CG5" s="158">
        <v>431563.91949999996</v>
      </c>
      <c r="CH5" s="49">
        <v>452054.913</v>
      </c>
      <c r="CI5" s="49">
        <v>473520.38799999998</v>
      </c>
      <c r="CJ5" s="49">
        <v>502500.54300000001</v>
      </c>
      <c r="CK5" s="49">
        <v>534905.05799999996</v>
      </c>
      <c r="CL5" s="49">
        <v>565631.23600000003</v>
      </c>
      <c r="CM5" s="49">
        <v>577597.09199999995</v>
      </c>
      <c r="CN5" s="49">
        <v>574029.46499999997</v>
      </c>
      <c r="CO5" s="49">
        <v>564862.35699999996</v>
      </c>
      <c r="CP5" s="439">
        <v>565403.21499999997</v>
      </c>
      <c r="CQ5" s="91">
        <v>41520.9</v>
      </c>
      <c r="CR5" s="49">
        <v>43820.1</v>
      </c>
      <c r="CS5" s="49">
        <v>47612.9</v>
      </c>
      <c r="CT5" s="49">
        <v>52316.006000000001</v>
      </c>
      <c r="CU5" s="49">
        <v>56535.108</v>
      </c>
      <c r="CV5" s="49">
        <v>60240.307999999997</v>
      </c>
      <c r="CW5" s="49">
        <v>62687.688999999998</v>
      </c>
      <c r="CX5" s="225">
        <v>67550.27</v>
      </c>
      <c r="CY5" s="49">
        <v>73418.284</v>
      </c>
      <c r="CZ5" s="158">
        <v>78873.58</v>
      </c>
      <c r="DA5" s="49">
        <v>84328.876000000004</v>
      </c>
      <c r="DB5" s="49">
        <v>88108.569000000003</v>
      </c>
      <c r="DC5" s="49">
        <v>90871.176999999996</v>
      </c>
      <c r="DD5" s="49">
        <v>97048.481</v>
      </c>
      <c r="DE5" s="49">
        <v>100735.501</v>
      </c>
      <c r="DF5" s="49">
        <v>106061.001</v>
      </c>
      <c r="DG5" s="49">
        <v>112873.875</v>
      </c>
      <c r="DH5" s="49">
        <v>122716.36900000001</v>
      </c>
      <c r="DI5" s="49">
        <v>134351.69399999999</v>
      </c>
      <c r="DJ5" s="158">
        <v>145580.973</v>
      </c>
      <c r="DK5" s="49">
        <v>156810.25200000001</v>
      </c>
      <c r="DL5" s="158">
        <v>164948.08549999999</v>
      </c>
      <c r="DM5" s="49">
        <v>173085.91899999999</v>
      </c>
      <c r="DN5" s="49">
        <v>182267.98300000001</v>
      </c>
      <c r="DO5" s="49">
        <v>191589.27499999999</v>
      </c>
      <c r="DP5" s="49">
        <v>204705.52100000001</v>
      </c>
      <c r="DQ5" s="49">
        <v>223293.54300000001</v>
      </c>
      <c r="DR5" s="49">
        <v>234386.65900000001</v>
      </c>
      <c r="DS5" s="49">
        <v>242729.554</v>
      </c>
      <c r="DT5" s="49">
        <v>252270.144</v>
      </c>
      <c r="DU5" s="439">
        <v>259735.78099999999</v>
      </c>
      <c r="DV5" s="94">
        <v>8945.9</v>
      </c>
      <c r="DW5" s="68">
        <v>9323.6000000000276</v>
      </c>
      <c r="DX5" s="68">
        <v>10011.5</v>
      </c>
      <c r="DY5" s="68">
        <v>11083.320999999989</v>
      </c>
      <c r="DZ5" s="68">
        <v>12120.133999999998</v>
      </c>
      <c r="EA5" s="68">
        <v>12909.608999999989</v>
      </c>
      <c r="EB5" s="68">
        <v>13802.271999999983</v>
      </c>
      <c r="EC5" s="68">
        <v>14960.703999999983</v>
      </c>
      <c r="ED5" s="68">
        <v>16789.535999999978</v>
      </c>
      <c r="EE5" s="68">
        <v>17275.208500000022</v>
      </c>
      <c r="EF5" s="68">
        <v>17760.881000000038</v>
      </c>
      <c r="EG5" s="68">
        <v>18530.942000000025</v>
      </c>
      <c r="EH5" s="68">
        <v>20388.53800000003</v>
      </c>
      <c r="EI5" s="68">
        <v>22268.381000000023</v>
      </c>
      <c r="EJ5" s="68">
        <v>24490.276999999987</v>
      </c>
      <c r="EK5" s="68">
        <v>24686.264999999999</v>
      </c>
      <c r="EL5" s="68">
        <v>25995.11599999998</v>
      </c>
      <c r="EM5" s="68">
        <v>27512.918999999994</v>
      </c>
      <c r="EN5" s="68">
        <v>29234.897000000026</v>
      </c>
      <c r="EO5" s="68">
        <v>32099.749000000069</v>
      </c>
      <c r="EP5" s="68">
        <v>34964.600999999995</v>
      </c>
      <c r="EQ5" s="68">
        <v>37192.422500000044</v>
      </c>
      <c r="ER5" s="68">
        <v>39420.244000000006</v>
      </c>
      <c r="ES5" s="68">
        <v>43458.188000000024</v>
      </c>
      <c r="ET5" s="68">
        <v>46178.032999999967</v>
      </c>
      <c r="EU5" s="68">
        <f t="shared" ref="EU5:EZ5" si="0">+BF5-CK5-DP5</f>
        <v>45551.615000000049</v>
      </c>
      <c r="EV5" s="68">
        <f t="shared" si="0"/>
        <v>48749.869000000006</v>
      </c>
      <c r="EW5" s="68">
        <f t="shared" si="0"/>
        <v>50068.207000000024</v>
      </c>
      <c r="EX5" s="68">
        <f t="shared" si="0"/>
        <v>55229.989999999991</v>
      </c>
      <c r="EY5" s="68">
        <f t="shared" si="0"/>
        <v>55578.127999999997</v>
      </c>
      <c r="EZ5" s="68">
        <f t="shared" si="0"/>
        <v>55503.411000000051</v>
      </c>
      <c r="FA5" s="178">
        <v>98865</v>
      </c>
      <c r="FB5" s="49">
        <v>105400.7</v>
      </c>
      <c r="FC5" s="49">
        <v>113782.7</v>
      </c>
      <c r="FD5" s="49">
        <v>123972.272</v>
      </c>
      <c r="FE5" s="225">
        <v>133171.503</v>
      </c>
      <c r="FF5" s="49">
        <v>142372.66199999998</v>
      </c>
      <c r="FG5" s="49">
        <v>154028.52299999999</v>
      </c>
      <c r="FH5" s="225">
        <v>168729.283</v>
      </c>
      <c r="FI5" s="49">
        <v>188319.22500000001</v>
      </c>
      <c r="FJ5" s="158">
        <v>217480.58549999999</v>
      </c>
      <c r="FK5" s="49">
        <v>246641.946</v>
      </c>
      <c r="FL5" s="49">
        <v>266062.20899999997</v>
      </c>
      <c r="FM5" s="49">
        <v>284508.77899999998</v>
      </c>
      <c r="FN5" s="49">
        <v>303208.08300000004</v>
      </c>
      <c r="FO5" s="225">
        <v>308449.96000000002</v>
      </c>
      <c r="FP5" s="225">
        <v>314557.93199999997</v>
      </c>
      <c r="FQ5" s="225">
        <v>323085.386</v>
      </c>
      <c r="FR5" s="225">
        <v>338964.46399999998</v>
      </c>
      <c r="FS5" s="225">
        <v>365226.09600000002</v>
      </c>
      <c r="FT5" s="158">
        <v>398323.342</v>
      </c>
      <c r="FU5" s="49">
        <v>431420.58799999999</v>
      </c>
      <c r="FV5" s="158">
        <v>466268.37349999999</v>
      </c>
      <c r="FW5" s="49">
        <v>501116.15899999999</v>
      </c>
      <c r="FX5" s="49">
        <v>537983.01899999997</v>
      </c>
      <c r="FY5" s="49">
        <v>551720.902</v>
      </c>
      <c r="FZ5" s="49">
        <v>582852.29</v>
      </c>
      <c r="GA5" s="49">
        <v>618352.88399999996</v>
      </c>
      <c r="GB5" s="49">
        <v>655013.99899999995</v>
      </c>
      <c r="GC5" s="49">
        <v>687010.42700000003</v>
      </c>
      <c r="GD5" s="49">
        <v>728709.29599999997</v>
      </c>
      <c r="GE5" s="439">
        <v>731695.45799999998</v>
      </c>
      <c r="GF5" s="91">
        <v>110795.7</v>
      </c>
      <c r="GG5" s="49">
        <v>119088.8</v>
      </c>
      <c r="GH5" s="49">
        <v>127971</v>
      </c>
      <c r="GI5" s="49">
        <v>142661.361</v>
      </c>
      <c r="GJ5" s="49">
        <v>157282.049</v>
      </c>
      <c r="GK5" s="49">
        <v>170277.49400000001</v>
      </c>
      <c r="GL5" s="49">
        <v>184805.62</v>
      </c>
      <c r="GM5" s="225">
        <v>197435.57200000004</v>
      </c>
      <c r="GN5" s="49">
        <v>215184.12800000003</v>
      </c>
      <c r="GO5" s="158">
        <v>227611.5895</v>
      </c>
      <c r="GP5" s="49">
        <v>240039.05100000001</v>
      </c>
      <c r="GQ5" s="49">
        <v>252443.17</v>
      </c>
      <c r="GR5" s="49">
        <v>265105.28999999998</v>
      </c>
      <c r="GS5" s="49">
        <v>283316.261</v>
      </c>
      <c r="GT5" s="49">
        <v>295748.522</v>
      </c>
      <c r="GU5" s="49">
        <v>312918.52</v>
      </c>
      <c r="GV5" s="49">
        <v>329325.21500000003</v>
      </c>
      <c r="GW5" s="49">
        <v>348834.63900000002</v>
      </c>
      <c r="GX5" s="49">
        <v>373906.234</v>
      </c>
      <c r="GY5" s="158">
        <v>400840.41649999999</v>
      </c>
      <c r="GZ5" s="49">
        <v>427774.59899999999</v>
      </c>
      <c r="HA5" s="158">
        <v>441342.00750000001</v>
      </c>
      <c r="HB5" s="49">
        <v>454909.41600000003</v>
      </c>
      <c r="HC5" s="49">
        <v>478603.28600000002</v>
      </c>
      <c r="HD5" s="49">
        <v>512254.70500000002</v>
      </c>
      <c r="HE5" s="49">
        <v>553430.79</v>
      </c>
      <c r="HF5" s="49">
        <v>590494.31400000001</v>
      </c>
      <c r="HG5" s="49">
        <v>595175.98400000005</v>
      </c>
      <c r="HH5" s="49">
        <v>609896.86600000004</v>
      </c>
      <c r="HI5" s="49">
        <v>610734.66099999996</v>
      </c>
      <c r="HJ5" s="439">
        <v>608337.23199999996</v>
      </c>
      <c r="HK5" s="91">
        <v>22224.1</v>
      </c>
      <c r="HL5" s="49">
        <v>24508.1</v>
      </c>
      <c r="HM5" s="49">
        <v>26355.7</v>
      </c>
      <c r="HN5" s="49">
        <v>28867.294000000002</v>
      </c>
      <c r="HO5" s="49">
        <v>31802.803</v>
      </c>
      <c r="HP5" s="49">
        <v>34895.409</v>
      </c>
      <c r="HQ5" s="49">
        <v>37419.383999999998</v>
      </c>
      <c r="HR5" s="225">
        <v>40922.911</v>
      </c>
      <c r="HS5" s="49">
        <v>44836.192999999999</v>
      </c>
      <c r="HT5" s="158">
        <v>47585.163</v>
      </c>
      <c r="HU5" s="49">
        <v>50334.133000000002</v>
      </c>
      <c r="HV5" s="49">
        <v>52536.358</v>
      </c>
      <c r="HW5" s="49">
        <v>55715.561999999998</v>
      </c>
      <c r="HX5" s="49">
        <v>60017.953999999998</v>
      </c>
      <c r="HY5" s="49">
        <v>62144.648999999998</v>
      </c>
      <c r="HZ5" s="49">
        <v>66643.737999999998</v>
      </c>
      <c r="IA5" s="49">
        <v>70726.964999999997</v>
      </c>
      <c r="IB5" s="49">
        <v>76699.232999999993</v>
      </c>
      <c r="IC5" s="49">
        <v>81659.298999999999</v>
      </c>
      <c r="ID5" s="158">
        <v>87224.398000000001</v>
      </c>
      <c r="IE5" s="49">
        <v>92789.497000000003</v>
      </c>
      <c r="IF5" s="158">
        <v>96765.331000000006</v>
      </c>
      <c r="IG5" s="49">
        <v>100741.16499999999</v>
      </c>
      <c r="IH5" s="49">
        <v>106600.527</v>
      </c>
      <c r="II5" s="49">
        <v>110406.738</v>
      </c>
      <c r="IJ5" s="49">
        <v>119396.053</v>
      </c>
      <c r="IK5" s="49">
        <v>126997.193</v>
      </c>
      <c r="IL5" s="49">
        <v>127424.07399999999</v>
      </c>
      <c r="IM5" s="49">
        <v>126847.11199999999</v>
      </c>
      <c r="IN5" s="49">
        <v>124511.35400000001</v>
      </c>
      <c r="IO5" s="439">
        <v>123932.246</v>
      </c>
      <c r="IP5" s="227">
        <v>46870.400000000001</v>
      </c>
      <c r="IQ5" s="92">
        <v>51334.7</v>
      </c>
      <c r="IR5" s="92">
        <v>58376.5</v>
      </c>
      <c r="IS5" s="92">
        <v>63274.108000000007</v>
      </c>
      <c r="IT5" s="92">
        <v>70538.491999999998</v>
      </c>
      <c r="IU5" s="92">
        <v>78586.581000000006</v>
      </c>
      <c r="IV5" s="92">
        <v>82459.315000000002</v>
      </c>
      <c r="IW5" s="93">
        <v>87541.865999999995</v>
      </c>
      <c r="IX5" s="92">
        <v>94228.789000000004</v>
      </c>
      <c r="IY5" s="158">
        <v>101138.23449999999</v>
      </c>
      <c r="IZ5" s="92">
        <v>108047.67999999999</v>
      </c>
      <c r="JA5" s="49">
        <v>112442.058</v>
      </c>
      <c r="JB5" s="49">
        <v>114093.80900000001</v>
      </c>
      <c r="JC5" s="49">
        <v>119763.60699999999</v>
      </c>
      <c r="JD5" s="49">
        <v>122354.412</v>
      </c>
      <c r="JE5" s="49">
        <v>131833.364</v>
      </c>
      <c r="JF5" s="74">
        <v>137970.481</v>
      </c>
      <c r="JG5" s="74">
        <v>147769.965</v>
      </c>
      <c r="JH5" s="74">
        <v>157237.60200000001</v>
      </c>
      <c r="JI5" s="158">
        <v>168800.75450000001</v>
      </c>
      <c r="JJ5" s="74">
        <v>180363.90700000001</v>
      </c>
      <c r="JK5" s="158">
        <v>183475.3455</v>
      </c>
      <c r="JL5" s="74">
        <v>186586.78400000001</v>
      </c>
      <c r="JM5" s="74">
        <v>191924.07399999999</v>
      </c>
      <c r="JN5" s="74">
        <v>209173.68700000001</v>
      </c>
      <c r="JO5" s="49">
        <v>222058.31700000001</v>
      </c>
      <c r="JP5" s="225">
        <v>231446.48699999999</v>
      </c>
      <c r="JQ5" s="225">
        <v>240229.307</v>
      </c>
      <c r="JR5" s="225">
        <v>246709.82399999999</v>
      </c>
      <c r="JS5" s="1">
        <v>250730.72099999999</v>
      </c>
      <c r="JT5" s="448">
        <v>246867.826</v>
      </c>
    </row>
    <row r="6" spans="1:280">
      <c r="A6" s="221" t="s">
        <v>41</v>
      </c>
      <c r="B6" s="269">
        <f>SUM(B8:B23)</f>
        <v>122271.40000000001</v>
      </c>
      <c r="C6" s="269">
        <f t="shared" ref="C6:BV6" si="1">SUM(C8:C23)</f>
        <v>133021.5</v>
      </c>
      <c r="D6" s="269">
        <f t="shared" si="1"/>
        <v>144031.80000000002</v>
      </c>
      <c r="E6" s="269">
        <f t="shared" si="1"/>
        <v>159787.09999999998</v>
      </c>
      <c r="F6" s="269">
        <f t="shared" si="1"/>
        <v>176748.23599999998</v>
      </c>
      <c r="G6" s="269">
        <f t="shared" si="1"/>
        <v>190192.67300000001</v>
      </c>
      <c r="H6" s="269">
        <f t="shared" si="1"/>
        <v>205783.296</v>
      </c>
      <c r="I6" s="270">
        <f t="shared" si="1"/>
        <v>224015.538</v>
      </c>
      <c r="J6" s="269">
        <f t="shared" si="1"/>
        <v>246270.87399999998</v>
      </c>
      <c r="K6" s="271">
        <f t="shared" si="1"/>
        <v>266205.88449999993</v>
      </c>
      <c r="L6" s="269">
        <f t="shared" si="1"/>
        <v>286140.89500000002</v>
      </c>
      <c r="M6" s="269">
        <f t="shared" si="1"/>
        <v>305725.12799999997</v>
      </c>
      <c r="N6" s="269">
        <f t="shared" si="1"/>
        <v>322284.65199999994</v>
      </c>
      <c r="O6" s="272">
        <f t="shared" si="1"/>
        <v>349552.826</v>
      </c>
      <c r="P6" s="273">
        <f t="shared" si="1"/>
        <v>367227.90700000001</v>
      </c>
      <c r="Q6" s="273">
        <f t="shared" si="1"/>
        <v>388324.72700000001</v>
      </c>
      <c r="R6" s="273">
        <f t="shared" si="1"/>
        <v>409791.22500000003</v>
      </c>
      <c r="S6" s="273">
        <f t="shared" si="1"/>
        <v>440394.98700000002</v>
      </c>
      <c r="T6" s="273">
        <f t="shared" si="1"/>
        <v>472833.19</v>
      </c>
      <c r="U6" s="271">
        <f t="shared" si="1"/>
        <v>508609.37250000006</v>
      </c>
      <c r="V6" s="273">
        <f t="shared" si="1"/>
        <v>544385.55500000017</v>
      </c>
      <c r="W6" s="271">
        <f t="shared" si="1"/>
        <v>573346.4844999999</v>
      </c>
      <c r="X6" s="273">
        <f t="shared" si="1"/>
        <v>602307.41399999999</v>
      </c>
      <c r="Y6" s="273">
        <f t="shared" si="1"/>
        <v>643842.60100000002</v>
      </c>
      <c r="Z6" s="273">
        <f t="shared" si="1"/>
        <v>707519.11699999997</v>
      </c>
      <c r="AA6" s="273">
        <f t="shared" si="1"/>
        <v>738160.1100000001</v>
      </c>
      <c r="AB6" s="273">
        <f t="shared" si="1"/>
        <v>792804.09</v>
      </c>
      <c r="AC6" s="273">
        <f t="shared" si="1"/>
        <v>812937.16499999992</v>
      </c>
      <c r="AD6" s="273">
        <f t="shared" si="1"/>
        <v>837811.82399999991</v>
      </c>
      <c r="AE6" s="273">
        <f t="shared" si="1"/>
        <v>847392.02600000007</v>
      </c>
      <c r="AF6" s="443">
        <f t="shared" si="1"/>
        <v>853341.67599999998</v>
      </c>
      <c r="AG6" s="280">
        <f t="shared" si="1"/>
        <v>46992.51</v>
      </c>
      <c r="AH6" s="269">
        <f t="shared" si="1"/>
        <v>51175.200000000004</v>
      </c>
      <c r="AI6" s="269">
        <f t="shared" si="1"/>
        <v>55106.399999999994</v>
      </c>
      <c r="AJ6" s="269">
        <f t="shared" si="1"/>
        <v>61547.183000000005</v>
      </c>
      <c r="AK6" s="269">
        <f t="shared" si="1"/>
        <v>67468.379000000001</v>
      </c>
      <c r="AL6" s="269">
        <f t="shared" si="1"/>
        <v>70989.565999999992</v>
      </c>
      <c r="AM6" s="269">
        <f t="shared" si="1"/>
        <v>76298.426999999996</v>
      </c>
      <c r="AN6" s="270">
        <f t="shared" si="1"/>
        <v>83395.576000000001</v>
      </c>
      <c r="AO6" s="269">
        <f t="shared" si="1"/>
        <v>92052.980999999985</v>
      </c>
      <c r="AP6" s="271">
        <f t="shared" si="1"/>
        <v>97088.913499999981</v>
      </c>
      <c r="AQ6" s="275">
        <f t="shared" si="1"/>
        <v>102124.84600000001</v>
      </c>
      <c r="AR6" s="269">
        <f t="shared" si="1"/>
        <v>107572.26100000001</v>
      </c>
      <c r="AS6" s="272">
        <f t="shared" si="1"/>
        <v>112730.31499999999</v>
      </c>
      <c r="AT6" s="272">
        <f t="shared" si="1"/>
        <v>122365.22900000002</v>
      </c>
      <c r="AU6" s="272">
        <f t="shared" si="1"/>
        <v>130319.47899999999</v>
      </c>
      <c r="AV6" s="272">
        <f t="shared" si="1"/>
        <v>138270.285</v>
      </c>
      <c r="AW6" s="272">
        <f t="shared" si="1"/>
        <v>147308.40699999998</v>
      </c>
      <c r="AX6" s="272">
        <f t="shared" si="1"/>
        <v>159292.65799999997</v>
      </c>
      <c r="AY6" s="272">
        <f t="shared" si="1"/>
        <v>172588.85199999998</v>
      </c>
      <c r="AZ6" s="271">
        <f t="shared" si="1"/>
        <v>184697.18649999998</v>
      </c>
      <c r="BA6" s="273">
        <f t="shared" si="1"/>
        <v>196805.52099999995</v>
      </c>
      <c r="BB6" s="271">
        <f t="shared" si="1"/>
        <v>205905.13800000001</v>
      </c>
      <c r="BC6" s="273">
        <f t="shared" si="1"/>
        <v>215004.755</v>
      </c>
      <c r="BD6" s="273">
        <f t="shared" si="1"/>
        <v>229892.98600000003</v>
      </c>
      <c r="BE6" s="273">
        <f t="shared" si="1"/>
        <v>255955.42799999999</v>
      </c>
      <c r="BF6" s="273">
        <f t="shared" si="1"/>
        <v>266906.48100000009</v>
      </c>
      <c r="BG6" s="273">
        <f t="shared" si="1"/>
        <v>289685.109</v>
      </c>
      <c r="BH6" s="273">
        <f t="shared" si="1"/>
        <v>295659.22599999997</v>
      </c>
      <c r="BI6" s="273">
        <f t="shared" si="1"/>
        <v>301692.52600000001</v>
      </c>
      <c r="BJ6" s="273">
        <f t="shared" si="1"/>
        <v>300453.027</v>
      </c>
      <c r="BK6" s="443">
        <f t="shared" si="1"/>
        <v>299016.15299999999</v>
      </c>
      <c r="BL6" s="274">
        <f t="shared" si="1"/>
        <v>31095.600000000002</v>
      </c>
      <c r="BM6" s="269">
        <f t="shared" si="1"/>
        <v>34076.6</v>
      </c>
      <c r="BN6" s="269">
        <f t="shared" si="1"/>
        <v>36174.600000000006</v>
      </c>
      <c r="BO6" s="269">
        <f t="shared" si="1"/>
        <v>40367.795000000006</v>
      </c>
      <c r="BP6" s="269">
        <f t="shared" si="1"/>
        <v>44875.820999999996</v>
      </c>
      <c r="BQ6" s="269">
        <f t="shared" si="1"/>
        <v>47948.981</v>
      </c>
      <c r="BR6" s="269">
        <f t="shared" si="1"/>
        <v>51829.127</v>
      </c>
      <c r="BS6" s="270">
        <f t="shared" si="1"/>
        <v>56428.045999999995</v>
      </c>
      <c r="BT6" s="269">
        <f t="shared" si="1"/>
        <v>62492.777999999998</v>
      </c>
      <c r="BU6" s="271">
        <f t="shared" si="1"/>
        <v>66011.843999999997</v>
      </c>
      <c r="BV6" s="269">
        <f t="shared" si="1"/>
        <v>69530.91</v>
      </c>
      <c r="BW6" s="269">
        <f t="shared" ref="BW6:EP6" si="2">SUM(BW8:BW23)</f>
        <v>73031.796000000002</v>
      </c>
      <c r="BX6" s="272">
        <f t="shared" si="2"/>
        <v>75967.377000000008</v>
      </c>
      <c r="BY6" s="272">
        <f t="shared" si="2"/>
        <v>82698.454000000012</v>
      </c>
      <c r="BZ6" s="272">
        <f t="shared" si="2"/>
        <v>88557.154999999999</v>
      </c>
      <c r="CA6" s="272">
        <f t="shared" si="2"/>
        <v>94400.033999999985</v>
      </c>
      <c r="CB6" s="272">
        <f t="shared" si="2"/>
        <v>100641.63199999998</v>
      </c>
      <c r="CC6" s="272">
        <f t="shared" si="2"/>
        <v>108627.84099999999</v>
      </c>
      <c r="CD6" s="272">
        <f t="shared" si="2"/>
        <v>117411.63399999999</v>
      </c>
      <c r="CE6" s="271">
        <f t="shared" si="2"/>
        <v>124153.85949999999</v>
      </c>
      <c r="CF6" s="273">
        <f t="shared" si="2"/>
        <v>130896.08499999999</v>
      </c>
      <c r="CG6" s="271">
        <f t="shared" si="2"/>
        <v>136489.43950000001</v>
      </c>
      <c r="CH6" s="273">
        <f t="shared" si="2"/>
        <v>142082.79400000002</v>
      </c>
      <c r="CI6" s="273">
        <f t="shared" si="2"/>
        <v>151449.98000000004</v>
      </c>
      <c r="CJ6" s="273">
        <f t="shared" si="2"/>
        <v>170247.23700000002</v>
      </c>
      <c r="CK6" s="273">
        <f t="shared" si="2"/>
        <v>177771.10400000002</v>
      </c>
      <c r="CL6" s="273">
        <f t="shared" si="2"/>
        <v>191632.24600000001</v>
      </c>
      <c r="CM6" s="273">
        <f t="shared" si="2"/>
        <v>193980.799</v>
      </c>
      <c r="CN6" s="273">
        <f t="shared" si="2"/>
        <v>193760.94699999999</v>
      </c>
      <c r="CO6" s="273">
        <f t="shared" si="2"/>
        <v>188561.46099999998</v>
      </c>
      <c r="CP6" s="443">
        <f t="shared" si="2"/>
        <v>185534.54699999999</v>
      </c>
      <c r="CQ6" s="274">
        <f t="shared" si="2"/>
        <v>13214.800000000001</v>
      </c>
      <c r="CR6" s="269">
        <f t="shared" si="2"/>
        <v>14228.800000000001</v>
      </c>
      <c r="CS6" s="269">
        <f t="shared" si="2"/>
        <v>15675.5</v>
      </c>
      <c r="CT6" s="269">
        <f t="shared" si="2"/>
        <v>17524.620000000003</v>
      </c>
      <c r="CU6" s="269">
        <f t="shared" si="2"/>
        <v>18588.350999999999</v>
      </c>
      <c r="CV6" s="269">
        <f t="shared" si="2"/>
        <v>19010.277999999998</v>
      </c>
      <c r="CW6" s="269">
        <f t="shared" si="2"/>
        <v>20015.973000000002</v>
      </c>
      <c r="CX6" s="270">
        <f t="shared" si="2"/>
        <v>22233.631000000001</v>
      </c>
      <c r="CY6" s="269">
        <f t="shared" si="2"/>
        <v>24140.611000000001</v>
      </c>
      <c r="CZ6" s="271">
        <f t="shared" si="2"/>
        <v>25569.980499999998</v>
      </c>
      <c r="DA6" s="269">
        <f t="shared" si="2"/>
        <v>26999.350000000002</v>
      </c>
      <c r="DB6" s="269">
        <f t="shared" si="2"/>
        <v>28831.626000000004</v>
      </c>
      <c r="DC6" s="272">
        <f t="shared" si="2"/>
        <v>30450.688999999998</v>
      </c>
      <c r="DD6" s="272">
        <f t="shared" si="2"/>
        <v>32751.113000000001</v>
      </c>
      <c r="DE6" s="272">
        <f t="shared" si="2"/>
        <v>33915.964</v>
      </c>
      <c r="DF6" s="272">
        <f t="shared" si="2"/>
        <v>36246.387999999992</v>
      </c>
      <c r="DG6" s="272">
        <f t="shared" si="2"/>
        <v>38689.737000000008</v>
      </c>
      <c r="DH6" s="272">
        <f t="shared" si="2"/>
        <v>41890.669000000009</v>
      </c>
      <c r="DI6" s="272">
        <f t="shared" si="2"/>
        <v>45778.295999999995</v>
      </c>
      <c r="DJ6" s="271">
        <f t="shared" si="2"/>
        <v>50107.845500000003</v>
      </c>
      <c r="DK6" s="273">
        <f t="shared" si="2"/>
        <v>54437.395000000004</v>
      </c>
      <c r="DL6" s="271">
        <f t="shared" si="2"/>
        <v>57571.394000000008</v>
      </c>
      <c r="DM6" s="273">
        <f t="shared" si="2"/>
        <v>60705.393000000004</v>
      </c>
      <c r="DN6" s="273">
        <f t="shared" si="2"/>
        <v>64588.077000000005</v>
      </c>
      <c r="DO6" s="273">
        <f t="shared" si="2"/>
        <v>70726.513999999996</v>
      </c>
      <c r="DP6" s="273">
        <f t="shared" si="2"/>
        <v>73335.039000000004</v>
      </c>
      <c r="DQ6" s="273">
        <f t="shared" si="2"/>
        <v>80825.658999999985</v>
      </c>
      <c r="DR6" s="273">
        <f t="shared" si="2"/>
        <v>83988.050000000017</v>
      </c>
      <c r="DS6" s="273">
        <f t="shared" si="2"/>
        <v>88805.373999999996</v>
      </c>
      <c r="DT6" s="273">
        <f t="shared" si="2"/>
        <v>91645.203999999998</v>
      </c>
      <c r="DU6" s="443">
        <f t="shared" si="2"/>
        <v>93162.186999999991</v>
      </c>
      <c r="DV6" s="276">
        <f t="shared" si="2"/>
        <v>2682.1100000000019</v>
      </c>
      <c r="DW6" s="277">
        <f t="shared" si="2"/>
        <v>2869.7999999999997</v>
      </c>
      <c r="DX6" s="277">
        <f t="shared" si="2"/>
        <v>3256.3</v>
      </c>
      <c r="DY6" s="277">
        <f t="shared" si="2"/>
        <v>3654.7680000000014</v>
      </c>
      <c r="DZ6" s="277">
        <f t="shared" si="2"/>
        <v>4004.2069999999972</v>
      </c>
      <c r="EA6" s="277">
        <f t="shared" si="2"/>
        <v>4030.3069999999993</v>
      </c>
      <c r="EB6" s="277">
        <f t="shared" si="2"/>
        <v>4453.3270000000002</v>
      </c>
      <c r="EC6" s="277">
        <f t="shared" si="2"/>
        <v>4733.8990000000058</v>
      </c>
      <c r="ED6" s="277">
        <f t="shared" si="2"/>
        <v>5419.5920000000006</v>
      </c>
      <c r="EE6" s="277">
        <f t="shared" si="2"/>
        <v>5507.0889999999981</v>
      </c>
      <c r="EF6" s="277">
        <f t="shared" si="2"/>
        <v>5594.5860000000021</v>
      </c>
      <c r="EG6" s="278">
        <f t="shared" si="2"/>
        <v>5708.8390000000009</v>
      </c>
      <c r="EH6" s="278">
        <f t="shared" si="2"/>
        <v>6312.2490000000016</v>
      </c>
      <c r="EI6" s="278">
        <f t="shared" si="2"/>
        <v>6915.6620000000039</v>
      </c>
      <c r="EJ6" s="278">
        <f t="shared" si="2"/>
        <v>7846.3600000000015</v>
      </c>
      <c r="EK6" s="278">
        <f t="shared" si="2"/>
        <v>7623.8630000000012</v>
      </c>
      <c r="EL6" s="278">
        <f t="shared" si="2"/>
        <v>7977.0380000000005</v>
      </c>
      <c r="EM6" s="278">
        <f t="shared" si="2"/>
        <v>8774.1479999999956</v>
      </c>
      <c r="EN6" s="278">
        <f t="shared" si="2"/>
        <v>9398.9219999999987</v>
      </c>
      <c r="EO6" s="278">
        <f t="shared" si="2"/>
        <v>10435.4815</v>
      </c>
      <c r="EP6" s="279">
        <f t="shared" si="2"/>
        <v>11472.040999999994</v>
      </c>
      <c r="EQ6" s="279">
        <f t="shared" ref="EQ6:HN6" si="3">SUM(EQ8:EQ23)</f>
        <v>11844.304500000007</v>
      </c>
      <c r="ER6" s="279">
        <f t="shared" si="3"/>
        <v>12216.567999999997</v>
      </c>
      <c r="ES6" s="279">
        <f t="shared" si="3"/>
        <v>13854.928999999996</v>
      </c>
      <c r="ET6" s="279">
        <f t="shared" si="3"/>
        <v>14981.677</v>
      </c>
      <c r="EU6" s="279">
        <f t="shared" si="3"/>
        <v>15800.338000000005</v>
      </c>
      <c r="EV6" s="279">
        <f t="shared" si="3"/>
        <v>17227.204000000009</v>
      </c>
      <c r="EW6" s="279">
        <f t="shared" ref="EW6:EY6" si="4">SUM(EW8:EW23)</f>
        <v>17690.377000000004</v>
      </c>
      <c r="EX6" s="279">
        <f t="shared" si="4"/>
        <v>19126.204999999991</v>
      </c>
      <c r="EY6" s="279">
        <f t="shared" si="4"/>
        <v>20246.362000000012</v>
      </c>
      <c r="EZ6" s="279">
        <f t="shared" ref="EZ6" si="5">SUM(EZ8:EZ23)</f>
        <v>20319.419000000005</v>
      </c>
      <c r="FA6" s="280">
        <f t="shared" si="3"/>
        <v>25773.599999999999</v>
      </c>
      <c r="FB6" s="269">
        <f t="shared" si="3"/>
        <v>28412.2</v>
      </c>
      <c r="FC6" s="269">
        <f t="shared" si="3"/>
        <v>30265.199999999997</v>
      </c>
      <c r="FD6" s="269">
        <f t="shared" si="3"/>
        <v>32146.842000000001</v>
      </c>
      <c r="FE6" s="269">
        <f t="shared" si="3"/>
        <v>34935.367000000006</v>
      </c>
      <c r="FF6" s="269">
        <f t="shared" si="3"/>
        <v>37355.892000000007</v>
      </c>
      <c r="FG6" s="269">
        <f t="shared" si="3"/>
        <v>40913.333000000006</v>
      </c>
      <c r="FH6" s="270">
        <f t="shared" si="3"/>
        <v>45476.30999999999</v>
      </c>
      <c r="FI6" s="269">
        <f t="shared" si="3"/>
        <v>52286.614000000009</v>
      </c>
      <c r="FJ6" s="271">
        <f t="shared" si="3"/>
        <v>62474.387500000004</v>
      </c>
      <c r="FK6" s="269">
        <f t="shared" si="3"/>
        <v>72662.161000000007</v>
      </c>
      <c r="FL6" s="269">
        <f t="shared" si="3"/>
        <v>80905.917000000001</v>
      </c>
      <c r="FM6" s="272">
        <f t="shared" si="3"/>
        <v>85522.345000000001</v>
      </c>
      <c r="FN6" s="272">
        <f t="shared" si="3"/>
        <v>93787.692999999999</v>
      </c>
      <c r="FO6" s="272">
        <f t="shared" si="3"/>
        <v>96549.545000000013</v>
      </c>
      <c r="FP6" s="272">
        <f t="shared" si="3"/>
        <v>100597.303</v>
      </c>
      <c r="FQ6" s="272">
        <f t="shared" si="3"/>
        <v>103977.746</v>
      </c>
      <c r="FR6" s="272">
        <f t="shared" si="3"/>
        <v>110515.06700000001</v>
      </c>
      <c r="FS6" s="272">
        <f t="shared" si="3"/>
        <v>117481.73999999999</v>
      </c>
      <c r="FT6" s="271">
        <f t="shared" si="3"/>
        <v>129358.45</v>
      </c>
      <c r="FU6" s="273">
        <f t="shared" si="3"/>
        <v>141235.16</v>
      </c>
      <c r="FV6" s="271">
        <f t="shared" si="3"/>
        <v>152885.88299999997</v>
      </c>
      <c r="FW6" s="273">
        <f t="shared" si="3"/>
        <v>164536.606</v>
      </c>
      <c r="FX6" s="273">
        <f t="shared" si="3"/>
        <v>176467.32199999996</v>
      </c>
      <c r="FY6" s="273">
        <f t="shared" si="3"/>
        <v>185120.35</v>
      </c>
      <c r="FZ6" s="273">
        <f t="shared" si="3"/>
        <v>190304.58799999999</v>
      </c>
      <c r="GA6" s="273">
        <f t="shared" si="3"/>
        <v>203863.33100000001</v>
      </c>
      <c r="GB6" s="273">
        <f t="shared" si="3"/>
        <v>217507.99799999999</v>
      </c>
      <c r="GC6" s="273">
        <f t="shared" si="3"/>
        <v>232032.10899999997</v>
      </c>
      <c r="GD6" s="273">
        <f t="shared" si="3"/>
        <v>241422.04500000001</v>
      </c>
      <c r="GE6" s="443">
        <f t="shared" si="3"/>
        <v>246159.70499999999</v>
      </c>
      <c r="GF6" s="274">
        <f t="shared" si="3"/>
        <v>33127.199999999997</v>
      </c>
      <c r="GG6" s="269">
        <f t="shared" si="3"/>
        <v>35363.800000000003</v>
      </c>
      <c r="GH6" s="269">
        <f t="shared" si="3"/>
        <v>37857.500000000007</v>
      </c>
      <c r="GI6" s="269">
        <f t="shared" si="3"/>
        <v>42386.364999999998</v>
      </c>
      <c r="GJ6" s="269">
        <f t="shared" si="3"/>
        <v>47958.268999999993</v>
      </c>
      <c r="GK6" s="269">
        <f t="shared" si="3"/>
        <v>51806.184000000001</v>
      </c>
      <c r="GL6" s="269">
        <f t="shared" si="3"/>
        <v>56355.144</v>
      </c>
      <c r="GM6" s="270">
        <f t="shared" si="3"/>
        <v>60611.045999999988</v>
      </c>
      <c r="GN6" s="269">
        <f t="shared" si="3"/>
        <v>64814.974999999999</v>
      </c>
      <c r="GO6" s="271">
        <f t="shared" si="3"/>
        <v>68067.322999999989</v>
      </c>
      <c r="GP6" s="269">
        <f t="shared" si="3"/>
        <v>71319.671000000002</v>
      </c>
      <c r="GQ6" s="269">
        <f t="shared" si="3"/>
        <v>75094.127000000008</v>
      </c>
      <c r="GR6" s="272">
        <f t="shared" si="3"/>
        <v>80225.127000000008</v>
      </c>
      <c r="GS6" s="272">
        <f t="shared" si="3"/>
        <v>86785.612000000008</v>
      </c>
      <c r="GT6" s="272">
        <f t="shared" si="3"/>
        <v>91734.681000000011</v>
      </c>
      <c r="GU6" s="272">
        <f t="shared" si="3"/>
        <v>97242.953999999998</v>
      </c>
      <c r="GV6" s="272">
        <f t="shared" si="3"/>
        <v>103887.63700000002</v>
      </c>
      <c r="GW6" s="272">
        <f t="shared" si="3"/>
        <v>111497.016</v>
      </c>
      <c r="GX6" s="272">
        <f t="shared" si="3"/>
        <v>120273.27799999999</v>
      </c>
      <c r="GY6" s="271">
        <f t="shared" si="3"/>
        <v>127929.58900000001</v>
      </c>
      <c r="GZ6" s="273">
        <f t="shared" si="3"/>
        <v>135585.9</v>
      </c>
      <c r="HA6" s="271">
        <f t="shared" si="3"/>
        <v>140909.24000000002</v>
      </c>
      <c r="HB6" s="273">
        <f t="shared" si="3"/>
        <v>146232.58000000002</v>
      </c>
      <c r="HC6" s="273">
        <f t="shared" si="3"/>
        <v>154377.758</v>
      </c>
      <c r="HD6" s="273">
        <f t="shared" si="3"/>
        <v>174135.68699999998</v>
      </c>
      <c r="HE6" s="273">
        <f t="shared" si="3"/>
        <v>186979.52100000001</v>
      </c>
      <c r="HF6" s="273">
        <f t="shared" si="3"/>
        <v>199296.43699999998</v>
      </c>
      <c r="HG6" s="273">
        <f t="shared" si="3"/>
        <v>196185.101</v>
      </c>
      <c r="HH6" s="273">
        <f t="shared" si="3"/>
        <v>198530.299</v>
      </c>
      <c r="HI6" s="273">
        <f t="shared" si="3"/>
        <v>200103.30199999997</v>
      </c>
      <c r="HJ6" s="443">
        <f t="shared" si="3"/>
        <v>202879.64800000002</v>
      </c>
      <c r="HK6" s="274">
        <f t="shared" si="3"/>
        <v>5797.4</v>
      </c>
      <c r="HL6" s="269">
        <f t="shared" si="3"/>
        <v>6502.9</v>
      </c>
      <c r="HM6" s="269">
        <f t="shared" si="3"/>
        <v>7242.8</v>
      </c>
      <c r="HN6" s="269">
        <f t="shared" si="3"/>
        <v>8020.7559999999994</v>
      </c>
      <c r="HO6" s="269">
        <f t="shared" ref="HO6:JT6" si="6">SUM(HO8:HO23)</f>
        <v>8967.4429999999993</v>
      </c>
      <c r="HP6" s="269">
        <f t="shared" si="6"/>
        <v>10027.921</v>
      </c>
      <c r="HQ6" s="269">
        <f t="shared" si="6"/>
        <v>10626.325000000001</v>
      </c>
      <c r="HR6" s="270">
        <f t="shared" si="6"/>
        <v>11681.075999999999</v>
      </c>
      <c r="HS6" s="269">
        <f t="shared" si="6"/>
        <v>12668.195000000002</v>
      </c>
      <c r="HT6" s="271">
        <f t="shared" si="6"/>
        <v>13403.904499999999</v>
      </c>
      <c r="HU6" s="269">
        <f t="shared" si="6"/>
        <v>14139.614</v>
      </c>
      <c r="HV6" s="269">
        <f t="shared" si="6"/>
        <v>15003.227000000001</v>
      </c>
      <c r="HW6" s="272">
        <f t="shared" si="6"/>
        <v>15856.337999999996</v>
      </c>
      <c r="HX6" s="272">
        <f t="shared" si="6"/>
        <v>17225.338</v>
      </c>
      <c r="HY6" s="272">
        <f t="shared" si="6"/>
        <v>17782.173999999999</v>
      </c>
      <c r="HZ6" s="272">
        <f t="shared" si="6"/>
        <v>19346.548999999999</v>
      </c>
      <c r="IA6" s="272">
        <f t="shared" si="6"/>
        <v>20571.311000000002</v>
      </c>
      <c r="IB6" s="272">
        <f t="shared" si="6"/>
        <v>22474.398000000001</v>
      </c>
      <c r="IC6" s="272">
        <f t="shared" si="6"/>
        <v>23516.318000000003</v>
      </c>
      <c r="ID6" s="271">
        <f t="shared" si="6"/>
        <v>25035.904499999997</v>
      </c>
      <c r="IE6" s="273">
        <f t="shared" si="6"/>
        <v>26555.490999999998</v>
      </c>
      <c r="IF6" s="271">
        <f t="shared" si="6"/>
        <v>28053.017</v>
      </c>
      <c r="IG6" s="273">
        <f t="shared" si="6"/>
        <v>29550.543000000001</v>
      </c>
      <c r="IH6" s="273">
        <f t="shared" si="6"/>
        <v>31777.366000000002</v>
      </c>
      <c r="II6" s="273">
        <f t="shared" si="6"/>
        <v>34879.262000000002</v>
      </c>
      <c r="IJ6" s="273">
        <f t="shared" si="6"/>
        <v>36405.548999999992</v>
      </c>
      <c r="IK6" s="273">
        <f t="shared" si="6"/>
        <v>38888.911</v>
      </c>
      <c r="IL6" s="273">
        <f t="shared" si="6"/>
        <v>39022.699000000001</v>
      </c>
      <c r="IM6" s="273">
        <f t="shared" si="6"/>
        <v>38945.394</v>
      </c>
      <c r="IN6" s="273">
        <f t="shared" si="6"/>
        <v>38700.722999999991</v>
      </c>
      <c r="IO6" s="443">
        <f t="shared" si="6"/>
        <v>38617.854000000007</v>
      </c>
      <c r="IP6" s="274">
        <f t="shared" si="6"/>
        <v>10580.800000000001</v>
      </c>
      <c r="IQ6" s="269">
        <f t="shared" si="6"/>
        <v>11568.400000000001</v>
      </c>
      <c r="IR6" s="269">
        <f t="shared" si="6"/>
        <v>13559.699999999999</v>
      </c>
      <c r="IS6" s="269">
        <f t="shared" si="6"/>
        <v>15686.184000000001</v>
      </c>
      <c r="IT6" s="269">
        <f t="shared" si="6"/>
        <v>17418.721999999998</v>
      </c>
      <c r="IU6" s="269">
        <f t="shared" si="6"/>
        <v>20013.109999999997</v>
      </c>
      <c r="IV6" s="269">
        <f t="shared" si="6"/>
        <v>21589.865999999998</v>
      </c>
      <c r="IW6" s="270">
        <f t="shared" si="6"/>
        <v>22851.330000000005</v>
      </c>
      <c r="IX6" s="269">
        <f t="shared" si="6"/>
        <v>24448.109000000004</v>
      </c>
      <c r="IY6" s="271">
        <f t="shared" si="6"/>
        <v>25171.356</v>
      </c>
      <c r="IZ6" s="269">
        <f t="shared" si="6"/>
        <v>25894.602999999999</v>
      </c>
      <c r="JA6" s="269">
        <f t="shared" si="6"/>
        <v>27149.596000000005</v>
      </c>
      <c r="JB6" s="272">
        <f t="shared" si="6"/>
        <v>27950.526999999998</v>
      </c>
      <c r="JC6" s="272">
        <f t="shared" si="6"/>
        <v>29388.954000000005</v>
      </c>
      <c r="JD6" s="281">
        <f t="shared" si="6"/>
        <v>30842.027999999995</v>
      </c>
      <c r="JE6" s="281">
        <f t="shared" si="6"/>
        <v>32867.635999999999</v>
      </c>
      <c r="JF6" s="282">
        <f t="shared" si="6"/>
        <v>34046.123999999996</v>
      </c>
      <c r="JG6" s="282">
        <f t="shared" si="6"/>
        <v>36615.847999999998</v>
      </c>
      <c r="JH6" s="282">
        <f t="shared" si="6"/>
        <v>38973.002</v>
      </c>
      <c r="JI6" s="271">
        <f t="shared" si="6"/>
        <v>41588.242499999993</v>
      </c>
      <c r="JJ6" s="282">
        <f t="shared" si="6"/>
        <v>44203.483000000007</v>
      </c>
      <c r="JK6" s="271">
        <f t="shared" si="6"/>
        <v>45593.2065</v>
      </c>
      <c r="JL6" s="282">
        <f t="shared" si="6"/>
        <v>46982.93</v>
      </c>
      <c r="JM6" s="282">
        <f t="shared" si="6"/>
        <v>51327.169000000002</v>
      </c>
      <c r="JN6" s="282">
        <f t="shared" si="6"/>
        <v>57428.390000000007</v>
      </c>
      <c r="JO6" s="273">
        <f t="shared" si="6"/>
        <v>57563.970999999998</v>
      </c>
      <c r="JP6" s="273">
        <f t="shared" si="6"/>
        <v>61070.301999999981</v>
      </c>
      <c r="JQ6" s="273">
        <f t="shared" si="6"/>
        <v>64562.139999999992</v>
      </c>
      <c r="JR6" s="273">
        <f t="shared" si="6"/>
        <v>66611.498999999982</v>
      </c>
      <c r="JS6" s="414">
        <f t="shared" si="6"/>
        <v>66712.929000000018</v>
      </c>
      <c r="JT6" s="449">
        <f t="shared" si="6"/>
        <v>66668.316000000006</v>
      </c>
    </row>
    <row r="7" spans="1:280">
      <c r="A7" s="223" t="s">
        <v>135</v>
      </c>
      <c r="B7" s="13"/>
      <c r="C7" s="13"/>
      <c r="D7" s="13"/>
      <c r="E7" s="13"/>
      <c r="F7" s="13"/>
      <c r="G7" s="13"/>
      <c r="H7" s="13"/>
      <c r="J7" s="13"/>
      <c r="K7" s="135"/>
      <c r="L7" s="13"/>
      <c r="M7" s="13"/>
      <c r="N7" s="109"/>
      <c r="O7" s="33"/>
      <c r="P7" s="33"/>
      <c r="Q7" s="33"/>
      <c r="R7" s="33"/>
      <c r="S7" s="33"/>
      <c r="T7" s="33"/>
      <c r="U7" s="135"/>
      <c r="V7" s="33"/>
      <c r="W7" s="135"/>
      <c r="X7" s="33"/>
      <c r="Y7" s="33"/>
      <c r="Z7" s="33"/>
      <c r="AA7" s="33"/>
      <c r="AB7" s="33"/>
      <c r="AC7" s="33"/>
      <c r="AD7" s="33"/>
      <c r="AE7" s="33"/>
      <c r="AF7" s="440"/>
      <c r="AG7" s="226"/>
      <c r="AH7" s="13"/>
      <c r="AI7" s="13"/>
      <c r="AJ7" s="13"/>
      <c r="AK7" s="13"/>
      <c r="AL7" s="13"/>
      <c r="AM7" s="13"/>
      <c r="AO7" s="13"/>
      <c r="AP7" s="135"/>
      <c r="AQ7" s="79"/>
      <c r="AR7" s="41"/>
      <c r="AS7" s="33"/>
      <c r="AT7" s="33"/>
      <c r="AU7" s="33"/>
      <c r="AV7" s="33"/>
      <c r="AW7" s="33"/>
      <c r="AX7" s="33"/>
      <c r="AY7" s="33"/>
      <c r="AZ7" s="135"/>
      <c r="BA7" s="33"/>
      <c r="BB7" s="135"/>
      <c r="BC7" s="33"/>
      <c r="BD7" s="33"/>
      <c r="BE7" s="33"/>
      <c r="BF7" s="33"/>
      <c r="BG7" s="33"/>
      <c r="BH7" s="33"/>
      <c r="BI7" s="33"/>
      <c r="BJ7" s="33"/>
      <c r="BK7" s="440"/>
      <c r="BL7" s="46"/>
      <c r="BM7" s="44"/>
      <c r="BN7" s="44"/>
      <c r="BO7" s="44"/>
      <c r="BP7" s="44"/>
      <c r="BQ7" s="44"/>
      <c r="BR7" s="44"/>
      <c r="BS7" s="44"/>
      <c r="BT7" s="44"/>
      <c r="BU7" s="135"/>
      <c r="BV7" s="44"/>
      <c r="BW7" s="41"/>
      <c r="BX7" s="33"/>
      <c r="BY7" s="33"/>
      <c r="BZ7" s="33"/>
      <c r="CA7" s="33"/>
      <c r="CB7" s="33"/>
      <c r="CC7" s="33"/>
      <c r="CD7" s="33"/>
      <c r="CE7" s="135"/>
      <c r="CF7" s="33"/>
      <c r="CG7" s="135"/>
      <c r="CH7" s="33"/>
      <c r="CI7" s="33"/>
      <c r="CJ7" s="33"/>
      <c r="CK7" s="33"/>
      <c r="CL7" s="33"/>
      <c r="CM7" s="33"/>
      <c r="CN7" s="33"/>
      <c r="CO7" s="33"/>
      <c r="CP7" s="440"/>
      <c r="CQ7" s="46"/>
      <c r="CR7" s="44"/>
      <c r="CS7" s="44"/>
      <c r="CT7" s="44"/>
      <c r="CU7" s="44"/>
      <c r="CV7" s="44"/>
      <c r="CW7" s="44"/>
      <c r="CX7" s="44"/>
      <c r="CY7" s="44"/>
      <c r="CZ7" s="135"/>
      <c r="DA7" s="44"/>
      <c r="DB7" s="41"/>
      <c r="DC7" s="33"/>
      <c r="DD7" s="33"/>
      <c r="DE7" s="33"/>
      <c r="DF7" s="33"/>
      <c r="DG7" s="33"/>
      <c r="DH7" s="33"/>
      <c r="DI7" s="33"/>
      <c r="DJ7" s="135"/>
      <c r="DK7" s="33"/>
      <c r="DL7" s="135"/>
      <c r="DM7" s="33"/>
      <c r="DN7" s="33"/>
      <c r="DO7" s="33"/>
      <c r="DP7" s="33"/>
      <c r="DQ7" s="33"/>
      <c r="DR7" s="33"/>
      <c r="DS7" s="33"/>
      <c r="DT7" s="33"/>
      <c r="DU7" s="440"/>
      <c r="DV7" s="46"/>
      <c r="DW7" s="44"/>
      <c r="DX7" s="44"/>
      <c r="DY7" s="44"/>
      <c r="DZ7" s="44"/>
      <c r="EA7" s="44"/>
      <c r="EB7" s="44"/>
      <c r="EC7" s="44"/>
      <c r="ED7" s="41"/>
      <c r="EE7" s="41"/>
      <c r="EF7" s="41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177"/>
      <c r="FB7" s="44"/>
      <c r="FC7" s="44"/>
      <c r="FD7" s="44"/>
      <c r="FE7" s="44"/>
      <c r="FF7" s="44"/>
      <c r="FG7" s="44"/>
      <c r="FH7" s="44"/>
      <c r="FI7" s="44"/>
      <c r="FJ7" s="135"/>
      <c r="FK7" s="44"/>
      <c r="FL7" s="41"/>
      <c r="FM7" s="33"/>
      <c r="FN7" s="33"/>
      <c r="FO7" s="33"/>
      <c r="FP7" s="33"/>
      <c r="FQ7" s="33"/>
      <c r="FR7" s="33"/>
      <c r="FS7" s="33"/>
      <c r="FT7" s="135"/>
      <c r="FU7" s="33"/>
      <c r="FV7" s="135"/>
      <c r="FW7" s="33"/>
      <c r="FX7" s="33"/>
      <c r="FY7" s="33"/>
      <c r="FZ7" s="33"/>
      <c r="GA7" s="33"/>
      <c r="GB7" s="33"/>
      <c r="GC7" s="33"/>
      <c r="GD7" s="33"/>
      <c r="GE7" s="440"/>
      <c r="GF7" s="46"/>
      <c r="GG7" s="44"/>
      <c r="GH7" s="44"/>
      <c r="GI7" s="44"/>
      <c r="GJ7" s="44"/>
      <c r="GK7" s="44"/>
      <c r="GL7" s="44"/>
      <c r="GM7" s="44"/>
      <c r="GN7" s="44"/>
      <c r="GO7" s="135"/>
      <c r="GP7" s="44"/>
      <c r="GQ7" s="41"/>
      <c r="GR7" s="33"/>
      <c r="GS7" s="33"/>
      <c r="GT7" s="33"/>
      <c r="GU7" s="33"/>
      <c r="GV7" s="33"/>
      <c r="GW7" s="33"/>
      <c r="GX7" s="33"/>
      <c r="GY7" s="135"/>
      <c r="GZ7" s="33"/>
      <c r="HA7" s="135"/>
      <c r="HB7" s="33"/>
      <c r="HC7" s="33"/>
      <c r="HD7" s="33"/>
      <c r="HE7" s="33"/>
      <c r="HF7" s="33"/>
      <c r="HG7" s="33"/>
      <c r="HH7" s="33"/>
      <c r="HI7" s="33"/>
      <c r="HJ7" s="440"/>
      <c r="HK7" s="46"/>
      <c r="HL7" s="44"/>
      <c r="HM7" s="44"/>
      <c r="HN7" s="44"/>
      <c r="HO7" s="44"/>
      <c r="HP7" s="44"/>
      <c r="HQ7" s="44"/>
      <c r="HR7" s="44"/>
      <c r="HS7" s="44"/>
      <c r="HT7" s="135"/>
      <c r="HU7" s="44"/>
      <c r="HV7" s="41"/>
      <c r="HW7" s="33"/>
      <c r="HX7" s="33"/>
      <c r="HY7" s="33"/>
      <c r="HZ7" s="33"/>
      <c r="IA7" s="33"/>
      <c r="IB7" s="33"/>
      <c r="IC7" s="33"/>
      <c r="ID7" s="135"/>
      <c r="IE7" s="33"/>
      <c r="IF7" s="135"/>
      <c r="IG7" s="33"/>
      <c r="IH7" s="33"/>
      <c r="II7" s="33"/>
      <c r="IJ7" s="33"/>
      <c r="IK7" s="33"/>
      <c r="IL7" s="33"/>
      <c r="IM7" s="33"/>
      <c r="IN7" s="33"/>
      <c r="IO7" s="440"/>
      <c r="IP7" s="46"/>
      <c r="IQ7" s="44"/>
      <c r="IR7" s="44"/>
      <c r="IS7" s="44"/>
      <c r="IT7" s="44"/>
      <c r="IU7" s="44"/>
      <c r="IV7" s="44"/>
      <c r="IW7" s="44"/>
      <c r="IX7" s="44"/>
      <c r="IY7" s="135"/>
      <c r="IZ7" s="44"/>
      <c r="JA7" s="41"/>
      <c r="JB7" s="42"/>
      <c r="JC7" s="42"/>
      <c r="JD7" s="42"/>
      <c r="JE7" s="42"/>
      <c r="JF7" s="13"/>
      <c r="JG7" s="13"/>
      <c r="JH7" s="13"/>
      <c r="JI7" s="135"/>
      <c r="JJ7" s="13"/>
      <c r="JK7" s="135"/>
      <c r="JL7" s="13"/>
      <c r="JM7" s="13"/>
      <c r="JN7" s="13"/>
      <c r="JO7" s="33"/>
      <c r="JP7" s="33"/>
      <c r="JQ7" s="33"/>
      <c r="JR7" s="33"/>
      <c r="JT7" s="448"/>
    </row>
    <row r="8" spans="1:280">
      <c r="A8" s="221" t="s">
        <v>25</v>
      </c>
      <c r="B8" s="35">
        <f>0+5986.8</f>
        <v>5986.8</v>
      </c>
      <c r="C8" s="34">
        <v>6605.3</v>
      </c>
      <c r="D8" s="34">
        <f>0+6940.1</f>
        <v>6940.1</v>
      </c>
      <c r="E8" s="34">
        <v>7929.2629999999999</v>
      </c>
      <c r="F8" s="34">
        <f>8614.51+0</f>
        <v>8614.51</v>
      </c>
      <c r="G8" s="34">
        <f>8472.785+0</f>
        <v>8472.7849999999999</v>
      </c>
      <c r="H8" s="34">
        <v>9149.2119999999995</v>
      </c>
      <c r="I8" s="44">
        <v>9933.6059999999998</v>
      </c>
      <c r="J8" s="34">
        <v>10868.353999999999</v>
      </c>
      <c r="K8" s="133">
        <f t="shared" ref="K8:K23" si="7">((L8-J8)/2)+J8</f>
        <v>11867.0715</v>
      </c>
      <c r="L8" s="34">
        <v>12865.789000000001</v>
      </c>
      <c r="M8" s="35">
        <v>13753.987999999999</v>
      </c>
      <c r="N8" s="35">
        <v>14781.534</v>
      </c>
      <c r="O8" s="35">
        <v>15735.583000000001</v>
      </c>
      <c r="P8" s="41">
        <v>16585.241000000002</v>
      </c>
      <c r="Q8" s="33">
        <v>17229.331999999999</v>
      </c>
      <c r="R8" s="33">
        <v>18583.232</v>
      </c>
      <c r="S8" s="33">
        <v>20119.093000000001</v>
      </c>
      <c r="T8" s="33">
        <v>22062.477999999999</v>
      </c>
      <c r="U8" s="133">
        <f t="shared" ref="U8:U23" si="8">((V8-T8)/2)+T8</f>
        <v>23333.64</v>
      </c>
      <c r="V8" s="33">
        <v>24604.802</v>
      </c>
      <c r="W8" s="133">
        <f t="shared" ref="W8:W23" si="9">((X8-V8)/2)+V8</f>
        <v>25846.885999999999</v>
      </c>
      <c r="X8" s="33">
        <v>27088.97</v>
      </c>
      <c r="Y8" s="33">
        <v>29029.453000000001</v>
      </c>
      <c r="Z8" s="33">
        <v>29284.892</v>
      </c>
      <c r="AA8" s="33">
        <v>30987.202000000001</v>
      </c>
      <c r="AB8" s="33">
        <v>32626.999</v>
      </c>
      <c r="AC8" s="33">
        <v>33966.387999999999</v>
      </c>
      <c r="AD8" s="33">
        <v>35308.934000000001</v>
      </c>
      <c r="AE8" s="33">
        <v>35385.190999999999</v>
      </c>
      <c r="AF8" s="440">
        <v>34900.491000000002</v>
      </c>
      <c r="AG8" s="215">
        <f>2386.1+21.11</f>
        <v>2407.21</v>
      </c>
      <c r="AH8" s="34">
        <f>2566.4+29.1</f>
        <v>2595.5</v>
      </c>
      <c r="AI8" s="34">
        <f>2599.2+25.3</f>
        <v>2624.5</v>
      </c>
      <c r="AJ8" s="34">
        <f>2928.623+24.034</f>
        <v>2952.6570000000002</v>
      </c>
      <c r="AK8" s="34">
        <f>3213.038+25.335</f>
        <v>3238.373</v>
      </c>
      <c r="AL8" s="34">
        <f>3190.697+28.93</f>
        <v>3219.627</v>
      </c>
      <c r="AM8" s="34">
        <f>3518.462+37.425</f>
        <v>3555.8870000000002</v>
      </c>
      <c r="AN8" s="44">
        <f>3849.25+32.128</f>
        <v>3881.3780000000002</v>
      </c>
      <c r="AO8" s="34">
        <f>4137.992+33.275</f>
        <v>4171.2669999999998</v>
      </c>
      <c r="AP8" s="133">
        <f t="shared" ref="AP8:AP23" si="10">((AQ8-AO8)/2)+AO8</f>
        <v>4236.4504999999999</v>
      </c>
      <c r="AQ8" s="30">
        <v>4301.634</v>
      </c>
      <c r="AR8" s="35">
        <v>4478.549</v>
      </c>
      <c r="AS8" s="35">
        <v>4895.29</v>
      </c>
      <c r="AT8" s="32">
        <v>5311.1819999999998</v>
      </c>
      <c r="AU8" s="33">
        <v>5850.64</v>
      </c>
      <c r="AV8" s="33">
        <v>6317.3739999999998</v>
      </c>
      <c r="AW8" s="33">
        <v>6691.6260000000002</v>
      </c>
      <c r="AX8" s="33">
        <v>7231.1589999999997</v>
      </c>
      <c r="AY8" s="33">
        <v>7830.0159999999996</v>
      </c>
      <c r="AZ8" s="133">
        <f t="shared" ref="AZ8:AZ23" si="11">((BA8-AY8)/2)+AY8</f>
        <v>8109.2384999999995</v>
      </c>
      <c r="BA8" s="33">
        <v>8388.4609999999993</v>
      </c>
      <c r="BB8" s="133">
        <f t="shared" ref="BB8:BB23" si="12">((BC8-BA8)/2)+BA8</f>
        <v>8952.598</v>
      </c>
      <c r="BC8" s="33">
        <v>9516.7350000000006</v>
      </c>
      <c r="BD8" s="33">
        <v>9962.3649999999998</v>
      </c>
      <c r="BE8" s="33">
        <v>10915.7</v>
      </c>
      <c r="BF8" s="33">
        <v>12131.276</v>
      </c>
      <c r="BG8" s="33">
        <v>13109.056</v>
      </c>
      <c r="BH8" s="33">
        <v>13446.699000000001</v>
      </c>
      <c r="BI8" s="33">
        <v>13319.325999999999</v>
      </c>
      <c r="BJ8" s="33">
        <v>13484.878000000001</v>
      </c>
      <c r="BK8" s="440">
        <v>12744.897000000001</v>
      </c>
      <c r="BL8" s="36">
        <v>1378.5</v>
      </c>
      <c r="BM8" s="34">
        <v>1453.9</v>
      </c>
      <c r="BN8" s="34">
        <v>1468.8</v>
      </c>
      <c r="BO8" s="34">
        <v>1622.8440000000001</v>
      </c>
      <c r="BP8" s="34">
        <v>1756.7049999999999</v>
      </c>
      <c r="BQ8" s="34">
        <v>1718.606</v>
      </c>
      <c r="BR8" s="34">
        <v>1891.068</v>
      </c>
      <c r="BS8" s="44">
        <v>2234.4459999999999</v>
      </c>
      <c r="BT8" s="34">
        <v>2337.6190000000001</v>
      </c>
      <c r="BU8" s="133">
        <f t="shared" ref="BU8:BU23" si="13">((BV8-BT8)/2)+BT8</f>
        <v>2379.2305000000001</v>
      </c>
      <c r="BV8" s="34">
        <v>2420.8420000000001</v>
      </c>
      <c r="BW8" s="35">
        <v>2530.3049999999998</v>
      </c>
      <c r="BX8" s="35">
        <v>2765.8139999999999</v>
      </c>
      <c r="BY8" s="32">
        <v>3021.4450000000002</v>
      </c>
      <c r="BZ8" s="32">
        <v>3570.0120000000002</v>
      </c>
      <c r="CA8" s="32">
        <v>3923.4279999999999</v>
      </c>
      <c r="CB8" s="32">
        <v>4209.2110000000002</v>
      </c>
      <c r="CC8" s="32">
        <v>4560.3459999999995</v>
      </c>
      <c r="CD8" s="33">
        <v>4960.8580000000002</v>
      </c>
      <c r="CE8" s="133">
        <f t="shared" ref="CE8:CE23" si="14">((CF8-CD8)/2)+CD8</f>
        <v>5024.9459999999999</v>
      </c>
      <c r="CF8" s="33">
        <v>5089.0339999999997</v>
      </c>
      <c r="CG8" s="133">
        <f t="shared" ref="CG8:CG23" si="15">((CH8-CF8)/2)+CF8</f>
        <v>5252.3694999999998</v>
      </c>
      <c r="CH8" s="33">
        <v>5415.7049999999999</v>
      </c>
      <c r="CI8" s="33">
        <v>5805.2889999999998</v>
      </c>
      <c r="CJ8" s="33">
        <v>6552.2150000000001</v>
      </c>
      <c r="CK8" s="33">
        <v>7122.808</v>
      </c>
      <c r="CL8" s="33">
        <v>7736.8389999999999</v>
      </c>
      <c r="CM8" s="33">
        <v>7847.89</v>
      </c>
      <c r="CN8" s="33">
        <v>7697.366</v>
      </c>
      <c r="CO8" s="33">
        <v>7602.8379999999997</v>
      </c>
      <c r="CP8" s="440">
        <v>7257.75</v>
      </c>
      <c r="CQ8" s="37">
        <v>779.4</v>
      </c>
      <c r="CR8" s="35">
        <v>854.9</v>
      </c>
      <c r="CS8" s="35">
        <v>889.1</v>
      </c>
      <c r="CT8" s="35">
        <v>934.447</v>
      </c>
      <c r="CU8" s="35">
        <v>1041.6099999999999</v>
      </c>
      <c r="CV8" s="35">
        <v>1056.133</v>
      </c>
      <c r="CW8" s="35">
        <v>1122.9469999999999</v>
      </c>
      <c r="CX8" s="41">
        <v>1223.3610000000001</v>
      </c>
      <c r="CY8" s="35">
        <v>1344.4079999999999</v>
      </c>
      <c r="CZ8" s="133">
        <f t="shared" ref="CZ8:CZ23" si="16">((DA8-CY8)/2)+CY8</f>
        <v>1391.0925</v>
      </c>
      <c r="DA8" s="35">
        <f>1437777/1000</f>
        <v>1437.777</v>
      </c>
      <c r="DB8" s="35">
        <v>1576.635</v>
      </c>
      <c r="DC8" s="35">
        <v>1708.694</v>
      </c>
      <c r="DD8" s="32">
        <v>1876.607</v>
      </c>
      <c r="DE8" s="43">
        <v>1866.9690000000001</v>
      </c>
      <c r="DF8" s="42">
        <v>1979.473</v>
      </c>
      <c r="DG8" s="42">
        <v>2031.5550000000001</v>
      </c>
      <c r="DH8" s="42">
        <v>2197.5279999999998</v>
      </c>
      <c r="DI8" s="42">
        <v>2373.6950000000002</v>
      </c>
      <c r="DJ8" s="133">
        <f t="shared" ref="DJ8:DJ23" si="17">((DK8-DI8)/2)+DI8</f>
        <v>2546.9454999999998</v>
      </c>
      <c r="DK8" s="33">
        <v>2720.1959999999999</v>
      </c>
      <c r="DL8" s="133">
        <f t="shared" ref="DL8:DL23" si="18">((DM8-DK8)/2)+DK8</f>
        <v>3047.7444999999998</v>
      </c>
      <c r="DM8" s="33">
        <v>3375.2930000000001</v>
      </c>
      <c r="DN8" s="33">
        <v>3491</v>
      </c>
      <c r="DO8" s="33">
        <v>3742.723</v>
      </c>
      <c r="DP8" s="33">
        <v>4304.7860000000001</v>
      </c>
      <c r="DQ8" s="33">
        <v>4633.5379999999996</v>
      </c>
      <c r="DR8" s="33">
        <v>4796.509</v>
      </c>
      <c r="DS8" s="33">
        <v>4751.4040000000005</v>
      </c>
      <c r="DT8" s="33">
        <v>4965.5330000000004</v>
      </c>
      <c r="DU8" s="440">
        <v>4600.9539999999997</v>
      </c>
      <c r="DV8" s="38">
        <f t="shared" ref="DV8:EB9" si="19">(AG8-BL8-CQ8)</f>
        <v>249.31000000000006</v>
      </c>
      <c r="DW8" s="39">
        <f t="shared" si="19"/>
        <v>286.69999999999993</v>
      </c>
      <c r="DX8" s="39">
        <f t="shared" si="19"/>
        <v>266.60000000000002</v>
      </c>
      <c r="DY8" s="39">
        <f t="shared" si="19"/>
        <v>395.3660000000001</v>
      </c>
      <c r="DZ8" s="39">
        <f t="shared" si="19"/>
        <v>440.05800000000022</v>
      </c>
      <c r="EA8" s="39">
        <f t="shared" si="19"/>
        <v>444.88799999999992</v>
      </c>
      <c r="EB8" s="39">
        <f t="shared" si="19"/>
        <v>541.8720000000003</v>
      </c>
      <c r="EC8" s="39">
        <f t="shared" ref="EC8:EC23" si="20">AN8-BS8-CX8</f>
        <v>423.57100000000014</v>
      </c>
      <c r="ED8" s="39">
        <f t="shared" ref="ED8:ED23" si="21">AO8-BT8-CY8</f>
        <v>489.23999999999978</v>
      </c>
      <c r="EE8" s="39">
        <f t="shared" ref="EE8:EE23" si="22">AP8-BU8-CZ8</f>
        <v>466.12749999999983</v>
      </c>
      <c r="EF8" s="39">
        <f t="shared" ref="EF8:EF23" si="23">AQ8-BV8-DA8</f>
        <v>443.01499999999987</v>
      </c>
      <c r="EG8" s="40">
        <f t="shared" ref="EG8:EG23" si="24">(AR8-BW8)-DB8</f>
        <v>371.60900000000015</v>
      </c>
      <c r="EH8" s="40">
        <f t="shared" ref="EH8:EH23" si="25">(AS8-BX8)-DC8</f>
        <v>420.78200000000015</v>
      </c>
      <c r="EI8" s="40">
        <f t="shared" ref="EI8:EI23" si="26">(AT8-BY8)-DD8</f>
        <v>413.12999999999965</v>
      </c>
      <c r="EJ8" s="40">
        <f t="shared" ref="EJ8:EJ23" si="27">(AU8-BZ8)-DE8</f>
        <v>413.65900000000011</v>
      </c>
      <c r="EK8" s="40">
        <f t="shared" ref="EK8:EK23" si="28">(AV8-CA8)-DF8</f>
        <v>414.47299999999996</v>
      </c>
      <c r="EL8" s="40">
        <f t="shared" ref="EL8:EL23" si="29">(AW8-CB8)-DG8</f>
        <v>450.8599999999999</v>
      </c>
      <c r="EM8" s="40">
        <f t="shared" ref="EM8:EM23" si="30">(AX8-CC8)-DH8</f>
        <v>473.28500000000031</v>
      </c>
      <c r="EN8" s="40">
        <f t="shared" ref="EN8:EN23" si="31">(AY8-CD8)-DI8</f>
        <v>495.46299999999928</v>
      </c>
      <c r="EO8" s="40">
        <f t="shared" ref="EO8:EO23" si="32">(AZ8-CE8)-DJ8</f>
        <v>537.34699999999975</v>
      </c>
      <c r="EP8" s="40">
        <f t="shared" ref="EP8:EP23" si="33">(BA8-CF8)-DK8</f>
        <v>579.23099999999977</v>
      </c>
      <c r="EQ8" s="40">
        <f t="shared" ref="EQ8:EQ23" si="34">(BB8-CG8)-DL8</f>
        <v>652.48400000000038</v>
      </c>
      <c r="ER8" s="40">
        <f t="shared" ref="ER8:ER23" si="35">(BC8-CH8)-DM8</f>
        <v>725.73700000000053</v>
      </c>
      <c r="ES8" s="40">
        <f t="shared" ref="ES8:ES23" si="36">(BD8-CI8)-DN8</f>
        <v>666.07600000000002</v>
      </c>
      <c r="ET8" s="40">
        <f t="shared" ref="ET8:ET23" si="37">(BE8-CJ8)-DO8</f>
        <v>620.76200000000063</v>
      </c>
      <c r="EU8" s="40">
        <f t="shared" ref="EU8:EU23" si="38">+BF8-CK8-DP8</f>
        <v>703.68199999999979</v>
      </c>
      <c r="EV8" s="40">
        <f t="shared" ref="EV8:EV23" si="39">+BG8-CL8-DQ8</f>
        <v>738.679000000001</v>
      </c>
      <c r="EW8" s="40">
        <f t="shared" ref="EW8:EW23" si="40">+BH8-CM8-DR8</f>
        <v>802.30000000000018</v>
      </c>
      <c r="EX8" s="40">
        <f t="shared" ref="EX8:EX23" si="41">+BI8-CN8-DS8</f>
        <v>870.55599999999868</v>
      </c>
      <c r="EY8" s="40">
        <f t="shared" ref="EY8:EY23" si="42">+BJ8-CO8-DT8</f>
        <v>916.50700000000052</v>
      </c>
      <c r="EZ8" s="40">
        <f t="shared" ref="EZ8:EZ23" si="43">+BK8-CP8-DU8</f>
        <v>886.19300000000112</v>
      </c>
      <c r="FA8" s="176">
        <f>542.2+767.6+27.1+2.2</f>
        <v>1339.1000000000001</v>
      </c>
      <c r="FB8" s="35">
        <f>559.5+942.8+32.4+2.7</f>
        <v>1537.4</v>
      </c>
      <c r="FC8" s="35">
        <f>591.3+1042+30.4+2.8</f>
        <v>1666.5</v>
      </c>
      <c r="FD8" s="35">
        <f>669.101+931.72+208.934+31.836+3.207</f>
        <v>1844.798</v>
      </c>
      <c r="FE8" s="35">
        <f>749.26+1121.23+239.281+34.028+3.421</f>
        <v>2147.2199999999998</v>
      </c>
      <c r="FF8" s="35">
        <f>641.82+1074.734+ 251.643+33.288+3.631</f>
        <v>2005.1160000000002</v>
      </c>
      <c r="FG8" s="35">
        <f>697.634+1127.29+261.465+32.389+5.356</f>
        <v>2124.1340000000005</v>
      </c>
      <c r="FH8" s="41">
        <f>793.529+1250.007+332.753+31.802+8.92</f>
        <v>2417.0110000000004</v>
      </c>
      <c r="FI8" s="35">
        <f>1073.215+1409.059+400.556+34.179+4.613</f>
        <v>2921.6219999999998</v>
      </c>
      <c r="FJ8" s="133">
        <f t="shared" ref="FJ8:FJ23" si="44">((FK8-FI8)/2)+FI8</f>
        <v>3610.2659999999996</v>
      </c>
      <c r="FK8" s="35">
        <v>4298.91</v>
      </c>
      <c r="FL8" s="35">
        <v>4646.5309999999999</v>
      </c>
      <c r="FM8" s="35">
        <v>5081.2139999999999</v>
      </c>
      <c r="FN8" s="32">
        <v>5285.1629999999996</v>
      </c>
      <c r="FO8" s="33">
        <v>5419.4059999999999</v>
      </c>
      <c r="FP8" s="33">
        <v>5413.4309999999996</v>
      </c>
      <c r="FQ8" s="33">
        <v>6137.0990000000002</v>
      </c>
      <c r="FR8" s="33">
        <v>6546.2659999999996</v>
      </c>
      <c r="FS8" s="33">
        <v>7242.0039999999999</v>
      </c>
      <c r="FT8" s="133">
        <f t="shared" ref="FT8:FT23" si="45">((FU8-FS8)/2)+FS8</f>
        <v>7793.7814999999991</v>
      </c>
      <c r="FU8" s="33">
        <v>8345.5589999999993</v>
      </c>
      <c r="FV8" s="133">
        <f t="shared" ref="FV8:FV23" si="46">((FW8-FU8)/2)+FU8</f>
        <v>8821.143</v>
      </c>
      <c r="FW8" s="33">
        <v>9296.7270000000008</v>
      </c>
      <c r="FX8" s="33">
        <v>10250.088</v>
      </c>
      <c r="FY8" s="33">
        <v>9333.1689999999999</v>
      </c>
      <c r="FZ8" s="33">
        <v>9377.1849999999995</v>
      </c>
      <c r="GA8" s="33">
        <v>9558.1209999999992</v>
      </c>
      <c r="GB8" s="33">
        <v>10054.805</v>
      </c>
      <c r="GC8" s="33">
        <v>11498.326999999999</v>
      </c>
      <c r="GD8" s="33">
        <v>11468.642</v>
      </c>
      <c r="GE8" s="440">
        <v>11868.205</v>
      </c>
      <c r="GF8" s="37">
        <f>567.3+15.9+79.6+191.1+77.6+118.2+30.5+167.1+95.3+75.8+111.1</f>
        <v>1529.4999999999998</v>
      </c>
      <c r="GG8" s="35">
        <f>640.5+14.8+54.5+208.6+81.9+109.2+27.1+175.3+104.4+79.8+98.7</f>
        <v>1594.8</v>
      </c>
      <c r="GH8" s="35">
        <f>684.8+17.3+52.7+207.9+86.7+124.3+31.1+198.1+83.8+73.8+110.3</f>
        <v>1670.7999999999995</v>
      </c>
      <c r="GI8" s="35">
        <f>814.563+18.565+63.402+122.105+1.125+225.442+96.83+157.723+33.654+108.605+97.226+120.57+109.09+81.18</f>
        <v>2050.08</v>
      </c>
      <c r="GJ8" s="41">
        <f>825.497+28.219+16.698+42.603+1.162+246.233+105.81+168.594+36.489+129.28+117.719+119.652+111.867+82.154</f>
        <v>2031.9770000000001</v>
      </c>
      <c r="GK8" s="35">
        <f>711.061+37.206+23.047+38.188+1.492+261.5+114.609+167.063+37.09+124.128+116.847+134.475+143.899+87.582</f>
        <v>1998.1869999999999</v>
      </c>
      <c r="GL8" s="35">
        <f>849.41+55.879+15.358+40.274+1.446+274.118+122.241+191.537+37.923+141.105+134.874+118.1+134.93+90.718</f>
        <v>2207.9129999999996</v>
      </c>
      <c r="GM8" s="41">
        <f>871.298+42.594+12.256+47.985+1.519+301.948+133.708+216.44+42.371+147.519+150.114+144.69+175.55+101.64</f>
        <v>2389.6320000000001</v>
      </c>
      <c r="GN8" s="35">
        <f>875.18+55.714+11.178+37.609+1.92+316.453+141.561+212.772+47.922+147.87+155.876+165.221+124.352+106.146</f>
        <v>2399.7739999999999</v>
      </c>
      <c r="GO8" s="133">
        <f t="shared" ref="GO8:GO23" si="47">((GP8-GN8)/2)+GN8</f>
        <v>2552.2780000000002</v>
      </c>
      <c r="GP8" s="35">
        <v>2704.7820000000002</v>
      </c>
      <c r="GQ8" s="35">
        <v>2995.28</v>
      </c>
      <c r="GR8" s="35">
        <v>3150.2370000000001</v>
      </c>
      <c r="GS8" s="32">
        <v>3419.7269999999999</v>
      </c>
      <c r="GT8" s="32">
        <v>3454.6210000000001</v>
      </c>
      <c r="GU8" s="32">
        <v>3610.9989999999998</v>
      </c>
      <c r="GV8" s="32">
        <v>3829.9450000000002</v>
      </c>
      <c r="GW8" s="32">
        <v>4188.9489999999996</v>
      </c>
      <c r="GX8" s="32">
        <v>4601.2870000000003</v>
      </c>
      <c r="GY8" s="133">
        <f t="shared" ref="GY8:GY23" si="48">((GZ8-GX8)/2)+GX8</f>
        <v>4908.4809999999998</v>
      </c>
      <c r="GZ8" s="33">
        <v>5215.6750000000002</v>
      </c>
      <c r="HA8" s="133">
        <f t="shared" ref="HA8:HA23" si="49">((HB8-GZ8)/2)+GZ8</f>
        <v>5313.8410000000003</v>
      </c>
      <c r="HB8" s="33">
        <v>5412.0069999999996</v>
      </c>
      <c r="HC8" s="33">
        <v>5739.0010000000002</v>
      </c>
      <c r="HD8" s="33">
        <v>6282.116</v>
      </c>
      <c r="HE8" s="33">
        <v>6365.4229999999998</v>
      </c>
      <c r="HF8" s="33">
        <v>6595.3879999999999</v>
      </c>
      <c r="HG8" s="33">
        <v>6858.3280000000004</v>
      </c>
      <c r="HH8" s="33">
        <v>6795.8180000000002</v>
      </c>
      <c r="HI8" s="33">
        <v>6938.4520000000002</v>
      </c>
      <c r="HJ8" s="440">
        <v>6792.1090000000004</v>
      </c>
      <c r="HK8" s="37">
        <f>113.6+119.7+23.2</f>
        <v>256.5</v>
      </c>
      <c r="HL8" s="35">
        <f>131.9+138+33.2</f>
        <v>303.09999999999997</v>
      </c>
      <c r="HM8" s="35">
        <f>147+150.7+39.3</f>
        <v>337</v>
      </c>
      <c r="HN8" s="35">
        <f>170.576+102.69+46.663+58.945</f>
        <v>378.87399999999997</v>
      </c>
      <c r="HO8" s="35">
        <f>190.427+114.332+41.236+63.357</f>
        <v>409.35199999999998</v>
      </c>
      <c r="HP8" s="35">
        <f>201.795+120.696+41.119+67.191</f>
        <v>430.80100000000004</v>
      </c>
      <c r="HQ8" s="35">
        <f>204.022+129.173+51.423+71.644</f>
        <v>456.262</v>
      </c>
      <c r="HR8" s="41">
        <f>223.828+142.166+43.168+74.135</f>
        <v>483.29700000000003</v>
      </c>
      <c r="HS8" s="35">
        <f>240.527+145.07+41.412+80.12</f>
        <v>507.12899999999996</v>
      </c>
      <c r="HT8" s="133">
        <f t="shared" ref="HT8:HT23" si="50">((HU8-HS8)/2)+HS8</f>
        <v>543.74900000000002</v>
      </c>
      <c r="HU8" s="35">
        <v>580.36900000000003</v>
      </c>
      <c r="HV8" s="35">
        <v>577.25800000000004</v>
      </c>
      <c r="HW8" s="35">
        <v>619.25599999999997</v>
      </c>
      <c r="HX8" s="32">
        <v>662.34299999999996</v>
      </c>
      <c r="HY8" s="32">
        <v>697.553</v>
      </c>
      <c r="HZ8" s="32">
        <v>729.78899999999999</v>
      </c>
      <c r="IA8" s="32">
        <v>774.995</v>
      </c>
      <c r="IB8" s="32">
        <v>857.23299999999995</v>
      </c>
      <c r="IC8" s="32">
        <v>907.86699999999996</v>
      </c>
      <c r="ID8" s="133">
        <f t="shared" ref="ID8:ID23" si="51">((IE8-IC8)/2)+IC8</f>
        <v>931.19650000000001</v>
      </c>
      <c r="IE8" s="33">
        <v>954.52599999999995</v>
      </c>
      <c r="IF8" s="133">
        <f t="shared" ref="IF8:IF23" si="52">((IG8-IE8)/2)+IE8</f>
        <v>983.49649999999997</v>
      </c>
      <c r="IG8" s="33">
        <v>1012.467</v>
      </c>
      <c r="IH8" s="33">
        <v>1093.7249999999999</v>
      </c>
      <c r="II8" s="33">
        <v>1143.1020000000001</v>
      </c>
      <c r="IJ8" s="33">
        <v>1338.8209999999999</v>
      </c>
      <c r="IK8" s="33">
        <v>1417.432</v>
      </c>
      <c r="IL8" s="33">
        <v>1404.52</v>
      </c>
      <c r="IM8" s="33">
        <v>1580.375</v>
      </c>
      <c r="IN8" s="33">
        <v>1527.3779999999999</v>
      </c>
      <c r="IO8" s="440">
        <v>1456.645</v>
      </c>
      <c r="IP8" s="36">
        <f>(0+242.2+212.3)</f>
        <v>454.5</v>
      </c>
      <c r="IQ8" s="34">
        <f>0+309.3+265.4</f>
        <v>574.70000000000005</v>
      </c>
      <c r="IR8" s="34">
        <f>432.3+209</f>
        <v>641.29999999999995</v>
      </c>
      <c r="IS8" s="34">
        <f>478.514+0.31+224.01</f>
        <v>702.83400000000006</v>
      </c>
      <c r="IT8" s="34">
        <f>549.894+0.327+237.367</f>
        <v>787.58799999999997</v>
      </c>
      <c r="IU8" s="34">
        <f>557.178+0.341+261.535</f>
        <v>819.05400000000009</v>
      </c>
      <c r="IV8" s="34">
        <f>532.68+0.247+271.891</f>
        <v>804.81799999999998</v>
      </c>
      <c r="IW8" s="44">
        <f>495.425+266.863</f>
        <v>762.28800000000001</v>
      </c>
      <c r="IX8" s="34">
        <f>543.758+324.804</f>
        <v>868.56200000000001</v>
      </c>
      <c r="IY8" s="133">
        <f t="shared" ref="IY8:IY23" si="53">((IZ8-IX8)/2)+IX8</f>
        <v>924.32799999999997</v>
      </c>
      <c r="IZ8" s="34">
        <v>980.09400000000005</v>
      </c>
      <c r="JA8" s="35">
        <v>1056.3699999999999</v>
      </c>
      <c r="JB8" s="35">
        <v>1035.537</v>
      </c>
      <c r="JC8" s="32">
        <v>1057.1679999999999</v>
      </c>
      <c r="JD8" s="32">
        <v>1163.021</v>
      </c>
      <c r="JE8" s="32">
        <v>1157.739</v>
      </c>
      <c r="JF8" s="1">
        <v>1149.567</v>
      </c>
      <c r="JG8" s="1">
        <v>1295.4860000000001</v>
      </c>
      <c r="JH8" s="1">
        <v>1481.3040000000001</v>
      </c>
      <c r="JI8" s="133">
        <f t="shared" ref="JI8:JI23" si="54">((JJ8-JH8)/2)+JH8</f>
        <v>1590.9425000000001</v>
      </c>
      <c r="JJ8" s="1">
        <v>1700.5809999999999</v>
      </c>
      <c r="JK8" s="133">
        <f t="shared" ref="JK8:JK23" si="55">((JL8-JJ8)/2)+JJ8</f>
        <v>1775.8074999999999</v>
      </c>
      <c r="JL8" s="1">
        <v>1851.0340000000001</v>
      </c>
      <c r="JM8" s="1">
        <v>1984.2739999999999</v>
      </c>
      <c r="JN8" s="1">
        <v>1610.8050000000001</v>
      </c>
      <c r="JO8" s="33">
        <v>1774.4970000000001</v>
      </c>
      <c r="JP8" s="33">
        <v>1947.002</v>
      </c>
      <c r="JQ8" s="33">
        <v>2202.038</v>
      </c>
      <c r="JR8" s="33">
        <v>2115.09</v>
      </c>
      <c r="JS8" s="1">
        <v>1965.8409999999999</v>
      </c>
      <c r="JT8" s="448">
        <v>2038.635</v>
      </c>
    </row>
    <row r="9" spans="1:280">
      <c r="A9" s="221" t="s">
        <v>26</v>
      </c>
      <c r="B9" s="35">
        <f>0.3+3080.9</f>
        <v>3081.2000000000003</v>
      </c>
      <c r="C9" s="34">
        <v>3193.4</v>
      </c>
      <c r="D9" s="34">
        <f>4.1+3471.2</f>
        <v>3475.2999999999997</v>
      </c>
      <c r="E9" s="34">
        <f>3998.411+0.083</f>
        <v>3998.4940000000001</v>
      </c>
      <c r="F9" s="34">
        <f>4370.985+0.731</f>
        <v>4371.7159999999994</v>
      </c>
      <c r="G9" s="34">
        <f>4553.018+0.134</f>
        <v>4553.152</v>
      </c>
      <c r="H9" s="34">
        <v>4666.57</v>
      </c>
      <c r="I9" s="44">
        <v>4924.3919999999998</v>
      </c>
      <c r="J9" s="34">
        <v>5351.8019999999997</v>
      </c>
      <c r="K9" s="133">
        <f t="shared" si="7"/>
        <v>5975.8374999999996</v>
      </c>
      <c r="L9" s="34">
        <v>6599.8729999999996</v>
      </c>
      <c r="M9" s="35">
        <v>7209.5420000000004</v>
      </c>
      <c r="N9" s="35">
        <v>7450.97</v>
      </c>
      <c r="O9" s="35">
        <v>8020.7430000000004</v>
      </c>
      <c r="P9" s="41">
        <v>8681.0939999999991</v>
      </c>
      <c r="Q9" s="33">
        <v>9414.5969999999998</v>
      </c>
      <c r="R9" s="33">
        <v>10102.463</v>
      </c>
      <c r="S9" s="33">
        <v>10663.998</v>
      </c>
      <c r="T9" s="33">
        <v>11058.960999999999</v>
      </c>
      <c r="U9" s="133">
        <f t="shared" si="8"/>
        <v>12063.488499999999</v>
      </c>
      <c r="V9" s="33">
        <v>13068.016</v>
      </c>
      <c r="W9" s="133">
        <f t="shared" si="9"/>
        <v>13822.6975</v>
      </c>
      <c r="X9" s="33">
        <v>14577.379000000001</v>
      </c>
      <c r="Y9" s="33">
        <v>15504.929</v>
      </c>
      <c r="Z9" s="33">
        <v>15999.133</v>
      </c>
      <c r="AA9" s="33">
        <v>17053.269</v>
      </c>
      <c r="AB9" s="33">
        <v>17889.821</v>
      </c>
      <c r="AC9" s="33">
        <v>18013.741000000002</v>
      </c>
      <c r="AD9" s="33">
        <v>19579.63</v>
      </c>
      <c r="AE9" s="33">
        <v>20784.539000000001</v>
      </c>
      <c r="AF9" s="440">
        <v>21320.712</v>
      </c>
      <c r="AG9" s="215">
        <f>1242.1+7.9</f>
        <v>1250</v>
      </c>
      <c r="AH9" s="34">
        <f>1264.4+8</f>
        <v>1272.4000000000001</v>
      </c>
      <c r="AI9" s="34">
        <f>1389.7+8.9</f>
        <v>1398.6000000000001</v>
      </c>
      <c r="AJ9" s="34">
        <f>1704.218+9.894</f>
        <v>1714.1120000000001</v>
      </c>
      <c r="AK9" s="34">
        <f>1876.985+10.661</f>
        <v>1887.646</v>
      </c>
      <c r="AL9" s="34">
        <f>1892.61+11.336</f>
        <v>1903.9459999999999</v>
      </c>
      <c r="AM9" s="34">
        <f>1958.862+12.086</f>
        <v>1970.9480000000001</v>
      </c>
      <c r="AN9" s="44">
        <f>2041.297+12.43</f>
        <v>2053.7269999999999</v>
      </c>
      <c r="AO9" s="34">
        <f>2166.105+17.035</f>
        <v>2183.14</v>
      </c>
      <c r="AP9" s="133">
        <f t="shared" si="10"/>
        <v>2427.1239999999998</v>
      </c>
      <c r="AQ9" s="30">
        <v>2671.1080000000002</v>
      </c>
      <c r="AR9" s="35">
        <v>2809.2289999999998</v>
      </c>
      <c r="AS9" s="35">
        <v>2778.181</v>
      </c>
      <c r="AT9" s="32">
        <v>2955.134</v>
      </c>
      <c r="AU9" s="33">
        <v>3226.2130000000002</v>
      </c>
      <c r="AV9" s="33">
        <v>3492.4169999999999</v>
      </c>
      <c r="AW9" s="33">
        <v>3792.3409999999999</v>
      </c>
      <c r="AX9" s="33">
        <v>4034.2460000000001</v>
      </c>
      <c r="AY9" s="33">
        <v>4241.4930000000004</v>
      </c>
      <c r="AZ9" s="133">
        <f t="shared" si="11"/>
        <v>4540.4110000000001</v>
      </c>
      <c r="BA9" s="33">
        <v>4839.3289999999997</v>
      </c>
      <c r="BB9" s="133">
        <f t="shared" si="12"/>
        <v>5170.2309999999998</v>
      </c>
      <c r="BC9" s="33">
        <v>5501.1329999999998</v>
      </c>
      <c r="BD9" s="33">
        <v>5979.5919999999996</v>
      </c>
      <c r="BE9" s="33">
        <v>6426.1390000000001</v>
      </c>
      <c r="BF9" s="33">
        <v>6844.8850000000002</v>
      </c>
      <c r="BG9" s="33">
        <v>7081.7460000000001</v>
      </c>
      <c r="BH9" s="33">
        <v>7465.78</v>
      </c>
      <c r="BI9" s="33">
        <v>8010.6559999999999</v>
      </c>
      <c r="BJ9" s="33">
        <v>8525.277</v>
      </c>
      <c r="BK9" s="440">
        <v>8369.143</v>
      </c>
      <c r="BL9" s="36">
        <v>810.5</v>
      </c>
      <c r="BM9" s="34">
        <v>833.9</v>
      </c>
      <c r="BN9" s="34">
        <v>939.5</v>
      </c>
      <c r="BO9" s="34">
        <v>1156.309</v>
      </c>
      <c r="BP9" s="34">
        <v>1271.556</v>
      </c>
      <c r="BQ9" s="34">
        <v>1275.2149999999999</v>
      </c>
      <c r="BR9" s="34">
        <v>1321.53</v>
      </c>
      <c r="BS9" s="44">
        <v>1362.905</v>
      </c>
      <c r="BT9" s="34">
        <v>1395.4449999999999</v>
      </c>
      <c r="BU9" s="133">
        <f t="shared" si="13"/>
        <v>1543.4724999999999</v>
      </c>
      <c r="BV9" s="34">
        <v>1691.5</v>
      </c>
      <c r="BW9" s="35">
        <v>1714.33</v>
      </c>
      <c r="BX9" s="35">
        <v>1756.146</v>
      </c>
      <c r="BY9" s="32">
        <v>1878.8489999999999</v>
      </c>
      <c r="BZ9" s="32">
        <v>1999.2449999999999</v>
      </c>
      <c r="CA9" s="32">
        <v>2266.9749999999999</v>
      </c>
      <c r="CB9" s="32">
        <v>2441.8719999999998</v>
      </c>
      <c r="CC9" s="32">
        <v>2549.6590000000001</v>
      </c>
      <c r="CD9" s="33">
        <v>2605.3989999999999</v>
      </c>
      <c r="CE9" s="133">
        <f t="shared" si="14"/>
        <v>2778.203</v>
      </c>
      <c r="CF9" s="33">
        <v>2951.0070000000001</v>
      </c>
      <c r="CG9" s="133">
        <f t="shared" si="15"/>
        <v>3184.5455000000002</v>
      </c>
      <c r="CH9" s="33">
        <v>3418.0839999999998</v>
      </c>
      <c r="CI9" s="33">
        <v>3845.4679999999998</v>
      </c>
      <c r="CJ9" s="33">
        <v>4130.799</v>
      </c>
      <c r="CK9" s="33">
        <v>4382.7969999999996</v>
      </c>
      <c r="CL9" s="33">
        <v>4456.7219999999998</v>
      </c>
      <c r="CM9" s="33">
        <v>4747.2730000000001</v>
      </c>
      <c r="CN9" s="33">
        <v>5221.4269999999997</v>
      </c>
      <c r="CO9" s="33">
        <v>5361.9129999999996</v>
      </c>
      <c r="CP9" s="440">
        <v>4985.0460000000003</v>
      </c>
      <c r="CQ9" s="37">
        <v>332.6</v>
      </c>
      <c r="CR9" s="35">
        <v>331.5</v>
      </c>
      <c r="CS9" s="35">
        <v>346.3</v>
      </c>
      <c r="CT9" s="35">
        <v>430.22500000000002</v>
      </c>
      <c r="CU9" s="35">
        <v>476.45600000000002</v>
      </c>
      <c r="CV9" s="35">
        <v>479.53699999999998</v>
      </c>
      <c r="CW9" s="35">
        <v>492.61</v>
      </c>
      <c r="CX9" s="41">
        <v>521.84900000000005</v>
      </c>
      <c r="CY9" s="35">
        <v>589.41700000000003</v>
      </c>
      <c r="CZ9" s="133">
        <f t="shared" si="16"/>
        <v>677.92499999999995</v>
      </c>
      <c r="DA9" s="35">
        <f>766433/1000</f>
        <v>766.43299999999999</v>
      </c>
      <c r="DB9" s="35">
        <v>859.48599999999999</v>
      </c>
      <c r="DC9" s="35">
        <v>733.18100000000004</v>
      </c>
      <c r="DD9" s="32">
        <v>756.73199999999997</v>
      </c>
      <c r="DE9" s="43">
        <v>847.16300000000001</v>
      </c>
      <c r="DF9" s="42">
        <v>914.35599999999999</v>
      </c>
      <c r="DG9" s="42">
        <v>1027.537</v>
      </c>
      <c r="DH9" s="42">
        <v>1123.991</v>
      </c>
      <c r="DI9" s="42">
        <v>1240.896</v>
      </c>
      <c r="DJ9" s="133">
        <f t="shared" si="17"/>
        <v>1339.4485</v>
      </c>
      <c r="DK9" s="33">
        <v>1438.001</v>
      </c>
      <c r="DL9" s="133">
        <f t="shared" si="18"/>
        <v>1550.788</v>
      </c>
      <c r="DM9" s="33">
        <v>1663.575</v>
      </c>
      <c r="DN9" s="33">
        <v>1706.0550000000001</v>
      </c>
      <c r="DO9" s="33">
        <v>1905.5830000000001</v>
      </c>
      <c r="DP9" s="33">
        <v>2064.3229999999999</v>
      </c>
      <c r="DQ9" s="33">
        <v>2163.6579999999999</v>
      </c>
      <c r="DR9" s="33">
        <v>2279.518</v>
      </c>
      <c r="DS9" s="33">
        <v>2305.328</v>
      </c>
      <c r="DT9" s="33">
        <v>2415.9789999999998</v>
      </c>
      <c r="DU9" s="440">
        <v>2642.8310000000001</v>
      </c>
      <c r="DV9" s="38">
        <f t="shared" si="19"/>
        <v>106.89999999999998</v>
      </c>
      <c r="DW9" s="39">
        <f t="shared" si="19"/>
        <v>107.00000000000011</v>
      </c>
      <c r="DX9" s="39">
        <f t="shared" si="19"/>
        <v>112.80000000000013</v>
      </c>
      <c r="DY9" s="39">
        <f t="shared" si="19"/>
        <v>127.57800000000009</v>
      </c>
      <c r="DZ9" s="39">
        <f t="shared" si="19"/>
        <v>139.6339999999999</v>
      </c>
      <c r="EA9" s="39">
        <f t="shared" si="19"/>
        <v>149.19400000000002</v>
      </c>
      <c r="EB9" s="39">
        <f t="shared" si="19"/>
        <v>156.80800000000011</v>
      </c>
      <c r="EC9" s="39">
        <f t="shared" si="20"/>
        <v>168.97299999999984</v>
      </c>
      <c r="ED9" s="39">
        <f t="shared" si="21"/>
        <v>198.27799999999991</v>
      </c>
      <c r="EE9" s="39">
        <f t="shared" si="22"/>
        <v>205.72649999999999</v>
      </c>
      <c r="EF9" s="39">
        <f t="shared" si="23"/>
        <v>213.17500000000018</v>
      </c>
      <c r="EG9" s="40">
        <f t="shared" si="24"/>
        <v>235.4129999999999</v>
      </c>
      <c r="EH9" s="40">
        <f t="shared" si="25"/>
        <v>288.85400000000004</v>
      </c>
      <c r="EI9" s="40">
        <f t="shared" si="26"/>
        <v>319.55300000000011</v>
      </c>
      <c r="EJ9" s="40">
        <f t="shared" si="27"/>
        <v>379.80500000000029</v>
      </c>
      <c r="EK9" s="40">
        <f t="shared" si="28"/>
        <v>311.08600000000001</v>
      </c>
      <c r="EL9" s="40">
        <f t="shared" si="29"/>
        <v>322.93200000000002</v>
      </c>
      <c r="EM9" s="40">
        <f t="shared" si="30"/>
        <v>360.596</v>
      </c>
      <c r="EN9" s="40">
        <f t="shared" si="31"/>
        <v>395.19800000000055</v>
      </c>
      <c r="EO9" s="40">
        <f t="shared" si="32"/>
        <v>422.75950000000012</v>
      </c>
      <c r="EP9" s="40">
        <f t="shared" si="33"/>
        <v>450.32099999999969</v>
      </c>
      <c r="EQ9" s="40">
        <f t="shared" si="34"/>
        <v>434.89749999999958</v>
      </c>
      <c r="ER9" s="40">
        <f t="shared" si="35"/>
        <v>419.47399999999993</v>
      </c>
      <c r="ES9" s="40">
        <f t="shared" si="36"/>
        <v>428.06899999999973</v>
      </c>
      <c r="ET9" s="40">
        <f t="shared" si="37"/>
        <v>389.75700000000006</v>
      </c>
      <c r="EU9" s="40">
        <f t="shared" si="38"/>
        <v>397.76500000000078</v>
      </c>
      <c r="EV9" s="40">
        <f t="shared" si="39"/>
        <v>461.36600000000044</v>
      </c>
      <c r="EW9" s="40">
        <f t="shared" si="40"/>
        <v>438.98899999999958</v>
      </c>
      <c r="EX9" s="40">
        <f t="shared" si="41"/>
        <v>483.90100000000029</v>
      </c>
      <c r="EY9" s="40">
        <f t="shared" si="42"/>
        <v>747.38500000000067</v>
      </c>
      <c r="EZ9" s="40">
        <f t="shared" si="43"/>
        <v>741.26599999999962</v>
      </c>
      <c r="FA9" s="176">
        <f>362.8+344.6+24.5+0.9</f>
        <v>732.80000000000007</v>
      </c>
      <c r="FB9" s="35">
        <f>395.8+334.3+26+1.1</f>
        <v>757.2</v>
      </c>
      <c r="FC9" s="35">
        <f>449.7+369.6+28.6+1.4</f>
        <v>849.3</v>
      </c>
      <c r="FD9" s="35">
        <f>467.017+307.652+90.448+28.989+1.457</f>
        <v>895.56299999999999</v>
      </c>
      <c r="FE9" s="35">
        <f>507.331+286.527+91.208+28.952+1.551</f>
        <v>915.56899999999996</v>
      </c>
      <c r="FF9" s="35">
        <f>543.223+316.476+97.108+32.832+2.442</f>
        <v>992.08100000000002</v>
      </c>
      <c r="FG9" s="35">
        <f>558.937+305.523+114.526+31.855+1.692</f>
        <v>1012.533</v>
      </c>
      <c r="FH9" s="41">
        <f>628.184+333.1+130.968+30.439+1.903</f>
        <v>1124.5940000000001</v>
      </c>
      <c r="FI9" s="35">
        <f>789.248+392.973+140.576+30.482+2.078</f>
        <v>1355.357</v>
      </c>
      <c r="FJ9" s="133">
        <f t="shared" si="44"/>
        <v>1558.9025000000001</v>
      </c>
      <c r="FK9" s="35">
        <v>1762.4480000000001</v>
      </c>
      <c r="FL9" s="35">
        <v>2065.3539999999998</v>
      </c>
      <c r="FM9" s="35">
        <v>2193.8560000000002</v>
      </c>
      <c r="FN9" s="32">
        <v>2422.654</v>
      </c>
      <c r="FO9" s="33">
        <v>2508.0610000000001</v>
      </c>
      <c r="FP9" s="33">
        <v>2652.7020000000002</v>
      </c>
      <c r="FQ9" s="33">
        <v>2879.5219999999999</v>
      </c>
      <c r="FR9" s="33">
        <v>3030.5540000000001</v>
      </c>
      <c r="FS9" s="33">
        <v>3017.2069999999999</v>
      </c>
      <c r="FT9" s="133">
        <f t="shared" si="45"/>
        <v>3286.3319999999999</v>
      </c>
      <c r="FU9" s="33">
        <v>3555.4569999999999</v>
      </c>
      <c r="FV9" s="133">
        <f t="shared" si="46"/>
        <v>3846.2924999999996</v>
      </c>
      <c r="FW9" s="33">
        <v>4137.1279999999997</v>
      </c>
      <c r="FX9" s="33">
        <v>4491.9160000000002</v>
      </c>
      <c r="FY9" s="33">
        <v>4490.3360000000002</v>
      </c>
      <c r="FZ9" s="33">
        <v>4888.6109999999999</v>
      </c>
      <c r="GA9" s="33">
        <v>5119.1559999999999</v>
      </c>
      <c r="GB9" s="33">
        <v>5160.0190000000002</v>
      </c>
      <c r="GC9" s="33">
        <v>5638.518</v>
      </c>
      <c r="GD9" s="33">
        <v>5946.6369999999997</v>
      </c>
      <c r="GE9" s="440">
        <v>6714.2790000000005</v>
      </c>
      <c r="GF9" s="37">
        <f>321.2+9.2+3.6+84.8+28.9+48.2+19.6+107.8+52.7+25.6+42.8</f>
        <v>744.4</v>
      </c>
      <c r="GG9" s="35">
        <f>337.8+11.9+2.2+91+31.8+57.2+19.8+102.8+49.9+27.3+36.9</f>
        <v>768.5999999999998</v>
      </c>
      <c r="GH9" s="35">
        <f>342.4+12.1+1.8+98.2+35.2+56.6+22.5+107.7+42.5+26.4+68.9</f>
        <v>814.3</v>
      </c>
      <c r="GI9" s="35">
        <f>412.747+11.233+1.694+0.64+0+115.905+39.378+62.861+25.667+87.193+37.347+53.165+48.399+30.948</f>
        <v>927.17700000000002</v>
      </c>
      <c r="GJ9" s="41">
        <f>514.433+11.637+2.748+0.664+0+118.267+42.299+70.074+28.752+93.557+38.285+52.436+51.464+33.226</f>
        <v>1057.8420000000001</v>
      </c>
      <c r="GK9" s="35">
        <f>510.557+12.034+1.892+0.716+0+122.463+44.591+69.767+28.803+97.25+43.076+52.698+87.167+35.3</f>
        <v>1106.3139999999999</v>
      </c>
      <c r="GL9" s="35">
        <f>483.636+23.306+1.812+2.7+0.011+125.217+46.625+71.936+30.411+99.736+45.318+55.632+97.623+38.036</f>
        <v>1121.999</v>
      </c>
      <c r="GM9" s="41">
        <f>459.059+23.343+2.235+1.054+0.016+134.932+51.735+81.689+32.051+114.525+47.629+67.437+90.191+44.717</f>
        <v>1150.6130000000001</v>
      </c>
      <c r="GN9" s="35">
        <f>488.944+14.946+1.409+1.179+144.939+56.506+100.953+35.35+113.091+53.707+73.106+80.467+51.873</f>
        <v>1216.4700000000003</v>
      </c>
      <c r="GO9" s="133">
        <f t="shared" si="47"/>
        <v>1340.79</v>
      </c>
      <c r="GP9" s="35">
        <v>1465.11</v>
      </c>
      <c r="GQ9" s="35">
        <v>1634.921</v>
      </c>
      <c r="GR9" s="35">
        <v>1709.107</v>
      </c>
      <c r="GS9" s="32">
        <v>1824.7180000000001</v>
      </c>
      <c r="GT9" s="32">
        <v>2009.0160000000001</v>
      </c>
      <c r="GU9" s="32">
        <v>2256.0749999999998</v>
      </c>
      <c r="GV9" s="32">
        <v>2368.5450000000001</v>
      </c>
      <c r="GW9" s="32">
        <v>2363.6419999999998</v>
      </c>
      <c r="GX9" s="32">
        <v>2520.498</v>
      </c>
      <c r="GY9" s="133">
        <f t="shared" si="48"/>
        <v>2877.3985000000002</v>
      </c>
      <c r="GZ9" s="33">
        <v>3234.299</v>
      </c>
      <c r="HA9" s="133">
        <f t="shared" si="49"/>
        <v>3316.5254999999997</v>
      </c>
      <c r="HB9" s="33">
        <v>3398.752</v>
      </c>
      <c r="HC9" s="33">
        <v>3385.4119999999998</v>
      </c>
      <c r="HD9" s="33">
        <v>3371.0740000000001</v>
      </c>
      <c r="HE9" s="33">
        <v>3547.317</v>
      </c>
      <c r="HF9" s="33">
        <v>3737.172</v>
      </c>
      <c r="HG9" s="33">
        <v>3629.7260000000001</v>
      </c>
      <c r="HH9" s="33">
        <v>3993.9960000000001</v>
      </c>
      <c r="HI9" s="33">
        <v>4315.4359999999997</v>
      </c>
      <c r="HJ9" s="440">
        <v>4221.3959999999997</v>
      </c>
      <c r="HK9" s="37">
        <f>68.4+52.8+17</f>
        <v>138.19999999999999</v>
      </c>
      <c r="HL9" s="35">
        <f>74.8+58.1+16.6</f>
        <v>149.5</v>
      </c>
      <c r="HM9" s="35">
        <f>84.1+59+14</f>
        <v>157.1</v>
      </c>
      <c r="HN9" s="35">
        <f>89.043+34.475+14.257+36.095</f>
        <v>173.87</v>
      </c>
      <c r="HO9" s="35">
        <f>97.493+38.827+15.162+37.126</f>
        <v>188.608</v>
      </c>
      <c r="HP9" s="35">
        <f>101.892+43.812+18.797+41.417</f>
        <v>205.91800000000001</v>
      </c>
      <c r="HQ9" s="35">
        <f>97.893+48.569+17.608+44.803</f>
        <v>208.87299999999999</v>
      </c>
      <c r="HR9" s="41">
        <f>94.69+62.231+17.012+49.411</f>
        <v>223.34399999999999</v>
      </c>
      <c r="HS9" s="35">
        <f>104.95+56.008+15.033+50.843</f>
        <v>226.834</v>
      </c>
      <c r="HT9" s="133">
        <f t="shared" si="50"/>
        <v>245.19499999999999</v>
      </c>
      <c r="HU9" s="35">
        <v>263.55599999999998</v>
      </c>
      <c r="HV9" s="35">
        <v>287.88200000000001</v>
      </c>
      <c r="HW9" s="35">
        <v>307.64800000000002</v>
      </c>
      <c r="HX9" s="32">
        <v>348.61900000000003</v>
      </c>
      <c r="HY9" s="32">
        <v>401.51900000000001</v>
      </c>
      <c r="HZ9" s="32">
        <v>445.22699999999998</v>
      </c>
      <c r="IA9" s="32">
        <v>464.09</v>
      </c>
      <c r="IB9" s="32">
        <v>508.66899999999998</v>
      </c>
      <c r="IC9" s="32">
        <v>551.83399999999995</v>
      </c>
      <c r="ID9" s="133">
        <f t="shared" si="51"/>
        <v>611.74350000000004</v>
      </c>
      <c r="IE9" s="33">
        <v>671.65300000000002</v>
      </c>
      <c r="IF9" s="133">
        <f t="shared" si="52"/>
        <v>714.35249999999996</v>
      </c>
      <c r="IG9" s="33">
        <v>757.05200000000002</v>
      </c>
      <c r="IH9" s="33">
        <v>827.02099999999996</v>
      </c>
      <c r="II9" s="33">
        <v>837.29200000000003</v>
      </c>
      <c r="IJ9" s="33">
        <v>885.05600000000004</v>
      </c>
      <c r="IK9" s="33">
        <v>955.65099999999995</v>
      </c>
      <c r="IL9" s="33">
        <v>869.26</v>
      </c>
      <c r="IM9" s="33">
        <v>966.87</v>
      </c>
      <c r="IN9" s="33">
        <v>997.33799999999997</v>
      </c>
      <c r="IO9" s="440">
        <v>1018.3869999999999</v>
      </c>
      <c r="IP9" s="36">
        <f>(0.3+131.2+84.3)</f>
        <v>215.8</v>
      </c>
      <c r="IQ9" s="34">
        <f>0+151.5+94.4</f>
        <v>245.9</v>
      </c>
      <c r="IR9" s="34">
        <f>4.1+176+75.9</f>
        <v>256</v>
      </c>
      <c r="IS9" s="34">
        <f>203.198+84.574+0.083</f>
        <v>287.85500000000002</v>
      </c>
      <c r="IT9" s="34">
        <f>228.247+0+93.804</f>
        <v>322.05100000000004</v>
      </c>
      <c r="IU9" s="34">
        <f>257.916+0+86.977</f>
        <v>344.89300000000003</v>
      </c>
      <c r="IV9" s="34">
        <f>255.573+96.644</f>
        <v>352.21699999999998</v>
      </c>
      <c r="IW9" s="44">
        <f>276.073+96.041</f>
        <v>372.11399999999998</v>
      </c>
      <c r="IX9" s="34">
        <f>276.63+93.371</f>
        <v>370.00099999999998</v>
      </c>
      <c r="IY9" s="133">
        <f t="shared" si="53"/>
        <v>403.82600000000002</v>
      </c>
      <c r="IZ9" s="34">
        <v>437.65100000000001</v>
      </c>
      <c r="JA9" s="35">
        <v>412.15600000000001</v>
      </c>
      <c r="JB9" s="35">
        <v>462.178</v>
      </c>
      <c r="JC9" s="32">
        <v>469.61799999999999</v>
      </c>
      <c r="JD9" s="32">
        <v>536.28499999999997</v>
      </c>
      <c r="JE9" s="32">
        <v>568.17600000000004</v>
      </c>
      <c r="JF9" s="1">
        <v>597.96500000000003</v>
      </c>
      <c r="JG9" s="1">
        <v>726.88699999999994</v>
      </c>
      <c r="JH9" s="1">
        <v>727.92899999999997</v>
      </c>
      <c r="JI9" s="133">
        <f t="shared" si="54"/>
        <v>747.60349999999994</v>
      </c>
      <c r="JJ9" s="1">
        <v>767.27800000000002</v>
      </c>
      <c r="JK9" s="133">
        <f t="shared" si="55"/>
        <v>775.29600000000005</v>
      </c>
      <c r="JL9" s="1">
        <v>783.31399999999996</v>
      </c>
      <c r="JM9" s="1">
        <v>820.98800000000006</v>
      </c>
      <c r="JN9" s="1">
        <v>874.29200000000003</v>
      </c>
      <c r="JO9" s="33">
        <v>887.4</v>
      </c>
      <c r="JP9" s="33">
        <v>996.096</v>
      </c>
      <c r="JQ9" s="33">
        <v>888.95799999999997</v>
      </c>
      <c r="JR9" s="33">
        <v>969.59</v>
      </c>
      <c r="JS9" s="1">
        <v>999.851</v>
      </c>
      <c r="JT9" s="448">
        <v>997.50699999999995</v>
      </c>
    </row>
    <row r="10" spans="1:280">
      <c r="A10" s="221" t="s">
        <v>40</v>
      </c>
      <c r="B10" s="35"/>
      <c r="C10" s="34"/>
      <c r="D10" s="34"/>
      <c r="E10" s="34">
        <f>1671.641+0.457</f>
        <v>1672.0980000000002</v>
      </c>
      <c r="F10" s="34">
        <f>1783.396+0.645</f>
        <v>1784.0409999999999</v>
      </c>
      <c r="G10" s="34">
        <f>1925.316+0.7</f>
        <v>1926.0160000000001</v>
      </c>
      <c r="H10" s="34">
        <v>2174.8679999999999</v>
      </c>
      <c r="I10" s="44">
        <v>2390.9490000000001</v>
      </c>
      <c r="J10" s="34">
        <v>2575.1410000000001</v>
      </c>
      <c r="K10" s="133">
        <f t="shared" si="7"/>
        <v>2751.9229999999998</v>
      </c>
      <c r="L10" s="34">
        <v>2928.7049999999999</v>
      </c>
      <c r="M10" s="35">
        <v>3063.3290000000002</v>
      </c>
      <c r="N10" s="35">
        <v>3164.134</v>
      </c>
      <c r="O10" s="35">
        <v>3492.7629999999999</v>
      </c>
      <c r="P10" s="41">
        <v>3784.1129999999998</v>
      </c>
      <c r="Q10" s="33">
        <v>3943.047</v>
      </c>
      <c r="R10" s="33">
        <v>4054.0070000000001</v>
      </c>
      <c r="S10" s="33">
        <v>4484.2449999999999</v>
      </c>
      <c r="T10" s="33">
        <v>4691.6270000000004</v>
      </c>
      <c r="U10" s="133">
        <f t="shared" si="8"/>
        <v>5024.7039999999997</v>
      </c>
      <c r="V10" s="33">
        <v>5357.7809999999999</v>
      </c>
      <c r="W10" s="133">
        <f t="shared" si="9"/>
        <v>5774.8440000000001</v>
      </c>
      <c r="X10" s="33">
        <v>6191.9070000000002</v>
      </c>
      <c r="Y10" s="33">
        <v>6823.4589999999998</v>
      </c>
      <c r="Z10" s="33">
        <v>7472.7690000000002</v>
      </c>
      <c r="AA10" s="33">
        <v>7750.8530000000001</v>
      </c>
      <c r="AB10" s="33">
        <v>8076.2740000000003</v>
      </c>
      <c r="AC10" s="33">
        <v>8181.6909999999998</v>
      </c>
      <c r="AD10" s="33">
        <v>8377.52</v>
      </c>
      <c r="AE10" s="33">
        <v>8587.2000000000007</v>
      </c>
      <c r="AF10" s="440">
        <v>9043.4619999999995</v>
      </c>
      <c r="AG10" s="215"/>
      <c r="AH10" s="34"/>
      <c r="AI10" s="34"/>
      <c r="AJ10" s="34">
        <f>635.952+4.822</f>
        <v>640.774</v>
      </c>
      <c r="AK10" s="34">
        <f>701.419+4.96</f>
        <v>706.37900000000002</v>
      </c>
      <c r="AL10" s="34">
        <f>739.97+5.876</f>
        <v>745.846</v>
      </c>
      <c r="AM10" s="34">
        <f>804.429+5.312</f>
        <v>809.74099999999999</v>
      </c>
      <c r="AN10" s="44">
        <f>878.231+5.973</f>
        <v>884.20399999999995</v>
      </c>
      <c r="AO10" s="34">
        <f>954.771+6.674</f>
        <v>961.44499999999994</v>
      </c>
      <c r="AP10" s="133">
        <f t="shared" si="10"/>
        <v>1030.3025</v>
      </c>
      <c r="AQ10" s="30">
        <v>1099.1600000000001</v>
      </c>
      <c r="AR10" s="35">
        <v>1168.8140000000001</v>
      </c>
      <c r="AS10" s="35">
        <v>1226.6579999999999</v>
      </c>
      <c r="AT10" s="32">
        <v>1303.9280000000001</v>
      </c>
      <c r="AU10" s="33">
        <v>1374.6079999999999</v>
      </c>
      <c r="AV10" s="33">
        <v>1501.6020000000001</v>
      </c>
      <c r="AW10" s="33">
        <v>1519.7270000000001</v>
      </c>
      <c r="AX10" s="33">
        <v>1627.067</v>
      </c>
      <c r="AY10" s="33">
        <v>1735.7170000000001</v>
      </c>
      <c r="AZ10" s="133">
        <f t="shared" si="11"/>
        <v>1847.2445</v>
      </c>
      <c r="BA10" s="33">
        <v>1958.7719999999999</v>
      </c>
      <c r="BB10" s="133">
        <f t="shared" si="12"/>
        <v>2087.0219999999999</v>
      </c>
      <c r="BC10" s="33">
        <v>2215.2719999999999</v>
      </c>
      <c r="BD10" s="33">
        <v>2419.5169999999998</v>
      </c>
      <c r="BE10" s="33">
        <v>2675.6790000000001</v>
      </c>
      <c r="BF10" s="33">
        <v>2750.9160000000002</v>
      </c>
      <c r="BG10" s="33">
        <v>2916.5880000000002</v>
      </c>
      <c r="BH10" s="33">
        <v>2990.5990000000002</v>
      </c>
      <c r="BI10" s="33">
        <v>3034.83</v>
      </c>
      <c r="BJ10" s="33">
        <v>3169.7289999999998</v>
      </c>
      <c r="BK10" s="440">
        <v>3389.83</v>
      </c>
      <c r="BL10" s="36"/>
      <c r="BM10" s="34"/>
      <c r="BN10" s="34"/>
      <c r="BO10" s="34">
        <v>367.04199999999997</v>
      </c>
      <c r="BP10" s="34">
        <v>406.584</v>
      </c>
      <c r="BQ10" s="34">
        <v>425.73399999999998</v>
      </c>
      <c r="BR10" s="34">
        <v>469.22300000000001</v>
      </c>
      <c r="BS10" s="44">
        <v>511.577</v>
      </c>
      <c r="BT10" s="34">
        <v>549.89099999999996</v>
      </c>
      <c r="BU10" s="133">
        <f t="shared" si="13"/>
        <v>586.95399999999995</v>
      </c>
      <c r="BV10" s="34">
        <v>624.01700000000005</v>
      </c>
      <c r="BW10" s="35">
        <v>680.77099999999996</v>
      </c>
      <c r="BX10" s="35">
        <v>717.24199999999996</v>
      </c>
      <c r="BY10" s="32">
        <v>755.78499999999997</v>
      </c>
      <c r="BZ10" s="32">
        <v>802.84799999999996</v>
      </c>
      <c r="CA10" s="32">
        <v>862.18100000000004</v>
      </c>
      <c r="CB10" s="32">
        <v>888.86</v>
      </c>
      <c r="CC10" s="32">
        <v>931.26199999999994</v>
      </c>
      <c r="CD10" s="33">
        <v>1005.097</v>
      </c>
      <c r="CE10" s="133">
        <f t="shared" si="14"/>
        <v>1104.3944999999999</v>
      </c>
      <c r="CF10" s="33">
        <v>1203.692</v>
      </c>
      <c r="CG10" s="133">
        <f t="shared" si="15"/>
        <v>1276.2090000000001</v>
      </c>
      <c r="CH10" s="33">
        <v>1348.7260000000001</v>
      </c>
      <c r="CI10" s="33">
        <v>1452.134</v>
      </c>
      <c r="CJ10" s="33">
        <v>1616.1780000000001</v>
      </c>
      <c r="CK10" s="33">
        <v>1669.3409999999999</v>
      </c>
      <c r="CL10" s="33">
        <v>1718.9749999999999</v>
      </c>
      <c r="CM10" s="33">
        <v>1768.35</v>
      </c>
      <c r="CN10" s="33">
        <v>1733.7280000000001</v>
      </c>
      <c r="CO10" s="33">
        <v>1733.5150000000001</v>
      </c>
      <c r="CP10" s="440">
        <v>1839.097</v>
      </c>
      <c r="CQ10" s="37"/>
      <c r="CR10" s="35"/>
      <c r="CS10" s="35"/>
      <c r="CT10" s="35">
        <v>220.709</v>
      </c>
      <c r="CU10" s="35">
        <v>241.833</v>
      </c>
      <c r="CV10" s="35">
        <v>256.80599999999998</v>
      </c>
      <c r="CW10" s="35">
        <v>273.63600000000002</v>
      </c>
      <c r="CX10" s="41">
        <v>298.49700000000001</v>
      </c>
      <c r="CY10" s="35">
        <v>332.63400000000001</v>
      </c>
      <c r="CZ10" s="133">
        <f t="shared" si="16"/>
        <v>360.97649999999999</v>
      </c>
      <c r="DA10" s="35">
        <f>389319/1000</f>
        <v>389.31900000000002</v>
      </c>
      <c r="DB10" s="35">
        <v>395.74200000000002</v>
      </c>
      <c r="DC10" s="35">
        <v>413.06599999999997</v>
      </c>
      <c r="DD10" s="32">
        <v>438.09300000000002</v>
      </c>
      <c r="DE10" s="43">
        <v>453.834</v>
      </c>
      <c r="DF10" s="42">
        <v>498.589</v>
      </c>
      <c r="DG10" s="42">
        <v>496.12</v>
      </c>
      <c r="DH10" s="42">
        <v>538.90700000000004</v>
      </c>
      <c r="DI10" s="42">
        <v>554.22</v>
      </c>
      <c r="DJ10" s="133">
        <f t="shared" si="17"/>
        <v>591.8565000000001</v>
      </c>
      <c r="DK10" s="33">
        <v>629.49300000000005</v>
      </c>
      <c r="DL10" s="133">
        <f t="shared" si="18"/>
        <v>662.19250000000011</v>
      </c>
      <c r="DM10" s="33">
        <v>694.89200000000005</v>
      </c>
      <c r="DN10" s="33">
        <v>780.61300000000006</v>
      </c>
      <c r="DO10" s="33">
        <v>862.471</v>
      </c>
      <c r="DP10" s="33">
        <v>861.74099999999999</v>
      </c>
      <c r="DQ10" s="33">
        <v>965.04600000000005</v>
      </c>
      <c r="DR10" s="33">
        <v>964.91399999999999</v>
      </c>
      <c r="DS10" s="33">
        <v>1026.8209999999999</v>
      </c>
      <c r="DT10" s="33">
        <v>1069.356</v>
      </c>
      <c r="DU10" s="440">
        <v>1151.905</v>
      </c>
      <c r="DV10" s="38"/>
      <c r="DW10" s="39">
        <f t="shared" ref="DW10:DW23" si="56">(AH10-BM10-CR10)</f>
        <v>0</v>
      </c>
      <c r="DX10" s="39">
        <f t="shared" ref="DX10:DX23" si="57">(AI10-BN10-CS10)</f>
        <v>0</v>
      </c>
      <c r="DY10" s="39">
        <f t="shared" ref="DY10:DY23" si="58">(AJ10-BO10-CT10)</f>
        <v>53.023000000000025</v>
      </c>
      <c r="DZ10" s="39">
        <f t="shared" ref="DZ10:DZ23" si="59">(AK10-BP10-CU10)</f>
        <v>57.962000000000018</v>
      </c>
      <c r="EA10" s="39">
        <f t="shared" ref="EA10:EA23" si="60">(AL10-BQ10-CV10)</f>
        <v>63.30600000000004</v>
      </c>
      <c r="EB10" s="39">
        <f t="shared" ref="EB10:EB23" si="61">(AM10-BR10-CW10)</f>
        <v>66.881999999999948</v>
      </c>
      <c r="EC10" s="39">
        <f t="shared" si="20"/>
        <v>74.129999999999939</v>
      </c>
      <c r="ED10" s="39">
        <f t="shared" si="21"/>
        <v>78.919999999999959</v>
      </c>
      <c r="EE10" s="39">
        <f t="shared" si="22"/>
        <v>82.372000000000071</v>
      </c>
      <c r="EF10" s="39">
        <f t="shared" si="23"/>
        <v>85.824000000000012</v>
      </c>
      <c r="EG10" s="40">
        <f t="shared" si="24"/>
        <v>92.301000000000101</v>
      </c>
      <c r="EH10" s="40">
        <f t="shared" si="25"/>
        <v>96.349999999999966</v>
      </c>
      <c r="EI10" s="40">
        <f t="shared" si="26"/>
        <v>110.05000000000013</v>
      </c>
      <c r="EJ10" s="40">
        <f t="shared" si="27"/>
        <v>117.92599999999999</v>
      </c>
      <c r="EK10" s="40">
        <f t="shared" si="28"/>
        <v>140.83200000000005</v>
      </c>
      <c r="EL10" s="40">
        <f t="shared" si="29"/>
        <v>134.74700000000007</v>
      </c>
      <c r="EM10" s="40">
        <f t="shared" si="30"/>
        <v>156.89800000000002</v>
      </c>
      <c r="EN10" s="40">
        <f t="shared" si="31"/>
        <v>176.40000000000009</v>
      </c>
      <c r="EO10" s="40">
        <f t="shared" si="32"/>
        <v>150.99350000000004</v>
      </c>
      <c r="EP10" s="40">
        <f t="shared" si="33"/>
        <v>125.58699999999988</v>
      </c>
      <c r="EQ10" s="40">
        <f t="shared" si="34"/>
        <v>148.62049999999977</v>
      </c>
      <c r="ER10" s="40">
        <f t="shared" si="35"/>
        <v>171.65399999999977</v>
      </c>
      <c r="ES10" s="40">
        <f t="shared" si="36"/>
        <v>186.76999999999975</v>
      </c>
      <c r="ET10" s="40">
        <f t="shared" si="37"/>
        <v>197.02999999999997</v>
      </c>
      <c r="EU10" s="40">
        <f t="shared" si="38"/>
        <v>219.83400000000029</v>
      </c>
      <c r="EV10" s="40">
        <f t="shared" si="39"/>
        <v>232.56700000000023</v>
      </c>
      <c r="EW10" s="40">
        <f t="shared" si="40"/>
        <v>257.33500000000026</v>
      </c>
      <c r="EX10" s="40">
        <f t="shared" si="41"/>
        <v>274.28099999999995</v>
      </c>
      <c r="EY10" s="40">
        <f t="shared" si="42"/>
        <v>366.85799999999972</v>
      </c>
      <c r="EZ10" s="40">
        <f t="shared" si="43"/>
        <v>398.82799999999997</v>
      </c>
      <c r="FA10" s="176"/>
      <c r="FB10" s="35"/>
      <c r="FC10" s="35"/>
      <c r="FD10" s="35">
        <f>117.496+40.787+40.68+5.316</f>
        <v>204.279</v>
      </c>
      <c r="FE10" s="35">
        <f>122.879+44.271+48.243+5.463+0</f>
        <v>220.85599999999999</v>
      </c>
      <c r="FF10" s="35">
        <f>139.796+36.472+58.448+5.425+0</f>
        <v>240.14100000000002</v>
      </c>
      <c r="FG10" s="35">
        <f>133.045+46.884+67.932+5.394+0.13</f>
        <v>253.38499999999999</v>
      </c>
      <c r="FH10" s="41">
        <f>193.532+44.658+83.207+7.489+0.137</f>
        <v>329.02299999999997</v>
      </c>
      <c r="FI10" s="35">
        <f>228.711+45.975+101.824+7.277+0.15</f>
        <v>383.93700000000001</v>
      </c>
      <c r="FJ10" s="133">
        <f t="shared" si="44"/>
        <v>421.43650000000002</v>
      </c>
      <c r="FK10" s="35">
        <v>458.93599999999998</v>
      </c>
      <c r="FL10" s="35">
        <v>489.48099999999999</v>
      </c>
      <c r="FM10" s="35">
        <v>535.12</v>
      </c>
      <c r="FN10" s="32">
        <v>620.11300000000006</v>
      </c>
      <c r="FO10" s="33">
        <v>680.024</v>
      </c>
      <c r="FP10" s="33">
        <v>732.99199999999996</v>
      </c>
      <c r="FQ10" s="33">
        <v>750.00099999999998</v>
      </c>
      <c r="FR10" s="33">
        <v>776.41600000000005</v>
      </c>
      <c r="FS10" s="33">
        <v>839.13</v>
      </c>
      <c r="FT10" s="133">
        <f t="shared" si="45"/>
        <v>918.80950000000007</v>
      </c>
      <c r="FU10" s="33">
        <v>998.48900000000003</v>
      </c>
      <c r="FV10" s="133">
        <f t="shared" si="46"/>
        <v>1190.498</v>
      </c>
      <c r="FW10" s="33">
        <v>1382.5070000000001</v>
      </c>
      <c r="FX10" s="33">
        <v>1505.519</v>
      </c>
      <c r="FY10" s="33">
        <v>1656.1110000000001</v>
      </c>
      <c r="FZ10" s="33">
        <v>1781.4690000000001</v>
      </c>
      <c r="GA10" s="33">
        <v>1938.222</v>
      </c>
      <c r="GB10" s="33">
        <v>1994.5519999999999</v>
      </c>
      <c r="GC10" s="33">
        <v>2134.799</v>
      </c>
      <c r="GD10" s="33">
        <v>2227.7840000000001</v>
      </c>
      <c r="GE10" s="440">
        <v>2406.5169999999998</v>
      </c>
      <c r="GF10" s="37"/>
      <c r="GG10" s="35"/>
      <c r="GH10" s="35"/>
      <c r="GI10" s="35">
        <f>156.253+3.463+5.823+14.847+2.86+55.919+9.969+40.14+10.926+27.007+23.088+31.172+47.523+7.266</f>
        <v>436.25600000000009</v>
      </c>
      <c r="GJ10" s="35">
        <f>163.307+3.47+5.463+9.199+8.371+62.259+10.15+45.726+9.314+30.561+23.045+54.685+51.836+8.063</f>
        <v>485.44900000000001</v>
      </c>
      <c r="GK10" s="35">
        <f>175.556+2.742+1.875+17.614+7.062+64.573+10.054+48.543+18.185+31.355+24.312+41.402+54.801+8.305</f>
        <v>506.37900000000002</v>
      </c>
      <c r="GL10" s="35">
        <f>209.87+3.384+1.792+19.125+1.944+76.199+11.627+54.573+20.229+28.44+26.022+50.629+69.343+9.098</f>
        <v>582.27499999999986</v>
      </c>
      <c r="GM10" s="41">
        <f>216.096+3.382+12.502+18.29+0.968+83.161+11.944+64.909+24.269+31.161+40.506+60.492+67.033+38.409</f>
        <v>673.12199999999996</v>
      </c>
      <c r="GN10" s="35">
        <f>235.911+1.906+6.474+14.524+6.449+86.191+12.339+71.181+24.918+37.323+38.335+61.786+53.937+43.104</f>
        <v>694.37800000000004</v>
      </c>
      <c r="GO10" s="133">
        <f t="shared" si="47"/>
        <v>762.52099999999996</v>
      </c>
      <c r="GP10" s="35">
        <v>830.66399999999999</v>
      </c>
      <c r="GQ10" s="35">
        <v>852.06799999999998</v>
      </c>
      <c r="GR10" s="35">
        <v>855.71500000000003</v>
      </c>
      <c r="GS10" s="32">
        <v>954.74699999999996</v>
      </c>
      <c r="GT10" s="32">
        <v>1025.808</v>
      </c>
      <c r="GU10" s="32">
        <v>995.28399999999999</v>
      </c>
      <c r="GV10" s="32">
        <v>1038.857</v>
      </c>
      <c r="GW10" s="32">
        <v>1203.346</v>
      </c>
      <c r="GX10" s="32">
        <v>1253.1679999999999</v>
      </c>
      <c r="GY10" s="133">
        <f t="shared" si="48"/>
        <v>1348.297</v>
      </c>
      <c r="GZ10" s="33">
        <v>1443.4259999999999</v>
      </c>
      <c r="HA10" s="133">
        <f t="shared" si="49"/>
        <v>1492.3339999999998</v>
      </c>
      <c r="HB10" s="33">
        <v>1541.242</v>
      </c>
      <c r="HC10" s="33">
        <v>1753.3979999999999</v>
      </c>
      <c r="HD10" s="33">
        <v>1883.3109999999999</v>
      </c>
      <c r="HE10" s="33">
        <v>1874.944</v>
      </c>
      <c r="HF10" s="33">
        <v>1945.4639999999999</v>
      </c>
      <c r="HG10" s="33">
        <v>1916.5060000000001</v>
      </c>
      <c r="HH10" s="33">
        <v>1915.539</v>
      </c>
      <c r="HI10" s="33">
        <v>1940.115</v>
      </c>
      <c r="HJ10" s="440">
        <v>2058.9859999999999</v>
      </c>
      <c r="HK10" s="37"/>
      <c r="HL10" s="35"/>
      <c r="HM10" s="35"/>
      <c r="HN10" s="35">
        <f>43.92+30.437+30.464+17.663</f>
        <v>122.48399999999999</v>
      </c>
      <c r="HO10" s="35">
        <f>46.452+34.151+16.009+17.218</f>
        <v>113.83000000000001</v>
      </c>
      <c r="HP10" s="35">
        <f>51.423+37.05+20.329+19.449</f>
        <v>128.251</v>
      </c>
      <c r="HQ10" s="35">
        <f>65.229+40.643+24.784+22.467</f>
        <v>153.12299999999999</v>
      </c>
      <c r="HR10" s="41">
        <f>63.208+46.379+24.517+24.401</f>
        <v>158.505</v>
      </c>
      <c r="HS10" s="35">
        <f>70.715+51.688+23.781+27.764</f>
        <v>173.94800000000001</v>
      </c>
      <c r="HT10" s="133">
        <f t="shared" si="50"/>
        <v>178.33699999999999</v>
      </c>
      <c r="HU10" s="35">
        <v>182.726</v>
      </c>
      <c r="HV10" s="35">
        <v>178.34899999999999</v>
      </c>
      <c r="HW10" s="35">
        <v>192.68299999999999</v>
      </c>
      <c r="HX10" s="32">
        <v>254.51900000000001</v>
      </c>
      <c r="HY10" s="32">
        <v>266.274</v>
      </c>
      <c r="HZ10" s="32">
        <v>311.733</v>
      </c>
      <c r="IA10" s="32">
        <v>332.05700000000002</v>
      </c>
      <c r="IB10" s="32">
        <v>370.767</v>
      </c>
      <c r="IC10" s="32">
        <v>376.26</v>
      </c>
      <c r="ID10" s="133">
        <f t="shared" si="51"/>
        <v>392.28899999999999</v>
      </c>
      <c r="IE10" s="33">
        <v>408.31799999999998</v>
      </c>
      <c r="IF10" s="133">
        <f t="shared" si="52"/>
        <v>453.8485</v>
      </c>
      <c r="IG10" s="33">
        <v>499.37900000000002</v>
      </c>
      <c r="IH10" s="33">
        <v>545.28700000000003</v>
      </c>
      <c r="II10" s="33">
        <v>609.31200000000001</v>
      </c>
      <c r="IJ10" s="33">
        <v>656.49699999999996</v>
      </c>
      <c r="IK10" s="33">
        <v>620.13199999999995</v>
      </c>
      <c r="IL10" s="33">
        <v>595.529</v>
      </c>
      <c r="IM10" s="33">
        <v>569.97</v>
      </c>
      <c r="IN10" s="33">
        <v>581.47</v>
      </c>
      <c r="IO10" s="440">
        <v>552.61900000000003</v>
      </c>
      <c r="IP10" s="36"/>
      <c r="IQ10" s="34"/>
      <c r="IR10" s="34"/>
      <c r="IS10" s="34">
        <f>0.457+178.196+89.652</f>
        <v>268.30500000000001</v>
      </c>
      <c r="IT10" s="34">
        <f>185.576+0+71.951</f>
        <v>257.52699999999999</v>
      </c>
      <c r="IU10" s="34">
        <f>233.607+0+71.792</f>
        <v>305.399</v>
      </c>
      <c r="IV10" s="34">
        <f>269.805+106.539</f>
        <v>376.34399999999999</v>
      </c>
      <c r="IW10" s="44">
        <f>267.124+78.971</f>
        <v>346.09500000000003</v>
      </c>
      <c r="IX10" s="34">
        <f>279.401+82.032</f>
        <v>361.43299999999999</v>
      </c>
      <c r="IY10" s="133">
        <f t="shared" si="53"/>
        <v>359.32600000000002</v>
      </c>
      <c r="IZ10" s="34">
        <v>357.21899999999999</v>
      </c>
      <c r="JA10" s="35">
        <v>374.61700000000002</v>
      </c>
      <c r="JB10" s="35">
        <v>353.95800000000003</v>
      </c>
      <c r="JC10" s="32">
        <v>359.45600000000002</v>
      </c>
      <c r="JD10" s="32">
        <v>437.399</v>
      </c>
      <c r="JE10" s="32">
        <v>401.43599999999998</v>
      </c>
      <c r="JF10" s="1">
        <v>413.36500000000001</v>
      </c>
      <c r="JG10" s="1">
        <v>506.649</v>
      </c>
      <c r="JH10" s="1">
        <v>487.35199999999998</v>
      </c>
      <c r="JI10" s="133">
        <f t="shared" si="54"/>
        <v>518.06399999999996</v>
      </c>
      <c r="JJ10" s="1">
        <v>548.77599999999995</v>
      </c>
      <c r="JK10" s="133">
        <f t="shared" si="55"/>
        <v>551.14149999999995</v>
      </c>
      <c r="JL10" s="1">
        <v>553.50699999999995</v>
      </c>
      <c r="JM10" s="1">
        <v>599.73800000000006</v>
      </c>
      <c r="JN10" s="1">
        <v>648.35599999999999</v>
      </c>
      <c r="JO10" s="33">
        <v>687.02700000000004</v>
      </c>
      <c r="JP10" s="33">
        <v>655.86800000000005</v>
      </c>
      <c r="JQ10" s="33">
        <v>684.50699999999995</v>
      </c>
      <c r="JR10" s="33">
        <v>722.38099999999997</v>
      </c>
      <c r="JS10" s="1">
        <v>668.10199999999998</v>
      </c>
      <c r="JT10" s="448">
        <v>635.51</v>
      </c>
    </row>
    <row r="11" spans="1:280">
      <c r="A11" s="221" t="s">
        <v>27</v>
      </c>
      <c r="B11" s="35">
        <f>4.5+16223.7</f>
        <v>16228.2</v>
      </c>
      <c r="C11" s="34">
        <f>4.3+17564.9</f>
        <v>17569.2</v>
      </c>
      <c r="D11" s="34">
        <f>5.2+19789.5</f>
        <v>19794.7</v>
      </c>
      <c r="E11" s="34">
        <v>22227.684000000001</v>
      </c>
      <c r="F11" s="34">
        <f>24790.121+0</f>
        <v>24790.120999999999</v>
      </c>
      <c r="G11" s="34">
        <f>28270.511+0</f>
        <v>28270.510999999999</v>
      </c>
      <c r="H11" s="34">
        <v>31513.605</v>
      </c>
      <c r="I11" s="44">
        <v>35891.726999999999</v>
      </c>
      <c r="J11" s="34">
        <v>40883.847999999998</v>
      </c>
      <c r="K11" s="133">
        <f t="shared" si="7"/>
        <v>44074.801500000001</v>
      </c>
      <c r="L11" s="34">
        <v>47265.754999999997</v>
      </c>
      <c r="M11" s="35">
        <v>50432.561000000002</v>
      </c>
      <c r="N11" s="35">
        <v>52195.464999999997</v>
      </c>
      <c r="O11" s="35">
        <v>57825.425000000003</v>
      </c>
      <c r="P11" s="41">
        <v>60773.275999999998</v>
      </c>
      <c r="Q11" s="33">
        <v>63423.646999999997</v>
      </c>
      <c r="R11" s="33">
        <v>66491.134000000005</v>
      </c>
      <c r="S11" s="33">
        <v>71630.892999999996</v>
      </c>
      <c r="T11" s="33">
        <v>75290.414999999994</v>
      </c>
      <c r="U11" s="133">
        <f t="shared" si="8"/>
        <v>81186.178</v>
      </c>
      <c r="V11" s="33">
        <v>87081.941000000006</v>
      </c>
      <c r="W11" s="133">
        <f t="shared" si="9"/>
        <v>93926.54800000001</v>
      </c>
      <c r="X11" s="33">
        <v>100771.155</v>
      </c>
      <c r="Y11" s="33">
        <v>112637.22</v>
      </c>
      <c r="Z11" s="33">
        <v>122799.59299999999</v>
      </c>
      <c r="AA11" s="33">
        <v>130630.236</v>
      </c>
      <c r="AB11" s="33">
        <v>138485.30499999999</v>
      </c>
      <c r="AC11" s="33">
        <v>137890.15100000001</v>
      </c>
      <c r="AD11" s="33">
        <v>136642.201</v>
      </c>
      <c r="AE11" s="33">
        <v>137974.35699999999</v>
      </c>
      <c r="AF11" s="440">
        <v>134652.55900000001</v>
      </c>
      <c r="AG11" s="215">
        <f>5619.4+88.6</f>
        <v>5708</v>
      </c>
      <c r="AH11" s="34">
        <f>6032.7+104.5</f>
        <v>6137.2</v>
      </c>
      <c r="AI11" s="34">
        <f>6769.2+109.4</f>
        <v>6878.5999999999995</v>
      </c>
      <c r="AJ11" s="34">
        <f>7607.107+122.607</f>
        <v>7729.7139999999999</v>
      </c>
      <c r="AK11" s="34">
        <f>8213.527+124.167</f>
        <v>8337.6939999999995</v>
      </c>
      <c r="AL11" s="34">
        <f>9033.509+128.711</f>
        <v>9162.2199999999993</v>
      </c>
      <c r="AM11" s="34">
        <f>9977.385+145.253</f>
        <v>10122.638000000001</v>
      </c>
      <c r="AN11" s="44">
        <f>11545.111+164.383</f>
        <v>11709.494000000001</v>
      </c>
      <c r="AO11" s="34">
        <f>13395.411+179.547</f>
        <v>13574.958000000001</v>
      </c>
      <c r="AP11" s="133">
        <f t="shared" si="10"/>
        <v>14251.673000000001</v>
      </c>
      <c r="AQ11" s="30">
        <v>14928.388000000001</v>
      </c>
      <c r="AR11" s="35">
        <v>15109.645</v>
      </c>
      <c r="AS11" s="35">
        <v>15216.442999999999</v>
      </c>
      <c r="AT11" s="32">
        <v>17697.435000000001</v>
      </c>
      <c r="AU11" s="33">
        <v>18282.927</v>
      </c>
      <c r="AV11" s="33">
        <v>19025.784</v>
      </c>
      <c r="AW11" s="33">
        <v>19966.45</v>
      </c>
      <c r="AX11" s="33">
        <v>21638.775000000001</v>
      </c>
      <c r="AY11" s="33">
        <v>23142.769</v>
      </c>
      <c r="AZ11" s="133">
        <f t="shared" si="11"/>
        <v>24664.434000000001</v>
      </c>
      <c r="BA11" s="33">
        <v>26186.098999999998</v>
      </c>
      <c r="BB11" s="133">
        <f t="shared" si="12"/>
        <v>28017.9725</v>
      </c>
      <c r="BC11" s="33">
        <v>29849.846000000001</v>
      </c>
      <c r="BD11" s="33">
        <v>32605.449000000001</v>
      </c>
      <c r="BE11" s="33">
        <v>35947.741999999998</v>
      </c>
      <c r="BF11" s="33">
        <v>40080.995000000003</v>
      </c>
      <c r="BG11" s="33">
        <v>41991.675000000003</v>
      </c>
      <c r="BH11" s="33">
        <v>40093.644999999997</v>
      </c>
      <c r="BI11" s="33">
        <v>38995.928999999996</v>
      </c>
      <c r="BJ11" s="33">
        <v>39328.999000000003</v>
      </c>
      <c r="BK11" s="440">
        <v>37949.063000000002</v>
      </c>
      <c r="BL11" s="36">
        <v>4019.6</v>
      </c>
      <c r="BM11" s="34">
        <v>4497.6000000000004</v>
      </c>
      <c r="BN11" s="34">
        <v>4878</v>
      </c>
      <c r="BO11" s="34">
        <v>5435.366</v>
      </c>
      <c r="BP11" s="34">
        <v>6117.1660000000002</v>
      </c>
      <c r="BQ11" s="34">
        <v>6892.5469999999996</v>
      </c>
      <c r="BR11" s="34">
        <v>7598.3530000000001</v>
      </c>
      <c r="BS11" s="44">
        <v>8599.6119999999992</v>
      </c>
      <c r="BT11" s="34">
        <v>10024.231</v>
      </c>
      <c r="BU11" s="133">
        <f t="shared" si="13"/>
        <v>10537.454</v>
      </c>
      <c r="BV11" s="34">
        <v>11050.677</v>
      </c>
      <c r="BW11" s="35">
        <v>11159.883</v>
      </c>
      <c r="BX11" s="35">
        <v>10936.907999999999</v>
      </c>
      <c r="BY11" s="32">
        <v>13201.298000000001</v>
      </c>
      <c r="BZ11" s="32">
        <v>13647.334000000001</v>
      </c>
      <c r="CA11" s="32">
        <v>14247.654</v>
      </c>
      <c r="CB11" s="32">
        <v>14789.319</v>
      </c>
      <c r="CC11" s="32">
        <v>15770.672</v>
      </c>
      <c r="CD11" s="33">
        <v>16808.361000000001</v>
      </c>
      <c r="CE11" s="133">
        <f t="shared" si="14"/>
        <v>17712.584000000003</v>
      </c>
      <c r="CF11" s="33">
        <v>18616.807000000001</v>
      </c>
      <c r="CG11" s="133">
        <f t="shared" si="15"/>
        <v>20004.491999999998</v>
      </c>
      <c r="CH11" s="33">
        <v>21392.177</v>
      </c>
      <c r="CI11" s="33">
        <v>23314.184000000001</v>
      </c>
      <c r="CJ11" s="33">
        <v>26022.019</v>
      </c>
      <c r="CK11" s="33">
        <v>29196.274000000001</v>
      </c>
      <c r="CL11" s="33">
        <v>30484.205999999998</v>
      </c>
      <c r="CM11" s="33">
        <v>28117.119999999999</v>
      </c>
      <c r="CN11" s="33">
        <v>26540.69</v>
      </c>
      <c r="CO11" s="33">
        <v>26304.058000000001</v>
      </c>
      <c r="CP11" s="440">
        <v>24740.639999999999</v>
      </c>
      <c r="CQ11" s="37">
        <v>1436.3</v>
      </c>
      <c r="CR11" s="35">
        <v>1361.9</v>
      </c>
      <c r="CS11" s="35">
        <v>1539.2</v>
      </c>
      <c r="CT11" s="35">
        <v>1700.0329999999999</v>
      </c>
      <c r="CU11" s="35">
        <v>1551.57</v>
      </c>
      <c r="CV11" s="35">
        <v>1622.4490000000001</v>
      </c>
      <c r="CW11" s="35">
        <v>1836.819</v>
      </c>
      <c r="CX11" s="41">
        <v>2365.319</v>
      </c>
      <c r="CY11" s="35">
        <v>2661.2249999999999</v>
      </c>
      <c r="CZ11" s="133">
        <f t="shared" si="16"/>
        <v>2865.9929999999999</v>
      </c>
      <c r="DA11" s="35">
        <f>3070761/1000</f>
        <v>3070.761</v>
      </c>
      <c r="DB11" s="35">
        <v>3193.1239999999998</v>
      </c>
      <c r="DC11" s="35">
        <v>3473.8620000000001</v>
      </c>
      <c r="DD11" s="32">
        <v>3614.2469999999998</v>
      </c>
      <c r="DE11" s="43">
        <v>3704.5749999999998</v>
      </c>
      <c r="DF11" s="42">
        <v>3797.248</v>
      </c>
      <c r="DG11" s="42">
        <v>4148.951</v>
      </c>
      <c r="DH11" s="42">
        <v>4767.97</v>
      </c>
      <c r="DI11" s="42">
        <v>5067.2389999999996</v>
      </c>
      <c r="DJ11" s="133">
        <f t="shared" si="17"/>
        <v>5429.4264999999996</v>
      </c>
      <c r="DK11" s="33">
        <v>5791.6139999999996</v>
      </c>
      <c r="DL11" s="133">
        <f t="shared" si="18"/>
        <v>6274.54</v>
      </c>
      <c r="DM11" s="33">
        <v>6757.4660000000003</v>
      </c>
      <c r="DN11" s="33">
        <v>7165.777</v>
      </c>
      <c r="DO11" s="33">
        <v>7446.8209999999999</v>
      </c>
      <c r="DP11" s="33">
        <v>8141.0280000000002</v>
      </c>
      <c r="DQ11" s="33">
        <v>8428.75</v>
      </c>
      <c r="DR11" s="33">
        <v>8926.0450000000001</v>
      </c>
      <c r="DS11" s="33">
        <v>9126.5360000000001</v>
      </c>
      <c r="DT11" s="33">
        <v>9561.9410000000007</v>
      </c>
      <c r="DU11" s="440">
        <v>9564.5939999999991</v>
      </c>
      <c r="DV11" s="38">
        <f t="shared" ref="DV11:DV23" si="62">(AG11-BL11-CQ11)</f>
        <v>252.10000000000014</v>
      </c>
      <c r="DW11" s="39">
        <f t="shared" si="56"/>
        <v>277.69999999999936</v>
      </c>
      <c r="DX11" s="39">
        <f t="shared" si="57"/>
        <v>461.39999999999941</v>
      </c>
      <c r="DY11" s="39">
        <f t="shared" si="58"/>
        <v>594.31500000000005</v>
      </c>
      <c r="DZ11" s="39">
        <f t="shared" si="59"/>
        <v>668.9579999999994</v>
      </c>
      <c r="EA11" s="39">
        <f t="shared" si="60"/>
        <v>647.22399999999971</v>
      </c>
      <c r="EB11" s="39">
        <f t="shared" si="61"/>
        <v>687.4660000000008</v>
      </c>
      <c r="EC11" s="39">
        <f t="shared" si="20"/>
        <v>744.56300000000147</v>
      </c>
      <c r="ED11" s="39">
        <f t="shared" si="21"/>
        <v>889.50200000000086</v>
      </c>
      <c r="EE11" s="39">
        <f t="shared" si="22"/>
        <v>848.22600000000102</v>
      </c>
      <c r="EF11" s="39">
        <f t="shared" si="23"/>
        <v>806.95000000000118</v>
      </c>
      <c r="EG11" s="40">
        <f t="shared" si="24"/>
        <v>756.63800000000083</v>
      </c>
      <c r="EH11" s="40">
        <f t="shared" si="25"/>
        <v>805.67299999999977</v>
      </c>
      <c r="EI11" s="40">
        <f t="shared" si="26"/>
        <v>881.89000000000078</v>
      </c>
      <c r="EJ11" s="40">
        <f t="shared" si="27"/>
        <v>931.01799999999912</v>
      </c>
      <c r="EK11" s="40">
        <f t="shared" si="28"/>
        <v>980.88199999999915</v>
      </c>
      <c r="EL11" s="40">
        <f t="shared" si="29"/>
        <v>1028.1800000000012</v>
      </c>
      <c r="EM11" s="40">
        <f t="shared" si="30"/>
        <v>1100.1330000000007</v>
      </c>
      <c r="EN11" s="40">
        <f t="shared" si="31"/>
        <v>1267.1689999999999</v>
      </c>
      <c r="EO11" s="40">
        <f t="shared" si="32"/>
        <v>1522.423499999999</v>
      </c>
      <c r="EP11" s="40">
        <f t="shared" si="33"/>
        <v>1777.6779999999981</v>
      </c>
      <c r="EQ11" s="40">
        <f t="shared" si="34"/>
        <v>1738.9405000000015</v>
      </c>
      <c r="ER11" s="40">
        <f t="shared" si="35"/>
        <v>1700.2030000000013</v>
      </c>
      <c r="ES11" s="40">
        <f t="shared" si="36"/>
        <v>2125.4879999999994</v>
      </c>
      <c r="ET11" s="40">
        <f t="shared" si="37"/>
        <v>2478.9019999999982</v>
      </c>
      <c r="EU11" s="40">
        <f t="shared" si="38"/>
        <v>2743.6930000000011</v>
      </c>
      <c r="EV11" s="40">
        <f t="shared" si="39"/>
        <v>3078.7190000000046</v>
      </c>
      <c r="EW11" s="40">
        <f t="shared" si="40"/>
        <v>3050.4799999999977</v>
      </c>
      <c r="EX11" s="40">
        <f t="shared" si="41"/>
        <v>3328.7029999999977</v>
      </c>
      <c r="EY11" s="40">
        <f t="shared" si="42"/>
        <v>3463.0000000000018</v>
      </c>
      <c r="EZ11" s="40">
        <f t="shared" si="43"/>
        <v>3643.8290000000034</v>
      </c>
      <c r="FA11" s="176">
        <f>1223.1+1908.7+51.5+1</f>
        <v>3184.3</v>
      </c>
      <c r="FB11" s="35">
        <f>1244.4+2215.9+45.6+1.1</f>
        <v>3507</v>
      </c>
      <c r="FC11" s="35">
        <f>1397.5+2362.4+47.7+1</f>
        <v>3808.6</v>
      </c>
      <c r="FD11" s="35">
        <f>1673.864+1844.901+584.217+55.677+0.975</f>
        <v>4159.634</v>
      </c>
      <c r="FE11" s="35">
        <f>1830.456+1894.301+779.556+31.551+1.086</f>
        <v>4536.9500000000007</v>
      </c>
      <c r="FF11" s="35">
        <f>2058.71+2029.483+881.835+31.585+1.551</f>
        <v>5003.1640000000007</v>
      </c>
      <c r="FG11" s="35">
        <f>2424.216+2014.932+1013.579+29.574+1.239</f>
        <v>5483.5399999999991</v>
      </c>
      <c r="FH11" s="41">
        <f>2945.066+2142.758+1296.358+29.829+2.408</f>
        <v>6416.4189999999999</v>
      </c>
      <c r="FI11" s="35">
        <f>3728.163+2381.201+1533.861+29.687+6.812</f>
        <v>7679.7239999999993</v>
      </c>
      <c r="FJ11" s="133">
        <f t="shared" si="44"/>
        <v>8906.7624999999989</v>
      </c>
      <c r="FK11" s="35">
        <v>10133.800999999999</v>
      </c>
      <c r="FL11" s="35">
        <v>11452.468999999999</v>
      </c>
      <c r="FM11" s="35">
        <v>11404.063</v>
      </c>
      <c r="FN11" s="32">
        <v>12862.495000000001</v>
      </c>
      <c r="FO11" s="33">
        <v>13444.617</v>
      </c>
      <c r="FP11" s="33">
        <v>13864.084000000001</v>
      </c>
      <c r="FQ11" s="33">
        <v>14298.775</v>
      </c>
      <c r="FR11" s="33">
        <v>15532.661</v>
      </c>
      <c r="FS11" s="33">
        <v>16841.612000000001</v>
      </c>
      <c r="FT11" s="133">
        <f t="shared" si="45"/>
        <v>18493.807500000003</v>
      </c>
      <c r="FU11" s="33">
        <v>20146.003000000001</v>
      </c>
      <c r="FV11" s="133">
        <f t="shared" si="46"/>
        <v>22590.974000000002</v>
      </c>
      <c r="FW11" s="33">
        <v>25035.945</v>
      </c>
      <c r="FX11" s="33">
        <v>26358.026000000002</v>
      </c>
      <c r="FY11" s="33">
        <v>28066.727999999999</v>
      </c>
      <c r="FZ11" s="33">
        <v>29402.707999999999</v>
      </c>
      <c r="GA11" s="33">
        <v>31873.827000000001</v>
      </c>
      <c r="GB11" s="33">
        <v>32844.339999999997</v>
      </c>
      <c r="GC11" s="33">
        <v>35625.86</v>
      </c>
      <c r="GD11" s="33">
        <v>36991.201000000001</v>
      </c>
      <c r="GE11" s="440">
        <v>36577.044000000002</v>
      </c>
      <c r="GF11" s="37">
        <f>1344.4+328.6+133.9+862.4+307.1+316.4+150.7+783.3+416.6+302.2+206.6</f>
        <v>5152.2000000000007</v>
      </c>
      <c r="GG11" s="35">
        <f>1376.7+256.2+122.5+978.6+346.3+407.7+162.9+885.2+337.5+334+249.2</f>
        <v>5456.8</v>
      </c>
      <c r="GH11" s="35">
        <f>1420.7+414.3+115.4+1068.4+399.3+555.7+200.7+948.1+345.9+369.3+243.8</f>
        <v>6081.6</v>
      </c>
      <c r="GI11" s="35">
        <f>1681.23+320.384+24.103+68.941+0.827+1164.229+454.069+621.269+202.478+570.78+531.002+281.177+333.502+424.212</f>
        <v>6678.2029999999995</v>
      </c>
      <c r="GJ11" s="35">
        <f>1898.701+415.039+31.619+98.576+0.41+1293.267+498.292+723.413+226.24+645.182+727.288+302.596+448.715+523.654</f>
        <v>7832.9920000000002</v>
      </c>
      <c r="GK11" s="35">
        <f>2103.788+451.908+51.609+128.512+0.18+1485.971+548.996+894.672+241.813+713.26+659.234+306.321+578.027+692.383</f>
        <v>8856.6740000000009</v>
      </c>
      <c r="GL11" s="35">
        <f>2691.265+617.583+53.55+140.481+0.777+1570.322+593.702+1042.777+274.322+732.067+781.724+328.611+572.738+710.763</f>
        <v>10110.682000000001</v>
      </c>
      <c r="GM11" s="41">
        <f>2811.22+687.745+59.774+164.783+0.332+1714.161+690.002+1230.973+308.743+797.088+995.629+422.351+560.061+869.301</f>
        <v>11312.163</v>
      </c>
      <c r="GN11" s="35">
        <f>2760.651+894.194+72.257+185.06+0.369+1904.096+737.882+1466.698+329.376+943.646+1152.109+472.583+718.364+892.771</f>
        <v>12530.056000000002</v>
      </c>
      <c r="GO11" s="133">
        <f t="shared" si="47"/>
        <v>13534.514500000001</v>
      </c>
      <c r="GP11" s="35">
        <v>14538.973</v>
      </c>
      <c r="GQ11" s="35">
        <v>15261.146000000001</v>
      </c>
      <c r="GR11" s="35">
        <v>16497.616000000002</v>
      </c>
      <c r="GS11" s="32">
        <v>18199.146000000001</v>
      </c>
      <c r="GT11" s="32">
        <v>19542.899000000001</v>
      </c>
      <c r="GU11" s="32">
        <v>20443.316999999999</v>
      </c>
      <c r="GV11" s="32">
        <v>21715.924999999999</v>
      </c>
      <c r="GW11" s="32">
        <v>23132.022000000001</v>
      </c>
      <c r="GX11" s="32">
        <v>24084.563999999998</v>
      </c>
      <c r="GY11" s="133">
        <f t="shared" si="48"/>
        <v>25997.648000000001</v>
      </c>
      <c r="GZ11" s="33">
        <v>27910.732</v>
      </c>
      <c r="HA11" s="133">
        <f t="shared" si="49"/>
        <v>29625.2605</v>
      </c>
      <c r="HB11" s="33">
        <v>31339.789000000001</v>
      </c>
      <c r="HC11" s="33">
        <v>34067.385999999999</v>
      </c>
      <c r="HD11" s="33">
        <v>37226.307999999997</v>
      </c>
      <c r="HE11" s="33">
        <v>41398.781999999999</v>
      </c>
      <c r="HF11" s="33">
        <v>44115.383999999998</v>
      </c>
      <c r="HG11" s="33">
        <v>43992.372000000003</v>
      </c>
      <c r="HH11" s="33">
        <v>42616.898000000001</v>
      </c>
      <c r="HI11" s="33">
        <v>42440.232000000004</v>
      </c>
      <c r="HJ11" s="440">
        <v>40831.442000000003</v>
      </c>
      <c r="HK11" s="37">
        <f>326+493.4+47</f>
        <v>866.4</v>
      </c>
      <c r="HL11" s="35">
        <f>367.6+527.7+63.3</f>
        <v>958.6</v>
      </c>
      <c r="HM11" s="35">
        <f>438.4+603.9+108.3</f>
        <v>1150.5999999999999</v>
      </c>
      <c r="HN11" s="35">
        <f>492.353+429.206+111.008+214.111</f>
        <v>1246.6779999999999</v>
      </c>
      <c r="HO11" s="35">
        <f>609.585+502.994+90.115+252.668</f>
        <v>1455.3620000000001</v>
      </c>
      <c r="HP11" s="35">
        <f>680.892+559.365+356.735+286.892</f>
        <v>1883.8840000000002</v>
      </c>
      <c r="HQ11" s="35">
        <f>788.229+617.868+152.552+312.339</f>
        <v>1870.9880000000001</v>
      </c>
      <c r="HR11" s="41">
        <f>887.318+733.215+184.144+349.886</f>
        <v>2154.5630000000001</v>
      </c>
      <c r="HS11" s="35">
        <f>915.075+793.54+201.67+419.608</f>
        <v>2329.893</v>
      </c>
      <c r="HT11" s="133">
        <f t="shared" si="50"/>
        <v>2535.1345000000001</v>
      </c>
      <c r="HU11" s="35">
        <v>2740.3760000000002</v>
      </c>
      <c r="HV11" s="35">
        <v>2907.1080000000002</v>
      </c>
      <c r="HW11" s="35">
        <v>3012.1469999999999</v>
      </c>
      <c r="HX11" s="32">
        <v>3172.127</v>
      </c>
      <c r="HY11" s="32">
        <v>3352.922</v>
      </c>
      <c r="HZ11" s="32">
        <v>3728.357</v>
      </c>
      <c r="IA11" s="32">
        <v>3964.5590000000002</v>
      </c>
      <c r="IB11" s="32">
        <v>4287.9380000000001</v>
      </c>
      <c r="IC11" s="32">
        <v>4446.4840000000004</v>
      </c>
      <c r="ID11" s="133">
        <f t="shared" si="51"/>
        <v>4666.299</v>
      </c>
      <c r="IE11" s="33">
        <v>4886.1139999999996</v>
      </c>
      <c r="IF11" s="133">
        <f t="shared" si="52"/>
        <v>5372.768</v>
      </c>
      <c r="IG11" s="33">
        <v>5859.4219999999996</v>
      </c>
      <c r="IH11" s="33">
        <v>6466.8029999999999</v>
      </c>
      <c r="II11" s="33">
        <v>7278.41</v>
      </c>
      <c r="IJ11" s="33">
        <v>7956.8159999999998</v>
      </c>
      <c r="IK11" s="33">
        <v>8329.0709999999999</v>
      </c>
      <c r="IL11" s="33">
        <v>7383.2120000000004</v>
      </c>
      <c r="IM11" s="33">
        <v>7168.8959999999997</v>
      </c>
      <c r="IN11" s="33">
        <v>6967.8620000000001</v>
      </c>
      <c r="IO11" s="440">
        <v>6557.4589999999998</v>
      </c>
      <c r="IP11" s="36">
        <f>(4.5+542.3+770.6)</f>
        <v>1317.4</v>
      </c>
      <c r="IQ11" s="34">
        <f>4.3+684.8+820.5</f>
        <v>1509.6</v>
      </c>
      <c r="IR11" s="34">
        <f>5.2+1023.2+847.2</f>
        <v>1875.6000000000001</v>
      </c>
      <c r="IS11" s="34">
        <f>1251.74+1161.715</f>
        <v>2413.4549999999999</v>
      </c>
      <c r="IT11" s="34">
        <f>1555.497+0.07+1071.559</f>
        <v>2627.1260000000002</v>
      </c>
      <c r="IU11" s="34">
        <f>2076.609+0.071+1287.889</f>
        <v>3364.5689999999995</v>
      </c>
      <c r="IV11" s="34">
        <f>2566.833+0.073+1358.851</f>
        <v>3925.7570000000001</v>
      </c>
      <c r="IW11" s="44">
        <f>2798.22+0.098+1500.77</f>
        <v>4299.0879999999997</v>
      </c>
      <c r="IX11" s="34">
        <f>3189.135+1.035+1579.047</f>
        <v>4769.2170000000006</v>
      </c>
      <c r="IY11" s="133">
        <f t="shared" si="53"/>
        <v>4846.7170000000006</v>
      </c>
      <c r="IZ11" s="34">
        <v>4924.2169999999996</v>
      </c>
      <c r="JA11" s="35">
        <v>5702.1930000000002</v>
      </c>
      <c r="JB11" s="35">
        <v>6065.1959999999999</v>
      </c>
      <c r="JC11" s="32">
        <v>5894.2219999999998</v>
      </c>
      <c r="JD11" s="32">
        <v>6149.9110000000001</v>
      </c>
      <c r="JE11" s="32">
        <v>6362.1049999999996</v>
      </c>
      <c r="JF11" s="1">
        <v>6545.4250000000002</v>
      </c>
      <c r="JG11" s="1">
        <v>7039.4970000000003</v>
      </c>
      <c r="JH11" s="1">
        <v>6774.9859999999999</v>
      </c>
      <c r="JI11" s="133">
        <f t="shared" si="54"/>
        <v>7363.9894999999997</v>
      </c>
      <c r="JJ11" s="1">
        <v>7952.9930000000004</v>
      </c>
      <c r="JK11" s="133">
        <f t="shared" si="55"/>
        <v>8319.5730000000003</v>
      </c>
      <c r="JL11" s="1">
        <v>8686.1530000000002</v>
      </c>
      <c r="JM11" s="1">
        <v>13139.556</v>
      </c>
      <c r="JN11" s="1">
        <v>14280.405000000001</v>
      </c>
      <c r="JO11" s="33">
        <v>11790.934999999999</v>
      </c>
      <c r="JP11" s="33">
        <v>12175.348</v>
      </c>
      <c r="JQ11" s="33">
        <v>13576.579</v>
      </c>
      <c r="JR11" s="33">
        <v>12234.617</v>
      </c>
      <c r="JS11" s="1">
        <v>12246.063</v>
      </c>
      <c r="JT11" s="448">
        <v>12737.550999999999</v>
      </c>
    </row>
    <row r="12" spans="1:280">
      <c r="A12" s="221" t="s">
        <v>28</v>
      </c>
      <c r="B12" s="35">
        <f>0+9450.2</f>
        <v>9450.2000000000007</v>
      </c>
      <c r="C12" s="34">
        <f>0.1+10238.8</f>
        <v>10238.9</v>
      </c>
      <c r="D12" s="34">
        <f>0.2+10657.3</f>
        <v>10657.5</v>
      </c>
      <c r="E12" s="34">
        <f>11770.518+0.071</f>
        <v>11770.589</v>
      </c>
      <c r="F12" s="34">
        <f>13424.873+0</f>
        <v>13424.873</v>
      </c>
      <c r="G12" s="34">
        <f>14912.216+0</f>
        <v>14912.216</v>
      </c>
      <c r="H12" s="34">
        <v>16460.147000000001</v>
      </c>
      <c r="I12" s="44">
        <v>17919.297999999999</v>
      </c>
      <c r="J12" s="34">
        <v>19648.277999999998</v>
      </c>
      <c r="K12" s="133">
        <f t="shared" si="7"/>
        <v>21000.397499999999</v>
      </c>
      <c r="L12" s="34">
        <v>22352.517</v>
      </c>
      <c r="M12" s="35">
        <v>24241.012999999999</v>
      </c>
      <c r="N12" s="35">
        <v>26084.109</v>
      </c>
      <c r="O12" s="35">
        <v>29097.542000000001</v>
      </c>
      <c r="P12" s="41">
        <v>30646.885999999999</v>
      </c>
      <c r="Q12" s="33">
        <v>32660.512999999999</v>
      </c>
      <c r="R12" s="33">
        <v>33262.326000000001</v>
      </c>
      <c r="S12" s="33">
        <v>35831.432000000001</v>
      </c>
      <c r="T12" s="33">
        <v>38077.731</v>
      </c>
      <c r="U12" s="133">
        <f t="shared" si="8"/>
        <v>41514.3145</v>
      </c>
      <c r="V12" s="33">
        <v>44950.898000000001</v>
      </c>
      <c r="W12" s="133">
        <f t="shared" si="9"/>
        <v>47581.065999999999</v>
      </c>
      <c r="X12" s="33">
        <v>50211.233999999997</v>
      </c>
      <c r="Y12" s="33">
        <v>50700.847999999998</v>
      </c>
      <c r="Z12" s="33">
        <v>55311.974999999999</v>
      </c>
      <c r="AA12" s="33">
        <v>63714.095000000001</v>
      </c>
      <c r="AB12" s="33">
        <v>65289.945</v>
      </c>
      <c r="AC12" s="33">
        <v>64320.589</v>
      </c>
      <c r="AD12" s="33">
        <v>64182.953000000001</v>
      </c>
      <c r="AE12" s="33">
        <v>64037.873</v>
      </c>
      <c r="AF12" s="440">
        <v>64594.086000000003</v>
      </c>
      <c r="AG12" s="215">
        <f>3093.8+22.5</f>
        <v>3116.3</v>
      </c>
      <c r="AH12" s="34">
        <f>3322.7+21.6</f>
        <v>3344.2999999999997</v>
      </c>
      <c r="AI12" s="34">
        <f>3576.7+23</f>
        <v>3599.7</v>
      </c>
      <c r="AJ12" s="34">
        <f>4061.627+27.908</f>
        <v>4089.5349999999999</v>
      </c>
      <c r="AK12" s="34">
        <f>4649.315+28.307</f>
        <v>4677.6219999999994</v>
      </c>
      <c r="AL12" s="34">
        <f>5226.221+32.743</f>
        <v>5258.9639999999999</v>
      </c>
      <c r="AM12" s="34">
        <f>5775.936+43.909</f>
        <v>5819.8449999999993</v>
      </c>
      <c r="AN12" s="44">
        <f>6261.375+51.339</f>
        <v>6312.7139999999999</v>
      </c>
      <c r="AO12" s="34">
        <f>6993.609+52.649</f>
        <v>7046.2580000000007</v>
      </c>
      <c r="AP12" s="133">
        <f t="shared" si="10"/>
        <v>7218.7754999999997</v>
      </c>
      <c r="AQ12" s="30">
        <v>7391.2929999999997</v>
      </c>
      <c r="AR12" s="35">
        <v>8066.6310000000003</v>
      </c>
      <c r="AS12" s="35">
        <v>8940.82</v>
      </c>
      <c r="AT12" s="32">
        <v>10146.315000000001</v>
      </c>
      <c r="AU12" s="33">
        <v>11229.01</v>
      </c>
      <c r="AV12" s="33">
        <v>11715.968000000001</v>
      </c>
      <c r="AW12" s="33">
        <v>12390.359</v>
      </c>
      <c r="AX12" s="33">
        <v>13929.782999999999</v>
      </c>
      <c r="AY12" s="33">
        <v>14865.674999999999</v>
      </c>
      <c r="AZ12" s="133">
        <f t="shared" si="11"/>
        <v>16173.305</v>
      </c>
      <c r="BA12" s="33">
        <v>17480.935000000001</v>
      </c>
      <c r="BB12" s="133">
        <f t="shared" si="12"/>
        <v>18425.392500000002</v>
      </c>
      <c r="BC12" s="33">
        <v>19369.849999999999</v>
      </c>
      <c r="BD12" s="33">
        <v>20068.999</v>
      </c>
      <c r="BE12" s="33">
        <v>21439.260999999999</v>
      </c>
      <c r="BF12" s="33">
        <v>23414.959999999999</v>
      </c>
      <c r="BG12" s="33">
        <v>25877.263999999999</v>
      </c>
      <c r="BH12" s="33">
        <v>26013.868999999999</v>
      </c>
      <c r="BI12" s="33">
        <v>25164.887999999999</v>
      </c>
      <c r="BJ12" s="33">
        <v>25020.454000000002</v>
      </c>
      <c r="BK12" s="440">
        <v>25446.651000000002</v>
      </c>
      <c r="BL12" s="36">
        <v>2200.1999999999998</v>
      </c>
      <c r="BM12" s="34">
        <v>2348.6</v>
      </c>
      <c r="BN12" s="34">
        <v>2409.9</v>
      </c>
      <c r="BO12" s="34">
        <v>2762.2860000000001</v>
      </c>
      <c r="BP12" s="34">
        <v>3213.489</v>
      </c>
      <c r="BQ12" s="34">
        <v>3874.2179999999998</v>
      </c>
      <c r="BR12" s="34">
        <v>4353.7929999999997</v>
      </c>
      <c r="BS12" s="44">
        <v>4669.7169999999996</v>
      </c>
      <c r="BT12" s="34">
        <v>5096.7619999999997</v>
      </c>
      <c r="BU12" s="133">
        <f t="shared" si="13"/>
        <v>5268.5429999999997</v>
      </c>
      <c r="BV12" s="35">
        <v>5440.3239999999996</v>
      </c>
      <c r="BW12" s="35">
        <v>5941.9170000000004</v>
      </c>
      <c r="BX12" s="35">
        <v>6426.7759999999998</v>
      </c>
      <c r="BY12" s="32">
        <v>7057.2539999999999</v>
      </c>
      <c r="BZ12" s="32">
        <v>7857.9549999999999</v>
      </c>
      <c r="CA12" s="32">
        <v>8160.2389999999996</v>
      </c>
      <c r="CB12" s="32">
        <v>8699.1839999999993</v>
      </c>
      <c r="CC12" s="32">
        <v>9796.3520000000008</v>
      </c>
      <c r="CD12" s="33">
        <v>10594.876</v>
      </c>
      <c r="CE12" s="133">
        <f t="shared" si="14"/>
        <v>11458.662</v>
      </c>
      <c r="CF12" s="33">
        <v>12322.448</v>
      </c>
      <c r="CG12" s="133">
        <f t="shared" si="15"/>
        <v>12901.778</v>
      </c>
      <c r="CH12" s="33">
        <v>13481.108</v>
      </c>
      <c r="CI12" s="33">
        <v>14179.192999999999</v>
      </c>
      <c r="CJ12" s="33">
        <v>15405.29</v>
      </c>
      <c r="CK12" s="33">
        <v>16970.885999999999</v>
      </c>
      <c r="CL12" s="33">
        <v>18615.66</v>
      </c>
      <c r="CM12" s="33">
        <v>18621.463</v>
      </c>
      <c r="CN12" s="33">
        <v>17505.29</v>
      </c>
      <c r="CO12" s="33">
        <v>16880.214</v>
      </c>
      <c r="CP12" s="440">
        <v>17117.407999999999</v>
      </c>
      <c r="CQ12" s="37">
        <v>777.5</v>
      </c>
      <c r="CR12" s="35">
        <v>848</v>
      </c>
      <c r="CS12" s="35">
        <v>1004</v>
      </c>
      <c r="CT12" s="35">
        <v>1155.1579999999999</v>
      </c>
      <c r="CU12" s="35">
        <v>1284.2570000000001</v>
      </c>
      <c r="CV12" s="35">
        <v>1181.325</v>
      </c>
      <c r="CW12" s="35">
        <v>1233.8440000000001</v>
      </c>
      <c r="CX12" s="41">
        <v>1367.9269999999999</v>
      </c>
      <c r="CY12" s="35">
        <v>1498.5340000000001</v>
      </c>
      <c r="CZ12" s="133">
        <f t="shared" si="16"/>
        <v>1534.2</v>
      </c>
      <c r="DA12" s="35">
        <f>1569866/1000</f>
        <v>1569.866</v>
      </c>
      <c r="DB12" s="35">
        <v>1712.5809999999999</v>
      </c>
      <c r="DC12" s="35">
        <v>1989.521</v>
      </c>
      <c r="DD12" s="32">
        <v>2384.1950000000002</v>
      </c>
      <c r="DE12" s="43">
        <v>2383.8440000000001</v>
      </c>
      <c r="DF12" s="42">
        <v>2539.7600000000002</v>
      </c>
      <c r="DG12" s="42">
        <v>2760.13</v>
      </c>
      <c r="DH12" s="42">
        <v>3136.8969999999999</v>
      </c>
      <c r="DI12" s="42">
        <v>3363.326</v>
      </c>
      <c r="DJ12" s="133">
        <f t="shared" si="17"/>
        <v>3627.1405</v>
      </c>
      <c r="DK12" s="33">
        <v>3890.9549999999999</v>
      </c>
      <c r="DL12" s="133">
        <f t="shared" si="18"/>
        <v>4184.991</v>
      </c>
      <c r="DM12" s="33">
        <v>4479.027</v>
      </c>
      <c r="DN12" s="33">
        <v>4435.5770000000002</v>
      </c>
      <c r="DO12" s="33">
        <v>4531.1059999999998</v>
      </c>
      <c r="DP12" s="33">
        <v>4789.5559999999996</v>
      </c>
      <c r="DQ12" s="33">
        <v>5502.9080000000004</v>
      </c>
      <c r="DR12" s="33">
        <v>5586.7110000000002</v>
      </c>
      <c r="DS12" s="33">
        <v>5476.5280000000002</v>
      </c>
      <c r="DT12" s="33">
        <v>5760.6409999999996</v>
      </c>
      <c r="DU12" s="440">
        <v>6274.2139999999999</v>
      </c>
      <c r="DV12" s="38">
        <f t="shared" si="62"/>
        <v>138.60000000000036</v>
      </c>
      <c r="DW12" s="39">
        <f t="shared" si="56"/>
        <v>147.69999999999982</v>
      </c>
      <c r="DX12" s="39">
        <f t="shared" si="57"/>
        <v>185.79999999999973</v>
      </c>
      <c r="DY12" s="39">
        <f t="shared" si="58"/>
        <v>172.09099999999989</v>
      </c>
      <c r="DZ12" s="39">
        <f t="shared" si="59"/>
        <v>179.87599999999929</v>
      </c>
      <c r="EA12" s="39">
        <f t="shared" si="60"/>
        <v>203.42100000000005</v>
      </c>
      <c r="EB12" s="39">
        <f t="shared" si="61"/>
        <v>232.20799999999963</v>
      </c>
      <c r="EC12" s="39">
        <f t="shared" si="20"/>
        <v>275.07000000000039</v>
      </c>
      <c r="ED12" s="39">
        <f t="shared" si="21"/>
        <v>450.9620000000009</v>
      </c>
      <c r="EE12" s="39">
        <f t="shared" si="22"/>
        <v>416.03250000000003</v>
      </c>
      <c r="EF12" s="39">
        <f t="shared" si="23"/>
        <v>381.10300000000007</v>
      </c>
      <c r="EG12" s="40">
        <f t="shared" si="24"/>
        <v>412.13300000000004</v>
      </c>
      <c r="EH12" s="40">
        <f t="shared" si="25"/>
        <v>524.52299999999991</v>
      </c>
      <c r="EI12" s="40">
        <f t="shared" si="26"/>
        <v>704.86600000000044</v>
      </c>
      <c r="EJ12" s="40">
        <f t="shared" si="27"/>
        <v>987.21100000000024</v>
      </c>
      <c r="EK12" s="40">
        <f t="shared" si="28"/>
        <v>1015.969000000001</v>
      </c>
      <c r="EL12" s="40">
        <f t="shared" si="29"/>
        <v>931.04500000000098</v>
      </c>
      <c r="EM12" s="40">
        <f t="shared" si="30"/>
        <v>996.53399999999874</v>
      </c>
      <c r="EN12" s="40">
        <f t="shared" si="31"/>
        <v>907.47299999999905</v>
      </c>
      <c r="EO12" s="40">
        <f t="shared" si="32"/>
        <v>1087.5025000000001</v>
      </c>
      <c r="EP12" s="40">
        <f t="shared" si="33"/>
        <v>1267.5320000000011</v>
      </c>
      <c r="EQ12" s="40">
        <f t="shared" si="34"/>
        <v>1338.6235000000015</v>
      </c>
      <c r="ER12" s="40">
        <f t="shared" si="35"/>
        <v>1409.7149999999983</v>
      </c>
      <c r="ES12" s="40">
        <f t="shared" si="36"/>
        <v>1454.2290000000003</v>
      </c>
      <c r="ET12" s="40">
        <f t="shared" si="37"/>
        <v>1502.864999999998</v>
      </c>
      <c r="EU12" s="40">
        <f t="shared" si="38"/>
        <v>1654.5180000000009</v>
      </c>
      <c r="EV12" s="40">
        <f t="shared" si="39"/>
        <v>1758.695999999999</v>
      </c>
      <c r="EW12" s="40">
        <f t="shared" si="40"/>
        <v>1805.6949999999988</v>
      </c>
      <c r="EX12" s="40">
        <f t="shared" si="41"/>
        <v>2183.0699999999979</v>
      </c>
      <c r="EY12" s="40">
        <f t="shared" si="42"/>
        <v>2379.599000000002</v>
      </c>
      <c r="EZ12" s="40">
        <f t="shared" si="43"/>
        <v>2055.0290000000023</v>
      </c>
      <c r="FA12" s="176">
        <f>929+1781.9+47.8+3</f>
        <v>2761.7000000000003</v>
      </c>
      <c r="FB12" s="35">
        <f>1023+1976+56.8+3.3</f>
        <v>3059.1000000000004</v>
      </c>
      <c r="FC12" s="35">
        <f>1036.4+1985.2+59.6+3.3</f>
        <v>3084.5000000000005</v>
      </c>
      <c r="FD12" s="35">
        <f>1033.398+1772.952+281.746+57.247+3.563</f>
        <v>3148.9059999999999</v>
      </c>
      <c r="FE12" s="35">
        <f>1167.704+2200.92+313.981+65.378+4.236</f>
        <v>3752.2189999999996</v>
      </c>
      <c r="FF12" s="35">
        <f>1302.918+2362.407+326.517+63.307+4.845</f>
        <v>4059.9939999999992</v>
      </c>
      <c r="FG12" s="35">
        <f>1656.367+2517.68+354.142+69.733+4.368</f>
        <v>4602.29</v>
      </c>
      <c r="FH12" s="41">
        <f>1886.172+2535.518+431.19+80.742+9.115</f>
        <v>4942.7370000000001</v>
      </c>
      <c r="FI12" s="35">
        <f>2159.874+2567.443+481.351+77.78+5.14</f>
        <v>5291.5879999999997</v>
      </c>
      <c r="FJ12" s="133">
        <f t="shared" si="44"/>
        <v>6172.4994999999999</v>
      </c>
      <c r="FK12" s="35">
        <v>7053.4110000000001</v>
      </c>
      <c r="FL12" s="35">
        <v>7498.058</v>
      </c>
      <c r="FM12" s="35">
        <v>8062.6210000000001</v>
      </c>
      <c r="FN12" s="32">
        <v>8763.1119999999992</v>
      </c>
      <c r="FO12" s="33">
        <v>8608.3340000000007</v>
      </c>
      <c r="FP12" s="33">
        <v>9300.7710000000006</v>
      </c>
      <c r="FQ12" s="33">
        <v>8818.3580000000002</v>
      </c>
      <c r="FR12" s="33">
        <v>8734.42</v>
      </c>
      <c r="FS12" s="33">
        <v>9279.0370000000003</v>
      </c>
      <c r="FT12" s="133">
        <f t="shared" si="45"/>
        <v>10211.114000000001</v>
      </c>
      <c r="FU12" s="33">
        <v>11143.191000000001</v>
      </c>
      <c r="FV12" s="133">
        <f t="shared" si="46"/>
        <v>12561.6615</v>
      </c>
      <c r="FW12" s="33">
        <v>13980.132</v>
      </c>
      <c r="FX12" s="33">
        <v>13960.778</v>
      </c>
      <c r="FY12" s="33">
        <v>14186.174000000001</v>
      </c>
      <c r="FZ12" s="33">
        <v>16281.602000000001</v>
      </c>
      <c r="GA12" s="33">
        <v>16910.285</v>
      </c>
      <c r="GB12" s="33">
        <v>16214.357</v>
      </c>
      <c r="GC12" s="33">
        <v>16961.560000000001</v>
      </c>
      <c r="GD12" s="33">
        <v>17507.213</v>
      </c>
      <c r="GE12" s="440">
        <v>17487.329000000002</v>
      </c>
      <c r="GF12" s="37">
        <f>1011.8+77.1+52+300.7+131+217.2+35+265.3+50.2+105.2+243</f>
        <v>2488.4999999999995</v>
      </c>
      <c r="GG12" s="35">
        <f>928.4+69.7+51+337.6+139.8+256.3+40.7+304.8+185.9+114.8+275.9</f>
        <v>2704.9</v>
      </c>
      <c r="GH12" s="35">
        <f>814.8+75.6+68.6+350.9+150.4+267.9+46.5+320.7+167.8+115.9+295.2</f>
        <v>2674.3</v>
      </c>
      <c r="GI12" s="35">
        <f>1142.592+99.951+0.595+70.141+375.68+168.746+298.7+52.284+178.366+170.032+221.818+182.726+120.3</f>
        <v>3081.9310000000009</v>
      </c>
      <c r="GJ12" s="35">
        <f>1177.931+100.567+0.724+100.23+0+423.213+189.282+343.212+58.668+194.774+184.667+262.11+187.457+138.126</f>
        <v>3360.9609999999998</v>
      </c>
      <c r="GK12" s="35">
        <f>1235.546+90.488+1.595+110.563+0+468.933+214.813+399.467+58.183+228.9+202.387+268.757+213.825+150.503</f>
        <v>3643.9600000000005</v>
      </c>
      <c r="GL12" s="35">
        <f>1322.789+97.43+2.838+54.493+528.827+234.182+458.982+64.407+235.343+258.249+281.599+275.428+175.257</f>
        <v>3989.8240000000001</v>
      </c>
      <c r="GM12" s="41">
        <f>1290.345+107.836+3.796+62.766+0+588.85+271.999+533.81+70.84+269.532+331.831+299.647+334.675+210.736</f>
        <v>4376.6630000000005</v>
      </c>
      <c r="GN12" s="35">
        <f>1443.189+138.585+1.706+65.931+656.059+284.17+681.289+77.23+288.22+334.419+320.929+346.729+213.565</f>
        <v>4852.0209999999997</v>
      </c>
      <c r="GO12" s="133">
        <f t="shared" si="47"/>
        <v>5009.2729999999992</v>
      </c>
      <c r="GP12" s="35">
        <v>5166.5249999999996</v>
      </c>
      <c r="GQ12" s="35">
        <v>5717.0420000000004</v>
      </c>
      <c r="GR12" s="35">
        <v>5850.7659999999996</v>
      </c>
      <c r="GS12" s="32">
        <v>6524.4759999999997</v>
      </c>
      <c r="GT12" s="32">
        <v>6914.4709999999995</v>
      </c>
      <c r="GU12" s="32">
        <v>7438.165</v>
      </c>
      <c r="GV12" s="32">
        <v>7801.36</v>
      </c>
      <c r="GW12" s="32">
        <v>8568.9320000000007</v>
      </c>
      <c r="GX12" s="32">
        <v>9291.4130000000005</v>
      </c>
      <c r="GY12" s="133">
        <f t="shared" si="48"/>
        <v>10150.326499999999</v>
      </c>
      <c r="GZ12" s="33">
        <v>11009.24</v>
      </c>
      <c r="HA12" s="133">
        <f t="shared" si="49"/>
        <v>11141.366</v>
      </c>
      <c r="HB12" s="33">
        <v>11273.492</v>
      </c>
      <c r="HC12" s="33">
        <v>10965.652</v>
      </c>
      <c r="HD12" s="33">
        <v>13907.883</v>
      </c>
      <c r="HE12" s="33">
        <v>17529.651999999998</v>
      </c>
      <c r="HF12" s="33">
        <v>15590.165000000001</v>
      </c>
      <c r="HG12" s="33">
        <v>15024.487999999999</v>
      </c>
      <c r="HH12" s="33">
        <v>14794.085999999999</v>
      </c>
      <c r="HI12" s="33">
        <v>14399.972</v>
      </c>
      <c r="HJ12" s="440">
        <v>14572.268</v>
      </c>
      <c r="HK12" s="37">
        <f>152.8+238.8+57</f>
        <v>448.6</v>
      </c>
      <c r="HL12" s="35">
        <f>156.1+246.3+63.6</f>
        <v>466</v>
      </c>
      <c r="HM12" s="35">
        <f>178.5+259.6+68.8</f>
        <v>506.90000000000003</v>
      </c>
      <c r="HN12" s="35">
        <f>198.039+145.294+88.584+166.817</f>
        <v>598.73399999999992</v>
      </c>
      <c r="HO12" s="35">
        <f>226.676+158.343+93.098+224.951</f>
        <v>703.06799999999998</v>
      </c>
      <c r="HP12" s="35">
        <f>224.124+177.836+138.418+224.894</f>
        <v>765.27200000000005</v>
      </c>
      <c r="HQ12" s="35">
        <f>236.61+197.877+178.037+269.017</f>
        <v>881.54099999999994</v>
      </c>
      <c r="HR12" s="41">
        <f>230.499+227.893+231.045+282.339</f>
        <v>971.77600000000007</v>
      </c>
      <c r="HS12" s="35">
        <f>262.928+238.502+200.214+313.643</f>
        <v>1015.287</v>
      </c>
      <c r="HT12" s="133">
        <f t="shared" si="50"/>
        <v>1046.5639999999999</v>
      </c>
      <c r="HU12" s="35">
        <v>1077.8409999999999</v>
      </c>
      <c r="HV12" s="35">
        <v>1141.338</v>
      </c>
      <c r="HW12" s="35">
        <v>1227.6690000000001</v>
      </c>
      <c r="HX12" s="32">
        <v>1322.2439999999999</v>
      </c>
      <c r="HY12" s="32">
        <v>1541.366</v>
      </c>
      <c r="HZ12" s="32">
        <v>1624.3130000000001</v>
      </c>
      <c r="IA12" s="32">
        <v>1757.0820000000001</v>
      </c>
      <c r="IB12" s="32">
        <v>1984.979</v>
      </c>
      <c r="IC12" s="32">
        <v>2076.0859999999998</v>
      </c>
      <c r="ID12" s="133">
        <f t="shared" si="51"/>
        <v>2238.268</v>
      </c>
      <c r="IE12" s="33">
        <v>2400.4499999999998</v>
      </c>
      <c r="IF12" s="133">
        <f t="shared" si="52"/>
        <v>2483.8905</v>
      </c>
      <c r="IG12" s="33">
        <v>2567.3310000000001</v>
      </c>
      <c r="IH12" s="33">
        <v>2740.768</v>
      </c>
      <c r="II12" s="33">
        <v>2775.8420000000001</v>
      </c>
      <c r="IJ12" s="33">
        <v>3132.5259999999998</v>
      </c>
      <c r="IK12" s="33">
        <v>3382.3449999999998</v>
      </c>
      <c r="IL12" s="33">
        <v>3436.4929999999999</v>
      </c>
      <c r="IM12" s="33">
        <v>3252.6210000000001</v>
      </c>
      <c r="IN12" s="33">
        <v>3322.596</v>
      </c>
      <c r="IO12" s="440">
        <v>3353.8679999999999</v>
      </c>
      <c r="IP12" s="36">
        <f>(0+256.5+378.6)</f>
        <v>635.1</v>
      </c>
      <c r="IQ12" s="34">
        <f>0.1+328.3+336.2</f>
        <v>664.6</v>
      </c>
      <c r="IR12" s="34">
        <f>0.2+402.4+389.3</f>
        <v>791.9</v>
      </c>
      <c r="IS12" s="34">
        <f>457.462+0.428+393.593+0.071</f>
        <v>851.55399999999997</v>
      </c>
      <c r="IT12" s="34">
        <f>469.176+0.453+461.374</f>
        <v>931.00299999999993</v>
      </c>
      <c r="IU12" s="34">
        <f>606.414+0.43+577.182</f>
        <v>1184.0259999999998</v>
      </c>
      <c r="IV12" s="34">
        <f>600.915+0.121+565.611</f>
        <v>1166.6469999999999</v>
      </c>
      <c r="IW12" s="44">
        <f>696.195+0.132+619.081</f>
        <v>1315.4079999999999</v>
      </c>
      <c r="IX12" s="34">
        <f>723.939+0.124+719.061</f>
        <v>1443.124</v>
      </c>
      <c r="IY12" s="133">
        <f t="shared" si="53"/>
        <v>1553.2855</v>
      </c>
      <c r="IZ12" s="34">
        <v>1663.4469999999999</v>
      </c>
      <c r="JA12" s="35">
        <v>1817.944</v>
      </c>
      <c r="JB12" s="35">
        <v>2002.2329999999999</v>
      </c>
      <c r="JC12" s="32">
        <v>2341.395</v>
      </c>
      <c r="JD12" s="32">
        <v>2353.7049999999999</v>
      </c>
      <c r="JE12" s="32">
        <v>2581.2959999999998</v>
      </c>
      <c r="JF12" s="1">
        <v>2495.1669999999999</v>
      </c>
      <c r="JG12" s="1">
        <v>2613.3180000000002</v>
      </c>
      <c r="JH12" s="1">
        <v>2565.52</v>
      </c>
      <c r="JI12" s="133">
        <f t="shared" si="54"/>
        <v>2741.3009999999999</v>
      </c>
      <c r="JJ12" s="1">
        <v>2917.0819999999999</v>
      </c>
      <c r="JK12" s="133">
        <f t="shared" si="55"/>
        <v>2968.7555000000002</v>
      </c>
      <c r="JL12" s="1">
        <v>3020.4290000000001</v>
      </c>
      <c r="JM12" s="1">
        <v>2964.6509999999998</v>
      </c>
      <c r="JN12" s="1">
        <v>3002.8150000000001</v>
      </c>
      <c r="JO12" s="33">
        <v>3355.355</v>
      </c>
      <c r="JP12" s="33">
        <v>3529.886</v>
      </c>
      <c r="JQ12" s="33">
        <v>3631.3820000000001</v>
      </c>
      <c r="JR12" s="33">
        <v>4009.797</v>
      </c>
      <c r="JS12" s="1">
        <v>3787.6379999999999</v>
      </c>
      <c r="JT12" s="448">
        <v>3733.97</v>
      </c>
    </row>
    <row r="13" spans="1:280" s="13" customFormat="1">
      <c r="A13" s="221" t="s">
        <v>29</v>
      </c>
      <c r="B13" s="35">
        <f>0+5340.6</f>
        <v>5340.6</v>
      </c>
      <c r="C13" s="34">
        <v>5771.7</v>
      </c>
      <c r="D13" s="34">
        <f>0+6392.5</f>
        <v>6392.5</v>
      </c>
      <c r="E13" s="34">
        <v>6697.7879999999996</v>
      </c>
      <c r="F13" s="34">
        <f>7162.052+0</f>
        <v>7162.0519999999997</v>
      </c>
      <c r="G13" s="34">
        <f>7775.583+0</f>
        <v>7775.5829999999996</v>
      </c>
      <c r="H13" s="34">
        <v>8465.402</v>
      </c>
      <c r="I13" s="44">
        <v>9140.3520000000008</v>
      </c>
      <c r="J13" s="34">
        <v>9605.5040000000008</v>
      </c>
      <c r="K13" s="133">
        <f t="shared" si="7"/>
        <v>10779.951499999999</v>
      </c>
      <c r="L13" s="34">
        <v>11954.398999999999</v>
      </c>
      <c r="M13" s="35">
        <v>12398.501</v>
      </c>
      <c r="N13" s="35">
        <v>12709.630999999999</v>
      </c>
      <c r="O13" s="35">
        <v>13658.907999999999</v>
      </c>
      <c r="P13" s="41">
        <v>14634.315000000001</v>
      </c>
      <c r="Q13" s="33">
        <v>15587.421</v>
      </c>
      <c r="R13" s="33">
        <v>16609.315999999999</v>
      </c>
      <c r="S13" s="33">
        <v>18061.922999999999</v>
      </c>
      <c r="T13" s="33">
        <v>19020.312000000002</v>
      </c>
      <c r="U13" s="133">
        <f t="shared" si="8"/>
        <v>20305.995999999999</v>
      </c>
      <c r="V13" s="33">
        <v>21591.68</v>
      </c>
      <c r="W13" s="133">
        <f t="shared" si="9"/>
        <v>22468.891499999998</v>
      </c>
      <c r="X13" s="33">
        <v>23346.102999999999</v>
      </c>
      <c r="Y13" s="33">
        <v>23443.305</v>
      </c>
      <c r="Z13" s="33">
        <v>25745.350999999999</v>
      </c>
      <c r="AA13" s="33">
        <v>27109.719000000001</v>
      </c>
      <c r="AB13" s="33">
        <v>29472.868999999999</v>
      </c>
      <c r="AC13" s="33">
        <v>30313.772000000001</v>
      </c>
      <c r="AD13" s="33">
        <v>31842.867999999999</v>
      </c>
      <c r="AE13" s="33">
        <v>32329.571</v>
      </c>
      <c r="AF13" s="440">
        <v>32742.117999999999</v>
      </c>
      <c r="AG13" s="215">
        <f>1903+20.8</f>
        <v>1923.8</v>
      </c>
      <c r="AH13" s="34">
        <f>2150.8+19</f>
        <v>2169.8000000000002</v>
      </c>
      <c r="AI13" s="34">
        <f>2266.3+21</f>
        <v>2287.3000000000002</v>
      </c>
      <c r="AJ13" s="34">
        <f>2412.669+24.834</f>
        <v>2437.5029999999997</v>
      </c>
      <c r="AK13" s="34">
        <f>2569.691+27.622</f>
        <v>2597.3129999999996</v>
      </c>
      <c r="AL13" s="34">
        <f>2679.055+24.99</f>
        <v>2704.0449999999996</v>
      </c>
      <c r="AM13" s="34">
        <f>2999.927+25.203</f>
        <v>3025.13</v>
      </c>
      <c r="AN13" s="44">
        <f>3101.055+35.96</f>
        <v>3137.0149999999999</v>
      </c>
      <c r="AO13" s="34">
        <f>3380.647+35.703</f>
        <v>3416.35</v>
      </c>
      <c r="AP13" s="133">
        <f t="shared" si="10"/>
        <v>3735.67</v>
      </c>
      <c r="AQ13" s="30">
        <v>4054.99</v>
      </c>
      <c r="AR13" s="35">
        <v>4208.692</v>
      </c>
      <c r="AS13" s="35">
        <v>4492.2939999999999</v>
      </c>
      <c r="AT13" s="32">
        <v>4818.0609999999997</v>
      </c>
      <c r="AU13" s="33">
        <v>5404.5450000000001</v>
      </c>
      <c r="AV13" s="33">
        <v>5410.7759999999998</v>
      </c>
      <c r="AW13" s="33">
        <v>5637.8739999999998</v>
      </c>
      <c r="AX13" s="33">
        <v>6046.4920000000002</v>
      </c>
      <c r="AY13" s="33">
        <v>6426.2939999999999</v>
      </c>
      <c r="AZ13" s="133">
        <f t="shared" si="11"/>
        <v>6698.58</v>
      </c>
      <c r="BA13" s="33">
        <v>6970.866</v>
      </c>
      <c r="BB13" s="133">
        <f t="shared" si="12"/>
        <v>7406.6334999999999</v>
      </c>
      <c r="BC13" s="33">
        <v>7842.4009999999998</v>
      </c>
      <c r="BD13" s="33">
        <v>8337.4419999999991</v>
      </c>
      <c r="BE13" s="33">
        <v>9263.8940000000002</v>
      </c>
      <c r="BF13" s="33">
        <v>9823.7690000000002</v>
      </c>
      <c r="BG13" s="33">
        <v>10757.418</v>
      </c>
      <c r="BH13" s="33">
        <v>10852.31</v>
      </c>
      <c r="BI13" s="33">
        <v>11357.314</v>
      </c>
      <c r="BJ13" s="33">
        <v>11554.183999999999</v>
      </c>
      <c r="BK13" s="440">
        <v>11788.08</v>
      </c>
      <c r="BL13" s="36">
        <v>1164.0999999999999</v>
      </c>
      <c r="BM13" s="34">
        <v>1368.6</v>
      </c>
      <c r="BN13" s="34">
        <v>1383.4</v>
      </c>
      <c r="BO13" s="34">
        <v>1473.6369999999999</v>
      </c>
      <c r="BP13" s="34">
        <v>1602.0060000000001</v>
      </c>
      <c r="BQ13" s="34">
        <v>1650.2860000000001</v>
      </c>
      <c r="BR13" s="34">
        <v>1859.434</v>
      </c>
      <c r="BS13" s="44">
        <v>1906.45</v>
      </c>
      <c r="BT13" s="34">
        <v>1998.623</v>
      </c>
      <c r="BU13" s="133">
        <f t="shared" si="13"/>
        <v>2228.3890000000001</v>
      </c>
      <c r="BV13" s="34">
        <v>2458.1550000000002</v>
      </c>
      <c r="BW13" s="35">
        <v>2595.3449999999998</v>
      </c>
      <c r="BX13" s="35">
        <v>2744.556</v>
      </c>
      <c r="BY13" s="32">
        <v>3014.5369999999998</v>
      </c>
      <c r="BZ13" s="32">
        <v>3441.13</v>
      </c>
      <c r="CA13" s="32">
        <v>3410.018</v>
      </c>
      <c r="CB13" s="32">
        <v>3507.0770000000002</v>
      </c>
      <c r="CC13" s="32">
        <v>3766.7080000000001</v>
      </c>
      <c r="CD13" s="33">
        <v>3948.2669999999998</v>
      </c>
      <c r="CE13" s="133">
        <f t="shared" si="14"/>
        <v>3922.3344999999999</v>
      </c>
      <c r="CF13" s="33">
        <v>3896.402</v>
      </c>
      <c r="CG13" s="133">
        <f t="shared" si="15"/>
        <v>4228.6464999999998</v>
      </c>
      <c r="CH13" s="33">
        <v>4560.8909999999996</v>
      </c>
      <c r="CI13" s="33">
        <v>4954.5200000000004</v>
      </c>
      <c r="CJ13" s="33">
        <v>5638.0889999999999</v>
      </c>
      <c r="CK13" s="33">
        <v>5875.0910000000003</v>
      </c>
      <c r="CL13" s="33">
        <v>6330.9369999999999</v>
      </c>
      <c r="CM13" s="33">
        <v>6305.585</v>
      </c>
      <c r="CN13" s="33">
        <v>6600.8609999999999</v>
      </c>
      <c r="CO13" s="33">
        <v>6754.701</v>
      </c>
      <c r="CP13" s="440">
        <v>6931.116</v>
      </c>
      <c r="CQ13" s="37">
        <v>585.79999999999995</v>
      </c>
      <c r="CR13" s="35">
        <v>621.29999999999995</v>
      </c>
      <c r="CS13" s="35">
        <v>697.4</v>
      </c>
      <c r="CT13" s="35">
        <v>725.61099999999999</v>
      </c>
      <c r="CU13" s="35">
        <v>781.67899999999997</v>
      </c>
      <c r="CV13" s="35">
        <v>829.346</v>
      </c>
      <c r="CW13" s="35">
        <v>884.49300000000005</v>
      </c>
      <c r="CX13" s="41">
        <v>931.64400000000001</v>
      </c>
      <c r="CY13" s="35">
        <v>1069.366</v>
      </c>
      <c r="CZ13" s="133">
        <f t="shared" si="16"/>
        <v>1130.5574999999999</v>
      </c>
      <c r="DA13" s="35">
        <f>1191749/1000</f>
        <v>1191.749</v>
      </c>
      <c r="DB13" s="35">
        <v>1243.2139999999999</v>
      </c>
      <c r="DC13" s="35">
        <v>1281.1759999999999</v>
      </c>
      <c r="DD13" s="32">
        <v>1316.1469999999999</v>
      </c>
      <c r="DE13" s="43">
        <v>1413.1220000000001</v>
      </c>
      <c r="DF13" s="42">
        <v>1560.1279999999999</v>
      </c>
      <c r="DG13" s="42">
        <v>1671.462</v>
      </c>
      <c r="DH13" s="42">
        <v>1845.575</v>
      </c>
      <c r="DI13" s="42">
        <v>2033.0920000000001</v>
      </c>
      <c r="DJ13" s="133">
        <f t="shared" si="17"/>
        <v>2217.8604999999998</v>
      </c>
      <c r="DK13" s="33">
        <v>2402.6289999999999</v>
      </c>
      <c r="DL13" s="133">
        <f t="shared" si="18"/>
        <v>2461.4695000000002</v>
      </c>
      <c r="DM13" s="33">
        <v>2520.31</v>
      </c>
      <c r="DN13" s="33">
        <v>2565.6550000000002</v>
      </c>
      <c r="DO13" s="33">
        <v>2749.348</v>
      </c>
      <c r="DP13" s="33">
        <v>2998.5219999999999</v>
      </c>
      <c r="DQ13" s="33">
        <v>3428.364</v>
      </c>
      <c r="DR13" s="33">
        <v>3531.509</v>
      </c>
      <c r="DS13" s="33">
        <v>3733.6909999999998</v>
      </c>
      <c r="DT13" s="33">
        <v>3774.5279999999998</v>
      </c>
      <c r="DU13" s="440">
        <v>3751.105</v>
      </c>
      <c r="DV13" s="38">
        <f t="shared" si="62"/>
        <v>173.90000000000009</v>
      </c>
      <c r="DW13" s="39">
        <f t="shared" si="56"/>
        <v>179.90000000000032</v>
      </c>
      <c r="DX13" s="39">
        <f t="shared" si="57"/>
        <v>206.50000000000011</v>
      </c>
      <c r="DY13" s="39">
        <f t="shared" si="58"/>
        <v>238.25499999999977</v>
      </c>
      <c r="DZ13" s="39">
        <f t="shared" si="59"/>
        <v>213.62799999999959</v>
      </c>
      <c r="EA13" s="39">
        <f t="shared" si="60"/>
        <v>224.41299999999956</v>
      </c>
      <c r="EB13" s="39">
        <f t="shared" si="61"/>
        <v>281.20300000000009</v>
      </c>
      <c r="EC13" s="39">
        <f t="shared" si="20"/>
        <v>298.92099999999982</v>
      </c>
      <c r="ED13" s="39">
        <f t="shared" si="21"/>
        <v>348.36099999999988</v>
      </c>
      <c r="EE13" s="39">
        <f t="shared" si="22"/>
        <v>376.72350000000006</v>
      </c>
      <c r="EF13" s="39">
        <f t="shared" si="23"/>
        <v>405.08599999999956</v>
      </c>
      <c r="EG13" s="40">
        <f t="shared" si="24"/>
        <v>370.13300000000027</v>
      </c>
      <c r="EH13" s="40">
        <f t="shared" si="25"/>
        <v>466.5619999999999</v>
      </c>
      <c r="EI13" s="40">
        <f t="shared" si="26"/>
        <v>487.37699999999995</v>
      </c>
      <c r="EJ13" s="40">
        <f t="shared" si="27"/>
        <v>550.29299999999989</v>
      </c>
      <c r="EK13" s="40">
        <f t="shared" si="28"/>
        <v>440.62999999999988</v>
      </c>
      <c r="EL13" s="40">
        <f t="shared" si="29"/>
        <v>459.33499999999958</v>
      </c>
      <c r="EM13" s="40">
        <f t="shared" si="30"/>
        <v>434.20900000000006</v>
      </c>
      <c r="EN13" s="40">
        <f t="shared" si="31"/>
        <v>444.93499999999995</v>
      </c>
      <c r="EO13" s="40">
        <f t="shared" si="32"/>
        <v>558.38500000000022</v>
      </c>
      <c r="EP13" s="40">
        <f t="shared" si="33"/>
        <v>671.83500000000004</v>
      </c>
      <c r="EQ13" s="40">
        <f t="shared" si="34"/>
        <v>716.51749999999993</v>
      </c>
      <c r="ER13" s="40">
        <f t="shared" si="35"/>
        <v>761.20000000000027</v>
      </c>
      <c r="ES13" s="40">
        <f t="shared" si="36"/>
        <v>817.26699999999846</v>
      </c>
      <c r="ET13" s="40">
        <f t="shared" si="37"/>
        <v>876.45700000000033</v>
      </c>
      <c r="EU13" s="40">
        <f t="shared" si="38"/>
        <v>950.15599999999995</v>
      </c>
      <c r="EV13" s="40">
        <f t="shared" si="39"/>
        <v>998.11699999999973</v>
      </c>
      <c r="EW13" s="40">
        <f t="shared" si="40"/>
        <v>1015.2159999999994</v>
      </c>
      <c r="EX13" s="40">
        <f t="shared" si="41"/>
        <v>1022.7620000000006</v>
      </c>
      <c r="EY13" s="40">
        <f t="shared" si="42"/>
        <v>1024.9549999999995</v>
      </c>
      <c r="EZ13" s="40">
        <f t="shared" si="43"/>
        <v>1105.8589999999999</v>
      </c>
      <c r="FA13" s="176">
        <f>737.8+363.9+13.7+0.1</f>
        <v>1115.4999999999998</v>
      </c>
      <c r="FB13" s="35">
        <f>762.9+335.8+25+1</f>
        <v>1124.7</v>
      </c>
      <c r="FC13" s="35">
        <f>829.2+393.8+22.2+1</f>
        <v>1246.2</v>
      </c>
      <c r="FD13" s="35">
        <f>879.107+289.792+165.752+35.443+1.014</f>
        <v>1371.1079999999997</v>
      </c>
      <c r="FE13" s="35">
        <f>944.627+284.462+187.518+38.74+0.904</f>
        <v>1456.251</v>
      </c>
      <c r="FF13" s="35">
        <f>1006.218+309.455+174.889+39.233+0.954</f>
        <v>1530.7489999999998</v>
      </c>
      <c r="FG13" s="35">
        <f>1128.244+408.266+202.745+35.771+1.062</f>
        <v>1776.088</v>
      </c>
      <c r="FH13" s="41">
        <f>1261.626+456.598+216.177+37.999+1.599</f>
        <v>1973.9989999999998</v>
      </c>
      <c r="FI13" s="35">
        <f>1432.253+485.813+219.715+41.542+1.385</f>
        <v>2180.7080000000001</v>
      </c>
      <c r="FJ13" s="133">
        <f t="shared" si="44"/>
        <v>2722.0029999999997</v>
      </c>
      <c r="FK13" s="35">
        <v>3263.2979999999998</v>
      </c>
      <c r="FL13" s="35">
        <v>3430.7579999999998</v>
      </c>
      <c r="FM13" s="35">
        <v>3455.9609999999998</v>
      </c>
      <c r="FN13" s="32">
        <v>3739.1550000000002</v>
      </c>
      <c r="FO13" s="33">
        <v>3773.2150000000001</v>
      </c>
      <c r="FP13" s="33">
        <v>4298.6170000000002</v>
      </c>
      <c r="FQ13" s="33">
        <v>4470.1400000000003</v>
      </c>
      <c r="FR13" s="33">
        <v>4745.8770000000004</v>
      </c>
      <c r="FS13" s="33">
        <v>5243.2640000000001</v>
      </c>
      <c r="FT13" s="133">
        <f t="shared" si="45"/>
        <v>5777.7839999999997</v>
      </c>
      <c r="FU13" s="33">
        <v>6312.3040000000001</v>
      </c>
      <c r="FV13" s="133">
        <f t="shared" si="46"/>
        <v>6589.0594999999994</v>
      </c>
      <c r="FW13" s="33">
        <v>6865.8149999999996</v>
      </c>
      <c r="FX13" s="33">
        <v>7120.3559999999998</v>
      </c>
      <c r="FY13" s="33">
        <v>7550.8559999999998</v>
      </c>
      <c r="FZ13" s="33">
        <v>7910.3490000000002</v>
      </c>
      <c r="GA13" s="33">
        <v>8646.5879999999997</v>
      </c>
      <c r="GB13" s="33">
        <v>9583.6129999999994</v>
      </c>
      <c r="GC13" s="33">
        <v>9886.2389999999996</v>
      </c>
      <c r="GD13" s="33">
        <v>10024.725</v>
      </c>
      <c r="GE13" s="440">
        <v>9921.8220000000001</v>
      </c>
      <c r="GF13" s="37">
        <f>656.2+17.6+2.7+168.6+60.4+94+39.7+193.3+83.8+43.1+135.2</f>
        <v>1494.6</v>
      </c>
      <c r="GG13" s="35">
        <f>702.6+26+3.3+145.1+64.5+104.5+46.6+196.7+109.4+41.6+94.8</f>
        <v>1535.1</v>
      </c>
      <c r="GH13" s="35">
        <f>773.7+31.2+4.3+192.4+82.2+116.3+46.3+225.9+122.1+47.8+128.6</f>
        <v>1770.7999999999997</v>
      </c>
      <c r="GI13" s="35">
        <f>720.302+65.593+2.106+1.271+191.648+79.541+118.93+46.701+157.405+82.71+125.389+99.567+50.383</f>
        <v>1741.546</v>
      </c>
      <c r="GJ13" s="35">
        <f>820.859+29.288+2.455+1.488+0.272+206.116+83.831+135.317+49.58+165.436+89.594+125.97+132.51+48.409</f>
        <v>1891.1250000000002</v>
      </c>
      <c r="GK13" s="35">
        <f>926.529+78.332+9.733+2.121+0.824+220.467+87.357+149.335+47.514+180.822+89.951+155.091+147.241+61.824</f>
        <v>2157.1409999999996</v>
      </c>
      <c r="GL13" s="35">
        <f>873.458+48.897+6.854+2.782+0.584+227.766+90.694+177.838+53.53+183.149+98.556+161.849+169.703+60.991</f>
        <v>2156.6510000000003</v>
      </c>
      <c r="GM13" s="41">
        <f>1043.224+82.23+4.329+2.343+0.695+253.126+97.152+228.292+45.794+175.763+115.336+195.834+161.352+72.393</f>
        <v>2477.8629999999994</v>
      </c>
      <c r="GN13" s="1">
        <f>806.455+94.714+10.155+4.798+2.829+263.835+109.127+233.474+46.852+215.36+121.544+94.503+163.893+79.521</f>
        <v>2247.0600000000004</v>
      </c>
      <c r="GO13" s="133">
        <f t="shared" si="47"/>
        <v>2503.7860000000001</v>
      </c>
      <c r="GP13" s="1">
        <v>2760.5120000000002</v>
      </c>
      <c r="GQ13" s="35">
        <v>2813.578</v>
      </c>
      <c r="GR13" s="35">
        <v>2807.1320000000001</v>
      </c>
      <c r="GS13" s="32">
        <v>3070.53</v>
      </c>
      <c r="GT13" s="32">
        <v>3200.922</v>
      </c>
      <c r="GU13" s="32">
        <v>3396.6019999999999</v>
      </c>
      <c r="GV13" s="32">
        <v>3793.47</v>
      </c>
      <c r="GW13" s="32">
        <v>4345.0190000000002</v>
      </c>
      <c r="GX13" s="32">
        <v>4611.1610000000001</v>
      </c>
      <c r="GY13" s="133">
        <f t="shared" si="48"/>
        <v>4842.9889999999996</v>
      </c>
      <c r="GZ13" s="33">
        <v>5074.817</v>
      </c>
      <c r="HA13" s="133">
        <f t="shared" si="49"/>
        <v>5174.1769999999997</v>
      </c>
      <c r="HB13" s="33">
        <v>5273.5370000000003</v>
      </c>
      <c r="HC13" s="33">
        <v>4952.5550000000003</v>
      </c>
      <c r="HD13" s="33">
        <v>5403.018</v>
      </c>
      <c r="HE13" s="33">
        <v>6005.0559999999996</v>
      </c>
      <c r="HF13" s="33">
        <v>6358.5940000000001</v>
      </c>
      <c r="HG13" s="33">
        <v>5994.1909999999998</v>
      </c>
      <c r="HH13" s="33">
        <v>6441.3050000000003</v>
      </c>
      <c r="HI13" s="33">
        <v>6397.6480000000001</v>
      </c>
      <c r="HJ13" s="440">
        <v>6785.3040000000001</v>
      </c>
      <c r="HK13" s="37">
        <f>70.3+117.3+32.3</f>
        <v>219.89999999999998</v>
      </c>
      <c r="HL13" s="35">
        <f>109.6+140.2+31.8</f>
        <v>281.59999999999997</v>
      </c>
      <c r="HM13" s="35">
        <f>138.8+150.1+34.6</f>
        <v>323.5</v>
      </c>
      <c r="HN13" s="35">
        <f>119.906+95.19+23.93+71.814</f>
        <v>310.84000000000003</v>
      </c>
      <c r="HO13" s="35">
        <f>138.853+101.091+30.202+86.04</f>
        <v>356.18600000000004</v>
      </c>
      <c r="HP13" s="35">
        <f>160.634+113.043+41.717+90.151</f>
        <v>405.54500000000002</v>
      </c>
      <c r="HQ13" s="35">
        <f>145.657+117.125+40.661+99.937</f>
        <v>403.38000000000005</v>
      </c>
      <c r="HR13" s="41">
        <f>150.189+121.019+46.312+94.309</f>
        <v>411.82899999999995</v>
      </c>
      <c r="HS13" s="35">
        <f>166.625+128.821+42.925+98.474</f>
        <v>436.84500000000003</v>
      </c>
      <c r="HT13" s="133">
        <f t="shared" si="50"/>
        <v>473.78949999999998</v>
      </c>
      <c r="HU13" s="35">
        <v>510.73399999999998</v>
      </c>
      <c r="HV13" s="35">
        <v>514.077</v>
      </c>
      <c r="HW13" s="35">
        <v>526.36500000000001</v>
      </c>
      <c r="HX13" s="32">
        <v>569.57600000000002</v>
      </c>
      <c r="HY13" s="32">
        <v>625.36199999999997</v>
      </c>
      <c r="HZ13" s="32">
        <v>687.07600000000002</v>
      </c>
      <c r="IA13" s="32">
        <v>709.31700000000001</v>
      </c>
      <c r="IB13" s="32">
        <v>865.404</v>
      </c>
      <c r="IC13" s="32">
        <v>849.80499999999995</v>
      </c>
      <c r="ID13" s="133">
        <f t="shared" si="51"/>
        <v>930.20650000000001</v>
      </c>
      <c r="IE13" s="33">
        <v>1010.6079999999999</v>
      </c>
      <c r="IF13" s="133">
        <f t="shared" si="52"/>
        <v>994.08749999999998</v>
      </c>
      <c r="IG13" s="33">
        <v>977.56700000000001</v>
      </c>
      <c r="IH13" s="33">
        <v>985.32600000000002</v>
      </c>
      <c r="II13" s="33">
        <v>1245.231</v>
      </c>
      <c r="IJ13" s="33">
        <v>1241.077</v>
      </c>
      <c r="IK13" s="33">
        <v>1414.847</v>
      </c>
      <c r="IL13" s="33">
        <v>1384.2370000000001</v>
      </c>
      <c r="IM13" s="33">
        <v>1448.856</v>
      </c>
      <c r="IN13" s="33">
        <v>1529.7380000000001</v>
      </c>
      <c r="IO13" s="440">
        <v>1460.155</v>
      </c>
      <c r="IP13" s="36">
        <f>(0+409+177.9)</f>
        <v>586.9</v>
      </c>
      <c r="IQ13" s="34">
        <f>0+445.2+215.2</f>
        <v>660.4</v>
      </c>
      <c r="IR13" s="34">
        <f>526.3+238.2</f>
        <v>764.5</v>
      </c>
      <c r="IS13" s="34">
        <f>563.585+273.206</f>
        <v>836.79100000000005</v>
      </c>
      <c r="IT13" s="34">
        <f>545.841+0.019+315.317</f>
        <v>861.17700000000002</v>
      </c>
      <c r="IU13" s="34">
        <f>661.15+0.011+316.942</f>
        <v>978.10299999999995</v>
      </c>
      <c r="IV13" s="34">
        <f>713.448+0.001+390.704</f>
        <v>1104.153</v>
      </c>
      <c r="IW13" s="44">
        <f>760.03+379.616</f>
        <v>1139.646</v>
      </c>
      <c r="IX13" s="34">
        <f>829.372+495.169</f>
        <v>1324.5409999999999</v>
      </c>
      <c r="IY13" s="133">
        <f t="shared" si="53"/>
        <v>1344.703</v>
      </c>
      <c r="IZ13" s="34">
        <v>1364.865</v>
      </c>
      <c r="JA13" s="35">
        <v>1431.396</v>
      </c>
      <c r="JB13" s="35">
        <v>1427.8789999999999</v>
      </c>
      <c r="JC13" s="32">
        <v>1461.586</v>
      </c>
      <c r="JD13" s="32">
        <v>1630.271</v>
      </c>
      <c r="JE13" s="32">
        <v>1794.35</v>
      </c>
      <c r="JF13" s="1">
        <v>1998.5150000000001</v>
      </c>
      <c r="JG13" s="1">
        <v>2059.1309999999999</v>
      </c>
      <c r="JH13" s="1">
        <v>1889.788</v>
      </c>
      <c r="JI13" s="133">
        <f t="shared" si="54"/>
        <v>2056.4364999999998</v>
      </c>
      <c r="JJ13" s="1">
        <v>2223.085</v>
      </c>
      <c r="JK13" s="133">
        <f t="shared" si="55"/>
        <v>2304.9340000000002</v>
      </c>
      <c r="JL13" s="1">
        <v>2386.7829999999999</v>
      </c>
      <c r="JM13" s="1">
        <v>2047.626</v>
      </c>
      <c r="JN13" s="1">
        <v>2282.3519999999999</v>
      </c>
      <c r="JO13" s="33">
        <v>2129.4679999999998</v>
      </c>
      <c r="JP13" s="33">
        <v>2295.422</v>
      </c>
      <c r="JQ13" s="33">
        <v>2499.4209999999998</v>
      </c>
      <c r="JR13" s="33">
        <v>2709.1559999999999</v>
      </c>
      <c r="JS13" s="13">
        <v>2823.2759999999998</v>
      </c>
      <c r="JT13" s="448">
        <v>2786.7570000000001</v>
      </c>
    </row>
    <row r="14" spans="1:280" s="13" customFormat="1">
      <c r="A14" s="221" t="s">
        <v>30</v>
      </c>
      <c r="B14" s="35">
        <f>0.6+8597.1</f>
        <v>8597.7000000000007</v>
      </c>
      <c r="C14" s="34">
        <f>0.6+9404</f>
        <v>9404.6</v>
      </c>
      <c r="D14" s="34">
        <f>0.1+9991.4</f>
        <v>9991.5</v>
      </c>
      <c r="E14" s="34">
        <f>10344.057+0.066</f>
        <v>10344.123000000001</v>
      </c>
      <c r="F14" s="34">
        <f>10907.652+0.002</f>
        <v>10907.654</v>
      </c>
      <c r="G14" s="34">
        <f>11013.432+0.016</f>
        <v>11013.448</v>
      </c>
      <c r="H14" s="34">
        <v>11131.392</v>
      </c>
      <c r="I14" s="44">
        <v>11853.612999999999</v>
      </c>
      <c r="J14" s="34">
        <v>12926.36</v>
      </c>
      <c r="K14" s="133">
        <f t="shared" si="7"/>
        <v>14353.174999999999</v>
      </c>
      <c r="L14" s="34">
        <v>15779.99</v>
      </c>
      <c r="M14" s="35">
        <v>16533.013999999999</v>
      </c>
      <c r="N14" s="35">
        <v>16852.082999999999</v>
      </c>
      <c r="O14" s="35">
        <v>18625.153999999999</v>
      </c>
      <c r="P14" s="41">
        <v>18391.437000000002</v>
      </c>
      <c r="Q14" s="33">
        <v>18816.476999999999</v>
      </c>
      <c r="R14" s="33">
        <v>19863.705000000002</v>
      </c>
      <c r="S14" s="33">
        <v>21117.743999999999</v>
      </c>
      <c r="T14" s="33">
        <v>22277.007000000001</v>
      </c>
      <c r="U14" s="133">
        <f t="shared" si="8"/>
        <v>23298.777999999998</v>
      </c>
      <c r="V14" s="33">
        <v>24320.548999999999</v>
      </c>
      <c r="W14" s="133">
        <f t="shared" si="9"/>
        <v>25785.607</v>
      </c>
      <c r="X14" s="33">
        <v>27250.665000000001</v>
      </c>
      <c r="Y14" s="33">
        <v>28527.885999999999</v>
      </c>
      <c r="Z14" s="33">
        <v>30504.85</v>
      </c>
      <c r="AA14" s="33">
        <v>34646.14</v>
      </c>
      <c r="AB14" s="33">
        <v>41361.851999999999</v>
      </c>
      <c r="AC14" s="33">
        <v>41231.504000000001</v>
      </c>
      <c r="AD14" s="33">
        <v>42892.267999999996</v>
      </c>
      <c r="AE14" s="33">
        <v>42827.114999999998</v>
      </c>
      <c r="AF14" s="440">
        <v>42526.224999999999</v>
      </c>
      <c r="AG14" s="215">
        <f>2942.6+27.9</f>
        <v>2970.5</v>
      </c>
      <c r="AH14" s="34">
        <f>3038.9+28.3</f>
        <v>3067.2000000000003</v>
      </c>
      <c r="AI14" s="34">
        <f>3190.6+34.5</f>
        <v>3225.1</v>
      </c>
      <c r="AJ14" s="34">
        <f>3280.019+41.695</f>
        <v>3321.7139999999999</v>
      </c>
      <c r="AK14" s="34">
        <f>3530.936+36.029</f>
        <v>3566.9650000000001</v>
      </c>
      <c r="AL14" s="34">
        <f>3415.317+42.134</f>
        <v>3457.451</v>
      </c>
      <c r="AM14" s="34">
        <f>3383.234+55.429</f>
        <v>3438.663</v>
      </c>
      <c r="AN14" s="44">
        <f>3703.727+49.028</f>
        <v>3752.7549999999997</v>
      </c>
      <c r="AO14" s="34">
        <f>4132.113+52.993</f>
        <v>4185.1060000000007</v>
      </c>
      <c r="AP14" s="133">
        <f t="shared" si="10"/>
        <v>4616.6115000000009</v>
      </c>
      <c r="AQ14" s="30">
        <v>5048.1170000000002</v>
      </c>
      <c r="AR14" s="35">
        <v>5000.9110000000001</v>
      </c>
      <c r="AS14" s="35">
        <v>5161.71</v>
      </c>
      <c r="AT14" s="32">
        <v>5535.1989999999996</v>
      </c>
      <c r="AU14" s="33">
        <v>5729.8729999999996</v>
      </c>
      <c r="AV14" s="33">
        <v>6005.1750000000002</v>
      </c>
      <c r="AW14" s="33">
        <v>6418.7560000000003</v>
      </c>
      <c r="AX14" s="33">
        <v>6978.951</v>
      </c>
      <c r="AY14" s="33">
        <v>7279.6019999999999</v>
      </c>
      <c r="AZ14" s="133">
        <f t="shared" si="11"/>
        <v>7693.6549999999997</v>
      </c>
      <c r="BA14" s="33">
        <v>8107.7079999999996</v>
      </c>
      <c r="BB14" s="133">
        <f t="shared" si="12"/>
        <v>8427.5535</v>
      </c>
      <c r="BC14" s="33">
        <v>8747.3989999999994</v>
      </c>
      <c r="BD14" s="33">
        <v>9117.6779999999999</v>
      </c>
      <c r="BE14" s="33">
        <v>9280.5669999999991</v>
      </c>
      <c r="BF14" s="33">
        <v>10263.825000000001</v>
      </c>
      <c r="BG14" s="33">
        <v>11974.977999999999</v>
      </c>
      <c r="BH14" s="33">
        <v>12395.853999999999</v>
      </c>
      <c r="BI14" s="33">
        <v>12238.138000000001</v>
      </c>
      <c r="BJ14" s="33">
        <v>12320.751</v>
      </c>
      <c r="BK14" s="440">
        <v>13022.453</v>
      </c>
      <c r="BL14" s="36">
        <v>2000.4</v>
      </c>
      <c r="BM14" s="34">
        <v>1978.8</v>
      </c>
      <c r="BN14" s="34">
        <v>2036.1</v>
      </c>
      <c r="BO14" s="34">
        <v>2198.63</v>
      </c>
      <c r="BP14" s="34">
        <v>2346.36</v>
      </c>
      <c r="BQ14" s="34">
        <v>2299.1210000000001</v>
      </c>
      <c r="BR14" s="34">
        <v>2240.7669999999998</v>
      </c>
      <c r="BS14" s="44">
        <v>2565.1849999999999</v>
      </c>
      <c r="BT14" s="34">
        <v>2895.06</v>
      </c>
      <c r="BU14" s="133">
        <f t="shared" si="13"/>
        <v>3192.7884999999997</v>
      </c>
      <c r="BV14" s="34">
        <v>3490.5169999999998</v>
      </c>
      <c r="BW14" s="35">
        <v>3371.8209999999999</v>
      </c>
      <c r="BX14" s="35">
        <v>3474.739</v>
      </c>
      <c r="BY14" s="32">
        <v>3670.3090000000002</v>
      </c>
      <c r="BZ14" s="32">
        <v>3773.1170000000002</v>
      </c>
      <c r="CA14" s="32">
        <v>3973.77</v>
      </c>
      <c r="CB14" s="32">
        <v>4286.6549999999997</v>
      </c>
      <c r="CC14" s="32">
        <v>4611.9210000000003</v>
      </c>
      <c r="CD14" s="33">
        <v>4723.6419999999998</v>
      </c>
      <c r="CE14" s="133">
        <f t="shared" si="14"/>
        <v>4973.4259999999995</v>
      </c>
      <c r="CF14" s="33">
        <v>5223.21</v>
      </c>
      <c r="CG14" s="133">
        <f t="shared" si="15"/>
        <v>5429.1570000000002</v>
      </c>
      <c r="CH14" s="33">
        <v>5635.1040000000003</v>
      </c>
      <c r="CI14" s="33">
        <v>5872.0820000000003</v>
      </c>
      <c r="CJ14" s="33">
        <v>5962.6719999999996</v>
      </c>
      <c r="CK14" s="33">
        <v>6625.9709999999995</v>
      </c>
      <c r="CL14" s="33">
        <v>7510.2640000000001</v>
      </c>
      <c r="CM14" s="33">
        <v>7962.0320000000002</v>
      </c>
      <c r="CN14" s="33">
        <v>8031.2449999999999</v>
      </c>
      <c r="CO14" s="33">
        <v>8173.6629999999996</v>
      </c>
      <c r="CP14" s="440">
        <v>8729.5069999999996</v>
      </c>
      <c r="CQ14" s="37">
        <v>734.7</v>
      </c>
      <c r="CR14" s="35">
        <v>827.7</v>
      </c>
      <c r="CS14" s="35">
        <v>957</v>
      </c>
      <c r="CT14" s="35">
        <v>888.70100000000002</v>
      </c>
      <c r="CU14" s="35">
        <v>956.7</v>
      </c>
      <c r="CV14" s="35">
        <v>928.87</v>
      </c>
      <c r="CW14" s="35">
        <v>969.55100000000004</v>
      </c>
      <c r="CX14" s="41">
        <v>941.74</v>
      </c>
      <c r="CY14" s="35">
        <v>1011.615</v>
      </c>
      <c r="CZ14" s="133">
        <f t="shared" si="16"/>
        <v>1125.8254999999999</v>
      </c>
      <c r="DA14" s="35">
        <f>1240036/1000</f>
        <v>1240.0360000000001</v>
      </c>
      <c r="DB14" s="35">
        <v>1301.8689999999999</v>
      </c>
      <c r="DC14" s="35">
        <v>1350.585</v>
      </c>
      <c r="DD14" s="32">
        <v>1481.702</v>
      </c>
      <c r="DE14" s="43">
        <v>1562.049</v>
      </c>
      <c r="DF14" s="42">
        <v>1642.4880000000001</v>
      </c>
      <c r="DG14" s="42">
        <v>1696.5150000000001</v>
      </c>
      <c r="DH14" s="42">
        <v>1804.68</v>
      </c>
      <c r="DI14" s="42">
        <v>1960.4369999999999</v>
      </c>
      <c r="DJ14" s="133">
        <f t="shared" si="17"/>
        <v>2026.451</v>
      </c>
      <c r="DK14" s="33">
        <v>2092.4650000000001</v>
      </c>
      <c r="DL14" s="133">
        <f t="shared" si="18"/>
        <v>2191.6305000000002</v>
      </c>
      <c r="DM14" s="33">
        <v>2290.7959999999998</v>
      </c>
      <c r="DN14" s="33">
        <v>2377.1660000000002</v>
      </c>
      <c r="DO14" s="33">
        <v>2454.46</v>
      </c>
      <c r="DP14" s="33">
        <v>2691.4050000000002</v>
      </c>
      <c r="DQ14" s="33">
        <v>3393.6880000000001</v>
      </c>
      <c r="DR14" s="33">
        <v>3382.4720000000002</v>
      </c>
      <c r="DS14" s="33">
        <v>3169.2860000000001</v>
      </c>
      <c r="DT14" s="33">
        <v>3138.1280000000002</v>
      </c>
      <c r="DU14" s="440">
        <v>3171.45</v>
      </c>
      <c r="DV14" s="38">
        <f t="shared" si="62"/>
        <v>235.39999999999986</v>
      </c>
      <c r="DW14" s="39">
        <f t="shared" si="56"/>
        <v>260.70000000000027</v>
      </c>
      <c r="DX14" s="39">
        <f t="shared" si="57"/>
        <v>232</v>
      </c>
      <c r="DY14" s="39">
        <f t="shared" si="58"/>
        <v>234.38299999999981</v>
      </c>
      <c r="DZ14" s="39">
        <f t="shared" si="59"/>
        <v>263.90499999999997</v>
      </c>
      <c r="EA14" s="39">
        <f t="shared" si="60"/>
        <v>229.45999999999992</v>
      </c>
      <c r="EB14" s="39">
        <f t="shared" si="61"/>
        <v>228.34500000000014</v>
      </c>
      <c r="EC14" s="39">
        <f t="shared" si="20"/>
        <v>245.8299999999997</v>
      </c>
      <c r="ED14" s="39">
        <f t="shared" si="21"/>
        <v>278.43100000000072</v>
      </c>
      <c r="EE14" s="39">
        <f t="shared" si="22"/>
        <v>297.99750000000131</v>
      </c>
      <c r="EF14" s="39">
        <f t="shared" si="23"/>
        <v>317.56400000000031</v>
      </c>
      <c r="EG14" s="40">
        <f t="shared" si="24"/>
        <v>327.22100000000023</v>
      </c>
      <c r="EH14" s="40">
        <f t="shared" si="25"/>
        <v>336.38599999999997</v>
      </c>
      <c r="EI14" s="40">
        <f t="shared" si="26"/>
        <v>383.18799999999942</v>
      </c>
      <c r="EJ14" s="40">
        <f t="shared" si="27"/>
        <v>394.70699999999943</v>
      </c>
      <c r="EK14" s="40">
        <f t="shared" si="28"/>
        <v>388.91700000000014</v>
      </c>
      <c r="EL14" s="40">
        <f t="shared" si="29"/>
        <v>435.58600000000047</v>
      </c>
      <c r="EM14" s="40">
        <f t="shared" si="30"/>
        <v>562.34999999999968</v>
      </c>
      <c r="EN14" s="40">
        <f t="shared" si="31"/>
        <v>595.52300000000014</v>
      </c>
      <c r="EO14" s="40">
        <f t="shared" si="32"/>
        <v>693.77800000000025</v>
      </c>
      <c r="EP14" s="40">
        <f t="shared" si="33"/>
        <v>792.03299999999945</v>
      </c>
      <c r="EQ14" s="40">
        <f t="shared" si="34"/>
        <v>806.76599999999962</v>
      </c>
      <c r="ER14" s="40">
        <f t="shared" si="35"/>
        <v>821.49899999999934</v>
      </c>
      <c r="ES14" s="40">
        <f t="shared" si="36"/>
        <v>868.42999999999938</v>
      </c>
      <c r="ET14" s="40">
        <f t="shared" si="37"/>
        <v>863.43499999999949</v>
      </c>
      <c r="EU14" s="40">
        <f t="shared" si="38"/>
        <v>946.44900000000098</v>
      </c>
      <c r="EV14" s="40">
        <f t="shared" si="39"/>
        <v>1071.0259999999989</v>
      </c>
      <c r="EW14" s="40">
        <f t="shared" si="40"/>
        <v>1051.349999999999</v>
      </c>
      <c r="EX14" s="40">
        <f t="shared" si="41"/>
        <v>1037.6070000000009</v>
      </c>
      <c r="EY14" s="40">
        <f t="shared" si="42"/>
        <v>1008.9600000000005</v>
      </c>
      <c r="EZ14" s="40">
        <f t="shared" si="43"/>
        <v>1121.4960000000001</v>
      </c>
      <c r="FA14" s="176">
        <f>872.8+995+19.7+3.4</f>
        <v>1890.9</v>
      </c>
      <c r="FB14" s="35">
        <f>936.2+1096.8+22.9+4.3</f>
        <v>2060.2000000000003</v>
      </c>
      <c r="FC14" s="35">
        <f>1038.1+1171.9+24.8+4.6</f>
        <v>2239.4</v>
      </c>
      <c r="FD14" s="35">
        <f>1123.847+1054.526+206.641+26.73+4.875</f>
        <v>2416.6190000000001</v>
      </c>
      <c r="FE14" s="35">
        <f>983.602+1079.96+214.456+50.549+5.232</f>
        <v>2333.799</v>
      </c>
      <c r="FF14" s="35">
        <f>1053.429+1098.082+208.883+50.612+4.956</f>
        <v>2415.9620000000004</v>
      </c>
      <c r="FG14" s="35">
        <f>1107.714+1132.247+210.69+51.795+4.84</f>
        <v>2507.2860000000005</v>
      </c>
      <c r="FH14" s="41">
        <f>1242.789+1179.513+212.172+55.909+4.771</f>
        <v>2695.154</v>
      </c>
      <c r="FI14" s="35">
        <f>1351.963+1293.283+270.142+53.593+5.116</f>
        <v>2974.0969999999998</v>
      </c>
      <c r="FJ14" s="133">
        <f t="shared" si="44"/>
        <v>3739.288</v>
      </c>
      <c r="FK14" s="35">
        <v>4504.4790000000003</v>
      </c>
      <c r="FL14" s="35">
        <v>5388.3119999999999</v>
      </c>
      <c r="FM14" s="35">
        <v>5336.3860000000004</v>
      </c>
      <c r="FN14" s="32">
        <v>6643.5550000000003</v>
      </c>
      <c r="FO14" s="33">
        <v>5710.5309999999999</v>
      </c>
      <c r="FP14" s="33">
        <v>5728.7979999999998</v>
      </c>
      <c r="FQ14" s="33">
        <v>5963.22</v>
      </c>
      <c r="FR14" s="33">
        <v>6141.7259999999997</v>
      </c>
      <c r="FS14" s="33">
        <v>6529.799</v>
      </c>
      <c r="FT14" s="133">
        <f t="shared" si="45"/>
        <v>6812.0859999999993</v>
      </c>
      <c r="FU14" s="33">
        <v>7094.3729999999996</v>
      </c>
      <c r="FV14" s="133">
        <f t="shared" si="46"/>
        <v>7485.9059999999999</v>
      </c>
      <c r="FW14" s="33">
        <v>7877.4390000000003</v>
      </c>
      <c r="FX14" s="33">
        <v>8473.9549999999999</v>
      </c>
      <c r="FY14" s="33">
        <v>8836.4210000000003</v>
      </c>
      <c r="FZ14" s="33">
        <v>8523.4959999999992</v>
      </c>
      <c r="GA14" s="33">
        <v>9811.2219999999998</v>
      </c>
      <c r="GB14" s="33">
        <v>10312.897999999999</v>
      </c>
      <c r="GC14" s="33">
        <v>11930.121999999999</v>
      </c>
      <c r="GD14" s="33">
        <v>11916.47</v>
      </c>
      <c r="GE14" s="440">
        <v>11654.48</v>
      </c>
      <c r="GF14" s="37">
        <f>754.7+38.6+112.1+309.2+92.5+169.6+33.4+388+140.1+82.3+94.4</f>
        <v>2214.9</v>
      </c>
      <c r="GG14" s="35">
        <f>1095.8+42.8+81.8+352.2+104.8+190.4+30.1+480.3+165.3+92.6+99.9</f>
        <v>2736</v>
      </c>
      <c r="GH14" s="35">
        <f>1099.7+33.9+75.5+370.9+112.7+207.9+32+449.7+206.3+98.6+121.5</f>
        <v>2808.7000000000003</v>
      </c>
      <c r="GI14" s="35">
        <f>1025.852+42.187+12.282+55.346+26.203+408.219+123.843+217.056+33.291+274.757+147.056+126.778+219.084+106.143</f>
        <v>2818.0969999999998</v>
      </c>
      <c r="GJ14" s="35">
        <f>1084.922+51.629+8.262+60.898+14.658+424.454+130.941+224.465+28.236+315.494+179.268+90.724+280.354+112.449</f>
        <v>3006.7539999999999</v>
      </c>
      <c r="GK14" s="35">
        <f>1015.9+43.38+6.665+58.239+5.778+417.59+136.46+227.737+33.954+321.583+160.054+104.148+289.176+109.724</f>
        <v>2930.3880000000004</v>
      </c>
      <c r="GL14" s="35">
        <f>955.536+69.476+4.704+53.523+2.746+425.632+139.045+252.745+36.661+278.88+164.929+115.885+319.898+103.223</f>
        <v>2922.8830000000007</v>
      </c>
      <c r="GM14" s="41">
        <f>921.664+74.917+4.434+61.384+8.25+445.96+145.46+302.117+35.758+225.028+170.689+151.875+313.544+121.823</f>
        <v>2982.9029999999993</v>
      </c>
      <c r="GN14" s="35">
        <f>1033.868+61.416+4.744+73.909+9.365+469.677+155.575+291.25+40.614+273.892+212.931+157.737+291.389+129.622</f>
        <v>3205.989</v>
      </c>
      <c r="GO14" s="133">
        <f t="shared" si="47"/>
        <v>3472.4250000000002</v>
      </c>
      <c r="GP14" s="35">
        <v>3738.8609999999999</v>
      </c>
      <c r="GQ14" s="35">
        <v>3608.8910000000001</v>
      </c>
      <c r="GR14" s="35">
        <v>3851.7860000000001</v>
      </c>
      <c r="GS14" s="32">
        <v>3956.0630000000001</v>
      </c>
      <c r="GT14" s="32">
        <v>4306.9949999999999</v>
      </c>
      <c r="GU14" s="32">
        <v>4456.0910000000003</v>
      </c>
      <c r="GV14" s="32">
        <v>4843.4870000000001</v>
      </c>
      <c r="GW14" s="32">
        <v>5263.1319999999996</v>
      </c>
      <c r="GX14" s="32">
        <v>5594.1859999999997</v>
      </c>
      <c r="GY14" s="133">
        <f t="shared" si="48"/>
        <v>5704.8509999999997</v>
      </c>
      <c r="GZ14" s="33">
        <v>5815.5159999999996</v>
      </c>
      <c r="HA14" s="133">
        <f t="shared" si="49"/>
        <v>6238.1769999999997</v>
      </c>
      <c r="HB14" s="33">
        <v>6660.8379999999997</v>
      </c>
      <c r="HC14" s="33">
        <v>7093.4620000000004</v>
      </c>
      <c r="HD14" s="33">
        <v>7881.0029999999997</v>
      </c>
      <c r="HE14" s="33">
        <v>10861.852999999999</v>
      </c>
      <c r="HF14" s="33">
        <v>14327.689</v>
      </c>
      <c r="HG14" s="33">
        <v>12225.226000000001</v>
      </c>
      <c r="HH14" s="33">
        <v>11687.925999999999</v>
      </c>
      <c r="HI14" s="33">
        <v>11510.013999999999</v>
      </c>
      <c r="HJ14" s="440">
        <v>11478.37</v>
      </c>
      <c r="HK14" s="37">
        <f>148+215.5+64.3</f>
        <v>427.8</v>
      </c>
      <c r="HL14" s="35">
        <f>158.9+232.6+70.5</f>
        <v>462</v>
      </c>
      <c r="HM14" s="35">
        <f>178.9+257.6+80.7</f>
        <v>517.20000000000005</v>
      </c>
      <c r="HN14" s="35">
        <f>189.25+138.733+79.842+129.26</f>
        <v>537.08500000000004</v>
      </c>
      <c r="HO14" s="35">
        <f>167.291+150.648+100.525+132.903</f>
        <v>551.36699999999996</v>
      </c>
      <c r="HP14" s="35">
        <f>179.375+156.057+68.249+134.936</f>
        <v>538.61700000000008</v>
      </c>
      <c r="HQ14" s="35">
        <f>168.203+171.288+76.55+128.43</f>
        <v>544.471</v>
      </c>
      <c r="HR14" s="41">
        <f>185.706+170.298+71.846+142.621</f>
        <v>570.471</v>
      </c>
      <c r="HS14" s="35">
        <f>203.914+186.466+75.346+145.884</f>
        <v>611.61</v>
      </c>
      <c r="HT14" s="133">
        <f t="shared" si="50"/>
        <v>660.12049999999999</v>
      </c>
      <c r="HU14" s="35">
        <v>708.63099999999997</v>
      </c>
      <c r="HV14" s="35">
        <v>743.71699999999998</v>
      </c>
      <c r="HW14" s="35">
        <v>752.06899999999996</v>
      </c>
      <c r="HX14" s="32">
        <v>787.44299999999998</v>
      </c>
      <c r="HY14" s="32">
        <v>801.71900000000005</v>
      </c>
      <c r="HZ14" s="32">
        <v>974.101</v>
      </c>
      <c r="IA14" s="32">
        <v>1003.875</v>
      </c>
      <c r="IB14" s="32">
        <v>1117.8050000000001</v>
      </c>
      <c r="IC14" s="32">
        <v>1103.078</v>
      </c>
      <c r="ID14" s="133">
        <f t="shared" si="51"/>
        <v>1252.0954999999999</v>
      </c>
      <c r="IE14" s="33">
        <v>1401.1130000000001</v>
      </c>
      <c r="IF14" s="133">
        <f t="shared" si="52"/>
        <v>1487.2660000000001</v>
      </c>
      <c r="IG14" s="33">
        <v>1573.4190000000001</v>
      </c>
      <c r="IH14" s="33">
        <v>1511.6</v>
      </c>
      <c r="II14" s="33">
        <v>1626.36</v>
      </c>
      <c r="IJ14" s="33">
        <v>1788.1310000000001</v>
      </c>
      <c r="IK14" s="33">
        <v>2014.5360000000001</v>
      </c>
      <c r="IL14" s="33">
        <v>2101.672</v>
      </c>
      <c r="IM14" s="33">
        <v>2248.6669999999999</v>
      </c>
      <c r="IN14" s="33">
        <v>2207.4110000000001</v>
      </c>
      <c r="IO14" s="440">
        <v>2129.8789999999999</v>
      </c>
      <c r="IP14" s="36">
        <f>(0.6+523+569.9)</f>
        <v>1093.5</v>
      </c>
      <c r="IQ14" s="34">
        <f>0.6+639.5+439.3</f>
        <v>1079.4000000000001</v>
      </c>
      <c r="IR14" s="34">
        <f>0.1+784.3+416.7</f>
        <v>1201.0999999999999</v>
      </c>
      <c r="IS14" s="34">
        <f>0.066+885.362+365.18</f>
        <v>1250.6079999999999</v>
      </c>
      <c r="IT14" s="34">
        <f>1043.614+5.349+399.803</f>
        <v>1448.7660000000001</v>
      </c>
      <c r="IU14" s="34">
        <f>1117.938+5.534+547.558</f>
        <v>1671.0300000000002</v>
      </c>
      <c r="IV14" s="34">
        <f>1281.961+5.46+430.665</f>
        <v>1718.086</v>
      </c>
      <c r="IW14" s="44">
        <f>1473.166+5.725+373.439</f>
        <v>1852.33</v>
      </c>
      <c r="IX14" s="34">
        <f>1560.778+8.458+380.322</f>
        <v>1949.558</v>
      </c>
      <c r="IY14" s="133">
        <f t="shared" si="53"/>
        <v>1864.73</v>
      </c>
      <c r="IZ14" s="34">
        <v>1779.902</v>
      </c>
      <c r="JA14" s="35">
        <v>1791.183</v>
      </c>
      <c r="JB14" s="35">
        <v>1750.1320000000001</v>
      </c>
      <c r="JC14" s="32">
        <v>1702.894</v>
      </c>
      <c r="JD14" s="32">
        <v>1842.319</v>
      </c>
      <c r="JE14" s="32">
        <v>1652.3119999999999</v>
      </c>
      <c r="JF14" s="1">
        <v>1634.367</v>
      </c>
      <c r="JG14" s="1">
        <v>1616.13</v>
      </c>
      <c r="JH14" s="1">
        <v>1770.3420000000001</v>
      </c>
      <c r="JI14" s="133">
        <f t="shared" si="54"/>
        <v>1836.0905</v>
      </c>
      <c r="JJ14" s="1">
        <v>1901.8389999999999</v>
      </c>
      <c r="JK14" s="133">
        <f t="shared" si="55"/>
        <v>2146.7044999999998</v>
      </c>
      <c r="JL14" s="1">
        <v>2391.5700000000002</v>
      </c>
      <c r="JM14" s="1">
        <v>2331.1909999999998</v>
      </c>
      <c r="JN14" s="1">
        <v>2880.4989999999998</v>
      </c>
      <c r="JO14" s="33">
        <v>3208.835</v>
      </c>
      <c r="JP14" s="33">
        <v>3233.4270000000001</v>
      </c>
      <c r="JQ14" s="33">
        <v>4195.8519999999999</v>
      </c>
      <c r="JR14" s="33">
        <v>4787.415</v>
      </c>
      <c r="JS14" s="13">
        <v>4872.4690000000001</v>
      </c>
      <c r="JT14" s="448">
        <v>4241.0429999999997</v>
      </c>
    </row>
    <row r="15" spans="1:280" s="17" customFormat="1">
      <c r="A15" s="221" t="s">
        <v>31</v>
      </c>
      <c r="B15" s="32">
        <f>0.2+8632.1</f>
        <v>8632.3000000000011</v>
      </c>
      <c r="C15" s="75">
        <f>0.1+9532.1</f>
        <v>9532.2000000000007</v>
      </c>
      <c r="D15" s="75">
        <f>0.1+9994.4</f>
        <v>9994.5</v>
      </c>
      <c r="E15" s="75">
        <f>10331.68+0.069</f>
        <v>10331.749</v>
      </c>
      <c r="F15" s="75">
        <f>11514.339+0.08</f>
        <v>11514.419</v>
      </c>
      <c r="G15" s="75">
        <f>12527.355+0.1</f>
        <v>12527.455</v>
      </c>
      <c r="H15" s="75">
        <v>13648.191999999999</v>
      </c>
      <c r="I15" s="217">
        <v>14769.151</v>
      </c>
      <c r="J15" s="75">
        <v>16632.8</v>
      </c>
      <c r="K15" s="231">
        <f t="shared" si="7"/>
        <v>17289.084499999997</v>
      </c>
      <c r="L15" s="75">
        <v>17945.368999999999</v>
      </c>
      <c r="M15" s="32">
        <v>18451.928</v>
      </c>
      <c r="N15" s="32">
        <v>19595.263999999999</v>
      </c>
      <c r="O15" s="32">
        <v>21189.995999999999</v>
      </c>
      <c r="P15" s="33">
        <v>21727.617999999999</v>
      </c>
      <c r="Q15" s="33">
        <v>22826.931</v>
      </c>
      <c r="R15" s="33">
        <v>23447.664000000001</v>
      </c>
      <c r="S15" s="33">
        <v>24875.848000000002</v>
      </c>
      <c r="T15" s="33">
        <v>27446.473000000002</v>
      </c>
      <c r="U15" s="231">
        <f t="shared" si="8"/>
        <v>29621.428500000002</v>
      </c>
      <c r="V15" s="33">
        <v>31796.383999999998</v>
      </c>
      <c r="W15" s="231">
        <f t="shared" si="9"/>
        <v>32953.555999999997</v>
      </c>
      <c r="X15" s="33">
        <v>34110.728000000003</v>
      </c>
      <c r="Y15" s="33">
        <v>36654.548000000003</v>
      </c>
      <c r="Z15" s="33">
        <v>39415.972999999998</v>
      </c>
      <c r="AA15" s="33">
        <v>42759.534</v>
      </c>
      <c r="AB15" s="33">
        <v>45739.567000000003</v>
      </c>
      <c r="AC15" s="33">
        <v>48004.455999999998</v>
      </c>
      <c r="AD15" s="33">
        <v>49734.733999999997</v>
      </c>
      <c r="AE15" s="33">
        <v>49842.519</v>
      </c>
      <c r="AF15" s="440">
        <v>53847.587</v>
      </c>
      <c r="AG15" s="215">
        <f>3059.4+52.6</f>
        <v>3112</v>
      </c>
      <c r="AH15" s="75">
        <f>3295.6+61.5</f>
        <v>3357.1</v>
      </c>
      <c r="AI15" s="75">
        <f>3527.1+77.3</f>
        <v>3604.4</v>
      </c>
      <c r="AJ15" s="75">
        <f>3578.261+73.711</f>
        <v>3651.9719999999998</v>
      </c>
      <c r="AK15" s="75">
        <f>3890.076+85.227</f>
        <v>3975.3029999999999</v>
      </c>
      <c r="AL15" s="75">
        <f>4242.831+90.128</f>
        <v>4332.9589999999998</v>
      </c>
      <c r="AM15" s="75">
        <f>4613.012+95.354</f>
        <v>4708.366</v>
      </c>
      <c r="AN15" s="217">
        <f>5003.039+106.55</f>
        <v>5109.5889999999999</v>
      </c>
      <c r="AO15" s="75">
        <f>5670.421+113.977</f>
        <v>5784.3980000000001</v>
      </c>
      <c r="AP15" s="231">
        <f t="shared" si="10"/>
        <v>6081.3935000000001</v>
      </c>
      <c r="AQ15" s="30">
        <v>6378.3890000000001</v>
      </c>
      <c r="AR15" s="32">
        <v>6751.8149999999996</v>
      </c>
      <c r="AS15" s="32">
        <v>7186.1090000000004</v>
      </c>
      <c r="AT15" s="32">
        <v>7542.3810000000003</v>
      </c>
      <c r="AU15" s="33">
        <v>7849.8450000000003</v>
      </c>
      <c r="AV15" s="33">
        <v>8431.8119999999999</v>
      </c>
      <c r="AW15" s="33">
        <v>8700.6329999999998</v>
      </c>
      <c r="AX15" s="33">
        <v>9349.0540000000001</v>
      </c>
      <c r="AY15" s="33">
        <v>10248.334999999999</v>
      </c>
      <c r="AZ15" s="231">
        <f t="shared" si="11"/>
        <v>11287.285</v>
      </c>
      <c r="BA15" s="33">
        <v>12326.235000000001</v>
      </c>
      <c r="BB15" s="231">
        <f t="shared" si="12"/>
        <v>12510.8935</v>
      </c>
      <c r="BC15" s="33">
        <v>12695.552</v>
      </c>
      <c r="BD15" s="33">
        <v>13716.195</v>
      </c>
      <c r="BE15" s="33">
        <v>14598.22</v>
      </c>
      <c r="BF15" s="33">
        <v>15906.324000000001</v>
      </c>
      <c r="BG15" s="33">
        <v>17442.374</v>
      </c>
      <c r="BH15" s="33">
        <v>17549.004000000001</v>
      </c>
      <c r="BI15" s="33">
        <v>18353.645</v>
      </c>
      <c r="BJ15" s="33">
        <v>18481.850999999999</v>
      </c>
      <c r="BK15" s="440">
        <v>18959.583999999999</v>
      </c>
      <c r="BL15" s="36">
        <v>2038.6</v>
      </c>
      <c r="BM15" s="75">
        <v>2170.6</v>
      </c>
      <c r="BN15" s="75">
        <v>2320.9</v>
      </c>
      <c r="BO15" s="75">
        <v>2389.7080000000001</v>
      </c>
      <c r="BP15" s="75">
        <v>2609.855</v>
      </c>
      <c r="BQ15" s="75">
        <v>2858.886</v>
      </c>
      <c r="BR15" s="75">
        <v>3173.3670000000002</v>
      </c>
      <c r="BS15" s="217">
        <v>3496.6709999999998</v>
      </c>
      <c r="BT15" s="75">
        <v>3960.683</v>
      </c>
      <c r="BU15" s="231">
        <f t="shared" si="13"/>
        <v>4133.6995000000006</v>
      </c>
      <c r="BV15" s="75">
        <v>4306.7160000000003</v>
      </c>
      <c r="BW15" s="32">
        <v>4496.5590000000002</v>
      </c>
      <c r="BX15" s="32">
        <v>4779.9830000000002</v>
      </c>
      <c r="BY15" s="32">
        <v>5157.7979999999998</v>
      </c>
      <c r="BZ15" s="32">
        <v>5335.8959999999997</v>
      </c>
      <c r="CA15" s="32">
        <v>5687.0749999999998</v>
      </c>
      <c r="CB15" s="32">
        <v>5837.1660000000002</v>
      </c>
      <c r="CC15" s="32">
        <v>6256.6369999999997</v>
      </c>
      <c r="CD15" s="33">
        <v>6719.1049999999996</v>
      </c>
      <c r="CE15" s="231">
        <f t="shared" si="14"/>
        <v>7357.1554999999998</v>
      </c>
      <c r="CF15" s="33">
        <v>7995.2060000000001</v>
      </c>
      <c r="CG15" s="231">
        <f t="shared" si="15"/>
        <v>8094.2555000000002</v>
      </c>
      <c r="CH15" s="33">
        <v>8193.3050000000003</v>
      </c>
      <c r="CI15" s="33">
        <v>8960.2780000000002</v>
      </c>
      <c r="CJ15" s="33">
        <v>9722.5939999999991</v>
      </c>
      <c r="CK15" s="33">
        <v>10658.705</v>
      </c>
      <c r="CL15" s="33">
        <v>11675.002</v>
      </c>
      <c r="CM15" s="33">
        <v>11713.317999999999</v>
      </c>
      <c r="CN15" s="33">
        <v>12136.477000000001</v>
      </c>
      <c r="CO15" s="33">
        <v>12026.838</v>
      </c>
      <c r="CP15" s="440">
        <v>12117.439</v>
      </c>
      <c r="CQ15" s="37">
        <v>791.3</v>
      </c>
      <c r="CR15" s="32">
        <v>911</v>
      </c>
      <c r="CS15" s="32">
        <v>944.3</v>
      </c>
      <c r="CT15" s="32">
        <v>1030.473</v>
      </c>
      <c r="CU15" s="32">
        <v>1112.5550000000001</v>
      </c>
      <c r="CV15" s="32">
        <v>1199.502</v>
      </c>
      <c r="CW15" s="32">
        <v>1239.79</v>
      </c>
      <c r="CX15" s="33">
        <v>1283.2719999999999</v>
      </c>
      <c r="CY15" s="32">
        <v>1458.902</v>
      </c>
      <c r="CZ15" s="231">
        <f t="shared" si="16"/>
        <v>1581.4555</v>
      </c>
      <c r="DA15" s="32">
        <f>1704009/1000</f>
        <v>1704.009</v>
      </c>
      <c r="DB15" s="32">
        <v>1814.729</v>
      </c>
      <c r="DC15" s="32">
        <v>1924.11</v>
      </c>
      <c r="DD15" s="32">
        <v>1930.7619999999999</v>
      </c>
      <c r="DE15" s="42">
        <v>2060.1999999999998</v>
      </c>
      <c r="DF15" s="42">
        <v>2239.627</v>
      </c>
      <c r="DG15" s="42">
        <v>2331.6190000000001</v>
      </c>
      <c r="DH15" s="42">
        <v>2509.8969999999999</v>
      </c>
      <c r="DI15" s="42">
        <v>2891.7860000000001</v>
      </c>
      <c r="DJ15" s="231">
        <f t="shared" si="17"/>
        <v>3211.5330000000004</v>
      </c>
      <c r="DK15" s="33">
        <v>3531.28</v>
      </c>
      <c r="DL15" s="231">
        <f t="shared" si="18"/>
        <v>3607.8074999999999</v>
      </c>
      <c r="DM15" s="33">
        <v>3684.335</v>
      </c>
      <c r="DN15" s="33">
        <v>3867.4540000000002</v>
      </c>
      <c r="DO15" s="33">
        <v>4050.962</v>
      </c>
      <c r="DP15" s="33">
        <v>4326.9409999999998</v>
      </c>
      <c r="DQ15" s="33">
        <v>4820.9459999999999</v>
      </c>
      <c r="DR15" s="33">
        <v>4947.6270000000004</v>
      </c>
      <c r="DS15" s="33">
        <v>5356.26</v>
      </c>
      <c r="DT15" s="33">
        <v>5554.1279999999997</v>
      </c>
      <c r="DU15" s="440">
        <v>5944.9690000000001</v>
      </c>
      <c r="DV15" s="38">
        <f t="shared" si="62"/>
        <v>282.10000000000014</v>
      </c>
      <c r="DW15" s="40">
        <f t="shared" si="56"/>
        <v>275.5</v>
      </c>
      <c r="DX15" s="40">
        <f t="shared" si="57"/>
        <v>339.20000000000005</v>
      </c>
      <c r="DY15" s="40">
        <f t="shared" si="58"/>
        <v>231.79099999999971</v>
      </c>
      <c r="DZ15" s="40">
        <f t="shared" si="59"/>
        <v>252.8929999999998</v>
      </c>
      <c r="EA15" s="40">
        <f t="shared" si="60"/>
        <v>274.57099999999991</v>
      </c>
      <c r="EB15" s="40">
        <f t="shared" si="61"/>
        <v>295.20899999999983</v>
      </c>
      <c r="EC15" s="40">
        <f t="shared" si="20"/>
        <v>329.64600000000019</v>
      </c>
      <c r="ED15" s="40">
        <f t="shared" si="21"/>
        <v>364.8130000000001</v>
      </c>
      <c r="EE15" s="40">
        <f t="shared" si="22"/>
        <v>366.23849999999948</v>
      </c>
      <c r="EF15" s="40">
        <f t="shared" si="23"/>
        <v>367.66399999999976</v>
      </c>
      <c r="EG15" s="40">
        <f t="shared" si="24"/>
        <v>440.52699999999936</v>
      </c>
      <c r="EH15" s="40">
        <f t="shared" si="25"/>
        <v>482.0160000000003</v>
      </c>
      <c r="EI15" s="40">
        <f t="shared" si="26"/>
        <v>453.82100000000059</v>
      </c>
      <c r="EJ15" s="40">
        <f t="shared" si="27"/>
        <v>453.74900000000071</v>
      </c>
      <c r="EK15" s="40">
        <f t="shared" si="28"/>
        <v>505.11000000000013</v>
      </c>
      <c r="EL15" s="40">
        <f t="shared" si="29"/>
        <v>531.8479999999995</v>
      </c>
      <c r="EM15" s="40">
        <f t="shared" si="30"/>
        <v>582.52000000000044</v>
      </c>
      <c r="EN15" s="40">
        <f t="shared" si="31"/>
        <v>637.44399999999951</v>
      </c>
      <c r="EO15" s="40">
        <f t="shared" si="32"/>
        <v>718.59649999999965</v>
      </c>
      <c r="EP15" s="40">
        <f t="shared" si="33"/>
        <v>799.74900000000025</v>
      </c>
      <c r="EQ15" s="40">
        <f t="shared" si="34"/>
        <v>808.83050000000003</v>
      </c>
      <c r="ER15" s="40">
        <f t="shared" si="35"/>
        <v>817.91199999999935</v>
      </c>
      <c r="ES15" s="40">
        <f t="shared" si="36"/>
        <v>888.46299999999928</v>
      </c>
      <c r="ET15" s="40">
        <f t="shared" si="37"/>
        <v>824.66400000000021</v>
      </c>
      <c r="EU15" s="40">
        <f t="shared" si="38"/>
        <v>920.67800000000079</v>
      </c>
      <c r="EV15" s="40">
        <f t="shared" si="39"/>
        <v>946.42599999999948</v>
      </c>
      <c r="EW15" s="40">
        <f t="shared" si="40"/>
        <v>888.05900000000111</v>
      </c>
      <c r="EX15" s="40">
        <f t="shared" si="41"/>
        <v>860.90799999999945</v>
      </c>
      <c r="EY15" s="40">
        <f t="shared" si="42"/>
        <v>900.88499999999931</v>
      </c>
      <c r="EZ15" s="40">
        <f t="shared" si="43"/>
        <v>897.17599999999857</v>
      </c>
      <c r="FA15" s="176">
        <f>903.5+635+28.9+3.1</f>
        <v>1570.5</v>
      </c>
      <c r="FB15" s="32">
        <f>1007.6+806.2+32+8.4</f>
        <v>1854.2000000000003</v>
      </c>
      <c r="FC15" s="32">
        <f>1074.1+578.6+27.3+4.5</f>
        <v>1684.4999999999998</v>
      </c>
      <c r="FD15" s="32">
        <f>1215.796+243.051+174.677+24.62+3.331</f>
        <v>1661.4749999999997</v>
      </c>
      <c r="FE15" s="32">
        <f>1299.92+260.391+210.967+27.462+2.261</f>
        <v>1801.0010000000002</v>
      </c>
      <c r="FF15" s="32">
        <f>1405.353+272.071+241.662+31.156+2.584</f>
        <v>1952.826</v>
      </c>
      <c r="FG15" s="32">
        <f>1551.298+292.662+274.07+35.888+2.164</f>
        <v>2156.0820000000003</v>
      </c>
      <c r="FH15" s="33">
        <f>1681.61+323.751+313.486+32.721+2.896</f>
        <v>2354.4639999999999</v>
      </c>
      <c r="FI15" s="32">
        <f>1900.69+328.86+479.228+24.769+3.335</f>
        <v>2736.8820000000001</v>
      </c>
      <c r="FJ15" s="231">
        <f t="shared" si="44"/>
        <v>3190.9859999999999</v>
      </c>
      <c r="FK15" s="32">
        <v>3645.09</v>
      </c>
      <c r="FL15" s="32">
        <v>3627.84</v>
      </c>
      <c r="FM15" s="32">
        <v>3799.0909999999999</v>
      </c>
      <c r="FN15" s="32">
        <v>4049.924</v>
      </c>
      <c r="FO15" s="33">
        <v>4033.4340000000002</v>
      </c>
      <c r="FP15" s="33">
        <v>4202.6400000000003</v>
      </c>
      <c r="FQ15" s="33">
        <v>4449.0940000000001</v>
      </c>
      <c r="FR15" s="33">
        <v>4921.0720000000001</v>
      </c>
      <c r="FS15" s="33">
        <v>5345.0050000000001</v>
      </c>
      <c r="FT15" s="231">
        <f t="shared" si="45"/>
        <v>5810.4004999999997</v>
      </c>
      <c r="FU15" s="33">
        <v>6275.7960000000003</v>
      </c>
      <c r="FV15" s="231">
        <f t="shared" si="46"/>
        <v>6835.0895</v>
      </c>
      <c r="FW15" s="33">
        <v>7394.3829999999998</v>
      </c>
      <c r="FX15" s="33">
        <v>7871.6170000000002</v>
      </c>
      <c r="FY15" s="33">
        <v>8551.357</v>
      </c>
      <c r="FZ15" s="33">
        <v>9151.5030000000006</v>
      </c>
      <c r="GA15" s="33">
        <v>9614.3809999999994</v>
      </c>
      <c r="GB15" s="33">
        <v>10834.853999999999</v>
      </c>
      <c r="GC15" s="33">
        <v>11243.263999999999</v>
      </c>
      <c r="GD15" s="33">
        <v>11679.579</v>
      </c>
      <c r="GE15" s="440">
        <v>12387.29</v>
      </c>
      <c r="GF15" s="37">
        <f>845.3+25.4+59.8+334.5+145+226+46.4+275.3+243+107.8+203.1</f>
        <v>2511.6</v>
      </c>
      <c r="GG15" s="32">
        <f>853.4+34.4+46.6+358.4+157.1+263.7+49.2+313.1+254.7+109.5+174.4</f>
        <v>2614.5</v>
      </c>
      <c r="GH15" s="32">
        <f>863.8+36.8+38.3+388.9+165.5+286.9+49.6+302+516.2+121.7+157.7</f>
        <v>2927.3999999999996</v>
      </c>
      <c r="GI15" s="32">
        <f>938.795+39.313+56.16+37.351+4.576+425.13+180.196+335.556+57.994+152.497+228.815+217.387+294.944+123.814</f>
        <v>3092.5280000000002</v>
      </c>
      <c r="GJ15" s="32">
        <f>1071.886+44.152+69.657+86.948+4.489+464.076+200.829+414.96+62.552+169.555+246.831+279.904+346.26+139.277</f>
        <v>3601.3760000000002</v>
      </c>
      <c r="GK15" s="32">
        <f>1169.563+45.366+50.307+72.033+3.664+513.347+225.655+446.051+67.118+195.488+282.956+306.186+376.096+147.269</f>
        <v>3901.0990000000002</v>
      </c>
      <c r="GL15" s="32">
        <f>1380.631+85.616+44.611+75.157+3.897+550.662+245.085+461.508+79.844+197.706+319.739+356.802+329.5+166.828</f>
        <v>4297.5860000000002</v>
      </c>
      <c r="GM15" s="33">
        <f>1464.672+70.847+34.441+76.55+4.115+603.055+280.183+517.197+93.408+203.391+361.549+379.232+373.732+183.109</f>
        <v>4645.4810000000007</v>
      </c>
      <c r="GN15" s="32">
        <f>1508.68+85.849+34.104+57.506+4.271+663.521+306.061+628.394+105.641+250.752+366.984+462.367+397.945+222.259</f>
        <v>5094.3339999999998</v>
      </c>
      <c r="GO15" s="231">
        <f t="shared" si="47"/>
        <v>4995.3775000000005</v>
      </c>
      <c r="GP15" s="32">
        <v>4896.4210000000003</v>
      </c>
      <c r="GQ15" s="32">
        <v>4940.3729999999996</v>
      </c>
      <c r="GR15" s="32">
        <v>5411.53</v>
      </c>
      <c r="GS15" s="32">
        <v>5838.3050000000003</v>
      </c>
      <c r="GT15" s="32">
        <v>6070.4809999999998</v>
      </c>
      <c r="GU15" s="32">
        <v>6436.7060000000001</v>
      </c>
      <c r="GV15" s="32">
        <v>6520.6890000000003</v>
      </c>
      <c r="GW15" s="32">
        <v>6799.3509999999997</v>
      </c>
      <c r="GX15" s="32">
        <v>7398.27</v>
      </c>
      <c r="GY15" s="231">
        <f t="shared" si="48"/>
        <v>7917.4395000000004</v>
      </c>
      <c r="GZ15" s="33">
        <v>8436.6090000000004</v>
      </c>
      <c r="HA15" s="231">
        <f t="shared" si="49"/>
        <v>8785.6134999999995</v>
      </c>
      <c r="HB15" s="33">
        <v>9134.6180000000004</v>
      </c>
      <c r="HC15" s="33">
        <v>9654.741</v>
      </c>
      <c r="HD15" s="33">
        <v>10681.544</v>
      </c>
      <c r="HE15" s="33">
        <v>11591.290999999999</v>
      </c>
      <c r="HF15" s="33">
        <v>12054.013999999999</v>
      </c>
      <c r="HG15" s="33">
        <v>12569.084999999999</v>
      </c>
      <c r="HH15" s="33">
        <v>12941.031000000001</v>
      </c>
      <c r="HI15" s="33">
        <v>12587.498</v>
      </c>
      <c r="HJ15" s="440">
        <v>14872.045</v>
      </c>
      <c r="HK15" s="37">
        <f>148.1+177.2+74.8</f>
        <v>400.09999999999997</v>
      </c>
      <c r="HL15" s="32">
        <f>164.3+205.1+84.9</f>
        <v>454.29999999999995</v>
      </c>
      <c r="HM15" s="32">
        <f>172.8+214+77.4</f>
        <v>464.20000000000005</v>
      </c>
      <c r="HN15" s="32">
        <f>186.357+163.71+90.267+86.373</f>
        <v>526.70699999999999</v>
      </c>
      <c r="HO15" s="32">
        <f>211.003+184.144+99.608+98.865</f>
        <v>593.62</v>
      </c>
      <c r="HP15" s="32">
        <f>232.918+202.213+108.856+107.338</f>
        <v>651.32499999999993</v>
      </c>
      <c r="HQ15" s="32">
        <f>265.327+220.282+148.218+119.745</f>
        <v>753.572</v>
      </c>
      <c r="HR15" s="33">
        <f>308.34+257.421+168.248+139.014</f>
        <v>873.02300000000002</v>
      </c>
      <c r="HS15" s="32">
        <f>340.72+290.502+204.821+158.57</f>
        <v>994.61300000000006</v>
      </c>
      <c r="HT15" s="231">
        <f t="shared" si="50"/>
        <v>1018.9515</v>
      </c>
      <c r="HU15" s="32">
        <v>1043.29</v>
      </c>
      <c r="HV15" s="32">
        <v>1035.2</v>
      </c>
      <c r="HW15" s="32">
        <v>1121.9649999999999</v>
      </c>
      <c r="HX15" s="32">
        <v>1188.2750000000001</v>
      </c>
      <c r="HY15" s="32">
        <v>1211.902</v>
      </c>
      <c r="HZ15" s="32">
        <v>1228.989</v>
      </c>
      <c r="IA15" s="32">
        <v>1388.981</v>
      </c>
      <c r="IB15" s="32">
        <v>1465.221</v>
      </c>
      <c r="IC15" s="32">
        <v>1568.4169999999999</v>
      </c>
      <c r="ID15" s="231">
        <f t="shared" si="51"/>
        <v>1606.8384999999998</v>
      </c>
      <c r="IE15" s="33">
        <v>1645.26</v>
      </c>
      <c r="IF15" s="231">
        <f t="shared" si="52"/>
        <v>1635.663</v>
      </c>
      <c r="IG15" s="33">
        <v>1626.066</v>
      </c>
      <c r="IH15" s="33">
        <v>2335.3789999999999</v>
      </c>
      <c r="II15" s="33">
        <v>2256.6309999999999</v>
      </c>
      <c r="IJ15" s="33">
        <v>2328.0839999999998</v>
      </c>
      <c r="IK15" s="33">
        <v>2567.5709999999999</v>
      </c>
      <c r="IL15" s="33">
        <v>2669.2</v>
      </c>
      <c r="IM15" s="33">
        <v>2751.8539999999998</v>
      </c>
      <c r="IN15" s="33">
        <v>2573.306</v>
      </c>
      <c r="IO15" s="440">
        <v>2737.6860000000001</v>
      </c>
      <c r="IP15" s="36">
        <f>(0.2+451.4+586.3)</f>
        <v>1037.8999999999999</v>
      </c>
      <c r="IQ15" s="75">
        <f>0.1+551.7+700.3</f>
        <v>1252.0999999999999</v>
      </c>
      <c r="IR15" s="75">
        <f>0.1+646.2+667.5</f>
        <v>1313.8000000000002</v>
      </c>
      <c r="IS15" s="75">
        <f>720.8+7.837+670.43+0.069</f>
        <v>1399.136</v>
      </c>
      <c r="IT15" s="75">
        <f>805.652+7.616+729.851</f>
        <v>1543.1190000000001</v>
      </c>
      <c r="IU15" s="75">
        <f>887.074+7.394+794.778</f>
        <v>1689.2460000000001</v>
      </c>
      <c r="IV15" s="75">
        <f>876.768+12.169+843.649</f>
        <v>1732.586</v>
      </c>
      <c r="IW15" s="217">
        <f>897.373+12.132+877.089</f>
        <v>1786.5940000000001</v>
      </c>
      <c r="IX15" s="75">
        <f>971.093+6.697+1044.783</f>
        <v>2022.5729999999999</v>
      </c>
      <c r="IY15" s="231">
        <f t="shared" si="53"/>
        <v>2002.376</v>
      </c>
      <c r="IZ15" s="75">
        <v>1982.1790000000001</v>
      </c>
      <c r="JA15" s="32">
        <v>2096.6999999999998</v>
      </c>
      <c r="JB15" s="32">
        <v>2076.569</v>
      </c>
      <c r="JC15" s="32">
        <v>2571.1109999999999</v>
      </c>
      <c r="JD15" s="32">
        <v>2561.9560000000001</v>
      </c>
      <c r="JE15" s="32">
        <v>2526.7840000000001</v>
      </c>
      <c r="JF15" s="17">
        <v>2388.2669999999998</v>
      </c>
      <c r="JG15" s="17">
        <v>2341.15</v>
      </c>
      <c r="JH15" s="17">
        <v>2886.4459999999999</v>
      </c>
      <c r="JI15" s="231">
        <f t="shared" si="54"/>
        <v>2999.4650000000001</v>
      </c>
      <c r="JJ15" s="17">
        <v>3112.4839999999999</v>
      </c>
      <c r="JK15" s="231">
        <f t="shared" si="55"/>
        <v>3186.2964999999999</v>
      </c>
      <c r="JL15" s="17">
        <v>3260.1089999999999</v>
      </c>
      <c r="JM15" s="17">
        <v>3076.616</v>
      </c>
      <c r="JN15" s="17">
        <v>3328.221</v>
      </c>
      <c r="JO15" s="33">
        <v>3782.3319999999999</v>
      </c>
      <c r="JP15" s="33">
        <v>4061.2269999999999</v>
      </c>
      <c r="JQ15" s="33">
        <v>4382.3100000000004</v>
      </c>
      <c r="JR15" s="33">
        <v>4444.9409999999998</v>
      </c>
      <c r="JS15" s="17">
        <v>4520.2849999999999</v>
      </c>
      <c r="JT15" s="450">
        <v>4890.982</v>
      </c>
    </row>
    <row r="16" spans="1:280" s="17" customFormat="1">
      <c r="A16" s="221" t="s">
        <v>32</v>
      </c>
      <c r="B16" s="33">
        <f>0.1+3976.2</f>
        <v>3976.2999999999997</v>
      </c>
      <c r="C16" s="217">
        <v>4005.2</v>
      </c>
      <c r="D16" s="217">
        <f>0+4381.7</f>
        <v>4381.7</v>
      </c>
      <c r="E16" s="217">
        <f>4661.761+0.035</f>
        <v>4661.7960000000003</v>
      </c>
      <c r="F16" s="217">
        <f>5135.921+0.061</f>
        <v>5135.982</v>
      </c>
      <c r="G16" s="217">
        <f>5319.214+0.199</f>
        <v>5319.4129999999996</v>
      </c>
      <c r="H16" s="217">
        <v>5881.2920000000004</v>
      </c>
      <c r="I16" s="217">
        <v>6325.0529999999999</v>
      </c>
      <c r="J16" s="217">
        <v>6592.8040000000001</v>
      </c>
      <c r="K16" s="231">
        <f t="shared" si="7"/>
        <v>7046.8845000000001</v>
      </c>
      <c r="L16" s="217">
        <v>7500.9650000000001</v>
      </c>
      <c r="M16" s="33">
        <v>7945.7889999999998</v>
      </c>
      <c r="N16" s="33">
        <v>8621.8510000000006</v>
      </c>
      <c r="O16" s="33">
        <v>9635.1380000000008</v>
      </c>
      <c r="P16" s="33">
        <v>10486.88</v>
      </c>
      <c r="Q16" s="33">
        <v>11109.261</v>
      </c>
      <c r="R16" s="33">
        <v>11886.388999999999</v>
      </c>
      <c r="S16" s="33">
        <v>12939.797</v>
      </c>
      <c r="T16" s="33">
        <v>13932.361999999999</v>
      </c>
      <c r="U16" s="231">
        <f t="shared" si="8"/>
        <v>14658.263999999999</v>
      </c>
      <c r="V16" s="33">
        <v>15384.165999999999</v>
      </c>
      <c r="W16" s="231">
        <f t="shared" si="9"/>
        <v>16332.834999999999</v>
      </c>
      <c r="X16" s="33">
        <v>17281.504000000001</v>
      </c>
      <c r="Y16" s="33">
        <v>17846.506000000001</v>
      </c>
      <c r="Z16" s="33">
        <v>19259.816999999999</v>
      </c>
      <c r="AA16" s="33">
        <v>22160.97</v>
      </c>
      <c r="AB16" s="33">
        <v>22453.83</v>
      </c>
      <c r="AC16" s="33">
        <v>23013.598999999998</v>
      </c>
      <c r="AD16" s="33">
        <v>23653.125</v>
      </c>
      <c r="AE16" s="33">
        <v>23831.06</v>
      </c>
      <c r="AF16" s="440">
        <v>24135.803</v>
      </c>
      <c r="AG16" s="379">
        <f>1435.9+10.3</f>
        <v>1446.2</v>
      </c>
      <c r="AH16" s="217">
        <f>1427.1+10.8</f>
        <v>1437.8999999999999</v>
      </c>
      <c r="AI16" s="217">
        <f>1541.3+11.4</f>
        <v>1552.7</v>
      </c>
      <c r="AJ16" s="217">
        <f>1645.963+13.031</f>
        <v>1658.9939999999999</v>
      </c>
      <c r="AK16" s="217">
        <f>1856.93+14.573</f>
        <v>1871.5030000000002</v>
      </c>
      <c r="AL16" s="217">
        <f>1931.142+15.138</f>
        <v>1946.28</v>
      </c>
      <c r="AM16" s="217">
        <f>2208.166+11.622</f>
        <v>2219.788</v>
      </c>
      <c r="AN16" s="217">
        <f>2381.225+13.353</f>
        <v>2394.578</v>
      </c>
      <c r="AO16" s="217">
        <f>2518.653+14.752</f>
        <v>2533.4049999999997</v>
      </c>
      <c r="AP16" s="231">
        <f t="shared" si="10"/>
        <v>2607.1215000000002</v>
      </c>
      <c r="AQ16" s="30">
        <v>2680.8380000000002</v>
      </c>
      <c r="AR16" s="33">
        <v>2801.3110000000001</v>
      </c>
      <c r="AS16" s="33">
        <v>3068.8119999999999</v>
      </c>
      <c r="AT16" s="33">
        <v>3490.4609999999998</v>
      </c>
      <c r="AU16" s="33">
        <v>3700.6019999999999</v>
      </c>
      <c r="AV16" s="33">
        <v>3763.9360000000001</v>
      </c>
      <c r="AW16" s="33">
        <v>4144.83</v>
      </c>
      <c r="AX16" s="33">
        <v>4464.6239999999998</v>
      </c>
      <c r="AY16" s="33">
        <v>4861.9530000000004</v>
      </c>
      <c r="AZ16" s="231">
        <f t="shared" si="11"/>
        <v>5002.5005000000001</v>
      </c>
      <c r="BA16" s="33">
        <v>5143.0479999999998</v>
      </c>
      <c r="BB16" s="231">
        <f t="shared" si="12"/>
        <v>5402.1684999999998</v>
      </c>
      <c r="BC16" s="33">
        <v>5661.2889999999998</v>
      </c>
      <c r="BD16" s="33">
        <v>5909.2830000000004</v>
      </c>
      <c r="BE16" s="33">
        <v>6478.58</v>
      </c>
      <c r="BF16" s="33">
        <v>6768.5230000000001</v>
      </c>
      <c r="BG16" s="33">
        <v>7218.8379999999997</v>
      </c>
      <c r="BH16" s="33">
        <v>7469.7470000000003</v>
      </c>
      <c r="BI16" s="33">
        <v>7549.3159999999998</v>
      </c>
      <c r="BJ16" s="33">
        <v>7301.9719999999998</v>
      </c>
      <c r="BK16" s="440">
        <v>7513.6450000000004</v>
      </c>
      <c r="BL16" s="45">
        <v>859.1</v>
      </c>
      <c r="BM16" s="217">
        <v>861.5</v>
      </c>
      <c r="BN16" s="217">
        <v>940.3</v>
      </c>
      <c r="BO16" s="217">
        <v>1020.612</v>
      </c>
      <c r="BP16" s="217">
        <v>1177.827</v>
      </c>
      <c r="BQ16" s="217">
        <v>1245.0029999999999</v>
      </c>
      <c r="BR16" s="217">
        <v>1456.675</v>
      </c>
      <c r="BS16" s="217">
        <v>1521.278</v>
      </c>
      <c r="BT16" s="217">
        <v>1589.1110000000001</v>
      </c>
      <c r="BU16" s="231">
        <f t="shared" si="13"/>
        <v>1630.4630000000002</v>
      </c>
      <c r="BV16" s="217">
        <v>1671.8150000000001</v>
      </c>
      <c r="BW16" s="33">
        <v>1801.8</v>
      </c>
      <c r="BX16" s="33">
        <v>1902.64</v>
      </c>
      <c r="BY16" s="33">
        <v>2189.7779999999998</v>
      </c>
      <c r="BZ16" s="33">
        <v>2304.67</v>
      </c>
      <c r="CA16" s="33">
        <v>2284.0729999999999</v>
      </c>
      <c r="CB16" s="33">
        <v>2508.3319999999999</v>
      </c>
      <c r="CC16" s="33">
        <v>2745.89</v>
      </c>
      <c r="CD16" s="33">
        <v>2939.69</v>
      </c>
      <c r="CE16" s="231">
        <f t="shared" si="14"/>
        <v>2946.1824999999999</v>
      </c>
      <c r="CF16" s="33">
        <v>2952.6750000000002</v>
      </c>
      <c r="CG16" s="231">
        <f t="shared" si="15"/>
        <v>3179.7330000000002</v>
      </c>
      <c r="CH16" s="33">
        <v>3406.7910000000002</v>
      </c>
      <c r="CI16" s="33">
        <v>3545.21</v>
      </c>
      <c r="CJ16" s="33">
        <v>3996.5880000000002</v>
      </c>
      <c r="CK16" s="33">
        <v>4088.2449999999999</v>
      </c>
      <c r="CL16" s="33">
        <v>4292.9840000000004</v>
      </c>
      <c r="CM16" s="33">
        <v>4479.6899999999996</v>
      </c>
      <c r="CN16" s="33">
        <v>4433.1390000000001</v>
      </c>
      <c r="CO16" s="33">
        <v>4275.5959999999995</v>
      </c>
      <c r="CP16" s="440">
        <v>4352.2790000000005</v>
      </c>
      <c r="CQ16" s="46">
        <v>494.1</v>
      </c>
      <c r="CR16" s="33">
        <v>488.4</v>
      </c>
      <c r="CS16" s="33">
        <v>516.6</v>
      </c>
      <c r="CT16" s="33">
        <v>539.12800000000004</v>
      </c>
      <c r="CU16" s="33">
        <v>581.52</v>
      </c>
      <c r="CV16" s="33">
        <v>592.39099999999996</v>
      </c>
      <c r="CW16" s="33">
        <v>634.02</v>
      </c>
      <c r="CX16" s="33">
        <v>730.22799999999995</v>
      </c>
      <c r="CY16" s="33">
        <v>791.68399999999997</v>
      </c>
      <c r="CZ16" s="231">
        <f t="shared" si="16"/>
        <v>821.77850000000001</v>
      </c>
      <c r="DA16" s="33">
        <f>851873/1000</f>
        <v>851.87300000000005</v>
      </c>
      <c r="DB16" s="33">
        <v>830.69100000000003</v>
      </c>
      <c r="DC16" s="33">
        <v>976.07</v>
      </c>
      <c r="DD16" s="33">
        <v>1096.3510000000001</v>
      </c>
      <c r="DE16" s="42">
        <v>1150.3520000000001</v>
      </c>
      <c r="DF16" s="42">
        <v>1224.6669999999999</v>
      </c>
      <c r="DG16" s="42">
        <v>1345.6769999999999</v>
      </c>
      <c r="DH16" s="42">
        <v>1403.0039999999999</v>
      </c>
      <c r="DI16" s="42">
        <v>1561.9949999999999</v>
      </c>
      <c r="DJ16" s="231">
        <f t="shared" si="17"/>
        <v>1701.6765</v>
      </c>
      <c r="DK16" s="33">
        <v>1841.3579999999999</v>
      </c>
      <c r="DL16" s="231">
        <f t="shared" si="18"/>
        <v>1876.5450000000001</v>
      </c>
      <c r="DM16" s="33">
        <v>1911.732</v>
      </c>
      <c r="DN16" s="33">
        <v>2023.152</v>
      </c>
      <c r="DO16" s="33">
        <v>2131.491</v>
      </c>
      <c r="DP16" s="33">
        <v>2305.2379999999998</v>
      </c>
      <c r="DQ16" s="33">
        <v>2535.7869999999998</v>
      </c>
      <c r="DR16" s="33">
        <v>2584.0500000000002</v>
      </c>
      <c r="DS16" s="33">
        <v>2683.3310000000001</v>
      </c>
      <c r="DT16" s="33">
        <v>2587.7049999999999</v>
      </c>
      <c r="DU16" s="440">
        <v>2673.25</v>
      </c>
      <c r="DV16" s="38">
        <f t="shared" si="62"/>
        <v>93</v>
      </c>
      <c r="DW16" s="40">
        <f t="shared" si="56"/>
        <v>87.999999999999886</v>
      </c>
      <c r="DX16" s="40">
        <f t="shared" si="57"/>
        <v>95.800000000000068</v>
      </c>
      <c r="DY16" s="40">
        <f t="shared" si="58"/>
        <v>99.253999999999905</v>
      </c>
      <c r="DZ16" s="40">
        <f t="shared" si="59"/>
        <v>112.15600000000018</v>
      </c>
      <c r="EA16" s="40">
        <f t="shared" si="60"/>
        <v>108.88600000000008</v>
      </c>
      <c r="EB16" s="40">
        <f t="shared" si="61"/>
        <v>129.09300000000007</v>
      </c>
      <c r="EC16" s="40">
        <f t="shared" si="20"/>
        <v>143.072</v>
      </c>
      <c r="ED16" s="40">
        <f t="shared" si="21"/>
        <v>152.60999999999967</v>
      </c>
      <c r="EE16" s="40">
        <f t="shared" si="22"/>
        <v>154.88</v>
      </c>
      <c r="EF16" s="40">
        <f t="shared" si="23"/>
        <v>157.15000000000009</v>
      </c>
      <c r="EG16" s="40">
        <f t="shared" si="24"/>
        <v>168.82000000000016</v>
      </c>
      <c r="EH16" s="40">
        <f t="shared" si="25"/>
        <v>190.10199999999975</v>
      </c>
      <c r="EI16" s="40">
        <f t="shared" si="26"/>
        <v>204.33199999999988</v>
      </c>
      <c r="EJ16" s="40">
        <f t="shared" si="27"/>
        <v>245.5799999999997</v>
      </c>
      <c r="EK16" s="40">
        <f t="shared" si="28"/>
        <v>255.19600000000037</v>
      </c>
      <c r="EL16" s="40">
        <f t="shared" si="29"/>
        <v>290.82100000000014</v>
      </c>
      <c r="EM16" s="40">
        <f t="shared" si="30"/>
        <v>315.73</v>
      </c>
      <c r="EN16" s="40">
        <f t="shared" si="31"/>
        <v>360.26800000000048</v>
      </c>
      <c r="EO16" s="40">
        <f t="shared" si="32"/>
        <v>354.64150000000018</v>
      </c>
      <c r="EP16" s="40">
        <f t="shared" si="33"/>
        <v>349.01499999999965</v>
      </c>
      <c r="EQ16" s="40">
        <f t="shared" si="34"/>
        <v>345.89049999999952</v>
      </c>
      <c r="ER16" s="40">
        <f t="shared" si="35"/>
        <v>342.76599999999962</v>
      </c>
      <c r="ES16" s="40">
        <f t="shared" si="36"/>
        <v>340.92100000000028</v>
      </c>
      <c r="ET16" s="40">
        <f t="shared" si="37"/>
        <v>350.50099999999975</v>
      </c>
      <c r="EU16" s="40">
        <f t="shared" si="38"/>
        <v>375.04000000000042</v>
      </c>
      <c r="EV16" s="40">
        <f t="shared" si="39"/>
        <v>390.06699999999955</v>
      </c>
      <c r="EW16" s="40">
        <f t="shared" si="40"/>
        <v>406.00700000000052</v>
      </c>
      <c r="EX16" s="40">
        <f t="shared" si="41"/>
        <v>432.84599999999955</v>
      </c>
      <c r="EY16" s="40">
        <f t="shared" si="42"/>
        <v>438.67100000000028</v>
      </c>
      <c r="EZ16" s="40">
        <f t="shared" si="43"/>
        <v>488.11599999999999</v>
      </c>
      <c r="FA16" s="177">
        <f>451.1+568+38.5+0.8</f>
        <v>1058.3999999999999</v>
      </c>
      <c r="FB16" s="33">
        <f>438.1+647.8+36.7+0.7</f>
        <v>1123.3000000000002</v>
      </c>
      <c r="FC16" s="33">
        <f>495.6+732.4+37.7+0.8</f>
        <v>1266.5</v>
      </c>
      <c r="FD16" s="33">
        <f>494.619+661.313+105.179+36.699+0.797</f>
        <v>1298.6070000000002</v>
      </c>
      <c r="FE16" s="33">
        <f>519.233+667.764+116.238+45.222+0.615</f>
        <v>1349.0719999999999</v>
      </c>
      <c r="FF16" s="33">
        <f>556.278+730.021+120.164+38.548+0.443</f>
        <v>1445.454</v>
      </c>
      <c r="FG16" s="33">
        <f>632.266+815.477+126.14+38.051+0.492</f>
        <v>1612.4259999999999</v>
      </c>
      <c r="FH16" s="33">
        <f>699.542+853.559+137.74+39.488+0.538</f>
        <v>1730.8670000000002</v>
      </c>
      <c r="FI16" s="33">
        <f>710.712+894.374+152.992+33.267+2.824</f>
        <v>1794.1690000000001</v>
      </c>
      <c r="FJ16" s="231">
        <f t="shared" si="44"/>
        <v>2068.8130000000001</v>
      </c>
      <c r="FK16" s="33">
        <v>2343.4569999999999</v>
      </c>
      <c r="FL16" s="33">
        <v>2506.3679999999999</v>
      </c>
      <c r="FM16" s="33">
        <v>2805.3629999999998</v>
      </c>
      <c r="FN16" s="33">
        <v>3016.348</v>
      </c>
      <c r="FO16" s="33">
        <v>3255.5540000000001</v>
      </c>
      <c r="FP16" s="33">
        <v>3558.43</v>
      </c>
      <c r="FQ16" s="33">
        <v>3624.7689999999998</v>
      </c>
      <c r="FR16" s="33">
        <v>4040.74</v>
      </c>
      <c r="FS16" s="33">
        <v>4508.8689999999997</v>
      </c>
      <c r="FT16" s="231">
        <f t="shared" si="45"/>
        <v>4989.9764999999998</v>
      </c>
      <c r="FU16" s="33">
        <v>5471.0839999999998</v>
      </c>
      <c r="FV16" s="231">
        <f t="shared" si="46"/>
        <v>5891.98</v>
      </c>
      <c r="FW16" s="33">
        <v>6312.8760000000002</v>
      </c>
      <c r="FX16" s="33">
        <v>6638.7579999999998</v>
      </c>
      <c r="FY16" s="33">
        <v>6536.4620000000004</v>
      </c>
      <c r="FZ16" s="33">
        <v>7093.7849999999999</v>
      </c>
      <c r="GA16" s="33">
        <v>7613.3810000000003</v>
      </c>
      <c r="GB16" s="33">
        <v>8460.7710000000006</v>
      </c>
      <c r="GC16" s="33">
        <v>8672.8029999999999</v>
      </c>
      <c r="GD16" s="33">
        <v>9001.643</v>
      </c>
      <c r="GE16" s="440">
        <v>9037.4500000000007</v>
      </c>
      <c r="GF16" s="46">
        <f>534.3+18.5+9.7+103.8+40.5+50.8+27.8+132.9+53.8+41.3+38.9</f>
        <v>1052.2999999999997</v>
      </c>
      <c r="GG16" s="33">
        <f>503.5+15.5+15.9+108.8+41+51.2+27.8+136.9+18.2+38.4+51.4</f>
        <v>1008.5999999999999</v>
      </c>
      <c r="GH16" s="33">
        <f>516.5+11.7+13.2+120.6+43.6+59.3+30.1+145.2+35.2+37.3+55.3</f>
        <v>1068</v>
      </c>
      <c r="GI16" s="33">
        <f>554.357+12.288+1.372+8.37+0.979+128.367+47.629+68.903+34.075+116.466+36.002+70.204+52.877+41.19</f>
        <v>1173.079</v>
      </c>
      <c r="GJ16" s="33">
        <f>593.636+8.789+1.298+7.758+1.109+137.649+49.75+80.069+37.249+120.986+39.653+65.883+75.835+41.378</f>
        <v>1261.0420000000001</v>
      </c>
      <c r="GK16" s="33">
        <f>551.99+9.341+0.183+17.831+1.262+142.166+56.431+76.979+36.771+113.415+40.283+77.474+72.232+43.052</f>
        <v>1239.4099999999996</v>
      </c>
      <c r="GL16" s="33">
        <f>519.651+8.799+0.353+12.595+1.074+147.283+62.529+68.893+38.42+132.595+52.652+83.572+84.952+38.568</f>
        <v>1251.9359999999997</v>
      </c>
      <c r="GM16" s="33">
        <f>556.135+10.508+0.208+10.729+1.092+160.797+65.666+89.075+41.213+144.377+55.63+77.991+86.771+42.291</f>
        <v>1342.4829999999999</v>
      </c>
      <c r="GN16" s="33">
        <f>559.832+10.549+0.188+12.53+1.392+166.883+72.701+105.875+43.406+142.575+58.549+80.939+122.034+43.388</f>
        <v>1420.8410000000001</v>
      </c>
      <c r="GO16" s="231">
        <f t="shared" si="47"/>
        <v>1509.3695</v>
      </c>
      <c r="GP16" s="33">
        <v>1597.8979999999999</v>
      </c>
      <c r="GQ16" s="33">
        <v>1719.1869999999999</v>
      </c>
      <c r="GR16" s="33">
        <v>1729.9069999999999</v>
      </c>
      <c r="GS16" s="33">
        <v>1994.241</v>
      </c>
      <c r="GT16" s="33">
        <v>2277.3560000000002</v>
      </c>
      <c r="GU16" s="33">
        <v>2396.3809999999999</v>
      </c>
      <c r="GV16" s="33">
        <v>2647.828</v>
      </c>
      <c r="GW16" s="33">
        <v>2755.6239999999998</v>
      </c>
      <c r="GX16" s="33">
        <v>2994.3229999999999</v>
      </c>
      <c r="GY16" s="231">
        <f t="shared" si="48"/>
        <v>3059.6255000000001</v>
      </c>
      <c r="GZ16" s="33">
        <v>3124.9279999999999</v>
      </c>
      <c r="HA16" s="231">
        <f t="shared" si="49"/>
        <v>3303.3235</v>
      </c>
      <c r="HB16" s="33">
        <v>3481.7190000000001</v>
      </c>
      <c r="HC16" s="33">
        <v>3478.8519999999999</v>
      </c>
      <c r="HD16" s="33">
        <v>4049.0680000000002</v>
      </c>
      <c r="HE16" s="33">
        <v>4386.5280000000002</v>
      </c>
      <c r="HF16" s="33">
        <v>4336.6090000000004</v>
      </c>
      <c r="HG16" s="33">
        <v>4207.5379999999996</v>
      </c>
      <c r="HH16" s="33">
        <v>4630.3729999999996</v>
      </c>
      <c r="HI16" s="33">
        <v>4864.0860000000002</v>
      </c>
      <c r="HJ16" s="440">
        <v>4957.7190000000001</v>
      </c>
      <c r="HK16" s="46">
        <f>66.7+69.6+30.5</f>
        <v>166.8</v>
      </c>
      <c r="HL16" s="33">
        <f>66.2+73+24.2</f>
        <v>163.39999999999998</v>
      </c>
      <c r="HM16" s="33">
        <f>74.3+77.4+40.6</f>
        <v>192.29999999999998</v>
      </c>
      <c r="HN16" s="33">
        <f>78.047+40.922+36.833+49.023</f>
        <v>204.82499999999999</v>
      </c>
      <c r="HO16" s="33">
        <f>87.65+42.171+43.602+56.523</f>
        <v>229.946</v>
      </c>
      <c r="HP16" s="33">
        <f>87.898+46.668+51.764+59.134</f>
        <v>245.464</v>
      </c>
      <c r="HQ16" s="33">
        <f>108.358+49.638+37.446+66.24</f>
        <v>261.68200000000002</v>
      </c>
      <c r="HR16" s="33">
        <f>107.923+53.829+43.981+70.048</f>
        <v>275.78100000000001</v>
      </c>
      <c r="HS16" s="33">
        <f>109.222+61.948+71.548+73.426</f>
        <v>316.14400000000001</v>
      </c>
      <c r="HT16" s="231">
        <f t="shared" si="50"/>
        <v>323.089</v>
      </c>
      <c r="HU16" s="33">
        <v>330.03399999999999</v>
      </c>
      <c r="HV16" s="33">
        <v>346.79500000000002</v>
      </c>
      <c r="HW16" s="33">
        <v>384.93200000000002</v>
      </c>
      <c r="HX16" s="33">
        <v>440.12299999999999</v>
      </c>
      <c r="HY16" s="33">
        <v>509.32</v>
      </c>
      <c r="HZ16" s="33">
        <v>583.48599999999999</v>
      </c>
      <c r="IA16" s="33">
        <v>597.86599999999999</v>
      </c>
      <c r="IB16" s="33">
        <v>609.18299999999999</v>
      </c>
      <c r="IC16" s="33">
        <v>630.13199999999995</v>
      </c>
      <c r="ID16" s="231">
        <f t="shared" si="51"/>
        <v>632.0954999999999</v>
      </c>
      <c r="IE16" s="33">
        <v>634.05899999999997</v>
      </c>
      <c r="IF16" s="231">
        <f t="shared" si="52"/>
        <v>696.60300000000007</v>
      </c>
      <c r="IG16" s="33">
        <v>759.14700000000005</v>
      </c>
      <c r="IH16" s="33">
        <v>760.59799999999996</v>
      </c>
      <c r="II16" s="33">
        <v>755.99900000000002</v>
      </c>
      <c r="IJ16" s="33">
        <v>806.654</v>
      </c>
      <c r="IK16" s="33">
        <v>889.10799999999995</v>
      </c>
      <c r="IL16" s="33">
        <v>927.04499999999996</v>
      </c>
      <c r="IM16" s="33">
        <v>1007.694</v>
      </c>
      <c r="IN16" s="33">
        <v>1008.516</v>
      </c>
      <c r="IO16" s="440">
        <v>1003.451</v>
      </c>
      <c r="IP16" s="45">
        <f>(0.1+108+144.5)</f>
        <v>252.6</v>
      </c>
      <c r="IQ16" s="217">
        <f>0+130.7+141.4</f>
        <v>272.10000000000002</v>
      </c>
      <c r="IR16" s="217">
        <f>160.4+141.9</f>
        <v>302.3</v>
      </c>
      <c r="IS16" s="217">
        <f>170.917+155.364+0.035</f>
        <v>326.31600000000003</v>
      </c>
      <c r="IT16" s="217">
        <f>237.747+0+186.672</f>
        <v>424.41899999999998</v>
      </c>
      <c r="IU16" s="217">
        <f>274.863+0+167.942</f>
        <v>442.80500000000001</v>
      </c>
      <c r="IV16" s="217">
        <f>317.568+217.892</f>
        <v>535.46</v>
      </c>
      <c r="IW16" s="217">
        <f>315.975+265.369</f>
        <v>581.34400000000005</v>
      </c>
      <c r="IX16" s="217">
        <f>308.909+219.336</f>
        <v>528.245</v>
      </c>
      <c r="IY16" s="231">
        <f t="shared" si="53"/>
        <v>538.49150000000009</v>
      </c>
      <c r="IZ16" s="217">
        <v>548.73800000000006</v>
      </c>
      <c r="JA16" s="33">
        <v>572.12800000000004</v>
      </c>
      <c r="JB16" s="33">
        <v>632.83699999999999</v>
      </c>
      <c r="JC16" s="33">
        <v>693.96500000000003</v>
      </c>
      <c r="JD16" s="33">
        <v>744.048</v>
      </c>
      <c r="JE16" s="33">
        <v>807.02800000000002</v>
      </c>
      <c r="JF16" s="26">
        <v>871.096</v>
      </c>
      <c r="JG16" s="26">
        <v>1069.626</v>
      </c>
      <c r="JH16" s="26">
        <v>937.08500000000004</v>
      </c>
      <c r="JI16" s="231">
        <f t="shared" si="54"/>
        <v>974.06600000000003</v>
      </c>
      <c r="JJ16" s="26">
        <v>1011.047</v>
      </c>
      <c r="JK16" s="231">
        <f t="shared" si="55"/>
        <v>1038.76</v>
      </c>
      <c r="JL16" s="26">
        <v>1066.473</v>
      </c>
      <c r="JM16" s="26">
        <v>1059.0150000000001</v>
      </c>
      <c r="JN16" s="26">
        <v>1439.7080000000001</v>
      </c>
      <c r="JO16" s="33">
        <v>3105.48</v>
      </c>
      <c r="JP16" s="33">
        <v>2395.8939999999998</v>
      </c>
      <c r="JQ16" s="33">
        <v>1948.501</v>
      </c>
      <c r="JR16" s="33">
        <v>1792.9390000000001</v>
      </c>
      <c r="JS16" s="17">
        <v>1654.8430000000001</v>
      </c>
      <c r="JT16" s="450">
        <v>1623.538</v>
      </c>
    </row>
    <row r="17" spans="1:280" s="17" customFormat="1">
      <c r="A17" s="221" t="s">
        <v>33</v>
      </c>
      <c r="B17" s="33">
        <f>0+8707.1</f>
        <v>8707.1</v>
      </c>
      <c r="C17" s="217">
        <v>9104.6</v>
      </c>
      <c r="D17" s="217">
        <f>0+9878.7</f>
        <v>9878.7000000000007</v>
      </c>
      <c r="E17" s="217">
        <v>11162.421</v>
      </c>
      <c r="F17" s="217">
        <f>12099.257+0</f>
        <v>12099.257</v>
      </c>
      <c r="G17" s="217">
        <f>13324.901+0</f>
        <v>13324.901</v>
      </c>
      <c r="H17" s="217">
        <v>14734.665999999999</v>
      </c>
      <c r="I17" s="217">
        <v>16532.616000000002</v>
      </c>
      <c r="J17" s="217">
        <v>18715.166000000001</v>
      </c>
      <c r="K17" s="231">
        <f t="shared" si="7"/>
        <v>19990.891499999998</v>
      </c>
      <c r="L17" s="217">
        <v>21266.616999999998</v>
      </c>
      <c r="M17" s="33">
        <v>23107.550999999999</v>
      </c>
      <c r="N17" s="33">
        <v>24916.69</v>
      </c>
      <c r="O17" s="33">
        <v>27438.38</v>
      </c>
      <c r="P17" s="33">
        <v>28991.685000000001</v>
      </c>
      <c r="Q17" s="33">
        <v>31222.170999999998</v>
      </c>
      <c r="R17" s="33">
        <v>33825.618999999999</v>
      </c>
      <c r="S17" s="33">
        <v>36769.315000000002</v>
      </c>
      <c r="T17" s="33">
        <v>40434.442000000003</v>
      </c>
      <c r="U17" s="231">
        <f t="shared" si="8"/>
        <v>42487.201500000003</v>
      </c>
      <c r="V17" s="33">
        <v>44539.961000000003</v>
      </c>
      <c r="W17" s="231">
        <f t="shared" si="9"/>
        <v>46515.069499999998</v>
      </c>
      <c r="X17" s="33">
        <v>48490.178</v>
      </c>
      <c r="Y17" s="33">
        <v>52596.377</v>
      </c>
      <c r="Z17" s="33">
        <v>59321.084999999999</v>
      </c>
      <c r="AA17" s="33">
        <v>59236.476999999999</v>
      </c>
      <c r="AB17" s="33">
        <v>63365.370999999999</v>
      </c>
      <c r="AC17" s="33">
        <v>65312.32</v>
      </c>
      <c r="AD17" s="33">
        <v>66128.926999999996</v>
      </c>
      <c r="AE17" s="33">
        <v>67309.269</v>
      </c>
      <c r="AF17" s="440">
        <v>70263.620999999999</v>
      </c>
      <c r="AG17" s="379">
        <f>3768.8+38</f>
        <v>3806.8</v>
      </c>
      <c r="AH17" s="217">
        <f>3785+36.7</f>
        <v>3821.7</v>
      </c>
      <c r="AI17" s="217">
        <f>4202.5+41.1</f>
        <v>4243.6000000000004</v>
      </c>
      <c r="AJ17" s="217">
        <f>4780.395+51.09</f>
        <v>4831.4850000000006</v>
      </c>
      <c r="AK17" s="217">
        <f>5322.111+53.241</f>
        <v>5375.3519999999999</v>
      </c>
      <c r="AL17" s="217">
        <f>5768.918+55.428</f>
        <v>5824.3459999999995</v>
      </c>
      <c r="AM17" s="217">
        <f>6176.855+74.143</f>
        <v>6250.9979999999996</v>
      </c>
      <c r="AN17" s="217">
        <f>6854.286+78.3</f>
        <v>6932.5860000000002</v>
      </c>
      <c r="AO17" s="217">
        <f>7535.663+93.526</f>
        <v>7629.1889999999994</v>
      </c>
      <c r="AP17" s="231">
        <f t="shared" si="10"/>
        <v>7963.5635000000002</v>
      </c>
      <c r="AQ17" s="30">
        <v>8297.9380000000001</v>
      </c>
      <c r="AR17" s="33">
        <v>8682.9220000000005</v>
      </c>
      <c r="AS17" s="33">
        <v>9138.4670000000006</v>
      </c>
      <c r="AT17" s="33">
        <v>9873.0159999999996</v>
      </c>
      <c r="AU17" s="33">
        <v>10354.986999999999</v>
      </c>
      <c r="AV17" s="33">
        <v>11152.616</v>
      </c>
      <c r="AW17" s="33">
        <v>12085.56</v>
      </c>
      <c r="AX17" s="33">
        <v>13111.031999999999</v>
      </c>
      <c r="AY17" s="33">
        <v>14327.409</v>
      </c>
      <c r="AZ17" s="231">
        <f t="shared" si="11"/>
        <v>14877.255000000001</v>
      </c>
      <c r="BA17" s="33">
        <v>15427.101000000001</v>
      </c>
      <c r="BB17" s="231">
        <f t="shared" si="12"/>
        <v>16430.483</v>
      </c>
      <c r="BC17" s="33">
        <v>17433.865000000002</v>
      </c>
      <c r="BD17" s="33">
        <v>18840.337</v>
      </c>
      <c r="BE17" s="33">
        <v>21797.34</v>
      </c>
      <c r="BF17" s="33">
        <v>21797.34</v>
      </c>
      <c r="BG17" s="33">
        <v>23005.37</v>
      </c>
      <c r="BH17" s="33">
        <v>23538.306</v>
      </c>
      <c r="BI17" s="33">
        <v>23971.304</v>
      </c>
      <c r="BJ17" s="33">
        <v>23964.62</v>
      </c>
      <c r="BK17" s="440">
        <v>23921.267</v>
      </c>
      <c r="BL17" s="45">
        <v>2375.4</v>
      </c>
      <c r="BM17" s="217">
        <v>2400.1</v>
      </c>
      <c r="BN17" s="217">
        <v>2594.5</v>
      </c>
      <c r="BO17" s="217">
        <v>2964.4169999999999</v>
      </c>
      <c r="BP17" s="217">
        <v>3356.23</v>
      </c>
      <c r="BQ17" s="217">
        <v>3668.998</v>
      </c>
      <c r="BR17" s="217">
        <v>3951.3409999999999</v>
      </c>
      <c r="BS17" s="217">
        <v>4410.34</v>
      </c>
      <c r="BT17" s="217">
        <v>4923.8490000000002</v>
      </c>
      <c r="BU17" s="231">
        <f t="shared" si="13"/>
        <v>5160.6885000000002</v>
      </c>
      <c r="BV17" s="217">
        <v>5397.5280000000002</v>
      </c>
      <c r="BW17" s="33">
        <v>5381.7979999999998</v>
      </c>
      <c r="BX17" s="33">
        <v>5691.1419999999998</v>
      </c>
      <c r="BY17" s="33">
        <v>6102.0749999999998</v>
      </c>
      <c r="BZ17" s="33">
        <v>6382.0349999999999</v>
      </c>
      <c r="CA17" s="33">
        <v>6942.2929999999997</v>
      </c>
      <c r="CB17" s="33">
        <v>7503.7910000000002</v>
      </c>
      <c r="CC17" s="33">
        <v>8313.2630000000008</v>
      </c>
      <c r="CD17" s="33">
        <v>9099.2180000000008</v>
      </c>
      <c r="CE17" s="231">
        <f t="shared" si="14"/>
        <v>9349.7860000000001</v>
      </c>
      <c r="CF17" s="33">
        <v>9600.3539999999994</v>
      </c>
      <c r="CG17" s="231">
        <f t="shared" si="15"/>
        <v>9821.5334999999995</v>
      </c>
      <c r="CH17" s="33">
        <v>10042.713</v>
      </c>
      <c r="CI17" s="33">
        <v>10734.174999999999</v>
      </c>
      <c r="CJ17" s="33">
        <v>12591.86</v>
      </c>
      <c r="CK17" s="33">
        <v>12591.86</v>
      </c>
      <c r="CL17" s="33">
        <v>13468.428</v>
      </c>
      <c r="CM17" s="33">
        <v>14479.328</v>
      </c>
      <c r="CN17" s="33">
        <v>13920.475</v>
      </c>
      <c r="CO17" s="33">
        <v>13133.834999999999</v>
      </c>
      <c r="CP17" s="440">
        <v>12836.803</v>
      </c>
      <c r="CQ17" s="46">
        <v>1254.7</v>
      </c>
      <c r="CR17" s="33">
        <v>1244.5</v>
      </c>
      <c r="CS17" s="33">
        <v>1412.1</v>
      </c>
      <c r="CT17" s="33">
        <v>1644.347</v>
      </c>
      <c r="CU17" s="33">
        <v>1770.579</v>
      </c>
      <c r="CV17" s="33">
        <v>1892.1110000000001</v>
      </c>
      <c r="CW17" s="33">
        <v>1995.2940000000001</v>
      </c>
      <c r="CX17" s="33">
        <v>2217.877</v>
      </c>
      <c r="CY17" s="33">
        <v>2379.3110000000001</v>
      </c>
      <c r="CZ17" s="231">
        <f t="shared" si="16"/>
        <v>2467.6455000000001</v>
      </c>
      <c r="DA17" s="33">
        <f>2555980/1000</f>
        <v>2555.98</v>
      </c>
      <c r="DB17" s="33">
        <v>2865.5929999999998</v>
      </c>
      <c r="DC17" s="33">
        <v>2975.172</v>
      </c>
      <c r="DD17" s="33">
        <v>3230.348</v>
      </c>
      <c r="DE17" s="42">
        <v>3400.8290000000002</v>
      </c>
      <c r="DF17" s="42">
        <v>3636.1419999999998</v>
      </c>
      <c r="DG17" s="42">
        <v>3940.1640000000002</v>
      </c>
      <c r="DH17" s="42">
        <v>4122.1890000000003</v>
      </c>
      <c r="DI17" s="42">
        <v>4491.5860000000002</v>
      </c>
      <c r="DJ17" s="231">
        <f t="shared" si="17"/>
        <v>4819.6090000000004</v>
      </c>
      <c r="DK17" s="33">
        <v>5147.6319999999996</v>
      </c>
      <c r="DL17" s="231">
        <f t="shared" si="18"/>
        <v>5946.2909999999993</v>
      </c>
      <c r="DM17" s="33">
        <v>6744.95</v>
      </c>
      <c r="DN17" s="33">
        <v>7402.2939999999999</v>
      </c>
      <c r="DO17" s="33">
        <v>8344.3179999999993</v>
      </c>
      <c r="DP17" s="33">
        <v>8344.3179999999993</v>
      </c>
      <c r="DQ17" s="33">
        <v>8585.5679999999993</v>
      </c>
      <c r="DR17" s="33">
        <v>8051.9459999999999</v>
      </c>
      <c r="DS17" s="33">
        <v>8858.41</v>
      </c>
      <c r="DT17" s="33">
        <v>9289.6350000000002</v>
      </c>
      <c r="DU17" s="440">
        <v>9544.5939999999991</v>
      </c>
      <c r="DV17" s="38">
        <f t="shared" si="62"/>
        <v>176.70000000000005</v>
      </c>
      <c r="DW17" s="40">
        <f t="shared" si="56"/>
        <v>177.09999999999991</v>
      </c>
      <c r="DX17" s="40">
        <f t="shared" si="57"/>
        <v>237.00000000000045</v>
      </c>
      <c r="DY17" s="40">
        <f t="shared" si="58"/>
        <v>222.72100000000069</v>
      </c>
      <c r="DZ17" s="40">
        <f t="shared" si="59"/>
        <v>248.54299999999989</v>
      </c>
      <c r="EA17" s="40">
        <f t="shared" si="60"/>
        <v>263.2369999999994</v>
      </c>
      <c r="EB17" s="40">
        <f t="shared" si="61"/>
        <v>304.3629999999996</v>
      </c>
      <c r="EC17" s="40">
        <f t="shared" si="20"/>
        <v>304.36900000000014</v>
      </c>
      <c r="ED17" s="40">
        <f t="shared" si="21"/>
        <v>326.02899999999909</v>
      </c>
      <c r="EE17" s="40">
        <f t="shared" si="22"/>
        <v>335.22949999999992</v>
      </c>
      <c r="EF17" s="40">
        <f t="shared" si="23"/>
        <v>344.42999999999984</v>
      </c>
      <c r="EG17" s="40">
        <f t="shared" si="24"/>
        <v>435.53100000000086</v>
      </c>
      <c r="EH17" s="40">
        <f t="shared" si="25"/>
        <v>472.1530000000007</v>
      </c>
      <c r="EI17" s="40">
        <f t="shared" si="26"/>
        <v>540.59299999999985</v>
      </c>
      <c r="EJ17" s="40">
        <f t="shared" si="27"/>
        <v>572.12299999999914</v>
      </c>
      <c r="EK17" s="40">
        <f t="shared" si="28"/>
        <v>574.18100000000049</v>
      </c>
      <c r="EL17" s="40">
        <f t="shared" si="29"/>
        <v>641.60499999999911</v>
      </c>
      <c r="EM17" s="40">
        <f t="shared" si="30"/>
        <v>675.57999999999811</v>
      </c>
      <c r="EN17" s="40">
        <f t="shared" si="31"/>
        <v>736.60499999999865</v>
      </c>
      <c r="EO17" s="40">
        <f t="shared" si="32"/>
        <v>707.86000000000058</v>
      </c>
      <c r="EP17" s="40">
        <f t="shared" si="33"/>
        <v>679.1150000000016</v>
      </c>
      <c r="EQ17" s="40">
        <f t="shared" si="34"/>
        <v>662.65850000000137</v>
      </c>
      <c r="ER17" s="40">
        <f t="shared" si="35"/>
        <v>646.20200000000204</v>
      </c>
      <c r="ES17" s="40">
        <f t="shared" si="36"/>
        <v>703.86800000000039</v>
      </c>
      <c r="ET17" s="40">
        <f t="shared" si="37"/>
        <v>861.16200000000026</v>
      </c>
      <c r="EU17" s="40">
        <f t="shared" si="38"/>
        <v>861.16200000000026</v>
      </c>
      <c r="EV17" s="40">
        <f t="shared" si="39"/>
        <v>951.3739999999998</v>
      </c>
      <c r="EW17" s="40">
        <f t="shared" si="40"/>
        <v>1007.0320000000011</v>
      </c>
      <c r="EX17" s="40">
        <f t="shared" si="41"/>
        <v>1192.4189999999999</v>
      </c>
      <c r="EY17" s="40">
        <f t="shared" si="42"/>
        <v>1541.1499999999996</v>
      </c>
      <c r="EZ17" s="40">
        <f t="shared" si="43"/>
        <v>1539.8700000000008</v>
      </c>
      <c r="FA17" s="177">
        <f>831.4+921.2+32+1.8</f>
        <v>1786.3999999999999</v>
      </c>
      <c r="FB17" s="33">
        <f>909.8+1021.4+39.7+1.9</f>
        <v>1972.8</v>
      </c>
      <c r="FC17" s="33">
        <f>989.6+1021.4+32.3+2</f>
        <v>2045.3</v>
      </c>
      <c r="FD17" s="33">
        <f>1003.864+801.693+313.425+38.394+1.884</f>
        <v>2159.2599999999998</v>
      </c>
      <c r="FE17" s="33">
        <f>1140.445+783.635+377.897+66.269+2.276</f>
        <v>2370.5219999999999</v>
      </c>
      <c r="FF17" s="33">
        <f>1263.203+898.621+403.08+42.123+2.361</f>
        <v>2609.3879999999999</v>
      </c>
      <c r="FG17" s="33">
        <f>1418.849+940.641+464.037+39.728+2.489</f>
        <v>2865.7439999999997</v>
      </c>
      <c r="FH17" s="33">
        <f>1670.75+1322.674+533.187+41.733+2.566</f>
        <v>3570.91</v>
      </c>
      <c r="FI17" s="33">
        <f>1919.163+1530.948+735.034+47.943+2.51</f>
        <v>4235.598</v>
      </c>
      <c r="FJ17" s="231">
        <f t="shared" si="44"/>
        <v>4937.2595000000001</v>
      </c>
      <c r="FK17" s="33">
        <v>5638.9210000000003</v>
      </c>
      <c r="FL17" s="33">
        <v>6338.009</v>
      </c>
      <c r="FM17" s="33">
        <v>7041.4179999999997</v>
      </c>
      <c r="FN17" s="33">
        <v>7998.3519999999999</v>
      </c>
      <c r="FO17" s="33">
        <v>8826.7569999999996</v>
      </c>
      <c r="FP17" s="33">
        <v>9496.991</v>
      </c>
      <c r="FQ17" s="33">
        <v>10222.754000000001</v>
      </c>
      <c r="FR17" s="33">
        <v>11093.058999999999</v>
      </c>
      <c r="FS17" s="33">
        <v>11948.637000000001</v>
      </c>
      <c r="FT17" s="231">
        <f t="shared" si="45"/>
        <v>12908.245500000001</v>
      </c>
      <c r="FU17" s="33">
        <v>13867.853999999999</v>
      </c>
      <c r="FV17" s="231">
        <f t="shared" si="46"/>
        <v>14268.665499999999</v>
      </c>
      <c r="FW17" s="33">
        <v>14669.477000000001</v>
      </c>
      <c r="FX17" s="33">
        <v>16821.781999999999</v>
      </c>
      <c r="FY17" s="33">
        <v>17656.455999999998</v>
      </c>
      <c r="FZ17" s="33">
        <v>17649.475999999999</v>
      </c>
      <c r="GA17" s="33">
        <v>19124.166000000001</v>
      </c>
      <c r="GB17" s="33">
        <v>20470.647000000001</v>
      </c>
      <c r="GC17" s="33">
        <v>21118.058000000001</v>
      </c>
      <c r="GD17" s="33">
        <v>21739.03</v>
      </c>
      <c r="GE17" s="440">
        <v>23785.985000000001</v>
      </c>
      <c r="GF17" s="46">
        <f>624.4+43.6+19.8+304.1+105.8+232+46+295.6+94+115.4+213.3</f>
        <v>2094.0000000000005</v>
      </c>
      <c r="GG17" s="33">
        <f>693.4+28.9+17.3+338.9+117.5+226.2+52.8+285.2+98.9+123.1+230.5</f>
        <v>2212.6999999999998</v>
      </c>
      <c r="GH17" s="33">
        <f>748.8+49.8+28.2+356.5+118.2+247.5+55.6+310.3+103.3+129.3+201.2</f>
        <v>2348.6999999999998</v>
      </c>
      <c r="GI17" s="33">
        <f>937.096+61.56+7.109+16.49+4.462+396.562+127.85+283.108+62.408+207.426+154.116+237.016+147.272+141.567</f>
        <v>2784.0419999999999</v>
      </c>
      <c r="GJ17" s="33">
        <f>981.278+64.845+15.075+22.752+0.653+418.433+144.417+315.382+74.923+215.287+168.429+230.29+43.463+151.499</f>
        <v>2846.7260000000001</v>
      </c>
      <c r="GK17" s="33">
        <f>1035.577+136.663+30.047+26.279+0.592+464.108+164.641+407.245+84.58+217.113+195.651+219.837+42.211+173.899</f>
        <v>3198.4429999999993</v>
      </c>
      <c r="GL17" s="33">
        <f>1224.415+163.523+9.666+33.44+0.408+510.574+186.913+463.421+98.849+251.999+240.413+250.855+51.303+199.937</f>
        <v>3685.7159999999994</v>
      </c>
      <c r="GM17" s="33">
        <f>1291.463+152.811+17.335+36.448+0.436+585.344+213.189+468.524+108.897+261.677+284.443+274.331+68.226+224.915</f>
        <v>3988.0390000000002</v>
      </c>
      <c r="GN17" s="33">
        <f>1510.903+131.063+20.224+30.819+0.508+645.827+231.768+531.094+92.904+292.222+327.189+281.913+378.141+244.325</f>
        <v>4718.8999999999996</v>
      </c>
      <c r="GO17" s="231">
        <f t="shared" si="47"/>
        <v>4831.7700000000004</v>
      </c>
      <c r="GP17" s="33">
        <v>4944.6400000000003</v>
      </c>
      <c r="GQ17" s="33">
        <v>5472.9049999999997</v>
      </c>
      <c r="GR17" s="33">
        <v>6003.491</v>
      </c>
      <c r="GS17" s="33">
        <v>6493.3580000000002</v>
      </c>
      <c r="GT17" s="33">
        <v>6603.6139999999996</v>
      </c>
      <c r="GU17" s="33">
        <v>7287.7219999999998</v>
      </c>
      <c r="GV17" s="33">
        <v>7881.0950000000003</v>
      </c>
      <c r="GW17" s="33">
        <v>8485.5249999999996</v>
      </c>
      <c r="GX17" s="33">
        <v>9221.75</v>
      </c>
      <c r="GY17" s="231">
        <f t="shared" si="48"/>
        <v>9694.8109999999997</v>
      </c>
      <c r="GZ17" s="33">
        <v>10167.871999999999</v>
      </c>
      <c r="HA17" s="231">
        <f t="shared" si="49"/>
        <v>10669.833500000001</v>
      </c>
      <c r="HB17" s="33">
        <v>11171.795</v>
      </c>
      <c r="HC17" s="33">
        <v>11631.55</v>
      </c>
      <c r="HD17" s="33">
        <v>13438.029</v>
      </c>
      <c r="HE17" s="33">
        <v>13440.395</v>
      </c>
      <c r="HF17" s="33">
        <v>13912.123</v>
      </c>
      <c r="HG17" s="33">
        <v>13840.192999999999</v>
      </c>
      <c r="HH17" s="33">
        <v>13902.376</v>
      </c>
      <c r="HI17" s="33">
        <v>14461.915999999999</v>
      </c>
      <c r="HJ17" s="440">
        <v>15607.825000000001</v>
      </c>
      <c r="HK17" s="46">
        <f>119.4+188.3+73</f>
        <v>380.70000000000005</v>
      </c>
      <c r="HL17" s="33">
        <f>129.8+219+72.1</f>
        <v>420.9</v>
      </c>
      <c r="HM17" s="33">
        <f>142.1+226.4+75.2</f>
        <v>443.7</v>
      </c>
      <c r="HN17" s="33">
        <f>174.104+130.593+95.415+133.582</f>
        <v>533.69399999999996</v>
      </c>
      <c r="HO17" s="33">
        <f>193.496+140.648+97.883+156.255</f>
        <v>588.28199999999993</v>
      </c>
      <c r="HP17" s="33">
        <f>215.338+155.986+132.68+184.475</f>
        <v>688.47899999999993</v>
      </c>
      <c r="HQ17" s="33">
        <f>229.167+175.078+122.4+200.133</f>
        <v>726.77800000000002</v>
      </c>
      <c r="HR17" s="33">
        <f>242.859+195.7+147.223+230.59</f>
        <v>816.37199999999996</v>
      </c>
      <c r="HS17" s="33">
        <f>270.643+217.238+164.235+243.756</f>
        <v>895.87199999999996</v>
      </c>
      <c r="HT17" s="231">
        <f t="shared" si="50"/>
        <v>916.46249999999998</v>
      </c>
      <c r="HU17" s="33">
        <v>937.053</v>
      </c>
      <c r="HV17" s="33">
        <v>1013.4829999999999</v>
      </c>
      <c r="HW17" s="33">
        <v>1105.18</v>
      </c>
      <c r="HX17" s="33">
        <v>1201.8599999999999</v>
      </c>
      <c r="HY17" s="33">
        <v>1230.19</v>
      </c>
      <c r="HZ17" s="33">
        <v>1259.556</v>
      </c>
      <c r="IA17" s="33">
        <v>1366.317</v>
      </c>
      <c r="IB17" s="33">
        <v>1478.8530000000001</v>
      </c>
      <c r="IC17" s="33">
        <v>1573.5530000000001</v>
      </c>
      <c r="ID17" s="231">
        <f t="shared" si="51"/>
        <v>1658.62</v>
      </c>
      <c r="IE17" s="33">
        <v>1743.6869999999999</v>
      </c>
      <c r="IF17" s="231">
        <f t="shared" si="52"/>
        <v>1778.0484999999999</v>
      </c>
      <c r="IG17" s="33">
        <v>1812.41</v>
      </c>
      <c r="IH17" s="33">
        <v>1969.106</v>
      </c>
      <c r="II17" s="33">
        <v>2319.4160000000002</v>
      </c>
      <c r="IJ17" s="33">
        <v>2319.402</v>
      </c>
      <c r="IK17" s="33">
        <v>2660.7979999999998</v>
      </c>
      <c r="IL17" s="33">
        <v>2779.8220000000001</v>
      </c>
      <c r="IM17" s="33">
        <v>2469.7600000000002</v>
      </c>
      <c r="IN17" s="33">
        <v>2569.3690000000001</v>
      </c>
      <c r="IO17" s="440">
        <v>2620.5830000000001</v>
      </c>
      <c r="IP17" s="45">
        <f>(0+244.1+395.1)</f>
        <v>639.20000000000005</v>
      </c>
      <c r="IQ17" s="217">
        <f>0+346.3+330.3</f>
        <v>676.6</v>
      </c>
      <c r="IR17" s="217">
        <f>423.7+373.6</f>
        <v>797.3</v>
      </c>
      <c r="IS17" s="217">
        <f>436.685+417.255</f>
        <v>853.94</v>
      </c>
      <c r="IT17" s="217">
        <f>465.765+6.599+446.011</f>
        <v>918.375</v>
      </c>
      <c r="IU17" s="217">
        <f>493.804+6.785+503.656</f>
        <v>1004.245</v>
      </c>
      <c r="IV17" s="217">
        <f>571.846+0.555+633.029</f>
        <v>1205.4299999999998</v>
      </c>
      <c r="IW17" s="217">
        <f>594.233+0.641+629.635</f>
        <v>1224.509</v>
      </c>
      <c r="IX17" s="217">
        <f>619.407+9.15+607.05</f>
        <v>1235.607</v>
      </c>
      <c r="IY17" s="231">
        <f t="shared" si="53"/>
        <v>1341.836</v>
      </c>
      <c r="IZ17" s="217">
        <v>1448.0650000000001</v>
      </c>
      <c r="JA17" s="33">
        <v>1600.232</v>
      </c>
      <c r="JB17" s="33">
        <v>1628.134</v>
      </c>
      <c r="JC17" s="33">
        <v>1871.7940000000001</v>
      </c>
      <c r="JD17" s="33">
        <v>1976.1369999999999</v>
      </c>
      <c r="JE17" s="33">
        <v>2025.2860000000001</v>
      </c>
      <c r="JF17" s="26">
        <v>2269.893</v>
      </c>
      <c r="JG17" s="26">
        <v>2600.846</v>
      </c>
      <c r="JH17" s="26">
        <v>3363.0929999999998</v>
      </c>
      <c r="JI17" s="231">
        <f t="shared" si="54"/>
        <v>3348.27</v>
      </c>
      <c r="JJ17" s="26">
        <v>3333.4470000000001</v>
      </c>
      <c r="JK17" s="231">
        <f t="shared" si="55"/>
        <v>3368.0389999999998</v>
      </c>
      <c r="JL17" s="26">
        <v>3402.6309999999999</v>
      </c>
      <c r="JM17" s="26">
        <v>3333.6019999999999</v>
      </c>
      <c r="JN17" s="26">
        <v>4109.8440000000001</v>
      </c>
      <c r="JO17" s="33">
        <v>4029.864</v>
      </c>
      <c r="JP17" s="33">
        <v>4662.9139999999998</v>
      </c>
      <c r="JQ17" s="33">
        <v>4683.3540000000003</v>
      </c>
      <c r="JR17" s="33">
        <v>4667.43</v>
      </c>
      <c r="JS17" s="17">
        <v>4574.3339999999998</v>
      </c>
      <c r="JT17" s="450">
        <v>4327.9610000000002</v>
      </c>
    </row>
    <row r="18" spans="1:280" s="17" customFormat="1">
      <c r="A18" s="221" t="s">
        <v>34</v>
      </c>
      <c r="B18" s="32">
        <f>0+5228.9</f>
        <v>5228.8999999999996</v>
      </c>
      <c r="C18" s="75">
        <v>5783.5</v>
      </c>
      <c r="D18" s="75">
        <f>0+6367.2</f>
        <v>6367.2</v>
      </c>
      <c r="E18" s="75">
        <v>6713.1139999999996</v>
      </c>
      <c r="F18" s="75">
        <f>7364.413+0</f>
        <v>7364.4129999999996</v>
      </c>
      <c r="G18" s="75">
        <f>7249.096+0.763</f>
        <v>7249.8589999999995</v>
      </c>
      <c r="H18" s="75">
        <v>7480.8639999999996</v>
      </c>
      <c r="I18" s="217">
        <v>8009.0510000000004</v>
      </c>
      <c r="J18" s="75">
        <v>8428.4760000000006</v>
      </c>
      <c r="K18" s="231">
        <f t="shared" si="7"/>
        <v>9252.5095000000001</v>
      </c>
      <c r="L18" s="75">
        <v>10076.543</v>
      </c>
      <c r="M18" s="32">
        <v>10318.137000000001</v>
      </c>
      <c r="N18" s="32">
        <v>10611.507</v>
      </c>
      <c r="O18" s="32">
        <v>11270.37</v>
      </c>
      <c r="P18" s="33">
        <v>11671.222</v>
      </c>
      <c r="Q18" s="33">
        <v>12218.901</v>
      </c>
      <c r="R18" s="33">
        <v>12767.195</v>
      </c>
      <c r="S18" s="33">
        <v>13596.18</v>
      </c>
      <c r="T18" s="33">
        <v>13808.387000000001</v>
      </c>
      <c r="U18" s="231">
        <f t="shared" si="8"/>
        <v>16002.1525</v>
      </c>
      <c r="V18" s="33">
        <v>18195.918000000001</v>
      </c>
      <c r="W18" s="231">
        <f t="shared" si="9"/>
        <v>18192.580999999998</v>
      </c>
      <c r="X18" s="33">
        <v>18189.243999999999</v>
      </c>
      <c r="Y18" s="33">
        <v>19122.183000000001</v>
      </c>
      <c r="Z18" s="33">
        <v>22757.462</v>
      </c>
      <c r="AA18" s="33">
        <v>22743.362000000001</v>
      </c>
      <c r="AB18" s="33">
        <v>24048.366999999998</v>
      </c>
      <c r="AC18" s="33">
        <v>25335.23</v>
      </c>
      <c r="AD18" s="33">
        <v>26670.87</v>
      </c>
      <c r="AE18" s="33">
        <v>25816.704000000002</v>
      </c>
      <c r="AF18" s="440">
        <v>26645.855</v>
      </c>
      <c r="AG18" s="215">
        <f>2202.1+15.9</f>
        <v>2218</v>
      </c>
      <c r="AH18" s="75">
        <f>2470.9+17.8</f>
        <v>2488.7000000000003</v>
      </c>
      <c r="AI18" s="75">
        <f>2528.3+22.1</f>
        <v>2550.4</v>
      </c>
      <c r="AJ18" s="75">
        <f>2637.635+27.915</f>
        <v>2665.55</v>
      </c>
      <c r="AK18" s="75">
        <f>2889.288+30.161</f>
        <v>2919.4490000000001</v>
      </c>
      <c r="AL18" s="75">
        <f>2749.38+26.27</f>
        <v>2775.65</v>
      </c>
      <c r="AM18" s="75">
        <f>2817.537+26.477</f>
        <v>2844.0139999999997</v>
      </c>
      <c r="AN18" s="217">
        <f>3048.722+20.56</f>
        <v>3069.2820000000002</v>
      </c>
      <c r="AO18" s="75">
        <f>3192.215+30.069</f>
        <v>3222.2840000000001</v>
      </c>
      <c r="AP18" s="231">
        <f t="shared" si="10"/>
        <v>3491.6064999999999</v>
      </c>
      <c r="AQ18" s="30">
        <v>3760.9290000000001</v>
      </c>
      <c r="AR18" s="32">
        <v>3989.527</v>
      </c>
      <c r="AS18" s="32">
        <v>4236.5209999999997</v>
      </c>
      <c r="AT18" s="32">
        <v>4486.83</v>
      </c>
      <c r="AU18" s="33">
        <v>4578.5290000000005</v>
      </c>
      <c r="AV18" s="33">
        <v>4832.1149999999998</v>
      </c>
      <c r="AW18" s="33">
        <v>5190.5640000000003</v>
      </c>
      <c r="AX18" s="33">
        <v>5546.0789999999997</v>
      </c>
      <c r="AY18" s="33">
        <v>5901.3860000000004</v>
      </c>
      <c r="AZ18" s="231">
        <f t="shared" si="11"/>
        <v>6436.0845000000008</v>
      </c>
      <c r="BA18" s="33">
        <v>6970.7830000000004</v>
      </c>
      <c r="BB18" s="231">
        <f t="shared" si="12"/>
        <v>6982.0135</v>
      </c>
      <c r="BC18" s="33">
        <v>6993.2439999999997</v>
      </c>
      <c r="BD18" s="33">
        <v>7637.5969999999998</v>
      </c>
      <c r="BE18" s="33">
        <v>8769.5370000000003</v>
      </c>
      <c r="BF18" s="33">
        <v>8768.4339999999993</v>
      </c>
      <c r="BG18" s="33">
        <v>9246.8760000000002</v>
      </c>
      <c r="BH18" s="33">
        <v>9690.32</v>
      </c>
      <c r="BI18" s="33">
        <v>10310.282999999999</v>
      </c>
      <c r="BJ18" s="33">
        <v>9479.2240000000002</v>
      </c>
      <c r="BK18" s="440">
        <v>9539.1980000000003</v>
      </c>
      <c r="BL18" s="36">
        <v>1396.5</v>
      </c>
      <c r="BM18" s="75">
        <v>1590.4</v>
      </c>
      <c r="BN18" s="75">
        <v>1706.2</v>
      </c>
      <c r="BO18" s="75">
        <v>1748.3520000000001</v>
      </c>
      <c r="BP18" s="75">
        <v>1936.2650000000001</v>
      </c>
      <c r="BQ18" s="75">
        <v>1907.645</v>
      </c>
      <c r="BR18" s="75">
        <v>1899.1559999999999</v>
      </c>
      <c r="BS18" s="217">
        <v>2042.39</v>
      </c>
      <c r="BT18" s="75">
        <v>2105.15</v>
      </c>
      <c r="BU18" s="231">
        <f t="shared" si="13"/>
        <v>2302.31</v>
      </c>
      <c r="BV18" s="75">
        <v>2499.4699999999998</v>
      </c>
      <c r="BW18" s="32">
        <v>2720.799</v>
      </c>
      <c r="BX18" s="32">
        <v>2925.8</v>
      </c>
      <c r="BY18" s="32">
        <v>3082.3150000000001</v>
      </c>
      <c r="BZ18" s="32">
        <v>3103.0439999999999</v>
      </c>
      <c r="CA18" s="32">
        <v>3234.1550000000002</v>
      </c>
      <c r="CB18" s="32">
        <v>3472.92</v>
      </c>
      <c r="CC18" s="32">
        <v>3675.3879999999999</v>
      </c>
      <c r="CD18" s="33">
        <v>3811.6790000000001</v>
      </c>
      <c r="CE18" s="231">
        <f t="shared" si="14"/>
        <v>4098.0325000000003</v>
      </c>
      <c r="CF18" s="33">
        <v>4384.3860000000004</v>
      </c>
      <c r="CG18" s="231">
        <f t="shared" si="15"/>
        <v>4350.0604999999996</v>
      </c>
      <c r="CH18" s="33">
        <v>4315.7349999999997</v>
      </c>
      <c r="CI18" s="33">
        <v>4710.3540000000003</v>
      </c>
      <c r="CJ18" s="33">
        <v>5424.683</v>
      </c>
      <c r="CK18" s="33">
        <v>5423.5810000000001</v>
      </c>
      <c r="CL18" s="33">
        <v>5583.723</v>
      </c>
      <c r="CM18" s="33">
        <v>5855.8890000000001</v>
      </c>
      <c r="CN18" s="33">
        <v>5986.3419999999996</v>
      </c>
      <c r="CO18" s="33">
        <v>5506.2340000000004</v>
      </c>
      <c r="CP18" s="440">
        <v>5495.62</v>
      </c>
      <c r="CQ18" s="37">
        <v>712.7</v>
      </c>
      <c r="CR18" s="32">
        <v>765.4</v>
      </c>
      <c r="CS18" s="32">
        <v>725.2</v>
      </c>
      <c r="CT18" s="32">
        <v>785.44</v>
      </c>
      <c r="CU18" s="32">
        <v>838.62599999999998</v>
      </c>
      <c r="CV18" s="32">
        <v>766.20399999999995</v>
      </c>
      <c r="CW18" s="32">
        <v>836.87400000000002</v>
      </c>
      <c r="CX18" s="33">
        <v>912.28700000000003</v>
      </c>
      <c r="CY18" s="32">
        <v>962.31100000000004</v>
      </c>
      <c r="CZ18" s="231">
        <f t="shared" si="16"/>
        <v>1023.6855</v>
      </c>
      <c r="DA18" s="32">
        <f>1085060/1000</f>
        <v>1085.06</v>
      </c>
      <c r="DB18" s="32">
        <v>1084.173</v>
      </c>
      <c r="DC18" s="32">
        <v>1119.539</v>
      </c>
      <c r="DD18" s="32">
        <v>1206.7149999999999</v>
      </c>
      <c r="DE18" s="42">
        <v>1267.7670000000001</v>
      </c>
      <c r="DF18" s="42">
        <v>1367.7070000000001</v>
      </c>
      <c r="DG18" s="42">
        <v>1454.6130000000001</v>
      </c>
      <c r="DH18" s="42">
        <v>1610.1590000000001</v>
      </c>
      <c r="DI18" s="42">
        <v>1782.356</v>
      </c>
      <c r="DJ18" s="231">
        <f t="shared" si="17"/>
        <v>2005.1109999999999</v>
      </c>
      <c r="DK18" s="33">
        <v>2227.866</v>
      </c>
      <c r="DL18" s="231">
        <f t="shared" si="18"/>
        <v>2255.6729999999998</v>
      </c>
      <c r="DM18" s="33">
        <v>2283.48</v>
      </c>
      <c r="DN18" s="33">
        <v>2505.2559999999999</v>
      </c>
      <c r="DO18" s="33">
        <v>2831.1239999999998</v>
      </c>
      <c r="DP18" s="33">
        <v>2831.1239999999998</v>
      </c>
      <c r="DQ18" s="33">
        <v>3117.4670000000001</v>
      </c>
      <c r="DR18" s="33">
        <v>3275.393</v>
      </c>
      <c r="DS18" s="33">
        <v>3714.9609999999998</v>
      </c>
      <c r="DT18" s="33">
        <v>3358.72</v>
      </c>
      <c r="DU18" s="440">
        <v>3421.4810000000002</v>
      </c>
      <c r="DV18" s="38">
        <f t="shared" si="62"/>
        <v>108.79999999999995</v>
      </c>
      <c r="DW18" s="40">
        <f t="shared" si="56"/>
        <v>132.9000000000002</v>
      </c>
      <c r="DX18" s="40">
        <f t="shared" si="57"/>
        <v>119</v>
      </c>
      <c r="DY18" s="40">
        <f t="shared" si="58"/>
        <v>131.75800000000004</v>
      </c>
      <c r="DZ18" s="40">
        <f t="shared" si="59"/>
        <v>144.55799999999999</v>
      </c>
      <c r="EA18" s="40">
        <f t="shared" si="60"/>
        <v>101.80100000000016</v>
      </c>
      <c r="EB18" s="40">
        <f t="shared" si="61"/>
        <v>107.9839999999997</v>
      </c>
      <c r="EC18" s="40">
        <f t="shared" si="20"/>
        <v>114.60500000000002</v>
      </c>
      <c r="ED18" s="40">
        <f t="shared" si="21"/>
        <v>154.82299999999998</v>
      </c>
      <c r="EE18" s="40">
        <f t="shared" si="22"/>
        <v>165.61099999999988</v>
      </c>
      <c r="EF18" s="40">
        <f t="shared" si="23"/>
        <v>176.39900000000034</v>
      </c>
      <c r="EG18" s="40">
        <f t="shared" si="24"/>
        <v>184.55500000000006</v>
      </c>
      <c r="EH18" s="40">
        <f t="shared" si="25"/>
        <v>191.18199999999956</v>
      </c>
      <c r="EI18" s="40">
        <f t="shared" si="26"/>
        <v>197.79999999999995</v>
      </c>
      <c r="EJ18" s="40">
        <f t="shared" si="27"/>
        <v>207.71800000000053</v>
      </c>
      <c r="EK18" s="40">
        <f t="shared" si="28"/>
        <v>230.25299999999947</v>
      </c>
      <c r="EL18" s="40">
        <f t="shared" si="29"/>
        <v>263.03100000000018</v>
      </c>
      <c r="EM18" s="40">
        <f t="shared" si="30"/>
        <v>260.5319999999997</v>
      </c>
      <c r="EN18" s="40">
        <f t="shared" si="31"/>
        <v>307.35100000000034</v>
      </c>
      <c r="EO18" s="40">
        <f t="shared" si="32"/>
        <v>332.94100000000071</v>
      </c>
      <c r="EP18" s="40">
        <f t="shared" si="33"/>
        <v>358.53099999999995</v>
      </c>
      <c r="EQ18" s="40">
        <f t="shared" si="34"/>
        <v>376.28000000000065</v>
      </c>
      <c r="ER18" s="40">
        <f t="shared" si="35"/>
        <v>394.029</v>
      </c>
      <c r="ES18" s="40">
        <f t="shared" si="36"/>
        <v>421.98699999999963</v>
      </c>
      <c r="ET18" s="40">
        <f t="shared" si="37"/>
        <v>513.73000000000047</v>
      </c>
      <c r="EU18" s="40">
        <f t="shared" si="38"/>
        <v>513.72899999999936</v>
      </c>
      <c r="EV18" s="40">
        <f t="shared" si="39"/>
        <v>545.68600000000015</v>
      </c>
      <c r="EW18" s="40">
        <f t="shared" si="40"/>
        <v>559.03799999999956</v>
      </c>
      <c r="EX18" s="40">
        <f t="shared" si="41"/>
        <v>608.98</v>
      </c>
      <c r="EY18" s="40">
        <f t="shared" si="42"/>
        <v>614.27</v>
      </c>
      <c r="EZ18" s="40">
        <f t="shared" si="43"/>
        <v>622.09700000000021</v>
      </c>
      <c r="FA18" s="176">
        <f>689.8+505.4+28.9+0.7</f>
        <v>1224.8</v>
      </c>
      <c r="FB18" s="32">
        <f>712.7+521.1+34.9+2.3</f>
        <v>1271.0000000000002</v>
      </c>
      <c r="FC18" s="32">
        <f>704.6+675.8+37.6+1.2</f>
        <v>1419.2</v>
      </c>
      <c r="FD18" s="32">
        <f>693.125+576.245+112.146+34.143+1.31</f>
        <v>1416.9689999999998</v>
      </c>
      <c r="FE18" s="32">
        <f>786.216+588.663+134.52+36.412+1.295</f>
        <v>1547.106</v>
      </c>
      <c r="FF18" s="32">
        <f>847.157+553.912+128.447+36.319+1.314</f>
        <v>1567.1490000000001</v>
      </c>
      <c r="FG18" s="32">
        <f>943.451+623.188+131.835+36.964+1.016</f>
        <v>1736.4540000000002</v>
      </c>
      <c r="FH18" s="33">
        <f>1048.741+644.914+159.698+41.296+0.2</f>
        <v>1894.8490000000002</v>
      </c>
      <c r="FI18" s="32">
        <f>1102.345+697.696+168.332+39.249+1.664</f>
        <v>2009.2860000000001</v>
      </c>
      <c r="FJ18" s="231">
        <f t="shared" si="44"/>
        <v>2339.5645</v>
      </c>
      <c r="FK18" s="32">
        <v>2669.8429999999998</v>
      </c>
      <c r="FL18" s="32">
        <v>2673.7820000000002</v>
      </c>
      <c r="FM18" s="32">
        <v>2711.1869999999999</v>
      </c>
      <c r="FN18" s="32">
        <v>2837.5149999999999</v>
      </c>
      <c r="FO18" s="33">
        <v>2890.1170000000002</v>
      </c>
      <c r="FP18" s="33">
        <v>3003.777</v>
      </c>
      <c r="FQ18" s="33">
        <v>3018.3220000000001</v>
      </c>
      <c r="FR18" s="33">
        <v>3054.922</v>
      </c>
      <c r="FS18" s="33">
        <v>2272.6729999999998</v>
      </c>
      <c r="FT18" s="231">
        <f t="shared" si="45"/>
        <v>3419.9110000000001</v>
      </c>
      <c r="FU18" s="33">
        <v>4567.1490000000003</v>
      </c>
      <c r="FV18" s="231">
        <f t="shared" si="46"/>
        <v>4722.0630000000001</v>
      </c>
      <c r="FW18" s="33">
        <v>4876.9769999999999</v>
      </c>
      <c r="FX18" s="33">
        <v>5105.6170000000002</v>
      </c>
      <c r="FY18" s="33">
        <v>6167.8969999999999</v>
      </c>
      <c r="FZ18" s="33">
        <v>6161.4290000000001</v>
      </c>
      <c r="GA18" s="33">
        <v>6631.1940000000004</v>
      </c>
      <c r="GB18" s="33">
        <v>7207.2020000000002</v>
      </c>
      <c r="GC18" s="33">
        <v>7345.6779999999999</v>
      </c>
      <c r="GD18" s="33">
        <v>7552.9089999999997</v>
      </c>
      <c r="GE18" s="440">
        <v>8139.5379999999996</v>
      </c>
      <c r="GF18" s="37">
        <f>495.2+53+1.9+163.4+77.2+86.9+40.9+166.3+47.1+40.7+73.7</f>
        <v>1246.3</v>
      </c>
      <c r="GG18" s="32">
        <f>582.1+39.3+1.6+190.5+89.3+116.6+48.6+182.4+70.6+42.9+126.9</f>
        <v>1490.8000000000002</v>
      </c>
      <c r="GH18" s="32">
        <f>572.6+44.8+4.7+190.4+93.6+128.1+49.6+183+131+68.6+156.9</f>
        <v>1623.3</v>
      </c>
      <c r="GI18" s="32">
        <f>638.333+54.641+5.456+208.13+100.16+144.833+51.5+94.692+108.908+78.001+172.57+72.088</f>
        <v>1729.3119999999997</v>
      </c>
      <c r="GJ18" s="32">
        <f>702.188+39.273+4.787+0.034+0+220.086+105.995+155.149+63.554+93.759+124.169+135.933+155.861+76.534</f>
        <v>1877.3220000000006</v>
      </c>
      <c r="GK18" s="32">
        <f>659.725+60.766+5.493+0.002+0.075+216.555+105.852+143.581+60.719+96.54+136.976+134.886+189.423+72.372</f>
        <v>1882.9650000000001</v>
      </c>
      <c r="GL18" s="32">
        <f>710.917+66.128+6.222+0.062+228.598+108.164+175.918+61.454+84.084+117.841+85.777+174.427+76.426</f>
        <v>1896.0179999999998</v>
      </c>
      <c r="GM18" s="33">
        <f>763.169+61.172+5.675+1.685+233.226+114.084+169.067+66.42+86.394+144.123+111.884+190.05+80.657</f>
        <v>2027.606</v>
      </c>
      <c r="GN18" s="32">
        <f>777.038+67.932+6.557+1.428+251.075+133.283+211.305+53.885+98.135+128.708+99.89+141.335+85.805</f>
        <v>2056.3760000000002</v>
      </c>
      <c r="GO18" s="231">
        <f t="shared" si="47"/>
        <v>2221.8604999999998</v>
      </c>
      <c r="GP18" s="32">
        <v>2387.3449999999998</v>
      </c>
      <c r="GQ18" s="32">
        <v>2325.3719999999998</v>
      </c>
      <c r="GR18" s="32">
        <v>2320.2109999999998</v>
      </c>
      <c r="GS18" s="32">
        <v>2598.806</v>
      </c>
      <c r="GT18" s="32">
        <v>2707.5070000000001</v>
      </c>
      <c r="GU18" s="32">
        <v>2889.16</v>
      </c>
      <c r="GV18" s="32">
        <v>3072.4679999999998</v>
      </c>
      <c r="GW18" s="32">
        <v>3308.5859999999998</v>
      </c>
      <c r="GX18" s="32">
        <v>3850.181</v>
      </c>
      <c r="GY18" s="231">
        <f t="shared" si="48"/>
        <v>4072.1139999999996</v>
      </c>
      <c r="GZ18" s="33">
        <v>4294.0469999999996</v>
      </c>
      <c r="HA18" s="231">
        <f t="shared" si="49"/>
        <v>4202.5844999999999</v>
      </c>
      <c r="HB18" s="33">
        <v>4111.1220000000003</v>
      </c>
      <c r="HC18" s="33">
        <v>4283.83</v>
      </c>
      <c r="HD18" s="33">
        <v>5263.7290000000003</v>
      </c>
      <c r="HE18" s="33">
        <v>5259.1689999999999</v>
      </c>
      <c r="HF18" s="33">
        <v>5560.6850000000004</v>
      </c>
      <c r="HG18" s="33">
        <v>5785.567</v>
      </c>
      <c r="HH18" s="33">
        <v>6266.6989999999996</v>
      </c>
      <c r="HI18" s="33">
        <v>6278.8969999999999</v>
      </c>
      <c r="HJ18" s="440">
        <v>6322.2179999999998</v>
      </c>
      <c r="HK18" s="37">
        <f>111.8+97.9+46.5</f>
        <v>256.2</v>
      </c>
      <c r="HL18" s="32">
        <f>128.4+110+48.2</f>
        <v>286.60000000000002</v>
      </c>
      <c r="HM18" s="32">
        <f>132.9+134.5+46.4</f>
        <v>313.79999999999995</v>
      </c>
      <c r="HN18" s="32">
        <f>135.411+67.247+51+78.698</f>
        <v>332.35599999999999</v>
      </c>
      <c r="HO18" s="32">
        <f>158.914+75.429+53.537+84.481</f>
        <v>372.36099999999999</v>
      </c>
      <c r="HP18" s="32">
        <f>157.197+78.196+44.857+84.415</f>
        <v>364.66500000000002</v>
      </c>
      <c r="HQ18" s="32">
        <f>167.233+80.003+49.269+82.586</f>
        <v>379.09100000000001</v>
      </c>
      <c r="HR18" s="33">
        <f>183.303+87.329+49.894+85.391</f>
        <v>405.91700000000003</v>
      </c>
      <c r="HS18" s="32">
        <f>200.955+95.424+53.296+95.213</f>
        <v>444.88800000000003</v>
      </c>
      <c r="HT18" s="231">
        <f t="shared" si="50"/>
        <v>472.70650000000001</v>
      </c>
      <c r="HU18" s="32">
        <v>500.52499999999998</v>
      </c>
      <c r="HV18" s="32">
        <v>555.08100000000002</v>
      </c>
      <c r="HW18" s="32">
        <v>538.86300000000006</v>
      </c>
      <c r="HX18" s="32">
        <v>561.17899999999997</v>
      </c>
      <c r="HY18" s="32">
        <v>611.44200000000001</v>
      </c>
      <c r="HZ18" s="32">
        <v>625.96299999999997</v>
      </c>
      <c r="IA18" s="32">
        <v>631.78800000000001</v>
      </c>
      <c r="IB18" s="32">
        <v>692.14700000000005</v>
      </c>
      <c r="IC18" s="32">
        <v>748.029</v>
      </c>
      <c r="ID18" s="231">
        <f t="shared" si="51"/>
        <v>806.67200000000003</v>
      </c>
      <c r="IE18" s="33">
        <v>865.31500000000005</v>
      </c>
      <c r="IF18" s="231">
        <f t="shared" si="52"/>
        <v>960.80200000000002</v>
      </c>
      <c r="IG18" s="33">
        <v>1056.289</v>
      </c>
      <c r="IH18" s="33">
        <v>944.88300000000004</v>
      </c>
      <c r="II18" s="33">
        <v>1195.241</v>
      </c>
      <c r="IJ18" s="33">
        <v>1195.0830000000001</v>
      </c>
      <c r="IK18" s="33">
        <v>1211.3589999999999</v>
      </c>
      <c r="IL18" s="33">
        <v>1316.3230000000001</v>
      </c>
      <c r="IM18" s="33">
        <v>1161.2460000000001</v>
      </c>
      <c r="IN18" s="33">
        <v>1097.854</v>
      </c>
      <c r="IO18" s="440">
        <v>1148.4449999999999</v>
      </c>
      <c r="IP18" s="36">
        <f>(0+160.3+123.5)</f>
        <v>283.8</v>
      </c>
      <c r="IQ18" s="75">
        <f>0+116+130.3</f>
        <v>246.3</v>
      </c>
      <c r="IR18" s="75">
        <f>320.6+139.9</f>
        <v>460.5</v>
      </c>
      <c r="IS18" s="75">
        <f>396.136+172.791</f>
        <v>568.92700000000002</v>
      </c>
      <c r="IT18" s="75">
        <f>442.168+5.098+200.909</f>
        <v>648.17499999999995</v>
      </c>
      <c r="IU18" s="75">
        <f>451.356+4.149+203.925</f>
        <v>659.43000000000006</v>
      </c>
      <c r="IV18" s="75">
        <f>423.482+3.873+197.932</f>
        <v>625.28700000000003</v>
      </c>
      <c r="IW18" s="217">
        <f>439.565+1.401+170.431</f>
        <v>611.39700000000005</v>
      </c>
      <c r="IX18" s="75">
        <f>454.171+2.079+239.392</f>
        <v>695.64200000000005</v>
      </c>
      <c r="IY18" s="231">
        <f t="shared" si="53"/>
        <v>726.77150000000006</v>
      </c>
      <c r="IZ18" s="75">
        <v>757.90099999999995</v>
      </c>
      <c r="JA18" s="32">
        <v>774.375</v>
      </c>
      <c r="JB18" s="32">
        <v>804.72500000000002</v>
      </c>
      <c r="JC18" s="32">
        <v>786.04</v>
      </c>
      <c r="JD18" s="32">
        <v>883.62699999999995</v>
      </c>
      <c r="JE18" s="32">
        <v>867.88599999999997</v>
      </c>
      <c r="JF18" s="17">
        <v>854.053</v>
      </c>
      <c r="JG18" s="17">
        <v>994.44600000000003</v>
      </c>
      <c r="JH18" s="17">
        <v>1036.1179999999999</v>
      </c>
      <c r="JI18" s="231">
        <f t="shared" si="54"/>
        <v>1267.3710000000001</v>
      </c>
      <c r="JJ18" s="17">
        <v>1498.624</v>
      </c>
      <c r="JK18" s="231">
        <f t="shared" si="55"/>
        <v>1325.1179999999999</v>
      </c>
      <c r="JL18" s="17">
        <v>1151.6120000000001</v>
      </c>
      <c r="JM18" s="17">
        <v>1150.2560000000001</v>
      </c>
      <c r="JN18" s="17">
        <v>1361.058</v>
      </c>
      <c r="JO18" s="33">
        <v>1359.2470000000001</v>
      </c>
      <c r="JP18" s="33">
        <v>1398.2529999999999</v>
      </c>
      <c r="JQ18" s="33">
        <v>1335.818</v>
      </c>
      <c r="JR18" s="33">
        <v>1586.963</v>
      </c>
      <c r="JS18" s="17">
        <v>1407.82</v>
      </c>
      <c r="JT18" s="450">
        <v>1496.4559999999999</v>
      </c>
    </row>
    <row r="19" spans="1:280" s="17" customFormat="1">
      <c r="A19" s="221" t="s">
        <v>35</v>
      </c>
      <c r="B19" s="32">
        <f>0.1+4600.7</f>
        <v>4600.8</v>
      </c>
      <c r="C19" s="75">
        <v>4725.8999999999996</v>
      </c>
      <c r="D19" s="75">
        <f>0+5178.2</f>
        <v>5178.2</v>
      </c>
      <c r="E19" s="75">
        <v>5965.93</v>
      </c>
      <c r="F19" s="75">
        <f>6661.595+0</f>
        <v>6661.5950000000003</v>
      </c>
      <c r="G19" s="75">
        <f>7263.601+0</f>
        <v>7263.6009999999997</v>
      </c>
      <c r="H19" s="75">
        <v>7957.5249999999996</v>
      </c>
      <c r="I19" s="217">
        <v>8646.3250000000007</v>
      </c>
      <c r="J19" s="75">
        <v>9970.25</v>
      </c>
      <c r="K19" s="231">
        <f t="shared" si="7"/>
        <v>10953.7225</v>
      </c>
      <c r="L19" s="75">
        <v>11937.195</v>
      </c>
      <c r="M19" s="32">
        <v>12492.924999999999</v>
      </c>
      <c r="N19" s="32">
        <v>13821.304</v>
      </c>
      <c r="O19" s="32">
        <v>14285.715</v>
      </c>
      <c r="P19" s="33">
        <v>15036.197</v>
      </c>
      <c r="Q19" s="33">
        <v>15939.281999999999</v>
      </c>
      <c r="R19" s="33">
        <v>17070.491999999998</v>
      </c>
      <c r="S19" s="33">
        <v>18232.240000000002</v>
      </c>
      <c r="T19" s="33">
        <v>20259.774000000001</v>
      </c>
      <c r="U19" s="231">
        <f t="shared" si="8"/>
        <v>22039.861499999999</v>
      </c>
      <c r="V19" s="33">
        <v>23819.949000000001</v>
      </c>
      <c r="W19" s="231">
        <f t="shared" si="9"/>
        <v>24705.2935</v>
      </c>
      <c r="X19" s="33">
        <v>25590.637999999999</v>
      </c>
      <c r="Y19" s="33">
        <v>28001.544000000002</v>
      </c>
      <c r="Z19" s="33">
        <v>31166.609</v>
      </c>
      <c r="AA19" s="33">
        <v>31134.436000000002</v>
      </c>
      <c r="AB19" s="33">
        <v>33653.008000000002</v>
      </c>
      <c r="AC19" s="33">
        <v>34302.714999999997</v>
      </c>
      <c r="AD19" s="33">
        <v>35009.847000000002</v>
      </c>
      <c r="AE19" s="33">
        <v>35579.527000000002</v>
      </c>
      <c r="AF19" s="440">
        <v>34486.79</v>
      </c>
      <c r="AG19" s="215">
        <f>2028.7+13.2</f>
        <v>2041.9</v>
      </c>
      <c r="AH19" s="75">
        <f>1975.1+17.6</f>
        <v>1992.6999999999998</v>
      </c>
      <c r="AI19" s="75">
        <f>2116.6+18.1</f>
        <v>2134.6999999999998</v>
      </c>
      <c r="AJ19" s="75">
        <f>2453.37+22.34</f>
        <v>2475.71</v>
      </c>
      <c r="AK19" s="75">
        <f>2713.282+26.294</f>
        <v>2739.576</v>
      </c>
      <c r="AL19" s="75">
        <f>3028.612+25.79</f>
        <v>3054.402</v>
      </c>
      <c r="AM19" s="75">
        <f>3244.742+29.162</f>
        <v>3273.904</v>
      </c>
      <c r="AN19" s="217">
        <f>3431.519+36.987</f>
        <v>3468.5059999999999</v>
      </c>
      <c r="AO19" s="75">
        <f>3952.405+35.341</f>
        <v>3987.7460000000001</v>
      </c>
      <c r="AP19" s="231">
        <f t="shared" si="10"/>
        <v>4180.1854999999996</v>
      </c>
      <c r="AQ19" s="30">
        <v>4372.625</v>
      </c>
      <c r="AR19" s="32">
        <v>4394.4889999999996</v>
      </c>
      <c r="AS19" s="32">
        <v>4668.6959999999999</v>
      </c>
      <c r="AT19" s="32">
        <v>4951.7179999999998</v>
      </c>
      <c r="AU19" s="33">
        <v>5353.6139999999996</v>
      </c>
      <c r="AV19" s="33">
        <v>5685.4120000000003</v>
      </c>
      <c r="AW19" s="33">
        <v>6177.5889999999999</v>
      </c>
      <c r="AX19" s="33">
        <v>6619.9759999999997</v>
      </c>
      <c r="AY19" s="33">
        <v>7212.3469999999998</v>
      </c>
      <c r="AZ19" s="231">
        <f t="shared" si="11"/>
        <v>7832.4614999999994</v>
      </c>
      <c r="BA19" s="33">
        <v>8452.5759999999991</v>
      </c>
      <c r="BB19" s="231">
        <f t="shared" si="12"/>
        <v>8771.1859999999997</v>
      </c>
      <c r="BC19" s="33">
        <v>9089.7960000000003</v>
      </c>
      <c r="BD19" s="33">
        <v>9848.518</v>
      </c>
      <c r="BE19" s="33">
        <v>11483.308000000001</v>
      </c>
      <c r="BF19" s="33">
        <v>11480.237999999999</v>
      </c>
      <c r="BG19" s="33">
        <v>12347.423000000001</v>
      </c>
      <c r="BH19" s="33">
        <v>12594.621999999999</v>
      </c>
      <c r="BI19" s="33">
        <v>12413.557000000001</v>
      </c>
      <c r="BJ19" s="33">
        <v>12200.679</v>
      </c>
      <c r="BK19" s="440">
        <v>12267.262000000001</v>
      </c>
      <c r="BL19" s="36">
        <v>1337.3</v>
      </c>
      <c r="BM19" s="75">
        <v>1300.8</v>
      </c>
      <c r="BN19" s="75">
        <v>1358.1</v>
      </c>
      <c r="BO19" s="75">
        <v>1544.8389999999999</v>
      </c>
      <c r="BP19" s="75">
        <v>1724.8689999999999</v>
      </c>
      <c r="BQ19" s="75">
        <v>1944.37</v>
      </c>
      <c r="BR19" s="75">
        <v>2180.3919999999998</v>
      </c>
      <c r="BS19" s="217">
        <v>2276.0210000000002</v>
      </c>
      <c r="BT19" s="75">
        <v>2624.114</v>
      </c>
      <c r="BU19" s="231">
        <f t="shared" si="13"/>
        <v>2753.6734999999999</v>
      </c>
      <c r="BV19" s="75">
        <v>2883.2330000000002</v>
      </c>
      <c r="BW19" s="32">
        <v>2900.107</v>
      </c>
      <c r="BX19" s="32">
        <v>3081.538</v>
      </c>
      <c r="BY19" s="32">
        <v>3231.5990000000002</v>
      </c>
      <c r="BZ19" s="32">
        <v>3458.6109999999999</v>
      </c>
      <c r="CA19" s="32">
        <v>3789.7440000000001</v>
      </c>
      <c r="CB19" s="32">
        <v>4138.4120000000003</v>
      </c>
      <c r="CC19" s="32">
        <v>4477.2219999999998</v>
      </c>
      <c r="CD19" s="33">
        <v>4830.2070000000003</v>
      </c>
      <c r="CE19" s="231">
        <f t="shared" si="14"/>
        <v>5293.3029999999999</v>
      </c>
      <c r="CF19" s="33">
        <v>5756.3990000000003</v>
      </c>
      <c r="CG19" s="231">
        <f t="shared" si="15"/>
        <v>5859.7830000000004</v>
      </c>
      <c r="CH19" s="33">
        <v>5963.1670000000004</v>
      </c>
      <c r="CI19" s="33">
        <v>6382.79</v>
      </c>
      <c r="CJ19" s="33">
        <v>7499.7610000000004</v>
      </c>
      <c r="CK19" s="33">
        <v>7499.0010000000002</v>
      </c>
      <c r="CL19" s="33">
        <v>7920.1030000000001</v>
      </c>
      <c r="CM19" s="33">
        <v>8186.5730000000003</v>
      </c>
      <c r="CN19" s="33">
        <v>7927.6589999999997</v>
      </c>
      <c r="CO19" s="33">
        <v>7590.6610000000001</v>
      </c>
      <c r="CP19" s="440">
        <v>7501.7740000000003</v>
      </c>
      <c r="CQ19" s="37">
        <v>583.4</v>
      </c>
      <c r="CR19" s="32">
        <v>567</v>
      </c>
      <c r="CS19" s="32">
        <v>645.5</v>
      </c>
      <c r="CT19" s="32">
        <v>754.97400000000005</v>
      </c>
      <c r="CU19" s="32">
        <v>825.78300000000002</v>
      </c>
      <c r="CV19" s="32">
        <v>915.57500000000005</v>
      </c>
      <c r="CW19" s="32">
        <v>877.07899999999995</v>
      </c>
      <c r="CX19" s="33">
        <v>912.82600000000002</v>
      </c>
      <c r="CY19" s="32">
        <v>1096.5719999999999</v>
      </c>
      <c r="CZ19" s="231">
        <f t="shared" si="16"/>
        <v>1177.202</v>
      </c>
      <c r="DA19" s="32">
        <f>1257832/1000</f>
        <v>1257.8320000000001</v>
      </c>
      <c r="DB19" s="32">
        <v>1257.9359999999999</v>
      </c>
      <c r="DC19" s="32">
        <v>1340.5709999999999</v>
      </c>
      <c r="DD19" s="32">
        <v>1427.3409999999999</v>
      </c>
      <c r="DE19" s="42">
        <v>1524.566</v>
      </c>
      <c r="DF19" s="42">
        <v>1558.546</v>
      </c>
      <c r="DG19" s="42">
        <v>1677.798</v>
      </c>
      <c r="DH19" s="42">
        <v>1737.45</v>
      </c>
      <c r="DI19" s="42">
        <v>1943.7819999999999</v>
      </c>
      <c r="DJ19" s="231">
        <f t="shared" si="17"/>
        <v>2036.9425000000001</v>
      </c>
      <c r="DK19" s="33">
        <v>2130.1030000000001</v>
      </c>
      <c r="DL19" s="231">
        <f t="shared" si="18"/>
        <v>2221.605</v>
      </c>
      <c r="DM19" s="33">
        <v>2313.107</v>
      </c>
      <c r="DN19" s="33">
        <v>2602.1770000000001</v>
      </c>
      <c r="DO19" s="33">
        <v>2977.0590000000002</v>
      </c>
      <c r="DP19" s="33">
        <v>2977.0590000000002</v>
      </c>
      <c r="DQ19" s="33">
        <v>3299.145</v>
      </c>
      <c r="DR19" s="33">
        <v>3237.1640000000002</v>
      </c>
      <c r="DS19" s="33">
        <v>3215.8710000000001</v>
      </c>
      <c r="DT19" s="33">
        <v>3358.0720000000001</v>
      </c>
      <c r="DU19" s="440">
        <v>3491.288</v>
      </c>
      <c r="DV19" s="38">
        <f t="shared" si="62"/>
        <v>121.20000000000016</v>
      </c>
      <c r="DW19" s="40">
        <f t="shared" si="56"/>
        <v>124.89999999999986</v>
      </c>
      <c r="DX19" s="40">
        <f t="shared" si="57"/>
        <v>131.09999999999991</v>
      </c>
      <c r="DY19" s="40">
        <f t="shared" si="58"/>
        <v>175.89700000000005</v>
      </c>
      <c r="DZ19" s="40">
        <f t="shared" si="59"/>
        <v>188.92400000000009</v>
      </c>
      <c r="EA19" s="40">
        <f t="shared" si="60"/>
        <v>194.45700000000011</v>
      </c>
      <c r="EB19" s="40">
        <f t="shared" si="61"/>
        <v>216.43300000000022</v>
      </c>
      <c r="EC19" s="40">
        <f t="shared" si="20"/>
        <v>279.65899999999965</v>
      </c>
      <c r="ED19" s="40">
        <f t="shared" si="21"/>
        <v>267.06000000000017</v>
      </c>
      <c r="EE19" s="40">
        <f t="shared" si="22"/>
        <v>249.30999999999972</v>
      </c>
      <c r="EF19" s="40">
        <f t="shared" si="23"/>
        <v>231.55999999999972</v>
      </c>
      <c r="EG19" s="40">
        <f t="shared" si="24"/>
        <v>236.44599999999969</v>
      </c>
      <c r="EH19" s="40">
        <f t="shared" si="25"/>
        <v>246.58699999999999</v>
      </c>
      <c r="EI19" s="40">
        <f t="shared" si="26"/>
        <v>292.77799999999979</v>
      </c>
      <c r="EJ19" s="40">
        <f t="shared" si="27"/>
        <v>370.43699999999967</v>
      </c>
      <c r="EK19" s="40">
        <f t="shared" si="28"/>
        <v>337.12200000000007</v>
      </c>
      <c r="EL19" s="40">
        <f t="shared" si="29"/>
        <v>361.37899999999968</v>
      </c>
      <c r="EM19" s="40">
        <f t="shared" si="30"/>
        <v>405.30399999999986</v>
      </c>
      <c r="EN19" s="40">
        <f t="shared" si="31"/>
        <v>438.35799999999949</v>
      </c>
      <c r="EO19" s="40">
        <f t="shared" si="32"/>
        <v>502.21599999999944</v>
      </c>
      <c r="EP19" s="40">
        <f t="shared" si="33"/>
        <v>566.0739999999987</v>
      </c>
      <c r="EQ19" s="40">
        <f t="shared" si="34"/>
        <v>689.79799999999932</v>
      </c>
      <c r="ER19" s="40">
        <f t="shared" si="35"/>
        <v>813.52199999999993</v>
      </c>
      <c r="ES19" s="40">
        <f t="shared" si="36"/>
        <v>863.55099999999993</v>
      </c>
      <c r="ET19" s="40">
        <f t="shared" si="37"/>
        <v>1006.4880000000003</v>
      </c>
      <c r="EU19" s="40">
        <f t="shared" si="38"/>
        <v>1004.177999999999</v>
      </c>
      <c r="EV19" s="40">
        <f t="shared" si="39"/>
        <v>1128.1750000000006</v>
      </c>
      <c r="EW19" s="40">
        <f t="shared" si="40"/>
        <v>1170.8849999999989</v>
      </c>
      <c r="EX19" s="40">
        <f t="shared" si="41"/>
        <v>1270.027000000001</v>
      </c>
      <c r="EY19" s="40">
        <f t="shared" si="42"/>
        <v>1251.9459999999999</v>
      </c>
      <c r="EZ19" s="40">
        <f t="shared" si="43"/>
        <v>1274.2000000000003</v>
      </c>
      <c r="FA19" s="176">
        <f>472.9+641.5+34.3+0.4</f>
        <v>1149.1000000000001</v>
      </c>
      <c r="FB19" s="32">
        <f>454.2+680.9+37+0.4</f>
        <v>1172.5</v>
      </c>
      <c r="FC19" s="32">
        <f>439.2+761.4+42.8+0.4</f>
        <v>1243.8</v>
      </c>
      <c r="FD19" s="32">
        <f>516.586+614.803+224.446+44.67+0.463</f>
        <v>1400.9680000000001</v>
      </c>
      <c r="FE19" s="32">
        <f>605.248+642.735+262.222+46.586+0.498</f>
        <v>1557.2890000000002</v>
      </c>
      <c r="FF19" s="32">
        <f>620.768+742.623+266.207+46.23+0.513</f>
        <v>1676.3409999999999</v>
      </c>
      <c r="FG19" s="32">
        <f>653.132+820.361+312.664+49.909+0.525</f>
        <v>1836.5910000000001</v>
      </c>
      <c r="FH19" s="33">
        <f>742.227+950.908+360.247+56.477+0.574</f>
        <v>2110.433</v>
      </c>
      <c r="FI19" s="32">
        <f>1080.098+1069.356+418.352+58.772+0.634</f>
        <v>2627.2119999999995</v>
      </c>
      <c r="FJ19" s="231">
        <f t="shared" si="44"/>
        <v>3198.8804999999998</v>
      </c>
      <c r="FK19" s="32">
        <v>3770.549</v>
      </c>
      <c r="FL19" s="32">
        <v>4132.875</v>
      </c>
      <c r="FM19" s="32">
        <v>4964.1679999999997</v>
      </c>
      <c r="FN19" s="32">
        <v>4980.6170000000002</v>
      </c>
      <c r="FO19" s="33">
        <v>5288.5159999999996</v>
      </c>
      <c r="FP19" s="33">
        <v>5331.9660000000003</v>
      </c>
      <c r="FQ19" s="33">
        <v>5771.7889999999998</v>
      </c>
      <c r="FR19" s="33">
        <v>6036.4260000000004</v>
      </c>
      <c r="FS19" s="33">
        <v>6541.4849999999997</v>
      </c>
      <c r="FT19" s="231">
        <f t="shared" si="45"/>
        <v>7069.7884999999997</v>
      </c>
      <c r="FU19" s="33">
        <v>7598.0919999999996</v>
      </c>
      <c r="FV19" s="231">
        <f t="shared" si="46"/>
        <v>8028.4439999999995</v>
      </c>
      <c r="FW19" s="33">
        <v>8458.7960000000003</v>
      </c>
      <c r="FX19" s="33">
        <v>9670.9989999999998</v>
      </c>
      <c r="FY19" s="33">
        <v>10447.700999999999</v>
      </c>
      <c r="FZ19" s="33">
        <v>10434.06</v>
      </c>
      <c r="GA19" s="33">
        <v>11200.597</v>
      </c>
      <c r="GB19" s="33">
        <v>11671.099</v>
      </c>
      <c r="GC19" s="33">
        <v>12211.37</v>
      </c>
      <c r="GD19" s="33">
        <v>13031.874</v>
      </c>
      <c r="GE19" s="440">
        <v>12229.619000000001</v>
      </c>
      <c r="GF19" s="37">
        <f>220.7+7.6+46+139.4+51.5+92+31.6+124.7+91.4+47.7+48</f>
        <v>900.6</v>
      </c>
      <c r="GG19" s="32">
        <f>259+7.5+33.9+154.7+44.7+96.5+31.5+137.7+126.8+54.3+52.4</f>
        <v>998.99999999999989</v>
      </c>
      <c r="GH19" s="32">
        <f>356.4+16.6+33.8+163.2+50.5+121.8+33.6+149.2+112.7+59.3+62.4</f>
        <v>1159.5</v>
      </c>
      <c r="GI19" s="32">
        <f>422.437+12.918+1.683+35.041+0.022+178.687+58.672+164.433+36.941+103.052+62.648+67.59+120.257+64.382</f>
        <v>1328.7630000000001</v>
      </c>
      <c r="GJ19" s="32">
        <f>439.212+14.898+4.037+39.492+0.042+202.535+64.506+188.095+35.657+112.978+75.961+77.668+144.266+70.472</f>
        <v>1469.8190000000002</v>
      </c>
      <c r="GK19" s="32">
        <f>457.865+20.03+3.852+34.942+0.237+216.477+71.344+221.041+36.036+121.692+80.135+78.467+152.578+71.708</f>
        <v>1566.404</v>
      </c>
      <c r="GL19" s="32">
        <f>577.093+22.978+8.625+43.424+229.616+71.817+255.236+38.422+148.518+88.705+89.942+180.697+78.247</f>
        <v>1833.32</v>
      </c>
      <c r="GM19" s="33">
        <f>580.471+36.903+4.658+50.455+264.109+89.037+286.469+39.736+153.377+108.189+101.304+160.47+78.749</f>
        <v>1953.9270000000004</v>
      </c>
      <c r="GN19" s="32">
        <f>575.906+65.218+3.729+47.525+2.708+289.434+105.073+300.386+46.221+146.177+117.428+103.706+164.332+104.247</f>
        <v>2072.0899999999997</v>
      </c>
      <c r="GO19" s="231">
        <f t="shared" si="47"/>
        <v>2201.0284999999999</v>
      </c>
      <c r="GP19" s="32">
        <v>2329.9670000000001</v>
      </c>
      <c r="GQ19" s="32">
        <v>2562.8629999999998</v>
      </c>
      <c r="GR19" s="32">
        <v>2583.0360000000001</v>
      </c>
      <c r="GS19" s="32">
        <v>2654.8850000000002</v>
      </c>
      <c r="GT19" s="32">
        <v>2817.9470000000001</v>
      </c>
      <c r="GU19" s="32">
        <v>3068.4879999999998</v>
      </c>
      <c r="GV19" s="32">
        <v>3325.848</v>
      </c>
      <c r="GW19" s="32">
        <v>3630.2759999999998</v>
      </c>
      <c r="GX19" s="32">
        <v>4234.8720000000003</v>
      </c>
      <c r="GY19" s="231">
        <f t="shared" si="48"/>
        <v>4386.4675000000007</v>
      </c>
      <c r="GZ19" s="33">
        <v>4538.0630000000001</v>
      </c>
      <c r="HA19" s="231">
        <f t="shared" si="49"/>
        <v>4706.5974999999999</v>
      </c>
      <c r="HB19" s="33">
        <v>4875.1319999999996</v>
      </c>
      <c r="HC19" s="33">
        <v>5096.9939999999997</v>
      </c>
      <c r="HD19" s="33">
        <v>5511.7979999999998</v>
      </c>
      <c r="HE19" s="33">
        <v>5506.2870000000003</v>
      </c>
      <c r="HF19" s="33">
        <v>5865.7839999999997</v>
      </c>
      <c r="HG19" s="33">
        <v>5906.0529999999999</v>
      </c>
      <c r="HH19" s="33">
        <v>6398.0129999999999</v>
      </c>
      <c r="HI19" s="33">
        <v>6278.97</v>
      </c>
      <c r="HJ19" s="440">
        <v>6314.4089999999997</v>
      </c>
      <c r="HK19" s="37">
        <f>93.1+93.4+31.2</f>
        <v>217.7</v>
      </c>
      <c r="HL19" s="32">
        <f>82.3+100.4+29</f>
        <v>211.7</v>
      </c>
      <c r="HM19" s="32">
        <f>88.1+107+31.5</f>
        <v>226.6</v>
      </c>
      <c r="HN19" s="32">
        <f>96.339+65.633+31.065+67.081</f>
        <v>260.11799999999999</v>
      </c>
      <c r="HO19" s="32">
        <f>115.071+70.668+35.962+65.399</f>
        <v>287.10000000000002</v>
      </c>
      <c r="HP19" s="32">
        <f>126.857+71.691+40.417+71.694</f>
        <v>310.65899999999999</v>
      </c>
      <c r="HQ19" s="32">
        <f>137.007+75.431+57.836+87.016</f>
        <v>357.29</v>
      </c>
      <c r="HR19" s="33">
        <f>167.451+86.17+62.052+121.629</f>
        <v>437.30200000000002</v>
      </c>
      <c r="HS19" s="32">
        <f>163.321+96.045+69.242+155.427</f>
        <v>484.03499999999997</v>
      </c>
      <c r="HT19" s="231">
        <f t="shared" si="50"/>
        <v>520.01800000000003</v>
      </c>
      <c r="HU19" s="32">
        <v>556.00099999999998</v>
      </c>
      <c r="HV19" s="32">
        <v>572.03</v>
      </c>
      <c r="HW19" s="32">
        <v>589.88099999999997</v>
      </c>
      <c r="HX19" s="32">
        <v>637.24400000000003</v>
      </c>
      <c r="HY19" s="32">
        <v>631.75199999999995</v>
      </c>
      <c r="HZ19" s="32">
        <v>752.07799999999997</v>
      </c>
      <c r="IA19" s="32">
        <v>733.03800000000001</v>
      </c>
      <c r="IB19" s="32">
        <v>815.601</v>
      </c>
      <c r="IC19" s="32">
        <v>906.11</v>
      </c>
      <c r="ID19" s="231">
        <f t="shared" si="51"/>
        <v>1098.5715</v>
      </c>
      <c r="IE19" s="33">
        <v>1291.0329999999999</v>
      </c>
      <c r="IF19" s="231">
        <f t="shared" si="52"/>
        <v>1406.9569999999999</v>
      </c>
      <c r="IG19" s="33">
        <v>1522.8810000000001</v>
      </c>
      <c r="IH19" s="33">
        <v>1609.4079999999999</v>
      </c>
      <c r="II19" s="33">
        <v>1792.62</v>
      </c>
      <c r="IJ19" s="33">
        <v>1789.001</v>
      </c>
      <c r="IK19" s="33">
        <v>2007.261</v>
      </c>
      <c r="IL19" s="33">
        <v>1938.973</v>
      </c>
      <c r="IM19" s="33">
        <v>1792.9690000000001</v>
      </c>
      <c r="IN19" s="33">
        <v>1655.7650000000001</v>
      </c>
      <c r="IO19" s="440">
        <v>1417.1610000000001</v>
      </c>
      <c r="IP19" s="36">
        <f>(0.1+136.6+154.6)</f>
        <v>291.29999999999995</v>
      </c>
      <c r="IQ19" s="75">
        <f>0+176.1+174.1</f>
        <v>350.2</v>
      </c>
      <c r="IR19" s="75">
        <f>225.1+188.8</f>
        <v>413.9</v>
      </c>
      <c r="IS19" s="75">
        <f>263.904+236.467</f>
        <v>500.37099999999998</v>
      </c>
      <c r="IT19" s="75">
        <f>337.785+0+270.026</f>
        <v>607.81100000000004</v>
      </c>
      <c r="IU19" s="75">
        <f>360.023+0+295.772</f>
        <v>655.79500000000007</v>
      </c>
      <c r="IV19" s="75">
        <f>361.882+294.538</f>
        <v>656.42000000000007</v>
      </c>
      <c r="IW19" s="217">
        <f>382.933+293.224</f>
        <v>676.15699999999993</v>
      </c>
      <c r="IX19" s="75">
        <f>405.621+393.546</f>
        <v>799.16699999999992</v>
      </c>
      <c r="IY19" s="231">
        <f t="shared" si="53"/>
        <v>853.6099999999999</v>
      </c>
      <c r="IZ19" s="75">
        <v>908.053</v>
      </c>
      <c r="JA19" s="32">
        <v>830.66800000000001</v>
      </c>
      <c r="JB19" s="32">
        <v>1015.523</v>
      </c>
      <c r="JC19" s="32">
        <v>1061.251</v>
      </c>
      <c r="JD19" s="32">
        <v>944.36800000000005</v>
      </c>
      <c r="JE19" s="32">
        <v>1101.338</v>
      </c>
      <c r="JF19" s="17">
        <v>1062.2280000000001</v>
      </c>
      <c r="JG19" s="17">
        <v>1129.961</v>
      </c>
      <c r="JH19" s="17">
        <v>1364.96</v>
      </c>
      <c r="JI19" s="231">
        <f t="shared" si="54"/>
        <v>1652.5725</v>
      </c>
      <c r="JJ19" s="17">
        <v>1940.1849999999999</v>
      </c>
      <c r="JK19" s="231">
        <f t="shared" si="55"/>
        <v>1792.1089999999999</v>
      </c>
      <c r="JL19" s="17">
        <v>1644.0329999999999</v>
      </c>
      <c r="JM19" s="17">
        <v>1775.625</v>
      </c>
      <c r="JN19" s="17">
        <v>1931.182</v>
      </c>
      <c r="JO19" s="33">
        <v>1924.85</v>
      </c>
      <c r="JP19" s="33">
        <v>2231.9430000000002</v>
      </c>
      <c r="JQ19" s="33">
        <v>2191.9679999999998</v>
      </c>
      <c r="JR19" s="33">
        <v>2193.9389999999999</v>
      </c>
      <c r="JS19" s="17">
        <v>2412.239</v>
      </c>
      <c r="JT19" s="450">
        <v>2258.3389999999999</v>
      </c>
    </row>
    <row r="20" spans="1:280" s="17" customFormat="1">
      <c r="A20" s="221" t="s">
        <v>36</v>
      </c>
      <c r="B20" s="32">
        <f>0+6283.7</f>
        <v>6283.7</v>
      </c>
      <c r="C20" s="75">
        <f>0.1+6996.4</f>
        <v>6996.5</v>
      </c>
      <c r="D20" s="75">
        <f>0+7504.5</f>
        <v>7504.5</v>
      </c>
      <c r="E20" s="75">
        <v>8299.643</v>
      </c>
      <c r="F20" s="75">
        <f>9213.659+0</f>
        <v>9213.6589999999997</v>
      </c>
      <c r="G20" s="75">
        <f>10086.837+0</f>
        <v>10086.837</v>
      </c>
      <c r="H20" s="75">
        <v>10972.388000000001</v>
      </c>
      <c r="I20" s="217">
        <v>11801.245999999999</v>
      </c>
      <c r="J20" s="75">
        <v>12703.584000000001</v>
      </c>
      <c r="K20" s="231">
        <f t="shared" si="7"/>
        <v>13903.924999999999</v>
      </c>
      <c r="L20" s="75">
        <v>15104.266</v>
      </c>
      <c r="M20" s="32">
        <v>15657.082</v>
      </c>
      <c r="N20" s="32">
        <v>17211.294000000002</v>
      </c>
      <c r="O20" s="32">
        <v>19063.102999999999</v>
      </c>
      <c r="P20" s="33">
        <v>19974.884999999998</v>
      </c>
      <c r="Q20" s="33">
        <v>21234.091</v>
      </c>
      <c r="R20" s="33">
        <v>22441.364000000001</v>
      </c>
      <c r="S20" s="33">
        <v>24172.052</v>
      </c>
      <c r="T20" s="33">
        <v>25272.358</v>
      </c>
      <c r="U20" s="231">
        <f t="shared" si="8"/>
        <v>27112.406999999999</v>
      </c>
      <c r="V20" s="33">
        <v>28952.455999999998</v>
      </c>
      <c r="W20" s="231">
        <f t="shared" si="9"/>
        <v>30266.696</v>
      </c>
      <c r="X20" s="33">
        <v>31580.936000000002</v>
      </c>
      <c r="Y20" s="33">
        <v>33892.752</v>
      </c>
      <c r="Z20" s="33">
        <v>35996.374000000003</v>
      </c>
      <c r="AA20" s="33">
        <v>35992.559999999998</v>
      </c>
      <c r="AB20" s="33">
        <v>37817.305999999997</v>
      </c>
      <c r="AC20" s="33">
        <v>39823.370000000003</v>
      </c>
      <c r="AD20" s="33">
        <v>40867.273000000001</v>
      </c>
      <c r="AE20" s="33">
        <v>42064.449000000001</v>
      </c>
      <c r="AF20" s="440">
        <v>42864.334999999999</v>
      </c>
      <c r="AG20" s="215">
        <f>2181+18.8</f>
        <v>2199.8000000000002</v>
      </c>
      <c r="AH20" s="75">
        <f>2428.8+23.1</f>
        <v>2451.9</v>
      </c>
      <c r="AI20" s="75">
        <f>2549.3+24.3</f>
        <v>2573.6000000000004</v>
      </c>
      <c r="AJ20" s="75">
        <f>2915.459+27.409</f>
        <v>2942.8679999999999</v>
      </c>
      <c r="AK20" s="75">
        <f>3131.052+31.196</f>
        <v>3162.248</v>
      </c>
      <c r="AL20" s="75">
        <f>3400.832+32.635</f>
        <v>3433.4670000000001</v>
      </c>
      <c r="AM20" s="75">
        <f>3628.152+34.907</f>
        <v>3663.0590000000002</v>
      </c>
      <c r="AN20" s="217">
        <f>4028.592+35.737</f>
        <v>4064.3290000000002</v>
      </c>
      <c r="AO20" s="75">
        <f>4311.229+39.05</f>
        <v>4350.2790000000005</v>
      </c>
      <c r="AP20" s="231">
        <f t="shared" si="10"/>
        <v>4564.1875</v>
      </c>
      <c r="AQ20" s="30">
        <v>4778.0959999999995</v>
      </c>
      <c r="AR20" s="32">
        <v>4917.8530000000001</v>
      </c>
      <c r="AS20" s="32">
        <v>5605.7120000000004</v>
      </c>
      <c r="AT20" s="32">
        <v>6178.6530000000002</v>
      </c>
      <c r="AU20" s="33">
        <v>6446.3149999999996</v>
      </c>
      <c r="AV20" s="33">
        <v>6938.0370000000003</v>
      </c>
      <c r="AW20" s="33">
        <v>7373.9579999999996</v>
      </c>
      <c r="AX20" s="33">
        <v>8102.5230000000001</v>
      </c>
      <c r="AY20" s="33">
        <v>8461.8639999999996</v>
      </c>
      <c r="AZ20" s="231">
        <f t="shared" si="11"/>
        <v>9012.8374999999996</v>
      </c>
      <c r="BA20" s="33">
        <v>9563.8109999999997</v>
      </c>
      <c r="BB20" s="231">
        <f t="shared" si="12"/>
        <v>9722.9945000000007</v>
      </c>
      <c r="BC20" s="33">
        <v>9882.1779999999999</v>
      </c>
      <c r="BD20" s="33">
        <v>10391.466</v>
      </c>
      <c r="BE20" s="33">
        <v>11543.447</v>
      </c>
      <c r="BF20" s="33">
        <v>11543.341</v>
      </c>
      <c r="BG20" s="33">
        <v>12487.082</v>
      </c>
      <c r="BH20" s="33">
        <v>12770.576999999999</v>
      </c>
      <c r="BI20" s="33">
        <v>12898.475</v>
      </c>
      <c r="BJ20" s="33">
        <v>12874.941000000001</v>
      </c>
      <c r="BK20" s="440">
        <v>13794.85</v>
      </c>
      <c r="BL20" s="36">
        <v>1410.2</v>
      </c>
      <c r="BM20" s="75">
        <v>1522.3</v>
      </c>
      <c r="BN20" s="75">
        <v>1616.2</v>
      </c>
      <c r="BO20" s="75">
        <v>1812.809</v>
      </c>
      <c r="BP20" s="75">
        <v>1885.2560000000001</v>
      </c>
      <c r="BQ20" s="75">
        <v>2098.2689999999998</v>
      </c>
      <c r="BR20" s="75">
        <v>2327.35</v>
      </c>
      <c r="BS20" s="217">
        <v>2480.42</v>
      </c>
      <c r="BT20" s="75">
        <v>2663.607</v>
      </c>
      <c r="BU20" s="231">
        <f t="shared" si="13"/>
        <v>2804.4520000000002</v>
      </c>
      <c r="BV20" s="75">
        <v>2945.297</v>
      </c>
      <c r="BW20" s="32">
        <v>3171.681</v>
      </c>
      <c r="BX20" s="32">
        <v>3652.9180000000001</v>
      </c>
      <c r="BY20" s="32">
        <v>3968.2339999999999</v>
      </c>
      <c r="BZ20" s="32">
        <v>4254.3310000000001</v>
      </c>
      <c r="CA20" s="32">
        <v>4627.2070000000003</v>
      </c>
      <c r="CB20" s="32">
        <v>5008.098</v>
      </c>
      <c r="CC20" s="32">
        <v>5531.9340000000002</v>
      </c>
      <c r="CD20" s="32">
        <v>5699.08</v>
      </c>
      <c r="CE20" s="231">
        <f t="shared" si="14"/>
        <v>5925.7894999999999</v>
      </c>
      <c r="CF20" s="33">
        <v>6152.4989999999998</v>
      </c>
      <c r="CG20" s="231">
        <f t="shared" si="15"/>
        <v>6415.2444999999998</v>
      </c>
      <c r="CH20" s="33">
        <v>6677.99</v>
      </c>
      <c r="CI20" s="33">
        <v>6994.6329999999998</v>
      </c>
      <c r="CJ20" s="33">
        <v>7655.9560000000001</v>
      </c>
      <c r="CK20" s="33">
        <v>7655.9059999999999</v>
      </c>
      <c r="CL20" s="33">
        <v>8355.8529999999992</v>
      </c>
      <c r="CM20" s="33">
        <v>8414.7790000000005</v>
      </c>
      <c r="CN20" s="33">
        <v>8631.89</v>
      </c>
      <c r="CO20" s="33">
        <v>8610.5540000000001</v>
      </c>
      <c r="CP20" s="440">
        <v>8928.1589999999997</v>
      </c>
      <c r="CQ20" s="37">
        <v>589.70000000000005</v>
      </c>
      <c r="CR20" s="32">
        <v>710.2</v>
      </c>
      <c r="CS20" s="32">
        <v>741.5</v>
      </c>
      <c r="CT20" s="32">
        <v>867.16800000000001</v>
      </c>
      <c r="CU20" s="32">
        <v>984.91600000000005</v>
      </c>
      <c r="CV20" s="32">
        <v>1013.949</v>
      </c>
      <c r="CW20" s="32">
        <v>1056.2090000000001</v>
      </c>
      <c r="CX20" s="33">
        <v>1285.42</v>
      </c>
      <c r="CY20" s="32">
        <v>1371.4590000000001</v>
      </c>
      <c r="CZ20" s="231">
        <f t="shared" si="16"/>
        <v>1439.7069999999999</v>
      </c>
      <c r="DA20" s="32">
        <f>1507955/1000</f>
        <v>1507.9549999999999</v>
      </c>
      <c r="DB20" s="32">
        <v>1511.683</v>
      </c>
      <c r="DC20" s="32">
        <v>1695.1120000000001</v>
      </c>
      <c r="DD20" s="32">
        <v>1928.86</v>
      </c>
      <c r="DE20" s="42">
        <v>1895.971</v>
      </c>
      <c r="DF20" s="42">
        <v>1990.0889999999999</v>
      </c>
      <c r="DG20" s="42">
        <v>2041.683</v>
      </c>
      <c r="DH20" s="42">
        <v>2204.6350000000002</v>
      </c>
      <c r="DI20" s="232">
        <v>2379.444</v>
      </c>
      <c r="DJ20" s="231">
        <f t="shared" si="17"/>
        <v>2668.6059999999998</v>
      </c>
      <c r="DK20" s="33">
        <v>2957.768</v>
      </c>
      <c r="DL20" s="231">
        <f t="shared" si="18"/>
        <v>2816.1424999999999</v>
      </c>
      <c r="DM20" s="33">
        <v>2674.5169999999998</v>
      </c>
      <c r="DN20" s="33">
        <v>2735.4340000000002</v>
      </c>
      <c r="DO20" s="33">
        <v>3016.36</v>
      </c>
      <c r="DP20" s="33">
        <v>3016.31</v>
      </c>
      <c r="DQ20" s="33">
        <v>3147.97</v>
      </c>
      <c r="DR20" s="33">
        <v>3323.47</v>
      </c>
      <c r="DS20" s="33">
        <v>3341.741</v>
      </c>
      <c r="DT20" s="33">
        <v>3324.1729999999998</v>
      </c>
      <c r="DU20" s="440">
        <v>3806.1529999999998</v>
      </c>
      <c r="DV20" s="38">
        <f t="shared" si="62"/>
        <v>199.90000000000009</v>
      </c>
      <c r="DW20" s="40">
        <f t="shared" si="56"/>
        <v>219.40000000000009</v>
      </c>
      <c r="DX20" s="40">
        <f t="shared" si="57"/>
        <v>215.90000000000032</v>
      </c>
      <c r="DY20" s="40">
        <f t="shared" si="58"/>
        <v>262.89099999999996</v>
      </c>
      <c r="DZ20" s="40">
        <f t="shared" si="59"/>
        <v>292.07599999999991</v>
      </c>
      <c r="EA20" s="40">
        <f t="shared" si="60"/>
        <v>321.24900000000036</v>
      </c>
      <c r="EB20" s="40">
        <f t="shared" si="61"/>
        <v>279.50000000000023</v>
      </c>
      <c r="EC20" s="40">
        <f t="shared" si="20"/>
        <v>298.48900000000003</v>
      </c>
      <c r="ED20" s="40">
        <f t="shared" si="21"/>
        <v>315.21300000000042</v>
      </c>
      <c r="EE20" s="40">
        <f t="shared" si="22"/>
        <v>320.02849999999989</v>
      </c>
      <c r="EF20" s="40">
        <f t="shared" si="23"/>
        <v>324.8439999999996</v>
      </c>
      <c r="EG20" s="40">
        <f t="shared" si="24"/>
        <v>234.48900000000003</v>
      </c>
      <c r="EH20" s="40">
        <f t="shared" si="25"/>
        <v>257.68200000000024</v>
      </c>
      <c r="EI20" s="40">
        <f t="shared" si="26"/>
        <v>281.55900000000042</v>
      </c>
      <c r="EJ20" s="40">
        <f t="shared" si="27"/>
        <v>296.01299999999947</v>
      </c>
      <c r="EK20" s="40">
        <f t="shared" si="28"/>
        <v>320.74099999999999</v>
      </c>
      <c r="EL20" s="40">
        <f t="shared" si="29"/>
        <v>324.17699999999968</v>
      </c>
      <c r="EM20" s="40">
        <f t="shared" si="30"/>
        <v>365.95399999999972</v>
      </c>
      <c r="EN20" s="40">
        <f t="shared" si="31"/>
        <v>383.33999999999969</v>
      </c>
      <c r="EO20" s="40">
        <f t="shared" si="32"/>
        <v>418.44200000000001</v>
      </c>
      <c r="EP20" s="40">
        <f t="shared" si="33"/>
        <v>453.54399999999987</v>
      </c>
      <c r="EQ20" s="40">
        <f t="shared" si="34"/>
        <v>491.60750000000098</v>
      </c>
      <c r="ER20" s="40">
        <f t="shared" si="35"/>
        <v>529.67100000000028</v>
      </c>
      <c r="ES20" s="40">
        <f t="shared" si="36"/>
        <v>661.39900000000034</v>
      </c>
      <c r="ET20" s="40">
        <f t="shared" si="37"/>
        <v>871.13099999999986</v>
      </c>
      <c r="EU20" s="40">
        <f t="shared" si="38"/>
        <v>871.12500000000045</v>
      </c>
      <c r="EV20" s="40">
        <f t="shared" si="39"/>
        <v>983.25900000000138</v>
      </c>
      <c r="EW20" s="40">
        <f t="shared" si="40"/>
        <v>1032.3279999999991</v>
      </c>
      <c r="EX20" s="40">
        <f t="shared" si="41"/>
        <v>924.84400000000096</v>
      </c>
      <c r="EY20" s="40">
        <f t="shared" si="42"/>
        <v>940.21400000000085</v>
      </c>
      <c r="EZ20" s="40">
        <f t="shared" si="43"/>
        <v>1060.5380000000009</v>
      </c>
      <c r="FA20" s="176">
        <f>691.3+762.6+44.8+0.8</f>
        <v>1499.5</v>
      </c>
      <c r="FB20" s="32">
        <f>731.3+919.4+48.7+0.8</f>
        <v>1700.1999999999998</v>
      </c>
      <c r="FC20" s="32">
        <f>879+1003.8+46.5+0.8</f>
        <v>1930.1</v>
      </c>
      <c r="FD20" s="32">
        <f>893.259+809.951+241.159+48.823+0.967</f>
        <v>1994.1590000000003</v>
      </c>
      <c r="FE20" s="32">
        <f>1050.038+866.827+288.898+49.415+1.052</f>
        <v>2256.23</v>
      </c>
      <c r="FF20" s="32">
        <f>1215.609+976.537+312.568+46.95+1.156</f>
        <v>2552.8199999999997</v>
      </c>
      <c r="FG20" s="32">
        <f>1476.507+1074.859+295.488+50.498+1.216</f>
        <v>2898.5679999999998</v>
      </c>
      <c r="FH20" s="33">
        <f>1191.575+1172.651+350.375+56.829+1.287</f>
        <v>2772.7170000000001</v>
      </c>
      <c r="FI20" s="32">
        <f>1384.414+1214.907+383.191+58.257+1.608</f>
        <v>3042.377</v>
      </c>
      <c r="FJ20" s="231">
        <f t="shared" si="44"/>
        <v>3792.402</v>
      </c>
      <c r="FK20" s="32">
        <v>4542.4269999999997</v>
      </c>
      <c r="FL20" s="32">
        <v>4985.8739999999998</v>
      </c>
      <c r="FM20" s="32">
        <v>5440.9930000000004</v>
      </c>
      <c r="FN20" s="32">
        <v>6066.5969999999998</v>
      </c>
      <c r="FO20" s="33">
        <v>6414.8729999999996</v>
      </c>
      <c r="FP20" s="33">
        <v>6586.5190000000002</v>
      </c>
      <c r="FQ20" s="33">
        <v>6909.1139999999996</v>
      </c>
      <c r="FR20" s="33">
        <v>7369.893</v>
      </c>
      <c r="FS20" s="33">
        <v>7696.2219999999998</v>
      </c>
      <c r="FT20" s="231">
        <f t="shared" si="45"/>
        <v>8768.0429999999997</v>
      </c>
      <c r="FU20" s="33">
        <v>9839.8639999999996</v>
      </c>
      <c r="FV20" s="231">
        <f t="shared" si="46"/>
        <v>10736.574000000001</v>
      </c>
      <c r="FW20" s="33">
        <v>11633.284</v>
      </c>
      <c r="FX20" s="33">
        <v>12645.925999999999</v>
      </c>
      <c r="FY20" s="33">
        <v>12134.912</v>
      </c>
      <c r="FZ20" s="33">
        <v>12133.767</v>
      </c>
      <c r="GA20" s="33">
        <v>12786.419</v>
      </c>
      <c r="GB20" s="33">
        <v>13315.42</v>
      </c>
      <c r="GC20" s="33">
        <v>13850.065000000001</v>
      </c>
      <c r="GD20" s="33">
        <v>14497.448</v>
      </c>
      <c r="GE20" s="440">
        <v>14675.074000000001</v>
      </c>
      <c r="GF20" s="37">
        <f>587.7+56.4+2.2+220.9+113.8+130.5+30+193.1+167.9+100.9+130.8</f>
        <v>1734.2</v>
      </c>
      <c r="GG20" s="32">
        <f>639.2+30.9+4.2+236.9+119.2+155+32.5+197+217+96.2+136.8</f>
        <v>1864.9</v>
      </c>
      <c r="GH20" s="32">
        <f>750.5+53.4+3.3+242.5+109.6+146.5+37.4+190.2+165.1+94.7+159.4</f>
        <v>1952.6</v>
      </c>
      <c r="GI20" s="32">
        <f>861.312+61.415+1.936+0.105+278.902+131.631+179.465+41.852+92.922+130.926+161.142+188.167+113.588</f>
        <v>2243.3630000000003</v>
      </c>
      <c r="GJ20" s="32">
        <f>926.437+111.696+1.593+0.091+0+294.251+139.224+216.565+49.165+95.012+146.916+189.126+183.438+124.524</f>
        <v>2478.038</v>
      </c>
      <c r="GK20" s="32">
        <f>930.37+155.003+1.296+0.506+0+310.393+150.947+247.769+54.75+101.148+166.783+230.205+189.927+110.449</f>
        <v>2649.5460000000003</v>
      </c>
      <c r="GL20" s="32">
        <f>1002.956+128.673+4.947+0.403+343.443+161.872+297.528+59.663+105.63+187.143+202.533+261.821+115.544</f>
        <v>2872.1559999999995</v>
      </c>
      <c r="GM20" s="33">
        <f>1098.878+177.482+1.409+0.315+394.28+188.591+392.392+38.775+105.529+209.14+230.61+294.155+129.053</f>
        <v>3260.6089999999995</v>
      </c>
      <c r="GN20" s="32">
        <f>1178.621+216.09+1.704+0.35+416.825+197.539+402.634+57.109+119.448+227.638+245.396+275.115+132.262</f>
        <v>3470.7310000000002</v>
      </c>
      <c r="GO20" s="231">
        <f t="shared" si="47"/>
        <v>3630.6280000000002</v>
      </c>
      <c r="GP20" s="32">
        <v>3790.5250000000001</v>
      </c>
      <c r="GQ20" s="32">
        <v>3761.1509999999998</v>
      </c>
      <c r="GR20" s="32">
        <v>4096.0029999999997</v>
      </c>
      <c r="GS20" s="32">
        <v>4607.8389999999999</v>
      </c>
      <c r="GT20" s="32">
        <v>4750.0129999999999</v>
      </c>
      <c r="GU20" s="32">
        <v>5232.576</v>
      </c>
      <c r="GV20" s="32">
        <v>5560.723</v>
      </c>
      <c r="GW20" s="32">
        <v>5835.3270000000002</v>
      </c>
      <c r="GX20" s="32">
        <v>6115.451</v>
      </c>
      <c r="GY20" s="231">
        <f t="shared" si="48"/>
        <v>6094.5810000000001</v>
      </c>
      <c r="GZ20" s="33">
        <v>6073.7110000000002</v>
      </c>
      <c r="HA20" s="231">
        <f t="shared" si="49"/>
        <v>6244.7384999999995</v>
      </c>
      <c r="HB20" s="33">
        <v>6415.7659999999996</v>
      </c>
      <c r="HC20" s="33">
        <v>6858.9309999999996</v>
      </c>
      <c r="HD20" s="33">
        <v>8089.0630000000001</v>
      </c>
      <c r="HE20" s="33">
        <v>8089.24</v>
      </c>
      <c r="HF20" s="33">
        <v>8082.7280000000001</v>
      </c>
      <c r="HG20" s="33">
        <v>8797.0239999999994</v>
      </c>
      <c r="HH20" s="33">
        <v>8947.4920000000002</v>
      </c>
      <c r="HI20" s="33">
        <v>9480.2739999999994</v>
      </c>
      <c r="HJ20" s="440">
        <v>9345.3179999999993</v>
      </c>
      <c r="HK20" s="37">
        <f>87.9+128.5+38.4</f>
        <v>254.8</v>
      </c>
      <c r="HL20" s="32">
        <f>100.8+146.8+36.9</f>
        <v>284.5</v>
      </c>
      <c r="HM20" s="32">
        <f>111.4+154.8+50.5</f>
        <v>316.70000000000005</v>
      </c>
      <c r="HN20" s="32">
        <f>119.243+101.146+48.434+70.211</f>
        <v>339.03399999999999</v>
      </c>
      <c r="HO20" s="32">
        <f>147.792+108.069+76.495+75.849</f>
        <v>408.20499999999998</v>
      </c>
      <c r="HP20" s="32">
        <f>161.791+119.695+109.511+87.133</f>
        <v>478.12999999999994</v>
      </c>
      <c r="HQ20" s="32">
        <f>168.068+129.847+73.431+90.822</f>
        <v>462.16800000000001</v>
      </c>
      <c r="HR20" s="33">
        <f>170.56+146.604+87.823+98.602</f>
        <v>503.58899999999994</v>
      </c>
      <c r="HS20" s="32">
        <f>181.989+167.842+102.827+106.998</f>
        <v>559.65600000000006</v>
      </c>
      <c r="HT20" s="231">
        <f t="shared" si="50"/>
        <v>589.49350000000004</v>
      </c>
      <c r="HU20" s="32">
        <v>619.33100000000002</v>
      </c>
      <c r="HV20" s="32">
        <v>633.28599999999994</v>
      </c>
      <c r="HW20" s="32">
        <v>733.45399999999995</v>
      </c>
      <c r="HX20" s="32">
        <v>888.75800000000004</v>
      </c>
      <c r="HY20" s="32">
        <v>989.78399999999999</v>
      </c>
      <c r="HZ20" s="32">
        <v>934.13199999999995</v>
      </c>
      <c r="IA20" s="32">
        <v>966.49699999999996</v>
      </c>
      <c r="IB20" s="32">
        <v>1116.383</v>
      </c>
      <c r="IC20" s="32">
        <v>1151.8119999999999</v>
      </c>
      <c r="ID20" s="231">
        <f t="shared" si="51"/>
        <v>1199.2159999999999</v>
      </c>
      <c r="IE20" s="33">
        <v>1246.6199999999999</v>
      </c>
      <c r="IF20" s="231">
        <f t="shared" si="52"/>
        <v>1283.53</v>
      </c>
      <c r="IG20" s="33">
        <v>1320.44</v>
      </c>
      <c r="IH20" s="33">
        <v>1490.9190000000001</v>
      </c>
      <c r="II20" s="33">
        <v>1717.933</v>
      </c>
      <c r="IJ20" s="33">
        <v>1718.049</v>
      </c>
      <c r="IK20" s="33">
        <v>1789.7349999999999</v>
      </c>
      <c r="IL20" s="33">
        <v>1977.933</v>
      </c>
      <c r="IM20" s="33">
        <v>1972.5409999999999</v>
      </c>
      <c r="IN20" s="33">
        <v>1904.029</v>
      </c>
      <c r="IO20" s="440">
        <v>1975.24</v>
      </c>
      <c r="IP20" s="36">
        <f>(0+313.6+281.9)</f>
        <v>595.5</v>
      </c>
      <c r="IQ20" s="75">
        <f>0.1+390.9+303.9</f>
        <v>694.9</v>
      </c>
      <c r="IR20" s="75">
        <f>431.5+299.9</f>
        <v>731.4</v>
      </c>
      <c r="IS20" s="75">
        <f>443.166+337.053</f>
        <v>780.21900000000005</v>
      </c>
      <c r="IT20" s="75">
        <f>493.862+1.238+413.838</f>
        <v>908.9380000000001</v>
      </c>
      <c r="IU20" s="75">
        <f>540.039+1.094+431.741</f>
        <v>972.87400000000002</v>
      </c>
      <c r="IV20" s="75">
        <f>622.544+0.348+453.545</f>
        <v>1076.4369999999999</v>
      </c>
      <c r="IW20" s="217">
        <f>662.416+0.44+537.146</f>
        <v>1200.002</v>
      </c>
      <c r="IX20" s="75">
        <f>688.594+0.376+591.571</f>
        <v>1280.5410000000002</v>
      </c>
      <c r="IY20" s="231">
        <f t="shared" si="53"/>
        <v>1327.2139999999999</v>
      </c>
      <c r="IZ20" s="75">
        <v>1373.8869999999999</v>
      </c>
      <c r="JA20" s="32">
        <v>1358.9179999999999</v>
      </c>
      <c r="JB20" s="32">
        <v>1335.1320000000001</v>
      </c>
      <c r="JC20" s="32">
        <v>1321.2560000000001</v>
      </c>
      <c r="JD20" s="32">
        <v>1373.9</v>
      </c>
      <c r="JE20" s="32">
        <v>1542.827</v>
      </c>
      <c r="JF20" s="17">
        <v>1631.0719999999999</v>
      </c>
      <c r="JG20" s="17">
        <v>1747.9259999999999</v>
      </c>
      <c r="JH20" s="17">
        <v>1847.009</v>
      </c>
      <c r="JI20" s="231">
        <f t="shared" si="54"/>
        <v>2037.7294999999999</v>
      </c>
      <c r="JJ20" s="17">
        <v>2228.4499999999998</v>
      </c>
      <c r="JK20" s="231">
        <f t="shared" si="55"/>
        <v>2278.8589999999999</v>
      </c>
      <c r="JL20" s="17">
        <v>2329.268</v>
      </c>
      <c r="JM20" s="17">
        <v>2505.5100000000002</v>
      </c>
      <c r="JN20" s="17">
        <v>2511.0189999999998</v>
      </c>
      <c r="JO20" s="33">
        <v>2508.163</v>
      </c>
      <c r="JP20" s="33">
        <v>2671.3420000000001</v>
      </c>
      <c r="JQ20" s="33">
        <v>2962.4160000000002</v>
      </c>
      <c r="JR20" s="33">
        <v>3198.7</v>
      </c>
      <c r="JS20" s="17">
        <v>3307.7570000000001</v>
      </c>
      <c r="JT20" s="450">
        <v>3073.8530000000001</v>
      </c>
    </row>
    <row r="21" spans="1:280" s="17" customFormat="1" ht="12.75" customHeight="1">
      <c r="A21" s="221" t="s">
        <v>37</v>
      </c>
      <c r="B21" s="32">
        <f>0+24065.7</f>
        <v>24065.7</v>
      </c>
      <c r="C21" s="75">
        <v>27210.5</v>
      </c>
      <c r="D21" s="75">
        <f>0+29754.8</f>
        <v>29754.799999999999</v>
      </c>
      <c r="E21" s="75">
        <v>32803.11</v>
      </c>
      <c r="F21" s="75">
        <f>36759.943+0</f>
        <v>36759.942999999999</v>
      </c>
      <c r="G21" s="75">
        <f>39016.743+0</f>
        <v>39016.743000000002</v>
      </c>
      <c r="H21" s="75">
        <v>41401.843999999997</v>
      </c>
      <c r="I21" s="217">
        <v>43768.565000000002</v>
      </c>
      <c r="J21" s="75">
        <v>47230.144999999997</v>
      </c>
      <c r="K21" s="231">
        <f t="shared" si="7"/>
        <v>51428.859499999999</v>
      </c>
      <c r="L21" s="75">
        <v>55627.574000000001</v>
      </c>
      <c r="M21" s="32">
        <v>61780.012000000002</v>
      </c>
      <c r="N21" s="32">
        <v>63916.434999999998</v>
      </c>
      <c r="O21" s="32">
        <v>67966.312000000005</v>
      </c>
      <c r="P21" s="33">
        <v>72365.702000000005</v>
      </c>
      <c r="Q21" s="33">
        <v>76431.437000000005</v>
      </c>
      <c r="R21" s="33">
        <v>81311.630999999994</v>
      </c>
      <c r="S21" s="33">
        <v>87374.5</v>
      </c>
      <c r="T21" s="33">
        <v>95761.974000000002</v>
      </c>
      <c r="U21" s="231">
        <f t="shared" si="8"/>
        <v>103682.91750000001</v>
      </c>
      <c r="V21" s="33">
        <v>111603.861</v>
      </c>
      <c r="W21" s="231">
        <f t="shared" si="9"/>
        <v>117830.36749999999</v>
      </c>
      <c r="X21" s="33">
        <v>124056.874</v>
      </c>
      <c r="Y21" s="33">
        <v>131336.182</v>
      </c>
      <c r="Z21" s="33">
        <v>147466.764</v>
      </c>
      <c r="AA21" s="33">
        <v>147302.78</v>
      </c>
      <c r="AB21" s="33">
        <v>163012.027</v>
      </c>
      <c r="AC21" s="33">
        <v>172357.13699999999</v>
      </c>
      <c r="AD21" s="33">
        <v>183029.14799999999</v>
      </c>
      <c r="AE21" s="33">
        <v>185643.845</v>
      </c>
      <c r="AF21" s="440">
        <v>183968.13399999999</v>
      </c>
      <c r="AG21" s="215">
        <f>10001.1+97.6</f>
        <v>10098.700000000001</v>
      </c>
      <c r="AH21" s="75">
        <f>11835.6+108.4</f>
        <v>11944</v>
      </c>
      <c r="AI21" s="75">
        <f>12738.2+120.9</f>
        <v>12859.1</v>
      </c>
      <c r="AJ21" s="75">
        <f>14107.315+128.174</f>
        <v>14235.489000000001</v>
      </c>
      <c r="AK21" s="75">
        <f>15452.536+156.461</f>
        <v>15608.996999999999</v>
      </c>
      <c r="AL21" s="75">
        <f>15754.178+152.696</f>
        <v>15906.874</v>
      </c>
      <c r="AM21" s="75">
        <f>16577.863+161.763</f>
        <v>16739.626</v>
      </c>
      <c r="AN21" s="217">
        <f>17862.382+148.864</f>
        <v>18011.246000000003</v>
      </c>
      <c r="AO21" s="75">
        <f>19393.368+154.8</f>
        <v>19548.167999999998</v>
      </c>
      <c r="AP21" s="231">
        <f t="shared" si="10"/>
        <v>20796.129999999997</v>
      </c>
      <c r="AQ21" s="30">
        <v>22044.092000000001</v>
      </c>
      <c r="AR21" s="32">
        <v>24324.194</v>
      </c>
      <c r="AS21" s="32">
        <v>24699.255000000001</v>
      </c>
      <c r="AT21" s="32">
        <v>25987.544000000002</v>
      </c>
      <c r="AU21" s="33">
        <v>28095.167000000001</v>
      </c>
      <c r="AV21" s="33">
        <v>30620.560000000001</v>
      </c>
      <c r="AW21" s="33">
        <v>33090.148000000001</v>
      </c>
      <c r="AX21" s="33">
        <v>35583.093999999997</v>
      </c>
      <c r="AY21" s="33">
        <v>39510.629000000001</v>
      </c>
      <c r="AZ21" s="231">
        <f t="shared" si="11"/>
        <v>42784.656999999999</v>
      </c>
      <c r="BA21" s="33">
        <v>46058.684999999998</v>
      </c>
      <c r="BB21" s="231">
        <f t="shared" si="12"/>
        <v>48068.228000000003</v>
      </c>
      <c r="BC21" s="33">
        <v>50077.771000000001</v>
      </c>
      <c r="BD21" s="33">
        <v>53194.527999999998</v>
      </c>
      <c r="BE21" s="33">
        <v>59485.195</v>
      </c>
      <c r="BF21" s="33">
        <v>59484.792000000001</v>
      </c>
      <c r="BG21" s="33">
        <v>66466.445000000007</v>
      </c>
      <c r="BH21" s="33">
        <v>71132.812000000005</v>
      </c>
      <c r="BI21" s="33">
        <v>75141.255999999994</v>
      </c>
      <c r="BJ21" s="33">
        <v>74548.255000000005</v>
      </c>
      <c r="BK21" s="440">
        <v>71268.019</v>
      </c>
      <c r="BL21" s="36">
        <v>6854.9</v>
      </c>
      <c r="BM21" s="75">
        <v>8247.5</v>
      </c>
      <c r="BN21" s="75">
        <v>8779.1</v>
      </c>
      <c r="BO21" s="75">
        <v>9694.0280000000002</v>
      </c>
      <c r="BP21" s="75">
        <v>10847.127</v>
      </c>
      <c r="BQ21" s="75">
        <v>11176.073</v>
      </c>
      <c r="BR21" s="75">
        <v>11713.289000000001</v>
      </c>
      <c r="BS21" s="217">
        <v>12514.438</v>
      </c>
      <c r="BT21" s="75">
        <v>13938.874</v>
      </c>
      <c r="BU21" s="231">
        <f t="shared" si="13"/>
        <v>14786.354499999999</v>
      </c>
      <c r="BV21" s="75">
        <v>15633.834999999999</v>
      </c>
      <c r="BW21" s="32">
        <v>17153.081999999999</v>
      </c>
      <c r="BX21" s="32">
        <v>17402.38</v>
      </c>
      <c r="BY21" s="32">
        <v>18265.867999999999</v>
      </c>
      <c r="BZ21" s="32">
        <v>20130.134999999998</v>
      </c>
      <c r="CA21" s="32">
        <v>21901.9</v>
      </c>
      <c r="CB21" s="32">
        <v>23746.799999999999</v>
      </c>
      <c r="CC21" s="32">
        <v>25404.78</v>
      </c>
      <c r="CD21" s="32">
        <v>28404.62</v>
      </c>
      <c r="CE21" s="231">
        <f t="shared" si="14"/>
        <v>30238.152000000002</v>
      </c>
      <c r="CF21" s="33">
        <v>32071.684000000001</v>
      </c>
      <c r="CG21" s="231">
        <f t="shared" si="15"/>
        <v>33351.103499999997</v>
      </c>
      <c r="CH21" s="33">
        <v>34630.523000000001</v>
      </c>
      <c r="CI21" s="33">
        <v>36201.432000000001</v>
      </c>
      <c r="CJ21" s="33">
        <v>41071.449000000001</v>
      </c>
      <c r="CK21" s="33">
        <v>41071.046000000002</v>
      </c>
      <c r="CL21" s="33">
        <v>45440.154000000002</v>
      </c>
      <c r="CM21" s="33">
        <v>47979.627999999997</v>
      </c>
      <c r="CN21" s="33">
        <v>48667.656999999999</v>
      </c>
      <c r="CO21" s="33">
        <v>47014.112999999998</v>
      </c>
      <c r="CP21" s="440">
        <v>44771.978000000003</v>
      </c>
      <c r="CQ21" s="37">
        <v>2965.3</v>
      </c>
      <c r="CR21" s="32">
        <v>3396.4</v>
      </c>
      <c r="CS21" s="32">
        <v>3759</v>
      </c>
      <c r="CT21" s="32">
        <v>4184.4030000000002</v>
      </c>
      <c r="CU21" s="32">
        <v>4334.3950000000004</v>
      </c>
      <c r="CV21" s="32">
        <v>4316.893</v>
      </c>
      <c r="CW21" s="32">
        <v>4518.24</v>
      </c>
      <c r="CX21" s="33">
        <v>4970.4399999999996</v>
      </c>
      <c r="CY21" s="32">
        <v>5041.8280000000004</v>
      </c>
      <c r="CZ21" s="231">
        <f t="shared" si="16"/>
        <v>5387.5745000000006</v>
      </c>
      <c r="DA21" s="32">
        <f>5733321/1000</f>
        <v>5733.3209999999999</v>
      </c>
      <c r="DB21" s="32">
        <v>6419.7190000000001</v>
      </c>
      <c r="DC21" s="32">
        <v>6498.7849999999999</v>
      </c>
      <c r="DD21" s="32">
        <v>6919.0929999999998</v>
      </c>
      <c r="DE21" s="42">
        <v>7095.0879999999997</v>
      </c>
      <c r="DF21" s="42">
        <v>7765.4840000000004</v>
      </c>
      <c r="DG21" s="42">
        <v>8347.3700000000008</v>
      </c>
      <c r="DH21" s="42">
        <v>8978.4040000000005</v>
      </c>
      <c r="DI21" s="42">
        <v>9795.4179999999997</v>
      </c>
      <c r="DJ21" s="231">
        <f t="shared" si="17"/>
        <v>11138.5785</v>
      </c>
      <c r="DK21" s="33">
        <v>12481.739</v>
      </c>
      <c r="DL21" s="231">
        <f t="shared" si="18"/>
        <v>13227.144</v>
      </c>
      <c r="DM21" s="33">
        <v>13972.549000000001</v>
      </c>
      <c r="DN21" s="33">
        <v>14955.151</v>
      </c>
      <c r="DO21" s="33">
        <v>16343.27</v>
      </c>
      <c r="DP21" s="33">
        <v>16343.27</v>
      </c>
      <c r="DQ21" s="33">
        <v>18763.935000000001</v>
      </c>
      <c r="DR21" s="33">
        <v>20737.882000000001</v>
      </c>
      <c r="DS21" s="33">
        <v>23750.628000000001</v>
      </c>
      <c r="DT21" s="33">
        <v>24833.195</v>
      </c>
      <c r="DU21" s="440">
        <v>23929.126</v>
      </c>
      <c r="DV21" s="38">
        <f t="shared" si="62"/>
        <v>278.50000000000091</v>
      </c>
      <c r="DW21" s="40">
        <f t="shared" si="56"/>
        <v>300.09999999999991</v>
      </c>
      <c r="DX21" s="40">
        <f t="shared" si="57"/>
        <v>321</v>
      </c>
      <c r="DY21" s="40">
        <f t="shared" si="58"/>
        <v>357.0580000000009</v>
      </c>
      <c r="DZ21" s="40">
        <f t="shared" si="59"/>
        <v>427.47499999999854</v>
      </c>
      <c r="EA21" s="40">
        <f t="shared" si="60"/>
        <v>413.90799999999945</v>
      </c>
      <c r="EB21" s="40">
        <f t="shared" si="61"/>
        <v>508.09699999999975</v>
      </c>
      <c r="EC21" s="40">
        <f t="shared" si="20"/>
        <v>526.36800000000312</v>
      </c>
      <c r="ED21" s="40">
        <f t="shared" si="21"/>
        <v>567.46599999999762</v>
      </c>
      <c r="EE21" s="40">
        <f t="shared" si="22"/>
        <v>622.20099999999729</v>
      </c>
      <c r="EF21" s="40">
        <f t="shared" si="23"/>
        <v>676.93600000000151</v>
      </c>
      <c r="EG21" s="40">
        <f t="shared" si="24"/>
        <v>751.39300000000094</v>
      </c>
      <c r="EH21" s="40">
        <f t="shared" si="25"/>
        <v>798.09000000000015</v>
      </c>
      <c r="EI21" s="40">
        <f t="shared" si="26"/>
        <v>802.58300000000327</v>
      </c>
      <c r="EJ21" s="40">
        <f t="shared" si="27"/>
        <v>869.94400000000314</v>
      </c>
      <c r="EK21" s="40">
        <f t="shared" si="28"/>
        <v>953.17599999999948</v>
      </c>
      <c r="EL21" s="40">
        <f t="shared" si="29"/>
        <v>995.97800000000097</v>
      </c>
      <c r="EM21" s="40">
        <f t="shared" si="30"/>
        <v>1199.909999999998</v>
      </c>
      <c r="EN21" s="40">
        <f t="shared" si="31"/>
        <v>1310.5910000000022</v>
      </c>
      <c r="EO21" s="40">
        <f t="shared" si="32"/>
        <v>1407.9264999999978</v>
      </c>
      <c r="EP21" s="40">
        <f t="shared" si="33"/>
        <v>1505.261999999997</v>
      </c>
      <c r="EQ21" s="40">
        <f t="shared" si="34"/>
        <v>1489.9805000000051</v>
      </c>
      <c r="ER21" s="40">
        <f t="shared" si="35"/>
        <v>1474.6989999999987</v>
      </c>
      <c r="ES21" s="40">
        <f t="shared" si="36"/>
        <v>2037.9449999999979</v>
      </c>
      <c r="ET21" s="40">
        <f t="shared" si="37"/>
        <v>2070.4759999999987</v>
      </c>
      <c r="EU21" s="40">
        <f t="shared" si="38"/>
        <v>2070.4759999999987</v>
      </c>
      <c r="EV21" s="40">
        <f t="shared" si="39"/>
        <v>2262.3560000000034</v>
      </c>
      <c r="EW21" s="40">
        <f t="shared" si="40"/>
        <v>2415.302000000007</v>
      </c>
      <c r="EX21" s="40">
        <f t="shared" si="41"/>
        <v>2722.9709999999941</v>
      </c>
      <c r="EY21" s="40">
        <f t="shared" si="42"/>
        <v>2700.9470000000074</v>
      </c>
      <c r="EZ21" s="40">
        <f t="shared" si="43"/>
        <v>2566.9149999999972</v>
      </c>
      <c r="FA21" s="176">
        <f>1678.8+2267.2+117.2+1.5</f>
        <v>4064.7</v>
      </c>
      <c r="FB21" s="32">
        <f>1978.4+2692.5+137.7+2.7</f>
        <v>4811.2999999999993</v>
      </c>
      <c r="FC21" s="32">
        <f>2113.4+2906.4+169.4+6.3</f>
        <v>5195.5</v>
      </c>
      <c r="FD21" s="32">
        <f>2226.306+2539.564+548.712+170.921+6.487</f>
        <v>5491.9900000000007</v>
      </c>
      <c r="FE21" s="32">
        <f>2344.691+2553.78+623.516+189.036+7.365</f>
        <v>5718.387999999999</v>
      </c>
      <c r="FF21" s="32">
        <f>2664.772+2451.966+706.146+192.139+7.016</f>
        <v>6022.0389999999989</v>
      </c>
      <c r="FG21" s="32">
        <f>3024.545+2668.806+589.019+213.138+10.874</f>
        <v>6506.3820000000005</v>
      </c>
      <c r="FH21" s="33">
        <f>3368.381+2930.723+754.761+216.302+10.626</f>
        <v>7280.7929999999997</v>
      </c>
      <c r="FI21" s="32">
        <f>4304.196+3237.748+877.428+211.931+9.544</f>
        <v>8640.8469999999998</v>
      </c>
      <c r="FJ21" s="231">
        <f t="shared" si="44"/>
        <v>10709.9375</v>
      </c>
      <c r="FK21" s="32">
        <v>12779.028</v>
      </c>
      <c r="FL21" s="32">
        <v>15145.846</v>
      </c>
      <c r="FM21" s="32">
        <v>15725.743</v>
      </c>
      <c r="FN21" s="32">
        <v>17239.794999999998</v>
      </c>
      <c r="FO21" s="33">
        <v>18364.259999999998</v>
      </c>
      <c r="FP21" s="33">
        <v>18493.839</v>
      </c>
      <c r="FQ21" s="33">
        <v>18345.11</v>
      </c>
      <c r="FR21" s="33">
        <v>19692.848000000002</v>
      </c>
      <c r="FS21" s="33">
        <v>20598.332999999999</v>
      </c>
      <c r="FT21" s="231">
        <f t="shared" si="45"/>
        <v>22960.985999999997</v>
      </c>
      <c r="FU21" s="33">
        <v>25323.638999999999</v>
      </c>
      <c r="FV21" s="231">
        <f t="shared" si="46"/>
        <v>27592.0255</v>
      </c>
      <c r="FW21" s="33">
        <v>29860.412</v>
      </c>
      <c r="FX21" s="33">
        <v>31584.668000000001</v>
      </c>
      <c r="FY21" s="33">
        <v>34283.565999999999</v>
      </c>
      <c r="FZ21" s="33">
        <v>34285.777000000002</v>
      </c>
      <c r="GA21" s="33">
        <v>37104.021000000001</v>
      </c>
      <c r="GB21" s="33">
        <v>42419.508000000002</v>
      </c>
      <c r="GC21" s="33">
        <v>45502.332000000002</v>
      </c>
      <c r="GD21" s="33">
        <v>48433.866000000002</v>
      </c>
      <c r="GE21" s="440">
        <v>49696.508000000002</v>
      </c>
      <c r="GF21" s="37">
        <f>2788.8+215.3+150.7+810.3+365+472.2+135.4+753.4+595.6+263.7+216.1</f>
        <v>6766.5</v>
      </c>
      <c r="GG21" s="32">
        <f>2488.5+318.1+108.4+928.9+434.5+489+143.5+879.1+714.9+288.5+232</f>
        <v>7025.4</v>
      </c>
      <c r="GH21" s="32">
        <f>2505.6+356.1+133.4+1061.3+458.9+587+160.9+969.2+723.1+304.5+251.3</f>
        <v>7511.2999999999993</v>
      </c>
      <c r="GI21" s="32">
        <f>2651.884+303.925+6.84+126.592+1191.945+499.406+672.485+174.064+493.164+546.651+311.034+906.861+324.083</f>
        <v>8208.9339999999993</v>
      </c>
      <c r="GJ21" s="32">
        <f>3830.104+356.647+9.338+178.788+0.041+1269.918+560.167+843.411+204.19+530.905+583.527+328.372+1047.935+343.995</f>
        <v>10087.338</v>
      </c>
      <c r="GK21" s="32">
        <f>4039.536+341.544+58.421+118.312+2.101+1378.732+614.557+832.558+204.079+555.499+712.581+422.557+1399.936+350.35</f>
        <v>11030.762999999999</v>
      </c>
      <c r="GL21" s="32">
        <f>4415.064+357.388+44.122+118.5+1436.918+621.417+999.996+213.42+594.312+640.687+442.89+1469.782+385.385</f>
        <v>11739.880999999999</v>
      </c>
      <c r="GM21" s="33">
        <f>4221.761+348.781+26.995+144.149+0.16+1518.119+653.411+1253.838+229.164+582.914+615.667+428.695+1324.096+389.833</f>
        <v>11737.583000000001</v>
      </c>
      <c r="GN21" s="32">
        <f>4234.63+411.442+16.087+135.602+0.655+1705.197+691.174+1410.975+238.119+575.598+681.187+451.046+1207.877+414.21</f>
        <v>12173.799000000001</v>
      </c>
      <c r="GO21" s="231">
        <f t="shared" si="47"/>
        <v>12719.015500000001</v>
      </c>
      <c r="GP21" s="32">
        <v>13264.232</v>
      </c>
      <c r="GQ21" s="32">
        <v>14465.602999999999</v>
      </c>
      <c r="GR21" s="32">
        <v>15516.981</v>
      </c>
      <c r="GS21" s="32">
        <v>16148.941000000001</v>
      </c>
      <c r="GT21" s="32">
        <v>17166.708999999999</v>
      </c>
      <c r="GU21" s="32">
        <v>17462.841</v>
      </c>
      <c r="GV21" s="32">
        <v>19241.823</v>
      </c>
      <c r="GW21" s="32">
        <v>20948.338</v>
      </c>
      <c r="GX21" s="32">
        <v>23460.026000000002</v>
      </c>
      <c r="GY21" s="231">
        <f t="shared" si="48"/>
        <v>25012.707999999999</v>
      </c>
      <c r="GZ21" s="33">
        <v>26565.39</v>
      </c>
      <c r="HA21" s="231">
        <f t="shared" si="49"/>
        <v>27690.203000000001</v>
      </c>
      <c r="HB21" s="33">
        <v>28815.016</v>
      </c>
      <c r="HC21" s="33">
        <v>31069.394</v>
      </c>
      <c r="HD21" s="33">
        <v>35127.470999999998</v>
      </c>
      <c r="HE21" s="33">
        <v>35103.597000000002</v>
      </c>
      <c r="HF21" s="33">
        <v>39347.186000000002</v>
      </c>
      <c r="HG21" s="33">
        <v>37811.362000000001</v>
      </c>
      <c r="HH21" s="33">
        <v>39792.514000000003</v>
      </c>
      <c r="HI21" s="33">
        <v>39880.542000000001</v>
      </c>
      <c r="HJ21" s="440">
        <v>39500.436999999998</v>
      </c>
      <c r="HK21" s="37">
        <f>459.6+453.4+156.2</f>
        <v>1069.2</v>
      </c>
      <c r="HL21" s="32">
        <f>527.8+584.2+163.9</f>
        <v>1275.9000000000001</v>
      </c>
      <c r="HM21" s="32">
        <f>600.3+645.8+249.7</f>
        <v>1495.8</v>
      </c>
      <c r="HN21" s="32">
        <f>661.434+405.519+232.777+282.34</f>
        <v>1582.07</v>
      </c>
      <c r="HO21" s="32">
        <f>724.656+455.977+262.487+292.516</f>
        <v>1735.636</v>
      </c>
      <c r="HP21" s="32">
        <f>720.261+496.753+301.194+319.762</f>
        <v>1837.9699999999998</v>
      </c>
      <c r="HQ21" s="32">
        <f>763.33+541.315+311.474+327.948</f>
        <v>1944.067</v>
      </c>
      <c r="HR21" s="33">
        <f>805.189+661.31+258.636+337.598</f>
        <v>2062.7329999999997</v>
      </c>
      <c r="HS21" s="32">
        <f>823.158+719.988+330.849+367.806</f>
        <v>2241.8009999999999</v>
      </c>
      <c r="HT21" s="231">
        <f t="shared" si="50"/>
        <v>2384.3905</v>
      </c>
      <c r="HU21" s="32">
        <v>2526.98</v>
      </c>
      <c r="HV21" s="32">
        <v>2865.4079999999999</v>
      </c>
      <c r="HW21" s="32">
        <v>3039.067</v>
      </c>
      <c r="HX21" s="32">
        <v>3318.192</v>
      </c>
      <c r="HY21" s="32">
        <v>3043.73</v>
      </c>
      <c r="HZ21" s="32">
        <v>3378.8380000000002</v>
      </c>
      <c r="IA21" s="32">
        <v>3665.2730000000001</v>
      </c>
      <c r="IB21" s="32">
        <v>3870.12</v>
      </c>
      <c r="IC21" s="32">
        <v>4058.1219999999998</v>
      </c>
      <c r="ID21" s="231">
        <f t="shared" si="51"/>
        <v>4283.7420000000002</v>
      </c>
      <c r="IE21" s="33">
        <v>4509.3620000000001</v>
      </c>
      <c r="IF21" s="231">
        <f t="shared" si="52"/>
        <v>4836.8230000000003</v>
      </c>
      <c r="IG21" s="33">
        <v>5164.2839999999997</v>
      </c>
      <c r="IH21" s="33">
        <v>5210.7950000000001</v>
      </c>
      <c r="II21" s="33">
        <v>5632.91</v>
      </c>
      <c r="IJ21" s="33">
        <v>5632.1620000000003</v>
      </c>
      <c r="IK21" s="33">
        <v>5805.7349999999997</v>
      </c>
      <c r="IL21" s="33">
        <v>6247.8540000000003</v>
      </c>
      <c r="IM21" s="33">
        <v>6629.5129999999999</v>
      </c>
      <c r="IN21" s="33">
        <v>6811.9669999999996</v>
      </c>
      <c r="IO21" s="440">
        <v>7196.6660000000002</v>
      </c>
      <c r="IP21" s="36">
        <f>(0+967+1099.4)</f>
        <v>2066.4</v>
      </c>
      <c r="IQ21" s="75">
        <f>0+1223.5+930.5</f>
        <v>2154</v>
      </c>
      <c r="IR21" s="75">
        <f>1676+1016.9</f>
        <v>2692.9</v>
      </c>
      <c r="IS21" s="75">
        <f>2191.444+1093.183</f>
        <v>3284.627</v>
      </c>
      <c r="IT21" s="75">
        <f>2433.349+5.56+1170.685</f>
        <v>3609.5940000000001</v>
      </c>
      <c r="IU21" s="75">
        <f>3087.615+4.922+1126.56</f>
        <v>4219.0969999999998</v>
      </c>
      <c r="IV21" s="75">
        <f>3394.835+3.899+1073.154</f>
        <v>4471.8879999999999</v>
      </c>
      <c r="IW21" s="217">
        <f>3481.822+5.041+1189.347</f>
        <v>4676.21</v>
      </c>
      <c r="IX21" s="75">
        <f>3460.558+5.409+1159.563</f>
        <v>4625.5300000000007</v>
      </c>
      <c r="IY21" s="231">
        <f t="shared" si="53"/>
        <v>4819.3860000000004</v>
      </c>
      <c r="IZ21" s="75">
        <v>5013.2420000000002</v>
      </c>
      <c r="JA21" s="32">
        <v>4978.9610000000002</v>
      </c>
      <c r="JB21" s="32">
        <v>4935.3890000000001</v>
      </c>
      <c r="JC21" s="32">
        <v>5271.84</v>
      </c>
      <c r="JD21" s="32">
        <v>5695.8360000000002</v>
      </c>
      <c r="JE21" s="32">
        <v>6475.3590000000004</v>
      </c>
      <c r="JF21" s="17">
        <v>6969.277</v>
      </c>
      <c r="JG21" s="17">
        <v>7280.1</v>
      </c>
      <c r="JH21" s="17">
        <v>8134.8639999999996</v>
      </c>
      <c r="JI21" s="231">
        <f t="shared" si="54"/>
        <v>8640.8244999999988</v>
      </c>
      <c r="JJ21" s="17">
        <v>9146.7849999999999</v>
      </c>
      <c r="JK21" s="231">
        <f t="shared" si="55"/>
        <v>9643.0879999999997</v>
      </c>
      <c r="JL21" s="17">
        <v>10139.391</v>
      </c>
      <c r="JM21" s="17">
        <v>10276.797</v>
      </c>
      <c r="JN21" s="17">
        <v>12937.621999999999</v>
      </c>
      <c r="JO21" s="33">
        <v>12796.451999999999</v>
      </c>
      <c r="JP21" s="33">
        <v>14288.64</v>
      </c>
      <c r="JQ21" s="33">
        <v>14745.601000000001</v>
      </c>
      <c r="JR21" s="33">
        <v>15963.532999999999</v>
      </c>
      <c r="JS21" s="17">
        <v>15969.215</v>
      </c>
      <c r="JT21" s="450">
        <v>16306.504000000001</v>
      </c>
    </row>
    <row r="22" spans="1:280" s="17" customFormat="1" ht="12.75" customHeight="1">
      <c r="A22" s="221" t="s">
        <v>38</v>
      </c>
      <c r="B22" s="32">
        <f>0+8874.1</f>
        <v>8874.1</v>
      </c>
      <c r="C22" s="75">
        <v>9490.1</v>
      </c>
      <c r="D22" s="75">
        <f>0+10177.5</f>
        <v>10177.5</v>
      </c>
      <c r="E22" s="75">
        <v>11369.441000000001</v>
      </c>
      <c r="F22" s="75">
        <f>12803.182+0</f>
        <v>12803.182000000001</v>
      </c>
      <c r="G22" s="75">
        <f>14166.857+0</f>
        <v>14166.857</v>
      </c>
      <c r="H22" s="75">
        <v>15864.321</v>
      </c>
      <c r="I22" s="217">
        <v>17776.471000000001</v>
      </c>
      <c r="J22" s="75">
        <v>19493.944</v>
      </c>
      <c r="K22" s="231">
        <f t="shared" si="7"/>
        <v>20303.7225</v>
      </c>
      <c r="L22" s="75">
        <v>21113.501</v>
      </c>
      <c r="M22" s="32">
        <v>21991.135999999999</v>
      </c>
      <c r="N22" s="32">
        <v>23495.538</v>
      </c>
      <c r="O22" s="32">
        <v>25106.830999999998</v>
      </c>
      <c r="P22" s="33">
        <v>26135.276000000002</v>
      </c>
      <c r="Q22" s="33">
        <v>28524.026999999998</v>
      </c>
      <c r="R22" s="33">
        <v>30075.385999999999</v>
      </c>
      <c r="S22" s="33">
        <v>32298.864000000001</v>
      </c>
      <c r="T22" s="33">
        <v>34727.514999999999</v>
      </c>
      <c r="U22" s="231">
        <f t="shared" si="8"/>
        <v>36998.296000000002</v>
      </c>
      <c r="V22" s="33">
        <v>39269.076999999997</v>
      </c>
      <c r="W22" s="231">
        <f t="shared" si="9"/>
        <v>41112.722999999998</v>
      </c>
      <c r="X22" s="33">
        <v>42956.368999999999</v>
      </c>
      <c r="Y22" s="33">
        <v>46605.565000000002</v>
      </c>
      <c r="Z22" s="33">
        <v>53163.788999999997</v>
      </c>
      <c r="AA22" s="33">
        <v>53132.650999999998</v>
      </c>
      <c r="AB22" s="33">
        <v>57091.303</v>
      </c>
      <c r="AC22" s="33">
        <v>57801.302000000003</v>
      </c>
      <c r="AD22" s="33">
        <v>60173.050999999999</v>
      </c>
      <c r="AE22" s="33">
        <v>60912.72</v>
      </c>
      <c r="AF22" s="440">
        <v>62782.845999999998</v>
      </c>
      <c r="AG22" s="215">
        <f>3443.2+49.8</f>
        <v>3493</v>
      </c>
      <c r="AH22" s="75">
        <f>3746.5+55.4</f>
        <v>3801.9</v>
      </c>
      <c r="AI22" s="75">
        <f>4131.4+67.6</f>
        <v>4199</v>
      </c>
      <c r="AJ22" s="75">
        <f>4553.836+77.544</f>
        <v>4631.38</v>
      </c>
      <c r="AK22" s="75">
        <f>5101.743+91.78</f>
        <v>5193.5230000000001</v>
      </c>
      <c r="AL22" s="75">
        <f>5536.005+103.108</f>
        <v>5639.1130000000003</v>
      </c>
      <c r="AM22" s="75">
        <f>6110.676+104.971</f>
        <v>6215.6470000000008</v>
      </c>
      <c r="AN22" s="217">
        <f>6782.783+122.243</f>
        <v>6905.0260000000007</v>
      </c>
      <c r="AO22" s="75">
        <f>7558.896+130.296</f>
        <v>7689.192</v>
      </c>
      <c r="AP22" s="231">
        <f t="shared" si="10"/>
        <v>7877.2515000000003</v>
      </c>
      <c r="AQ22" s="30">
        <v>8065.3109999999997</v>
      </c>
      <c r="AR22" s="32">
        <v>8443.8539999999994</v>
      </c>
      <c r="AS22" s="32">
        <v>8958.1280000000006</v>
      </c>
      <c r="AT22" s="32">
        <v>9470.4349999999995</v>
      </c>
      <c r="AU22" s="33">
        <v>10174.136</v>
      </c>
      <c r="AV22" s="33">
        <v>10582.992</v>
      </c>
      <c r="AW22" s="33">
        <v>11245.874</v>
      </c>
      <c r="AX22" s="33">
        <v>11986.49</v>
      </c>
      <c r="AY22" s="33">
        <v>13348.137000000001</v>
      </c>
      <c r="AZ22" s="231">
        <f t="shared" si="11"/>
        <v>14365.6885</v>
      </c>
      <c r="BA22" s="33">
        <v>15383.24</v>
      </c>
      <c r="BB22" s="231">
        <f t="shared" si="12"/>
        <v>15868.8905</v>
      </c>
      <c r="BC22" s="33">
        <v>16354.540999999999</v>
      </c>
      <c r="BD22" s="33">
        <v>17865.667000000001</v>
      </c>
      <c r="BE22" s="33">
        <v>21273.147000000001</v>
      </c>
      <c r="BF22" s="33">
        <v>21269.196</v>
      </c>
      <c r="BG22" s="33">
        <v>23041.190999999999</v>
      </c>
      <c r="BH22" s="33">
        <v>22725.222000000002</v>
      </c>
      <c r="BI22" s="33">
        <v>23628.646000000001</v>
      </c>
      <c r="BJ22" s="33">
        <v>22557.496999999999</v>
      </c>
      <c r="BK22" s="440">
        <v>23492.594000000001</v>
      </c>
      <c r="BL22" s="36">
        <v>2359.8000000000002</v>
      </c>
      <c r="BM22" s="75">
        <v>2576.1999999999998</v>
      </c>
      <c r="BN22" s="75">
        <v>2779.3</v>
      </c>
      <c r="BO22" s="75">
        <v>3049.6329999999998</v>
      </c>
      <c r="BP22" s="75">
        <v>3480.9009999999998</v>
      </c>
      <c r="BQ22" s="75">
        <v>3740.7249999999999</v>
      </c>
      <c r="BR22" s="75">
        <v>4207.6329999999998</v>
      </c>
      <c r="BS22" s="217">
        <v>4654.5810000000001</v>
      </c>
      <c r="BT22" s="75">
        <v>5186.6869999999999</v>
      </c>
      <c r="BU22" s="231">
        <f t="shared" si="13"/>
        <v>5317.42</v>
      </c>
      <c r="BV22" s="75">
        <v>5448.1530000000002</v>
      </c>
      <c r="BW22" s="32">
        <v>5713.107</v>
      </c>
      <c r="BX22" s="32">
        <v>6012.259</v>
      </c>
      <c r="BY22" s="32">
        <v>6321.9639999999999</v>
      </c>
      <c r="BZ22" s="32">
        <v>6684.1059999999998</v>
      </c>
      <c r="CA22" s="32">
        <v>7171.4319999999998</v>
      </c>
      <c r="CB22" s="32">
        <v>7623.2960000000003</v>
      </c>
      <c r="CC22" s="32">
        <v>8161.7939999999999</v>
      </c>
      <c r="CD22" s="32">
        <v>9113.6440000000002</v>
      </c>
      <c r="CE22" s="231">
        <f t="shared" si="14"/>
        <v>9757.3169999999991</v>
      </c>
      <c r="CF22" s="33">
        <v>10400.99</v>
      </c>
      <c r="CG22" s="231">
        <f t="shared" si="15"/>
        <v>10796.706</v>
      </c>
      <c r="CH22" s="33">
        <v>11192.422</v>
      </c>
      <c r="CI22" s="33">
        <v>12054.757</v>
      </c>
      <c r="CJ22" s="33">
        <v>14228.005999999999</v>
      </c>
      <c r="CK22" s="33">
        <v>14210.513999999999</v>
      </c>
      <c r="CL22" s="33">
        <v>15228.627</v>
      </c>
      <c r="CM22" s="33">
        <v>14602.483</v>
      </c>
      <c r="CN22" s="33">
        <v>15514.056</v>
      </c>
      <c r="CO22" s="33">
        <v>14277.83</v>
      </c>
      <c r="CP22" s="440">
        <v>14731.627</v>
      </c>
      <c r="CQ22" s="37">
        <v>938.1</v>
      </c>
      <c r="CR22" s="32">
        <v>1006.5</v>
      </c>
      <c r="CS22" s="32">
        <v>1174.4000000000001</v>
      </c>
      <c r="CT22" s="32">
        <v>1321.0139999999999</v>
      </c>
      <c r="CU22" s="32">
        <v>1436.009</v>
      </c>
      <c r="CV22" s="32">
        <v>1602.1759999999999</v>
      </c>
      <c r="CW22" s="32">
        <v>1688.9960000000001</v>
      </c>
      <c r="CX22" s="33">
        <v>1849.0319999999999</v>
      </c>
      <c r="CY22" s="32">
        <v>2064.2829999999999</v>
      </c>
      <c r="CZ22" s="231">
        <f t="shared" si="16"/>
        <v>2075.1949999999997</v>
      </c>
      <c r="DA22" s="32">
        <f>2086107/1000</f>
        <v>2086.107</v>
      </c>
      <c r="DB22" s="32">
        <v>2192.1840000000002</v>
      </c>
      <c r="DC22" s="32">
        <v>2369.14</v>
      </c>
      <c r="DD22" s="32">
        <v>2523.6770000000001</v>
      </c>
      <c r="DE22" s="42">
        <v>2614.7139999999999</v>
      </c>
      <c r="DF22" s="42">
        <v>2841.7849999999999</v>
      </c>
      <c r="DG22" s="42">
        <v>3002.4549999999999</v>
      </c>
      <c r="DH22" s="42">
        <v>3139.9630000000002</v>
      </c>
      <c r="DI22" s="42">
        <v>3502.0529999999999</v>
      </c>
      <c r="DJ22" s="231">
        <f t="shared" si="17"/>
        <v>3828.0940000000001</v>
      </c>
      <c r="DK22" s="33">
        <v>4154.1350000000002</v>
      </c>
      <c r="DL22" s="231">
        <f t="shared" si="18"/>
        <v>4232.3530000000001</v>
      </c>
      <c r="DM22" s="33">
        <v>4310.5709999999999</v>
      </c>
      <c r="DN22" s="33">
        <v>4876.8410000000003</v>
      </c>
      <c r="DO22" s="33">
        <v>5966.5150000000003</v>
      </c>
      <c r="DP22" s="33">
        <v>5966.5150000000003</v>
      </c>
      <c r="DQ22" s="33">
        <v>6640.7449999999999</v>
      </c>
      <c r="DR22" s="33">
        <v>6906.4369999999999</v>
      </c>
      <c r="DS22" s="33">
        <v>6780.6319999999996</v>
      </c>
      <c r="DT22" s="33">
        <v>7067.3440000000001</v>
      </c>
      <c r="DU22" s="440">
        <v>7509.5039999999999</v>
      </c>
      <c r="DV22" s="38">
        <f t="shared" si="62"/>
        <v>195.0999999999998</v>
      </c>
      <c r="DW22" s="40">
        <f t="shared" si="56"/>
        <v>219.20000000000027</v>
      </c>
      <c r="DX22" s="40">
        <f t="shared" si="57"/>
        <v>245.29999999999973</v>
      </c>
      <c r="DY22" s="40">
        <f t="shared" si="58"/>
        <v>260.7330000000004</v>
      </c>
      <c r="DZ22" s="40">
        <f t="shared" si="59"/>
        <v>276.61300000000028</v>
      </c>
      <c r="EA22" s="40">
        <f t="shared" si="60"/>
        <v>296.21200000000044</v>
      </c>
      <c r="EB22" s="40">
        <f t="shared" si="61"/>
        <v>319.01800000000094</v>
      </c>
      <c r="EC22" s="40">
        <f t="shared" si="20"/>
        <v>401.41300000000069</v>
      </c>
      <c r="ED22" s="40">
        <f t="shared" si="21"/>
        <v>438.22200000000021</v>
      </c>
      <c r="EE22" s="40">
        <f t="shared" si="22"/>
        <v>484.63650000000052</v>
      </c>
      <c r="EF22" s="40">
        <f t="shared" si="23"/>
        <v>531.05099999999948</v>
      </c>
      <c r="EG22" s="40">
        <f t="shared" si="24"/>
        <v>538.56299999999919</v>
      </c>
      <c r="EH22" s="40">
        <f t="shared" si="25"/>
        <v>576.72900000000072</v>
      </c>
      <c r="EI22" s="40">
        <f t="shared" si="26"/>
        <v>624.79399999999941</v>
      </c>
      <c r="EJ22" s="40">
        <f t="shared" si="27"/>
        <v>875.31600000000071</v>
      </c>
      <c r="EK22" s="40">
        <f t="shared" si="28"/>
        <v>569.77500000000055</v>
      </c>
      <c r="EL22" s="40">
        <f t="shared" si="29"/>
        <v>620.12299999999959</v>
      </c>
      <c r="EM22" s="40">
        <f t="shared" si="30"/>
        <v>684.73299999999972</v>
      </c>
      <c r="EN22" s="40">
        <f t="shared" si="31"/>
        <v>732.44000000000051</v>
      </c>
      <c r="EO22" s="40">
        <f t="shared" si="32"/>
        <v>780.27750000000106</v>
      </c>
      <c r="EP22" s="40">
        <f t="shared" si="33"/>
        <v>828.11499999999978</v>
      </c>
      <c r="EQ22" s="40">
        <f t="shared" si="34"/>
        <v>839.83149999999932</v>
      </c>
      <c r="ER22" s="40">
        <f t="shared" si="35"/>
        <v>851.54799999999886</v>
      </c>
      <c r="ES22" s="40">
        <f t="shared" si="36"/>
        <v>934.06900000000132</v>
      </c>
      <c r="ET22" s="40">
        <f t="shared" si="37"/>
        <v>1078.6260000000011</v>
      </c>
      <c r="EU22" s="40">
        <f t="shared" si="38"/>
        <v>1092.1670000000004</v>
      </c>
      <c r="EV22" s="40">
        <f t="shared" si="39"/>
        <v>1171.8189999999986</v>
      </c>
      <c r="EW22" s="40">
        <f t="shared" si="40"/>
        <v>1216.3020000000015</v>
      </c>
      <c r="EX22" s="40">
        <f t="shared" si="41"/>
        <v>1333.9580000000005</v>
      </c>
      <c r="EY22" s="40">
        <f t="shared" si="42"/>
        <v>1212.3229999999994</v>
      </c>
      <c r="EZ22" s="40">
        <f t="shared" si="43"/>
        <v>1251.4630000000006</v>
      </c>
      <c r="FA22" s="176">
        <f>951.3+806.7+40.3+1.5</f>
        <v>1799.8</v>
      </c>
      <c r="FB22" s="32">
        <f>936.2+867.1+27.2+1.5</f>
        <v>1832.0000000000002</v>
      </c>
      <c r="FC22" s="32">
        <f>988.4+899.2+34.4+1.5</f>
        <v>1923.5</v>
      </c>
      <c r="FD22" s="32">
        <f>1035.143+620.614+331.085+38.855+1.619</f>
        <v>2027.316</v>
      </c>
      <c r="FE22" s="32">
        <f>1009.521+722.69+422.425+56.478+1.722</f>
        <v>2212.8360000000002</v>
      </c>
      <c r="FF22" s="32">
        <f>1110.94+855.623+447.582+57.025+1.863</f>
        <v>2473.0329999999999</v>
      </c>
      <c r="FG22" s="32">
        <f>1214.689+974.442+489.228+59.032+2.11</f>
        <v>2739.5010000000007</v>
      </c>
      <c r="FH22" s="33">
        <f>1338.987+1037.563+556.382+64.069+2.421</f>
        <v>2999.422</v>
      </c>
      <c r="FI22" s="32">
        <f>1589.876+1095.088+653.81+64.614+2.577</f>
        <v>3405.9650000000001</v>
      </c>
      <c r="FJ22" s="231">
        <f t="shared" si="44"/>
        <v>3839.0695000000001</v>
      </c>
      <c r="FK22" s="32">
        <v>4272.174</v>
      </c>
      <c r="FL22" s="32">
        <v>4701.7290000000003</v>
      </c>
      <c r="FM22" s="32">
        <v>4962.701</v>
      </c>
      <c r="FN22" s="32">
        <v>5209.0010000000002</v>
      </c>
      <c r="FO22" s="33">
        <v>5279.9049999999997</v>
      </c>
      <c r="FP22" s="33">
        <v>5820.7020000000002</v>
      </c>
      <c r="FQ22" s="33">
        <v>6171.2960000000003</v>
      </c>
      <c r="FR22" s="33">
        <v>6578.5010000000002</v>
      </c>
      <c r="FS22" s="33">
        <v>7225.21</v>
      </c>
      <c r="FT22" s="231">
        <f t="shared" si="45"/>
        <v>7616.2015000000001</v>
      </c>
      <c r="FU22" s="33">
        <v>8007.1930000000002</v>
      </c>
      <c r="FV22" s="231">
        <f t="shared" si="46"/>
        <v>8948.3564999999999</v>
      </c>
      <c r="FW22" s="33">
        <v>9889.52</v>
      </c>
      <c r="FX22" s="33">
        <v>10995.637000000001</v>
      </c>
      <c r="FY22" s="33">
        <v>12164.486000000001</v>
      </c>
      <c r="FZ22" s="33">
        <v>12144.165999999999</v>
      </c>
      <c r="GA22" s="33">
        <v>12651.415000000001</v>
      </c>
      <c r="GB22" s="33">
        <v>13437.766</v>
      </c>
      <c r="GC22" s="33">
        <v>14709.995999999999</v>
      </c>
      <c r="GD22" s="33">
        <v>15419.449000000001</v>
      </c>
      <c r="GE22" s="440">
        <v>15551.415999999999</v>
      </c>
      <c r="GF22" s="37">
        <f>788.6+24.2+27.1+318.3+159+263.4+78.4+207.1+294.7+109.2+96.4</f>
        <v>2366.3999999999996</v>
      </c>
      <c r="GG22" s="32">
        <f>883+23+30.6+341.5+174.5+292.8+86.7+205.4+237.7+128.3+101.3</f>
        <v>2504.8000000000002</v>
      </c>
      <c r="GH22" s="32">
        <f>930.2+26.6+28.7+366.9+188.1+329.9+94.4+217.4+230.8+140.7+111.6</f>
        <v>2665.3</v>
      </c>
      <c r="GI22" s="32">
        <f>1152.505+34.068+12.898+21.469+0.729+409.124+209.148+346.448+97.695+84.204+192.488+186.133+289.711+174.679</f>
        <v>3211.299</v>
      </c>
      <c r="GJ22" s="32">
        <f>1353.908+36.542+10.868+35.997+0.953+453.287+235.319+364.402+97.927+138.131+201.527+256.266+318.834+222.686</f>
        <v>3726.6469999999999</v>
      </c>
      <c r="GK22" s="32">
        <f>1494.448+33.856+10.959+43.362+2.239+505.364+258.057+402.842+114.726+154.411+223.743+317.558+393.477+209.606</f>
        <v>4164.6480000000001</v>
      </c>
      <c r="GL22" s="32">
        <f>1735.901+56.145+12.631+34.941+1.22+552.968+286.348+449.196+127.416+153.216+269.437+349.99+476.244+218.799</f>
        <v>4724.4519999999993</v>
      </c>
      <c r="GM22" s="33">
        <f>1924.229+147.859+9.118+134.044+1.982+609.11+323.708+497.442+142.544+178.356+309.6+353.549+551.354+219.408</f>
        <v>5402.3030000000008</v>
      </c>
      <c r="GN22" s="32">
        <f>1983.047+212.487+9.211+46.736+2.36+721.552+349.352+593.138+153.157+209.729+334.869+310.542+496.617+256.782</f>
        <v>5679.5790000000006</v>
      </c>
      <c r="GO22" s="231">
        <f t="shared" si="47"/>
        <v>5733.2655000000004</v>
      </c>
      <c r="GP22" s="32">
        <v>5786.9520000000002</v>
      </c>
      <c r="GQ22" s="32">
        <v>5755.0730000000003</v>
      </c>
      <c r="GR22" s="32">
        <v>6363.951</v>
      </c>
      <c r="GS22" s="32">
        <v>6999.4570000000003</v>
      </c>
      <c r="GT22" s="32">
        <v>7325.02</v>
      </c>
      <c r="GU22" s="32">
        <v>8133.402</v>
      </c>
      <c r="GV22" s="32">
        <v>8485.8119999999999</v>
      </c>
      <c r="GW22" s="32">
        <v>8895.6820000000007</v>
      </c>
      <c r="GX22" s="32">
        <v>9129.5679999999993</v>
      </c>
      <c r="GY22" s="231">
        <f t="shared" si="48"/>
        <v>9819.6280000000006</v>
      </c>
      <c r="GZ22" s="33">
        <v>10509.688</v>
      </c>
      <c r="HA22" s="231">
        <f t="shared" si="49"/>
        <v>10778.241</v>
      </c>
      <c r="HB22" s="33">
        <v>11046.794</v>
      </c>
      <c r="HC22" s="33">
        <v>11934.584000000001</v>
      </c>
      <c r="HD22" s="33">
        <v>13419.281000000001</v>
      </c>
      <c r="HE22" s="33">
        <v>13418.324000000001</v>
      </c>
      <c r="HF22" s="33">
        <v>14692.959000000001</v>
      </c>
      <c r="HG22" s="33">
        <v>14695.421</v>
      </c>
      <c r="HH22" s="33">
        <v>14428.432000000001</v>
      </c>
      <c r="HI22" s="33">
        <v>15212.125</v>
      </c>
      <c r="HJ22" s="440">
        <v>16069.439</v>
      </c>
      <c r="HK22" s="37">
        <f>201.1+230.2+113.4</f>
        <v>544.69999999999993</v>
      </c>
      <c r="HL22" s="32">
        <f>208.3+265.6+141</f>
        <v>614.90000000000009</v>
      </c>
      <c r="HM22" s="32">
        <f>231+254.4+120.3</f>
        <v>605.69999999999993</v>
      </c>
      <c r="HN22" s="32">
        <f>258.368+145.127+130.321+127.758</f>
        <v>661.57400000000007</v>
      </c>
      <c r="HO22" s="32">
        <f>286.8+164.246+141.118+162.119</f>
        <v>754.28300000000002</v>
      </c>
      <c r="HP22" s="32">
        <f>334.243+206.063+156.79+170.707</f>
        <v>867.803</v>
      </c>
      <c r="HQ22" s="32">
        <f>376.858+224.499+216.822+174.949</f>
        <v>993.12799999999993</v>
      </c>
      <c r="HR22" s="33">
        <f>435.613+269.735+201.378+202.343</f>
        <v>1109.069</v>
      </c>
      <c r="HS22" s="32">
        <f>461.191+284.546+250.389+200.112</f>
        <v>1196.2380000000001</v>
      </c>
      <c r="HT22" s="231">
        <f t="shared" si="50"/>
        <v>1234.5015000000001</v>
      </c>
      <c r="HU22" s="32">
        <v>1272.7650000000001</v>
      </c>
      <c r="HV22" s="32">
        <v>1329.5630000000001</v>
      </c>
      <c r="HW22" s="32">
        <v>1353.5340000000001</v>
      </c>
      <c r="HX22" s="32">
        <v>1486.0650000000001</v>
      </c>
      <c r="HY22" s="32">
        <v>1430.076</v>
      </c>
      <c r="HZ22" s="32">
        <v>1637.922</v>
      </c>
      <c r="IA22" s="32">
        <v>1762.788</v>
      </c>
      <c r="IB22" s="32">
        <v>1941.712</v>
      </c>
      <c r="IC22" s="32">
        <v>2033.1510000000001</v>
      </c>
      <c r="ID22" s="231">
        <f t="shared" si="51"/>
        <v>2142.2359999999999</v>
      </c>
      <c r="IE22" s="33">
        <v>2251.3209999999999</v>
      </c>
      <c r="IF22" s="231">
        <f t="shared" si="52"/>
        <v>2302.9445000000001</v>
      </c>
      <c r="IG22" s="33">
        <v>2354.5680000000002</v>
      </c>
      <c r="IH22" s="33">
        <v>2531.7199999999998</v>
      </c>
      <c r="II22" s="33">
        <v>2867.0709999999999</v>
      </c>
      <c r="IJ22" s="33">
        <v>2867.1280000000002</v>
      </c>
      <c r="IK22" s="33">
        <v>3048.9679999999998</v>
      </c>
      <c r="IL22" s="33">
        <v>3174.0410000000002</v>
      </c>
      <c r="IM22" s="33">
        <v>3125.884</v>
      </c>
      <c r="IN22" s="33">
        <v>3122.473</v>
      </c>
      <c r="IO22" s="440">
        <v>3123.3670000000002</v>
      </c>
      <c r="IP22" s="36">
        <f>(0+352.3+318.1)</f>
        <v>670.40000000000009</v>
      </c>
      <c r="IQ22" s="75">
        <f>0+420.4+316.3</f>
        <v>736.7</v>
      </c>
      <c r="IR22" s="75">
        <f>459.3+324.9</f>
        <v>784.2</v>
      </c>
      <c r="IS22" s="75">
        <f>537.534+300.34</f>
        <v>837.87400000000002</v>
      </c>
      <c r="IT22" s="75">
        <f>639.365+0+276.529</f>
        <v>915.89400000000001</v>
      </c>
      <c r="IU22" s="75">
        <f>685.21+0+337.05</f>
        <v>1022.26</v>
      </c>
      <c r="IV22" s="75">
        <f>745.728+445.865</f>
        <v>1191.5929999999998</v>
      </c>
      <c r="IW22" s="217">
        <f>871.325+489.326</f>
        <v>1360.6510000000001</v>
      </c>
      <c r="IX22" s="75">
        <f>988.81+534.16</f>
        <v>1522.9699999999998</v>
      </c>
      <c r="IY22" s="231">
        <f t="shared" si="53"/>
        <v>1619.6344999999999</v>
      </c>
      <c r="IZ22" s="75">
        <v>1716.299</v>
      </c>
      <c r="JA22" s="32">
        <v>1760.9169999999999</v>
      </c>
      <c r="JB22" s="32">
        <v>1857.2239999999999</v>
      </c>
      <c r="JC22" s="32">
        <v>1941.873</v>
      </c>
      <c r="JD22" s="32">
        <v>1926.1389999999999</v>
      </c>
      <c r="JE22" s="32">
        <v>2349.009</v>
      </c>
      <c r="JF22" s="17">
        <v>2409.616</v>
      </c>
      <c r="JG22" s="17">
        <v>2896.4789999999998</v>
      </c>
      <c r="JH22" s="17">
        <v>2991.4490000000001</v>
      </c>
      <c r="JI22" s="231">
        <f t="shared" si="54"/>
        <v>3054.5420000000004</v>
      </c>
      <c r="JJ22" s="17">
        <v>3117.6350000000002</v>
      </c>
      <c r="JK22" s="231">
        <f t="shared" si="55"/>
        <v>3214.2905000000001</v>
      </c>
      <c r="JL22" s="17">
        <v>3310.9459999999999</v>
      </c>
      <c r="JM22" s="17">
        <v>3277.9569999999999</v>
      </c>
      <c r="JN22" s="17">
        <v>3439.8040000000001</v>
      </c>
      <c r="JO22" s="33">
        <v>3433.837</v>
      </c>
      <c r="JP22" s="33">
        <v>3656.77</v>
      </c>
      <c r="JQ22" s="33">
        <v>3768.85</v>
      </c>
      <c r="JR22" s="33">
        <v>4280.0929999999998</v>
      </c>
      <c r="JS22" s="17">
        <v>4601.1760000000004</v>
      </c>
      <c r="JT22" s="450">
        <v>4546.03</v>
      </c>
    </row>
    <row r="23" spans="1:280" s="17" customFormat="1" ht="12.75" customHeight="1">
      <c r="A23" s="244" t="s">
        <v>39</v>
      </c>
      <c r="B23" s="49">
        <f>0+3217.8</f>
        <v>3217.8</v>
      </c>
      <c r="C23" s="92">
        <v>3389.9</v>
      </c>
      <c r="D23" s="92">
        <f>0+3543.1</f>
        <v>3543.1</v>
      </c>
      <c r="E23" s="92">
        <v>3839.857</v>
      </c>
      <c r="F23" s="92">
        <f>4140.819+0</f>
        <v>4140.8190000000004</v>
      </c>
      <c r="G23" s="92">
        <f>4313.296+0</f>
        <v>4313.2960000000003</v>
      </c>
      <c r="H23" s="92">
        <v>4281.0079999999998</v>
      </c>
      <c r="I23" s="93">
        <v>4333.1229999999996</v>
      </c>
      <c r="J23" s="92">
        <v>4644.4179999999997</v>
      </c>
      <c r="K23" s="158">
        <f t="shared" si="7"/>
        <v>5233.1275000000005</v>
      </c>
      <c r="L23" s="92">
        <v>5821.8370000000004</v>
      </c>
      <c r="M23" s="49">
        <v>6348.62</v>
      </c>
      <c r="N23" s="49">
        <v>6856.8429999999998</v>
      </c>
      <c r="O23" s="49">
        <v>7140.8630000000003</v>
      </c>
      <c r="P23" s="225">
        <v>7342.08</v>
      </c>
      <c r="Q23" s="225">
        <v>7743.5919999999996</v>
      </c>
      <c r="R23" s="225">
        <v>7999.3019999999997</v>
      </c>
      <c r="S23" s="225">
        <v>8226.8629999999994</v>
      </c>
      <c r="T23" s="225">
        <v>8711.3739999999998</v>
      </c>
      <c r="U23" s="158">
        <f t="shared" si="8"/>
        <v>9279.744999999999</v>
      </c>
      <c r="V23" s="225">
        <v>9848.116</v>
      </c>
      <c r="W23" s="158">
        <f t="shared" si="9"/>
        <v>10230.823</v>
      </c>
      <c r="X23" s="225">
        <v>10613.53</v>
      </c>
      <c r="Y23" s="225">
        <v>11119.843999999999</v>
      </c>
      <c r="Z23" s="225">
        <v>11852.681</v>
      </c>
      <c r="AA23" s="225">
        <v>11805.825999999999</v>
      </c>
      <c r="AB23" s="225">
        <v>12420.245999999999</v>
      </c>
      <c r="AC23" s="225">
        <v>13069.2</v>
      </c>
      <c r="AD23" s="225">
        <v>13718.475</v>
      </c>
      <c r="AE23" s="225">
        <v>14466.087</v>
      </c>
      <c r="AF23" s="439">
        <v>14567.052</v>
      </c>
      <c r="AG23" s="245">
        <f>1189.4+10.9</f>
        <v>1200.3000000000002</v>
      </c>
      <c r="AH23" s="92">
        <f>1279.4+13.5</f>
        <v>1292.9000000000001</v>
      </c>
      <c r="AI23" s="92">
        <f>1362.4+12.7</f>
        <v>1375.1000000000001</v>
      </c>
      <c r="AJ23" s="92">
        <f>1554.119+13.607</f>
        <v>1567.7259999999999</v>
      </c>
      <c r="AK23" s="92">
        <f>1596.856+13.58</f>
        <v>1610.4359999999999</v>
      </c>
      <c r="AL23" s="92">
        <f>1611.183+13.193</f>
        <v>1624.376</v>
      </c>
      <c r="AM23" s="92">
        <f>1627.241+12.932</f>
        <v>1640.173</v>
      </c>
      <c r="AN23" s="93">
        <f>1696.61+12.537</f>
        <v>1709.1469999999999</v>
      </c>
      <c r="AO23" s="92">
        <f>1756.774+13.022</f>
        <v>1769.7959999999998</v>
      </c>
      <c r="AP23" s="158">
        <f t="shared" si="10"/>
        <v>2010.867</v>
      </c>
      <c r="AQ23" s="81">
        <v>2251.9380000000001</v>
      </c>
      <c r="AR23" s="49">
        <v>2423.8249999999998</v>
      </c>
      <c r="AS23" s="49">
        <v>2457.2190000000001</v>
      </c>
      <c r="AT23" s="49">
        <v>2616.9369999999999</v>
      </c>
      <c r="AU23" s="225">
        <v>2668.4679999999998</v>
      </c>
      <c r="AV23" s="225">
        <v>2793.7089999999998</v>
      </c>
      <c r="AW23" s="225">
        <v>2882.1179999999999</v>
      </c>
      <c r="AX23" s="225">
        <v>3043.3130000000001</v>
      </c>
      <c r="AY23" s="225">
        <v>3195.2260000000001</v>
      </c>
      <c r="AZ23" s="158">
        <f t="shared" si="11"/>
        <v>3371.549</v>
      </c>
      <c r="BA23" s="225">
        <v>3547.8719999999998</v>
      </c>
      <c r="BB23" s="158">
        <f t="shared" si="12"/>
        <v>3660.8774999999996</v>
      </c>
      <c r="BC23" s="225">
        <v>3773.8829999999998</v>
      </c>
      <c r="BD23" s="225">
        <v>3998.3530000000001</v>
      </c>
      <c r="BE23" s="225">
        <v>4577.6719999999996</v>
      </c>
      <c r="BF23" s="225">
        <v>4577.6670000000004</v>
      </c>
      <c r="BG23" s="225">
        <v>4720.7849999999999</v>
      </c>
      <c r="BH23" s="225">
        <v>4929.8599999999997</v>
      </c>
      <c r="BI23" s="225">
        <v>5304.9629999999997</v>
      </c>
      <c r="BJ23" s="225">
        <v>5639.7160000000003</v>
      </c>
      <c r="BK23" s="439">
        <v>5549.6170000000002</v>
      </c>
      <c r="BL23" s="227">
        <v>890.5</v>
      </c>
      <c r="BM23" s="92">
        <v>925.8</v>
      </c>
      <c r="BN23" s="92">
        <v>964.3</v>
      </c>
      <c r="BO23" s="92">
        <v>1127.2829999999999</v>
      </c>
      <c r="BP23" s="92">
        <v>1143.625</v>
      </c>
      <c r="BQ23" s="92">
        <v>1173.2850000000001</v>
      </c>
      <c r="BR23" s="92">
        <v>1185.7560000000001</v>
      </c>
      <c r="BS23" s="93">
        <v>1182.0150000000001</v>
      </c>
      <c r="BT23" s="92">
        <v>1203.0719999999999</v>
      </c>
      <c r="BU23" s="158">
        <f t="shared" si="13"/>
        <v>1385.9514999999999</v>
      </c>
      <c r="BV23" s="92">
        <v>1568.8309999999999</v>
      </c>
      <c r="BW23" s="49">
        <v>1698.491</v>
      </c>
      <c r="BX23" s="49">
        <v>1696.5360000000001</v>
      </c>
      <c r="BY23" s="49">
        <v>1779.346</v>
      </c>
      <c r="BZ23" s="49">
        <v>1812.6859999999999</v>
      </c>
      <c r="CA23" s="49">
        <v>1917.89</v>
      </c>
      <c r="CB23" s="49">
        <v>1980.6389999999999</v>
      </c>
      <c r="CC23" s="49">
        <v>2074.0129999999999</v>
      </c>
      <c r="CD23" s="49">
        <v>2147.8910000000001</v>
      </c>
      <c r="CE23" s="158">
        <f t="shared" si="14"/>
        <v>2213.5915</v>
      </c>
      <c r="CF23" s="225">
        <v>2279.2919999999999</v>
      </c>
      <c r="CG23" s="158">
        <f t="shared" si="15"/>
        <v>2343.8225000000002</v>
      </c>
      <c r="CH23" s="225">
        <v>2408.3530000000001</v>
      </c>
      <c r="CI23" s="225">
        <v>2443.4810000000002</v>
      </c>
      <c r="CJ23" s="225">
        <v>2729.078</v>
      </c>
      <c r="CK23" s="225">
        <v>2729.078</v>
      </c>
      <c r="CL23" s="225">
        <v>2813.7689999999998</v>
      </c>
      <c r="CM23" s="225">
        <v>2899.3980000000001</v>
      </c>
      <c r="CN23" s="225">
        <v>3212.645</v>
      </c>
      <c r="CO23" s="225">
        <v>3314.8980000000001</v>
      </c>
      <c r="CP23" s="439">
        <v>3198.3040000000001</v>
      </c>
      <c r="CQ23" s="91">
        <v>239.2</v>
      </c>
      <c r="CR23" s="49">
        <v>294.10000000000002</v>
      </c>
      <c r="CS23" s="49">
        <v>323.89999999999998</v>
      </c>
      <c r="CT23" s="49">
        <v>342.78899999999999</v>
      </c>
      <c r="CU23" s="49">
        <v>369.863</v>
      </c>
      <c r="CV23" s="49">
        <v>357.01100000000002</v>
      </c>
      <c r="CW23" s="49">
        <v>355.57100000000003</v>
      </c>
      <c r="CX23" s="225">
        <v>421.91199999999998</v>
      </c>
      <c r="CY23" s="49">
        <v>467.06200000000001</v>
      </c>
      <c r="CZ23" s="158">
        <f t="shared" si="16"/>
        <v>509.16700000000003</v>
      </c>
      <c r="DA23" s="49">
        <f>551272/1000</f>
        <v>551.27200000000005</v>
      </c>
      <c r="DB23" s="49">
        <v>572.26700000000005</v>
      </c>
      <c r="DC23" s="49">
        <v>602.10500000000002</v>
      </c>
      <c r="DD23" s="49">
        <v>620.24300000000005</v>
      </c>
      <c r="DE23" s="229">
        <v>674.92100000000005</v>
      </c>
      <c r="DF23" s="229">
        <v>690.29899999999998</v>
      </c>
      <c r="DG23" s="229">
        <v>716.08799999999997</v>
      </c>
      <c r="DH23" s="229">
        <v>769.42</v>
      </c>
      <c r="DI23" s="229">
        <v>836.971</v>
      </c>
      <c r="DJ23" s="158">
        <f t="shared" si="17"/>
        <v>918.56600000000003</v>
      </c>
      <c r="DK23" s="225">
        <v>1000.1609999999999</v>
      </c>
      <c r="DL23" s="158">
        <f t="shared" si="18"/>
        <v>1014.4769999999999</v>
      </c>
      <c r="DM23" s="225">
        <v>1028.7929999999999</v>
      </c>
      <c r="DN23" s="225">
        <v>1098.4749999999999</v>
      </c>
      <c r="DO23" s="225">
        <v>1372.903</v>
      </c>
      <c r="DP23" s="225">
        <v>1372.903</v>
      </c>
      <c r="DQ23" s="225">
        <v>1398.144</v>
      </c>
      <c r="DR23" s="225">
        <v>1456.403</v>
      </c>
      <c r="DS23" s="225">
        <v>1513.9459999999999</v>
      </c>
      <c r="DT23" s="225">
        <v>1586.126</v>
      </c>
      <c r="DU23" s="439">
        <v>1684.769</v>
      </c>
      <c r="DV23" s="94">
        <f t="shared" si="62"/>
        <v>70.600000000000193</v>
      </c>
      <c r="DW23" s="68">
        <f t="shared" si="56"/>
        <v>73.000000000000114</v>
      </c>
      <c r="DX23" s="68">
        <f t="shared" si="57"/>
        <v>86.900000000000205</v>
      </c>
      <c r="DY23" s="68">
        <f t="shared" si="58"/>
        <v>97.653999999999996</v>
      </c>
      <c r="DZ23" s="68">
        <f t="shared" si="59"/>
        <v>96.947999999999922</v>
      </c>
      <c r="EA23" s="68">
        <f t="shared" si="60"/>
        <v>94.07999999999987</v>
      </c>
      <c r="EB23" s="68">
        <f t="shared" si="61"/>
        <v>98.84599999999989</v>
      </c>
      <c r="EC23" s="68">
        <f t="shared" si="20"/>
        <v>105.21999999999986</v>
      </c>
      <c r="ED23" s="68">
        <f t="shared" si="21"/>
        <v>99.661999999999921</v>
      </c>
      <c r="EE23" s="68">
        <f t="shared" si="22"/>
        <v>115.74850000000004</v>
      </c>
      <c r="EF23" s="68">
        <f t="shared" si="23"/>
        <v>131.83500000000015</v>
      </c>
      <c r="EG23" s="68">
        <f t="shared" si="24"/>
        <v>153.06699999999978</v>
      </c>
      <c r="EH23" s="68">
        <f t="shared" si="25"/>
        <v>158.57799999999997</v>
      </c>
      <c r="EI23" s="68">
        <f t="shared" si="26"/>
        <v>217.34799999999984</v>
      </c>
      <c r="EJ23" s="68">
        <f t="shared" si="27"/>
        <v>180.86099999999988</v>
      </c>
      <c r="EK23" s="68">
        <f t="shared" si="28"/>
        <v>185.51999999999975</v>
      </c>
      <c r="EL23" s="68">
        <f t="shared" si="29"/>
        <v>185.39100000000008</v>
      </c>
      <c r="EM23" s="68">
        <f t="shared" si="30"/>
        <v>199.88000000000022</v>
      </c>
      <c r="EN23" s="68">
        <f t="shared" si="31"/>
        <v>210.36400000000003</v>
      </c>
      <c r="EO23" s="68">
        <f t="shared" si="32"/>
        <v>239.39149999999995</v>
      </c>
      <c r="EP23" s="68">
        <f t="shared" si="33"/>
        <v>268.41899999999998</v>
      </c>
      <c r="EQ23" s="68">
        <f t="shared" si="34"/>
        <v>302.57799999999952</v>
      </c>
      <c r="ER23" s="68">
        <f t="shared" si="35"/>
        <v>336.73699999999985</v>
      </c>
      <c r="ES23" s="68">
        <f t="shared" si="36"/>
        <v>456.39699999999993</v>
      </c>
      <c r="ET23" s="68">
        <f t="shared" si="37"/>
        <v>475.69099999999958</v>
      </c>
      <c r="EU23" s="68">
        <f t="shared" si="38"/>
        <v>475.68600000000038</v>
      </c>
      <c r="EV23" s="68">
        <f t="shared" si="39"/>
        <v>508.87200000000007</v>
      </c>
      <c r="EW23" s="68">
        <f t="shared" si="40"/>
        <v>574.05899999999951</v>
      </c>
      <c r="EX23" s="68">
        <f t="shared" si="41"/>
        <v>578.37199999999984</v>
      </c>
      <c r="EY23" s="68">
        <f t="shared" si="42"/>
        <v>738.69200000000023</v>
      </c>
      <c r="EZ23" s="68">
        <f t="shared" si="43"/>
        <v>666.5440000000001</v>
      </c>
      <c r="FA23" s="178">
        <f>273.5+298.7+22.7+1.2</f>
        <v>596.10000000000014</v>
      </c>
      <c r="FB23" s="49">
        <f>299.9+304.5+23.8+1.1</f>
        <v>629.29999999999995</v>
      </c>
      <c r="FC23" s="49">
        <f>326.8+315.7+19+0.8</f>
        <v>662.3</v>
      </c>
      <c r="FD23" s="49">
        <f>356.075+176.844+102.357+19.088+0.827</f>
        <v>655.19099999999992</v>
      </c>
      <c r="FE23" s="49">
        <f>448.016+177.828+112.876+20.555+0.784</f>
        <v>760.05899999999997</v>
      </c>
      <c r="FF23" s="49">
        <f>511.19+154.645+119.588+23.399+0.813</f>
        <v>809.63499999999999</v>
      </c>
      <c r="FG23" s="49">
        <f>489.952+168.316+119.951+23.319+0.791</f>
        <v>802.32900000000006</v>
      </c>
      <c r="FH23" s="225">
        <f>531.609+176.043+132.904+21.469+0.893</f>
        <v>862.91800000000012</v>
      </c>
      <c r="FI23" s="49">
        <f>633.184+226.33+126.098+20.809+0.824</f>
        <v>1007.2449999999999</v>
      </c>
      <c r="FJ23" s="158">
        <f t="shared" si="44"/>
        <v>1266.317</v>
      </c>
      <c r="FK23" s="49">
        <v>1525.3889999999999</v>
      </c>
      <c r="FL23" s="49">
        <v>1822.6310000000001</v>
      </c>
      <c r="FM23" s="49">
        <v>2002.46</v>
      </c>
      <c r="FN23" s="49">
        <v>2053.297</v>
      </c>
      <c r="FO23" s="225">
        <v>2051.9409999999998</v>
      </c>
      <c r="FP23" s="225">
        <v>2111.0439999999999</v>
      </c>
      <c r="FQ23" s="225">
        <v>2148.3829999999998</v>
      </c>
      <c r="FR23" s="225">
        <v>2219.6860000000001</v>
      </c>
      <c r="FS23" s="225">
        <v>2353.2530000000002</v>
      </c>
      <c r="FT23" s="158">
        <f t="shared" si="45"/>
        <v>2521.183</v>
      </c>
      <c r="FU23" s="225">
        <v>2689.1129999999998</v>
      </c>
      <c r="FV23" s="158">
        <f t="shared" si="46"/>
        <v>2777.1504999999997</v>
      </c>
      <c r="FW23" s="225">
        <v>2865.1880000000001</v>
      </c>
      <c r="FX23" s="225">
        <v>2971.68</v>
      </c>
      <c r="FY23" s="225">
        <v>3057.7179999999998</v>
      </c>
      <c r="FZ23" s="225">
        <v>3085.2049999999999</v>
      </c>
      <c r="GA23" s="225">
        <v>3280.3359999999998</v>
      </c>
      <c r="GB23" s="225">
        <v>3526.1469999999999</v>
      </c>
      <c r="GC23" s="225">
        <v>3703.1179999999999</v>
      </c>
      <c r="GD23" s="225">
        <v>3983.5749999999998</v>
      </c>
      <c r="GE23" s="439">
        <v>4027.1489999999999</v>
      </c>
      <c r="GF23" s="91">
        <f>464.6+9+3.3+66.2+22.6+25.9+18.5+94.8+76.8+15.1+34.4</f>
        <v>831.19999999999993</v>
      </c>
      <c r="GG23" s="49">
        <f>396.9+6.8+4.8+73.9+31.1+25.4+19.4+116.7+88.9+20.7+62.3</f>
        <v>846.9</v>
      </c>
      <c r="GH23" s="49">
        <f>391.1+8.8+5.4+75.6+30.8+30+22.3+107.1+49.5+21.6+38.7</f>
        <v>780.90000000000009</v>
      </c>
      <c r="GI23" s="49">
        <f>459.519+11.197+5.41+0.227+81.247+31.753+35.903+20.847+82.221+45.855+35.244+50.13+22.202</f>
        <v>881.75500000000011</v>
      </c>
      <c r="GJ23" s="49">
        <f>505.746+12.066+4.404+0+0.286+81.252+32.2+35.291+15.273+86.455+47.892+32.081+68.368+21.547</f>
        <v>942.8610000000001</v>
      </c>
      <c r="GK23" s="49">
        <f>506.763+10.949+4.004+0+0.266+81.792+31.61+40.224+17.064+97.157+52.184+45.841+63.389+22.62</f>
        <v>973.86300000000006</v>
      </c>
      <c r="GL23" s="49">
        <f>519.497+10.148+3.995+0.124+81.288+30.077+43.332+14.766+78.769+46.827+36.107+74.841+22.081</f>
        <v>961.85199999999998</v>
      </c>
      <c r="GM23" s="225">
        <f>423.965+12.547+3.798+0.109+84.912+30.431+46.024+14.934+83.249+48.354+41.761+74.84+25.132</f>
        <v>890.05600000000004</v>
      </c>
      <c r="GN23" s="49">
        <f>483.234+10.82+5.078+0.19+89.466+32.294+46.528+15.494+91.419+53.172+50.809+77.902+26.171</f>
        <v>982.577</v>
      </c>
      <c r="GO23" s="158">
        <f t="shared" si="47"/>
        <v>1049.4204999999999</v>
      </c>
      <c r="GP23" s="49">
        <v>1116.2639999999999</v>
      </c>
      <c r="GQ23" s="49">
        <v>1208.674</v>
      </c>
      <c r="GR23" s="49">
        <v>1477.6579999999999</v>
      </c>
      <c r="GS23" s="49">
        <v>1500.373</v>
      </c>
      <c r="GT23" s="49">
        <v>1561.3019999999999</v>
      </c>
      <c r="GU23" s="49">
        <v>1739.145</v>
      </c>
      <c r="GV23" s="49">
        <v>1759.7619999999999</v>
      </c>
      <c r="GW23" s="49">
        <v>1773.2650000000001</v>
      </c>
      <c r="GX23" s="49">
        <v>1912.56</v>
      </c>
      <c r="GY23" s="158">
        <f t="shared" si="48"/>
        <v>2042.2235000000001</v>
      </c>
      <c r="GZ23" s="225">
        <v>2171.8870000000002</v>
      </c>
      <c r="HA23" s="158">
        <f t="shared" si="49"/>
        <v>2226.424</v>
      </c>
      <c r="HB23" s="225">
        <v>2280.9609999999998</v>
      </c>
      <c r="HC23" s="225">
        <v>2412.0160000000001</v>
      </c>
      <c r="HD23" s="225">
        <v>2600.991</v>
      </c>
      <c r="HE23" s="225">
        <v>2601.663</v>
      </c>
      <c r="HF23" s="225">
        <v>2774.4929999999999</v>
      </c>
      <c r="HG23" s="225">
        <v>2932.0210000000002</v>
      </c>
      <c r="HH23" s="225">
        <v>2977.8009999999999</v>
      </c>
      <c r="HI23" s="225">
        <v>3117.125</v>
      </c>
      <c r="HJ23" s="439">
        <v>3150.3629999999998</v>
      </c>
      <c r="HK23" s="178">
        <f>59.9+69.8+20.1</f>
        <v>149.79999999999998</v>
      </c>
      <c r="HL23" s="49">
        <f>62.7+79.5+27.7</f>
        <v>169.89999999999998</v>
      </c>
      <c r="HM23" s="49">
        <f>78.6+85.7+27.4</f>
        <v>191.70000000000002</v>
      </c>
      <c r="HN23" s="49">
        <f>87.659+42.451+33.458+48.245</f>
        <v>211.81300000000002</v>
      </c>
      <c r="HO23" s="49">
        <f>83.33+44.743+34.158+58.006</f>
        <v>220.23699999999999</v>
      </c>
      <c r="HP23" s="49">
        <f>87.151+45.914+35.391+56.682</f>
        <v>225.13799999999998</v>
      </c>
      <c r="HQ23" s="49">
        <f>94.155+44.489+36.219+55.048</f>
        <v>229.911</v>
      </c>
      <c r="HR23" s="225">
        <f>92.28+46.176+33.646+51.403</f>
        <v>223.50500000000002</v>
      </c>
      <c r="HS23" s="49">
        <f>95.613+53.14+35.687+48.962</f>
        <v>233.40199999999999</v>
      </c>
      <c r="HT23" s="158">
        <f t="shared" si="50"/>
        <v>261.40199999999999</v>
      </c>
      <c r="HU23" s="49">
        <v>289.40199999999999</v>
      </c>
      <c r="HV23" s="49">
        <v>302.65199999999999</v>
      </c>
      <c r="HW23" s="49">
        <v>351.625</v>
      </c>
      <c r="HX23" s="49">
        <v>386.77100000000002</v>
      </c>
      <c r="HY23" s="49">
        <v>437.26299999999998</v>
      </c>
      <c r="HZ23" s="49">
        <v>444.98899999999998</v>
      </c>
      <c r="IA23" s="49">
        <v>452.78800000000001</v>
      </c>
      <c r="IB23" s="49">
        <v>492.38299999999998</v>
      </c>
      <c r="IC23" s="246">
        <v>535.57799999999997</v>
      </c>
      <c r="ID23" s="158">
        <f t="shared" si="51"/>
        <v>585.81500000000005</v>
      </c>
      <c r="IE23" s="225">
        <v>636.05200000000002</v>
      </c>
      <c r="IF23" s="158">
        <f t="shared" si="52"/>
        <v>661.93650000000002</v>
      </c>
      <c r="IG23" s="225">
        <v>687.82100000000003</v>
      </c>
      <c r="IH23" s="225">
        <v>754.02800000000002</v>
      </c>
      <c r="II23" s="225">
        <v>825.89200000000005</v>
      </c>
      <c r="IJ23" s="225">
        <v>751.06200000000001</v>
      </c>
      <c r="IK23" s="225">
        <v>774.36199999999997</v>
      </c>
      <c r="IL23" s="225">
        <v>816.58500000000004</v>
      </c>
      <c r="IM23" s="225">
        <v>797.678</v>
      </c>
      <c r="IN23" s="225">
        <v>823.65099999999995</v>
      </c>
      <c r="IO23" s="439">
        <v>866.24300000000005</v>
      </c>
      <c r="IP23" s="92">
        <f>(0+221.7+218.8)</f>
        <v>440.5</v>
      </c>
      <c r="IQ23" s="92">
        <f>0+230.7+220.2</f>
        <v>450.9</v>
      </c>
      <c r="IR23" s="92">
        <f>239.1+293.9</f>
        <v>533</v>
      </c>
      <c r="IS23" s="92">
        <f>243.203+280.169</f>
        <v>523.37199999999996</v>
      </c>
      <c r="IT23" s="92">
        <f>292.564+0.524+314.071</f>
        <v>607.15900000000011</v>
      </c>
      <c r="IU23" s="92">
        <f>338.03+0.494+341.76</f>
        <v>680.28399999999999</v>
      </c>
      <c r="IV23" s="92">
        <f>341.843+0.07+304.83</f>
        <v>646.74299999999994</v>
      </c>
      <c r="IW23" s="93">
        <f>370.703+276.794</f>
        <v>647.49699999999996</v>
      </c>
      <c r="IX23" s="92">
        <f>375.711+275.687</f>
        <v>651.39800000000002</v>
      </c>
      <c r="IY23" s="158">
        <f t="shared" si="53"/>
        <v>645.12100000000009</v>
      </c>
      <c r="IZ23" s="92">
        <v>638.84400000000005</v>
      </c>
      <c r="JA23" s="49">
        <v>590.83799999999997</v>
      </c>
      <c r="JB23" s="49">
        <v>567.88099999999997</v>
      </c>
      <c r="JC23" s="49">
        <v>583.48500000000001</v>
      </c>
      <c r="JD23" s="49">
        <v>623.10599999999999</v>
      </c>
      <c r="JE23" s="49">
        <v>654.70500000000004</v>
      </c>
      <c r="JF23" s="74">
        <v>756.25099999999998</v>
      </c>
      <c r="JG23" s="74">
        <v>698.21600000000001</v>
      </c>
      <c r="JH23" s="74">
        <v>714.75699999999995</v>
      </c>
      <c r="JI23" s="158">
        <f t="shared" si="54"/>
        <v>758.97450000000003</v>
      </c>
      <c r="JJ23" s="74">
        <v>803.19200000000001</v>
      </c>
      <c r="JK23" s="158">
        <f t="shared" si="55"/>
        <v>904.43450000000007</v>
      </c>
      <c r="JL23" s="74">
        <v>1005.677</v>
      </c>
      <c r="JM23" s="74">
        <v>983.76700000000005</v>
      </c>
      <c r="JN23" s="74">
        <v>790.40800000000002</v>
      </c>
      <c r="JO23" s="225">
        <v>790.22900000000004</v>
      </c>
      <c r="JP23" s="225">
        <v>870.27</v>
      </c>
      <c r="JQ23" s="225">
        <v>864.58500000000004</v>
      </c>
      <c r="JR23" s="225">
        <v>934.91499999999996</v>
      </c>
      <c r="JS23" s="17">
        <v>902.02</v>
      </c>
      <c r="JT23" s="450">
        <v>973.68</v>
      </c>
    </row>
    <row r="24" spans="1:280" s="17" customFormat="1" ht="12.75" customHeight="1">
      <c r="A24" s="223" t="s">
        <v>136</v>
      </c>
      <c r="B24" s="283">
        <f>SUM(B26:B38)</f>
        <v>0</v>
      </c>
      <c r="C24" s="283">
        <f t="shared" ref="C24:BV24" si="63">SUM(C26:C38)</f>
        <v>0</v>
      </c>
      <c r="D24" s="283">
        <f t="shared" si="63"/>
        <v>0</v>
      </c>
      <c r="E24" s="283">
        <f t="shared" si="63"/>
        <v>0</v>
      </c>
      <c r="F24" s="283">
        <f t="shared" si="63"/>
        <v>0</v>
      </c>
      <c r="G24" s="283">
        <f t="shared" si="63"/>
        <v>0</v>
      </c>
      <c r="H24" s="283">
        <f t="shared" si="63"/>
        <v>0</v>
      </c>
      <c r="I24" s="283">
        <f t="shared" si="63"/>
        <v>0</v>
      </c>
      <c r="J24" s="283">
        <f t="shared" si="63"/>
        <v>194120.06399999998</v>
      </c>
      <c r="K24" s="283">
        <f t="shared" si="63"/>
        <v>212020.55600000001</v>
      </c>
      <c r="L24" s="283">
        <f t="shared" si="63"/>
        <v>229921.04800000004</v>
      </c>
      <c r="M24" s="283">
        <f t="shared" si="63"/>
        <v>242905.99900000001</v>
      </c>
      <c r="N24" s="283">
        <f t="shared" si="63"/>
        <v>250448.73500000004</v>
      </c>
      <c r="O24" s="283">
        <f t="shared" si="63"/>
        <v>264960.16199999995</v>
      </c>
      <c r="P24" s="283">
        <f t="shared" si="63"/>
        <v>275678.174</v>
      </c>
      <c r="Q24" s="283">
        <f t="shared" si="63"/>
        <v>291816.28399999999</v>
      </c>
      <c r="R24" s="283">
        <f t="shared" si="63"/>
        <v>307862.41500000004</v>
      </c>
      <c r="S24" s="283">
        <f t="shared" si="63"/>
        <v>330583.38699999999</v>
      </c>
      <c r="T24" s="283">
        <f t="shared" si="63"/>
        <v>357307.67100000009</v>
      </c>
      <c r="U24" s="283">
        <f t="shared" si="63"/>
        <v>389169.35249999998</v>
      </c>
      <c r="V24" s="283">
        <f t="shared" si="63"/>
        <v>421031.03400000004</v>
      </c>
      <c r="W24" s="283">
        <f t="shared" si="63"/>
        <v>441875.05599999998</v>
      </c>
      <c r="X24" s="283">
        <f t="shared" si="63"/>
        <v>462719.07800000004</v>
      </c>
      <c r="Y24" s="283">
        <f t="shared" si="63"/>
        <v>489737.90800000011</v>
      </c>
      <c r="Z24" s="283">
        <f t="shared" si="63"/>
        <v>528635.01199999999</v>
      </c>
      <c r="AA24" s="283">
        <f t="shared" si="63"/>
        <v>560366.67400000012</v>
      </c>
      <c r="AB24" s="283">
        <f t="shared" si="63"/>
        <v>600684.67700000003</v>
      </c>
      <c r="AC24" s="283">
        <f t="shared" si="63"/>
        <v>619639.27399999998</v>
      </c>
      <c r="AD24" s="283">
        <f t="shared" si="63"/>
        <v>622436.02400000009</v>
      </c>
      <c r="AE24" s="283">
        <f t="shared" si="63"/>
        <v>639789.58800000011</v>
      </c>
      <c r="AF24" s="441">
        <f t="shared" si="63"/>
        <v>632095.40599999984</v>
      </c>
      <c r="AG24" s="286">
        <f t="shared" si="63"/>
        <v>0</v>
      </c>
      <c r="AH24" s="283">
        <f t="shared" si="63"/>
        <v>0</v>
      </c>
      <c r="AI24" s="283">
        <f t="shared" si="63"/>
        <v>0</v>
      </c>
      <c r="AJ24" s="283">
        <f t="shared" si="63"/>
        <v>0</v>
      </c>
      <c r="AK24" s="283">
        <f t="shared" si="63"/>
        <v>0</v>
      </c>
      <c r="AL24" s="283">
        <f t="shared" si="63"/>
        <v>0</v>
      </c>
      <c r="AM24" s="283">
        <f t="shared" si="63"/>
        <v>0</v>
      </c>
      <c r="AN24" s="283">
        <f t="shared" si="63"/>
        <v>0</v>
      </c>
      <c r="AO24" s="283">
        <f t="shared" si="63"/>
        <v>64994.893000000004</v>
      </c>
      <c r="AP24" s="283">
        <f t="shared" si="63"/>
        <v>69539.800499999998</v>
      </c>
      <c r="AQ24" s="283">
        <f t="shared" si="63"/>
        <v>74084.708000000013</v>
      </c>
      <c r="AR24" s="283">
        <f t="shared" si="63"/>
        <v>76565.457000000009</v>
      </c>
      <c r="AS24" s="283">
        <f t="shared" si="63"/>
        <v>77362.938999999998</v>
      </c>
      <c r="AT24" s="283">
        <f t="shared" si="63"/>
        <v>82576.578999999983</v>
      </c>
      <c r="AU24" s="283">
        <f t="shared" si="63"/>
        <v>87588.365999999995</v>
      </c>
      <c r="AV24" s="283">
        <f t="shared" si="63"/>
        <v>92578.208000000013</v>
      </c>
      <c r="AW24" s="283">
        <f t="shared" si="63"/>
        <v>100483.20499999999</v>
      </c>
      <c r="AX24" s="283">
        <f t="shared" si="63"/>
        <v>108758.962</v>
      </c>
      <c r="AY24" s="283">
        <f t="shared" si="63"/>
        <v>118443.19899999999</v>
      </c>
      <c r="AZ24" s="283">
        <f t="shared" si="63"/>
        <v>129228.72900000001</v>
      </c>
      <c r="BA24" s="283">
        <f t="shared" si="63"/>
        <v>140014.25900000002</v>
      </c>
      <c r="BB24" s="283">
        <f t="shared" si="63"/>
        <v>146661.78649999999</v>
      </c>
      <c r="BC24" s="283">
        <f t="shared" si="63"/>
        <v>153309.31399999998</v>
      </c>
      <c r="BD24" s="283">
        <f t="shared" si="63"/>
        <v>160919.42300000004</v>
      </c>
      <c r="BE24" s="283">
        <f t="shared" si="63"/>
        <v>173310.86800000002</v>
      </c>
      <c r="BF24" s="283">
        <f t="shared" si="63"/>
        <v>181640.63500000001</v>
      </c>
      <c r="BG24" s="283">
        <f t="shared" si="63"/>
        <v>195176.636</v>
      </c>
      <c r="BH24" s="283">
        <f t="shared" si="63"/>
        <v>198538.49</v>
      </c>
      <c r="BI24" s="283">
        <f t="shared" si="63"/>
        <v>195029.94999999998</v>
      </c>
      <c r="BJ24" s="283">
        <f t="shared" si="63"/>
        <v>195951.09100000001</v>
      </c>
      <c r="BK24" s="441">
        <f t="shared" si="63"/>
        <v>201860.15900000001</v>
      </c>
      <c r="BL24" s="383">
        <f t="shared" si="63"/>
        <v>0</v>
      </c>
      <c r="BM24" s="283">
        <f t="shared" si="63"/>
        <v>0</v>
      </c>
      <c r="BN24" s="283">
        <f t="shared" si="63"/>
        <v>0</v>
      </c>
      <c r="BO24" s="283">
        <f t="shared" si="63"/>
        <v>0</v>
      </c>
      <c r="BP24" s="283">
        <f t="shared" si="63"/>
        <v>0</v>
      </c>
      <c r="BQ24" s="283">
        <f t="shared" si="63"/>
        <v>0</v>
      </c>
      <c r="BR24" s="283">
        <f t="shared" si="63"/>
        <v>0</v>
      </c>
      <c r="BS24" s="283">
        <f t="shared" si="63"/>
        <v>0</v>
      </c>
      <c r="BT24" s="283">
        <f t="shared" si="63"/>
        <v>43281.765999999989</v>
      </c>
      <c r="BU24" s="283">
        <f t="shared" si="63"/>
        <v>46339.020499999999</v>
      </c>
      <c r="BV24" s="283">
        <f t="shared" si="63"/>
        <v>49396.275000000001</v>
      </c>
      <c r="BW24" s="283">
        <f t="shared" ref="BW24:EP24" si="64">SUM(BW26:BW38)</f>
        <v>50717.335999999981</v>
      </c>
      <c r="BX24" s="283">
        <f t="shared" si="64"/>
        <v>51662.9</v>
      </c>
      <c r="BY24" s="283">
        <f t="shared" si="64"/>
        <v>54716.679000000004</v>
      </c>
      <c r="BZ24" s="283">
        <f t="shared" si="64"/>
        <v>57924.302000000003</v>
      </c>
      <c r="CA24" s="283">
        <f t="shared" si="64"/>
        <v>61727.068000000007</v>
      </c>
      <c r="CB24" s="283">
        <f t="shared" si="64"/>
        <v>67715.728999999992</v>
      </c>
      <c r="CC24" s="283">
        <f t="shared" si="64"/>
        <v>72039.637000000002</v>
      </c>
      <c r="CD24" s="283">
        <f t="shared" si="64"/>
        <v>77858.660999999993</v>
      </c>
      <c r="CE24" s="283">
        <f t="shared" si="64"/>
        <v>85196.268499999991</v>
      </c>
      <c r="CF24" s="283">
        <f t="shared" si="64"/>
        <v>92533.876000000004</v>
      </c>
      <c r="CG24" s="283">
        <f t="shared" si="64"/>
        <v>97123.248999999982</v>
      </c>
      <c r="CH24" s="283">
        <f t="shared" si="64"/>
        <v>101712.62199999999</v>
      </c>
      <c r="CI24" s="283">
        <f t="shared" si="64"/>
        <v>106635.016</v>
      </c>
      <c r="CJ24" s="283">
        <f t="shared" si="64"/>
        <v>114237.77099999999</v>
      </c>
      <c r="CK24" s="283">
        <f t="shared" si="64"/>
        <v>119929.04699999998</v>
      </c>
      <c r="CL24" s="283">
        <f t="shared" si="64"/>
        <v>127547.86500000002</v>
      </c>
      <c r="CM24" s="283">
        <f t="shared" si="64"/>
        <v>127251.64600000001</v>
      </c>
      <c r="CN24" s="283">
        <f t="shared" si="64"/>
        <v>121037.46900000001</v>
      </c>
      <c r="CO24" s="283">
        <f t="shared" si="64"/>
        <v>118889.37800000004</v>
      </c>
      <c r="CP24" s="441">
        <f t="shared" si="64"/>
        <v>121517.52699999997</v>
      </c>
      <c r="CQ24" s="383">
        <f t="shared" si="64"/>
        <v>0</v>
      </c>
      <c r="CR24" s="283">
        <f t="shared" si="64"/>
        <v>0</v>
      </c>
      <c r="CS24" s="283">
        <f t="shared" si="64"/>
        <v>0</v>
      </c>
      <c r="CT24" s="283">
        <f t="shared" si="64"/>
        <v>0</v>
      </c>
      <c r="CU24" s="283">
        <f t="shared" si="64"/>
        <v>0</v>
      </c>
      <c r="CV24" s="283">
        <f t="shared" si="64"/>
        <v>0</v>
      </c>
      <c r="CW24" s="283">
        <f t="shared" si="64"/>
        <v>0</v>
      </c>
      <c r="CX24" s="283">
        <f t="shared" si="64"/>
        <v>0</v>
      </c>
      <c r="CY24" s="283">
        <f t="shared" si="64"/>
        <v>18574.915000000001</v>
      </c>
      <c r="CZ24" s="283">
        <f t="shared" si="64"/>
        <v>19722.390499999998</v>
      </c>
      <c r="DA24" s="283">
        <f t="shared" si="64"/>
        <v>20869.865999999998</v>
      </c>
      <c r="DB24" s="283">
        <f t="shared" si="64"/>
        <v>21969.124</v>
      </c>
      <c r="DC24" s="283">
        <f t="shared" si="64"/>
        <v>21186.131999999998</v>
      </c>
      <c r="DD24" s="283">
        <f t="shared" si="64"/>
        <v>23016.294000000005</v>
      </c>
      <c r="DE24" s="283">
        <f t="shared" si="64"/>
        <v>24463.904999999995</v>
      </c>
      <c r="DF24" s="283">
        <f t="shared" si="64"/>
        <v>25580.242000000002</v>
      </c>
      <c r="DG24" s="283">
        <f t="shared" si="64"/>
        <v>27255.06</v>
      </c>
      <c r="DH24" s="283">
        <f t="shared" si="64"/>
        <v>30910.004999999994</v>
      </c>
      <c r="DI24" s="283">
        <f t="shared" si="64"/>
        <v>34544.404999999999</v>
      </c>
      <c r="DJ24" s="283">
        <f t="shared" si="64"/>
        <v>37120.778499999993</v>
      </c>
      <c r="DK24" s="283">
        <f t="shared" si="64"/>
        <v>39697.151999999995</v>
      </c>
      <c r="DL24" s="283">
        <f t="shared" si="64"/>
        <v>41376.224999999999</v>
      </c>
      <c r="DM24" s="283">
        <f t="shared" si="64"/>
        <v>43055.297999999995</v>
      </c>
      <c r="DN24" s="283">
        <f t="shared" si="64"/>
        <v>45217.057999999997</v>
      </c>
      <c r="DO24" s="283">
        <f t="shared" si="64"/>
        <v>48819.257999999994</v>
      </c>
      <c r="DP24" s="283">
        <f t="shared" si="64"/>
        <v>52222.631000000001</v>
      </c>
      <c r="DQ24" s="283">
        <f t="shared" si="64"/>
        <v>57131.364999999991</v>
      </c>
      <c r="DR24" s="283">
        <f t="shared" si="64"/>
        <v>60381.576000000001</v>
      </c>
      <c r="DS24" s="283">
        <f t="shared" si="64"/>
        <v>61812.028000000013</v>
      </c>
      <c r="DT24" s="283">
        <f t="shared" si="64"/>
        <v>64768.364999999991</v>
      </c>
      <c r="DU24" s="441">
        <f t="shared" si="64"/>
        <v>67289.997999999992</v>
      </c>
      <c r="DV24" s="383">
        <f t="shared" si="64"/>
        <v>0</v>
      </c>
      <c r="DW24" s="283">
        <f t="shared" si="64"/>
        <v>0</v>
      </c>
      <c r="DX24" s="283">
        <f t="shared" si="64"/>
        <v>0</v>
      </c>
      <c r="DY24" s="283">
        <f t="shared" si="64"/>
        <v>0</v>
      </c>
      <c r="DZ24" s="283">
        <f t="shared" si="64"/>
        <v>0</v>
      </c>
      <c r="EA24" s="283">
        <f t="shared" si="64"/>
        <v>0</v>
      </c>
      <c r="EB24" s="283">
        <f t="shared" si="64"/>
        <v>0</v>
      </c>
      <c r="EC24" s="283">
        <f t="shared" si="64"/>
        <v>0</v>
      </c>
      <c r="ED24" s="283">
        <f t="shared" si="64"/>
        <v>3138.2119999999986</v>
      </c>
      <c r="EE24" s="283">
        <f t="shared" si="64"/>
        <v>3478.3895000000025</v>
      </c>
      <c r="EF24" s="283">
        <f t="shared" si="64"/>
        <v>3818.5670000000041</v>
      </c>
      <c r="EG24" s="283">
        <f t="shared" si="64"/>
        <v>3878.9969999999994</v>
      </c>
      <c r="EH24" s="283">
        <f t="shared" si="64"/>
        <v>4513.9070000000011</v>
      </c>
      <c r="EI24" s="283">
        <f t="shared" si="64"/>
        <v>4843.6060000000034</v>
      </c>
      <c r="EJ24" s="283">
        <f t="shared" si="64"/>
        <v>5200.1590000000033</v>
      </c>
      <c r="EK24" s="283">
        <f t="shared" si="64"/>
        <v>5270.8979999999974</v>
      </c>
      <c r="EL24" s="283">
        <f t="shared" si="64"/>
        <v>5512.4159999999983</v>
      </c>
      <c r="EM24" s="283">
        <f t="shared" si="64"/>
        <v>5809.32</v>
      </c>
      <c r="EN24" s="283">
        <f t="shared" si="64"/>
        <v>6040.1330000000034</v>
      </c>
      <c r="EO24" s="283">
        <f t="shared" si="64"/>
        <v>6911.6820000000116</v>
      </c>
      <c r="EP24" s="283">
        <f t="shared" si="64"/>
        <v>7783.231000000007</v>
      </c>
      <c r="EQ24" s="283">
        <f t="shared" ref="EQ24:HN24" si="65">SUM(EQ26:EQ38)</f>
        <v>8162.3125000000036</v>
      </c>
      <c r="ER24" s="283">
        <f t="shared" si="65"/>
        <v>8541.3940000000002</v>
      </c>
      <c r="ES24" s="283">
        <f t="shared" si="65"/>
        <v>9067.3490000000038</v>
      </c>
      <c r="ET24" s="283">
        <f t="shared" si="65"/>
        <v>10253.839000000002</v>
      </c>
      <c r="EU24" s="283">
        <f t="shared" si="65"/>
        <v>9488.9570000000076</v>
      </c>
      <c r="EV24" s="283">
        <f t="shared" si="65"/>
        <v>10497.405999999992</v>
      </c>
      <c r="EW24" s="283">
        <f t="shared" ref="EW24:EY24" si="66">SUM(EW26:EW38)</f>
        <v>10905.267999999987</v>
      </c>
      <c r="EX24" s="283">
        <f t="shared" si="66"/>
        <v>12180.452999999992</v>
      </c>
      <c r="EY24" s="283">
        <f t="shared" si="66"/>
        <v>12293.347999999991</v>
      </c>
      <c r="EZ24" s="283">
        <f t="shared" ref="EZ24" si="67">SUM(EZ26:EZ38)</f>
        <v>13052.634000000013</v>
      </c>
      <c r="FA24" s="383">
        <f t="shared" si="65"/>
        <v>0</v>
      </c>
      <c r="FB24" s="283">
        <f t="shared" si="65"/>
        <v>0</v>
      </c>
      <c r="FC24" s="283">
        <f t="shared" si="65"/>
        <v>0</v>
      </c>
      <c r="FD24" s="283">
        <f t="shared" si="65"/>
        <v>0</v>
      </c>
      <c r="FE24" s="283">
        <f t="shared" si="65"/>
        <v>0</v>
      </c>
      <c r="FF24" s="283">
        <f t="shared" si="65"/>
        <v>0</v>
      </c>
      <c r="FG24" s="283">
        <f t="shared" si="65"/>
        <v>0</v>
      </c>
      <c r="FH24" s="283">
        <f t="shared" si="65"/>
        <v>0</v>
      </c>
      <c r="FI24" s="283">
        <f t="shared" si="65"/>
        <v>41458.062000000005</v>
      </c>
      <c r="FJ24" s="283">
        <f t="shared" si="65"/>
        <v>47115.528999999995</v>
      </c>
      <c r="FK24" s="283">
        <f t="shared" si="65"/>
        <v>52772.995999999999</v>
      </c>
      <c r="FL24" s="283">
        <f t="shared" si="65"/>
        <v>57168.207999999991</v>
      </c>
      <c r="FM24" s="283">
        <f t="shared" si="65"/>
        <v>61082.178000000014</v>
      </c>
      <c r="FN24" s="283">
        <f t="shared" si="65"/>
        <v>64113.59399999999</v>
      </c>
      <c r="FO24" s="283">
        <f t="shared" si="65"/>
        <v>66183.712999999989</v>
      </c>
      <c r="FP24" s="283">
        <f t="shared" si="65"/>
        <v>69120.365999999995</v>
      </c>
      <c r="FQ24" s="283">
        <f t="shared" si="65"/>
        <v>70105.052000000011</v>
      </c>
      <c r="FR24" s="283">
        <f t="shared" si="65"/>
        <v>74383.222000000009</v>
      </c>
      <c r="FS24" s="283">
        <f t="shared" si="65"/>
        <v>81954.853000000003</v>
      </c>
      <c r="FT24" s="283">
        <f t="shared" si="65"/>
        <v>89719.337499999994</v>
      </c>
      <c r="FU24" s="283">
        <f t="shared" si="65"/>
        <v>97483.822000000015</v>
      </c>
      <c r="FV24" s="283">
        <f t="shared" si="65"/>
        <v>104386.99350000001</v>
      </c>
      <c r="FW24" s="283">
        <f t="shared" si="65"/>
        <v>111290.16500000001</v>
      </c>
      <c r="FX24" s="283">
        <f t="shared" si="65"/>
        <v>121293.981</v>
      </c>
      <c r="FY24" s="283">
        <f t="shared" si="65"/>
        <v>125808.65100000001</v>
      </c>
      <c r="FZ24" s="283">
        <f t="shared" si="65"/>
        <v>133197.27199999997</v>
      </c>
      <c r="GA24" s="283">
        <f t="shared" si="65"/>
        <v>144043.057</v>
      </c>
      <c r="GB24" s="283">
        <f t="shared" si="65"/>
        <v>151983.21900000004</v>
      </c>
      <c r="GC24" s="283">
        <f t="shared" si="65"/>
        <v>154233.02800000002</v>
      </c>
      <c r="GD24" s="283">
        <f t="shared" si="65"/>
        <v>174805.03299999997</v>
      </c>
      <c r="GE24" s="441">
        <f t="shared" si="65"/>
        <v>170075.557</v>
      </c>
      <c r="GF24" s="383">
        <f t="shared" si="65"/>
        <v>0</v>
      </c>
      <c r="GG24" s="283">
        <f t="shared" si="65"/>
        <v>0</v>
      </c>
      <c r="GH24" s="283">
        <f t="shared" si="65"/>
        <v>0</v>
      </c>
      <c r="GI24" s="283">
        <f t="shared" si="65"/>
        <v>0</v>
      </c>
      <c r="GJ24" s="283">
        <f t="shared" si="65"/>
        <v>0</v>
      </c>
      <c r="GK24" s="283">
        <f t="shared" si="65"/>
        <v>0</v>
      </c>
      <c r="GL24" s="283">
        <f t="shared" si="65"/>
        <v>0</v>
      </c>
      <c r="GM24" s="283">
        <f t="shared" si="65"/>
        <v>0</v>
      </c>
      <c r="GN24" s="283">
        <f t="shared" si="65"/>
        <v>54231.422000000006</v>
      </c>
      <c r="GO24" s="283">
        <f t="shared" si="65"/>
        <v>58488.383000000002</v>
      </c>
      <c r="GP24" s="283">
        <f t="shared" si="65"/>
        <v>62745.344000000005</v>
      </c>
      <c r="GQ24" s="283">
        <f t="shared" si="65"/>
        <v>66700.551999999996</v>
      </c>
      <c r="GR24" s="283">
        <f t="shared" si="65"/>
        <v>69554.859000000011</v>
      </c>
      <c r="GS24" s="283">
        <f t="shared" si="65"/>
        <v>73109.747000000003</v>
      </c>
      <c r="GT24" s="283">
        <f t="shared" si="65"/>
        <v>76741.638999999996</v>
      </c>
      <c r="GU24" s="283">
        <f t="shared" si="65"/>
        <v>81537.334000000003</v>
      </c>
      <c r="GV24" s="283">
        <f t="shared" si="65"/>
        <v>84227.155000000013</v>
      </c>
      <c r="GW24" s="283">
        <f t="shared" si="65"/>
        <v>89430.197999999989</v>
      </c>
      <c r="GX24" s="283">
        <f t="shared" si="65"/>
        <v>95307.902000000016</v>
      </c>
      <c r="GY24" s="283">
        <f t="shared" si="65"/>
        <v>104423.91499999999</v>
      </c>
      <c r="GZ24" s="283">
        <f t="shared" si="65"/>
        <v>113539.92799999997</v>
      </c>
      <c r="HA24" s="283">
        <f t="shared" si="65"/>
        <v>117464.46649999999</v>
      </c>
      <c r="HB24" s="283">
        <f t="shared" si="65"/>
        <v>121389.00499999999</v>
      </c>
      <c r="HC24" s="283">
        <f t="shared" si="65"/>
        <v>130430.18000000002</v>
      </c>
      <c r="HD24" s="283">
        <f t="shared" si="65"/>
        <v>145551.43700000003</v>
      </c>
      <c r="HE24" s="283">
        <f t="shared" si="65"/>
        <v>153817.78099999999</v>
      </c>
      <c r="HF24" s="283">
        <f t="shared" si="65"/>
        <v>166119.84000000003</v>
      </c>
      <c r="HG24" s="283">
        <f t="shared" si="65"/>
        <v>169671.47700000001</v>
      </c>
      <c r="HH24" s="283">
        <f t="shared" si="65"/>
        <v>172350.16399999999</v>
      </c>
      <c r="HI24" s="283">
        <f t="shared" si="65"/>
        <v>169002.12100000001</v>
      </c>
      <c r="HJ24" s="441">
        <f t="shared" si="65"/>
        <v>165197.71099999998</v>
      </c>
      <c r="HK24" s="286">
        <f t="shared" si="65"/>
        <v>0</v>
      </c>
      <c r="HL24" s="283">
        <f t="shared" si="65"/>
        <v>0</v>
      </c>
      <c r="HM24" s="283">
        <f t="shared" si="65"/>
        <v>0</v>
      </c>
      <c r="HN24" s="283">
        <f t="shared" si="65"/>
        <v>0</v>
      </c>
      <c r="HO24" s="283">
        <f t="shared" ref="HO24:JT24" si="68">SUM(HO26:HO38)</f>
        <v>0</v>
      </c>
      <c r="HP24" s="283">
        <f t="shared" si="68"/>
        <v>0</v>
      </c>
      <c r="HQ24" s="283">
        <f t="shared" si="68"/>
        <v>0</v>
      </c>
      <c r="HR24" s="283">
        <f t="shared" si="68"/>
        <v>0</v>
      </c>
      <c r="HS24" s="283">
        <f t="shared" si="68"/>
        <v>11615.871999999999</v>
      </c>
      <c r="HT24" s="283">
        <f t="shared" si="68"/>
        <v>12680.662999999999</v>
      </c>
      <c r="HU24" s="283">
        <f t="shared" si="68"/>
        <v>13745.453999999998</v>
      </c>
      <c r="HV24" s="283">
        <f t="shared" si="68"/>
        <v>14220.954</v>
      </c>
      <c r="HW24" s="283">
        <f t="shared" si="68"/>
        <v>15086.985000000001</v>
      </c>
      <c r="HX24" s="283">
        <f t="shared" si="68"/>
        <v>16062.869999999997</v>
      </c>
      <c r="HY24" s="283">
        <f t="shared" si="68"/>
        <v>16728.567000000003</v>
      </c>
      <c r="HZ24" s="283">
        <f t="shared" si="68"/>
        <v>17673.646000000001</v>
      </c>
      <c r="IA24" s="283">
        <f t="shared" si="68"/>
        <v>19363.839</v>
      </c>
      <c r="IB24" s="283">
        <f t="shared" si="68"/>
        <v>21469.794000000002</v>
      </c>
      <c r="IC24" s="283">
        <f t="shared" si="68"/>
        <v>23157.172000000002</v>
      </c>
      <c r="ID24" s="283">
        <f t="shared" si="68"/>
        <v>24866.803500000002</v>
      </c>
      <c r="IE24" s="283">
        <f t="shared" si="68"/>
        <v>26576.435000000005</v>
      </c>
      <c r="IF24" s="283">
        <f t="shared" si="68"/>
        <v>28097.509000000002</v>
      </c>
      <c r="IG24" s="283">
        <f t="shared" si="68"/>
        <v>29618.582999999999</v>
      </c>
      <c r="IH24" s="283">
        <f t="shared" si="68"/>
        <v>31299.430999999993</v>
      </c>
      <c r="II24" s="283">
        <f t="shared" si="68"/>
        <v>32758.298000000006</v>
      </c>
      <c r="IJ24" s="283">
        <f t="shared" si="68"/>
        <v>35969.501999999993</v>
      </c>
      <c r="IK24" s="283">
        <f t="shared" si="68"/>
        <v>38327.727999999996</v>
      </c>
      <c r="IL24" s="283">
        <f t="shared" si="68"/>
        <v>38466.702000000005</v>
      </c>
      <c r="IM24" s="283">
        <f t="shared" si="68"/>
        <v>37461.858</v>
      </c>
      <c r="IN24" s="283">
        <f t="shared" si="68"/>
        <v>36234.173000000003</v>
      </c>
      <c r="IO24" s="441">
        <f t="shared" si="68"/>
        <v>35836.733999999997</v>
      </c>
      <c r="IP24" s="383">
        <f t="shared" si="68"/>
        <v>0</v>
      </c>
      <c r="IQ24" s="283">
        <f t="shared" si="68"/>
        <v>0</v>
      </c>
      <c r="IR24" s="283">
        <f t="shared" si="68"/>
        <v>0</v>
      </c>
      <c r="IS24" s="283">
        <f t="shared" si="68"/>
        <v>0</v>
      </c>
      <c r="IT24" s="283">
        <f t="shared" si="68"/>
        <v>0</v>
      </c>
      <c r="IU24" s="283">
        <f t="shared" si="68"/>
        <v>0</v>
      </c>
      <c r="IV24" s="283">
        <f t="shared" si="68"/>
        <v>0</v>
      </c>
      <c r="IW24" s="283">
        <f t="shared" si="68"/>
        <v>0</v>
      </c>
      <c r="IX24" s="283">
        <f t="shared" si="68"/>
        <v>21819.724000000002</v>
      </c>
      <c r="IY24" s="283">
        <f t="shared" si="68"/>
        <v>24196.134999999998</v>
      </c>
      <c r="IZ24" s="283">
        <f t="shared" si="68"/>
        <v>26572.546000000006</v>
      </c>
      <c r="JA24" s="283">
        <f t="shared" si="68"/>
        <v>28250.827999999998</v>
      </c>
      <c r="JB24" s="283">
        <f t="shared" si="68"/>
        <v>27361.774000000005</v>
      </c>
      <c r="JC24" s="283">
        <f t="shared" si="68"/>
        <v>29097.371999999996</v>
      </c>
      <c r="JD24" s="283">
        <f t="shared" si="68"/>
        <v>28435.888999999999</v>
      </c>
      <c r="JE24" s="283">
        <f t="shared" si="68"/>
        <v>30906.73</v>
      </c>
      <c r="JF24" s="283">
        <f t="shared" si="68"/>
        <v>33683.163999999997</v>
      </c>
      <c r="JG24" s="283">
        <f t="shared" si="68"/>
        <v>36541.21100000001</v>
      </c>
      <c r="JH24" s="283">
        <f t="shared" si="68"/>
        <v>38444.545000000006</v>
      </c>
      <c r="JI24" s="283">
        <f t="shared" si="68"/>
        <v>40930.567500000012</v>
      </c>
      <c r="JJ24" s="283">
        <f t="shared" si="68"/>
        <v>43416.589999999989</v>
      </c>
      <c r="JK24" s="283">
        <f t="shared" si="68"/>
        <v>45264.300499999998</v>
      </c>
      <c r="JL24" s="283">
        <f t="shared" si="68"/>
        <v>47112.011000000013</v>
      </c>
      <c r="JM24" s="283">
        <f t="shared" si="68"/>
        <v>45794.892999999989</v>
      </c>
      <c r="JN24" s="283">
        <f t="shared" si="68"/>
        <v>51205.757999999994</v>
      </c>
      <c r="JO24" s="283">
        <f t="shared" si="68"/>
        <v>55741.483999999997</v>
      </c>
      <c r="JP24" s="283">
        <f t="shared" si="68"/>
        <v>57017.416000000005</v>
      </c>
      <c r="JQ24" s="283">
        <f t="shared" si="68"/>
        <v>60979.384999999987</v>
      </c>
      <c r="JR24" s="283">
        <f t="shared" si="68"/>
        <v>63361.025000000001</v>
      </c>
      <c r="JS24" s="415">
        <f t="shared" si="68"/>
        <v>63797.17</v>
      </c>
      <c r="JT24" s="451">
        <f t="shared" si="68"/>
        <v>59125.244999999995</v>
      </c>
    </row>
    <row r="25" spans="1:280" s="17" customFormat="1" ht="12.75" customHeight="1">
      <c r="A25" s="223" t="s">
        <v>135</v>
      </c>
      <c r="B25" s="26"/>
      <c r="C25" s="26"/>
      <c r="D25" s="26"/>
      <c r="E25" s="26"/>
      <c r="F25" s="26"/>
      <c r="G25" s="26"/>
      <c r="H25" s="26"/>
      <c r="I25" s="26"/>
      <c r="J25" s="26"/>
      <c r="K25" s="233"/>
      <c r="L25" s="26"/>
      <c r="M25" s="26"/>
      <c r="N25" s="234"/>
      <c r="O25" s="33"/>
      <c r="P25" s="33"/>
      <c r="Q25" s="33"/>
      <c r="R25" s="33"/>
      <c r="S25" s="33"/>
      <c r="T25" s="33"/>
      <c r="U25" s="233"/>
      <c r="V25" s="33"/>
      <c r="W25" s="233"/>
      <c r="X25" s="33"/>
      <c r="Y25" s="33"/>
      <c r="Z25" s="33"/>
      <c r="AA25" s="33"/>
      <c r="AB25" s="33"/>
      <c r="AC25" s="33"/>
      <c r="AD25" s="33"/>
      <c r="AE25" s="33"/>
      <c r="AF25" s="440"/>
      <c r="AG25" s="226"/>
      <c r="AH25" s="26"/>
      <c r="AI25" s="26"/>
      <c r="AJ25" s="26"/>
      <c r="AK25" s="26"/>
      <c r="AL25" s="26"/>
      <c r="AM25" s="26"/>
      <c r="AN25" s="26"/>
      <c r="AO25" s="26"/>
      <c r="AP25" s="233"/>
      <c r="AQ25" s="77"/>
      <c r="AR25" s="33"/>
      <c r="AS25" s="33"/>
      <c r="AT25" s="33"/>
      <c r="AU25" s="33"/>
      <c r="AV25" s="33"/>
      <c r="AW25" s="33"/>
      <c r="AX25" s="33"/>
      <c r="AY25" s="33"/>
      <c r="AZ25" s="233"/>
      <c r="BA25" s="33"/>
      <c r="BB25" s="233"/>
      <c r="BC25" s="33"/>
      <c r="BD25" s="33"/>
      <c r="BE25" s="33"/>
      <c r="BF25" s="33"/>
      <c r="BG25" s="33"/>
      <c r="BH25" s="33"/>
      <c r="BI25" s="33"/>
      <c r="BJ25" s="33"/>
      <c r="BK25" s="440"/>
      <c r="BL25" s="46"/>
      <c r="BM25" s="217"/>
      <c r="BN25" s="217"/>
      <c r="BO25" s="217"/>
      <c r="BP25" s="217"/>
      <c r="BQ25" s="217"/>
      <c r="BR25" s="217"/>
      <c r="BS25" s="217"/>
      <c r="BT25" s="217"/>
      <c r="BU25" s="233"/>
      <c r="BV25" s="217"/>
      <c r="BW25" s="33"/>
      <c r="BX25" s="33"/>
      <c r="BY25" s="33"/>
      <c r="BZ25" s="33"/>
      <c r="CA25" s="33"/>
      <c r="CB25" s="33"/>
      <c r="CC25" s="33"/>
      <c r="CD25" s="33"/>
      <c r="CE25" s="233"/>
      <c r="CF25" s="33"/>
      <c r="CG25" s="233"/>
      <c r="CH25" s="33"/>
      <c r="CI25" s="33"/>
      <c r="CJ25" s="33"/>
      <c r="CK25" s="33"/>
      <c r="CL25" s="33"/>
      <c r="CM25" s="33"/>
      <c r="CN25" s="33"/>
      <c r="CO25" s="33"/>
      <c r="CP25" s="440"/>
      <c r="CQ25" s="46"/>
      <c r="CR25" s="217"/>
      <c r="CS25" s="217"/>
      <c r="CT25" s="217"/>
      <c r="CU25" s="217"/>
      <c r="CV25" s="217"/>
      <c r="CW25" s="217"/>
      <c r="CX25" s="217"/>
      <c r="CY25" s="217"/>
      <c r="CZ25" s="233"/>
      <c r="DA25" s="217"/>
      <c r="DB25" s="33"/>
      <c r="DC25" s="33"/>
      <c r="DD25" s="33"/>
      <c r="DE25" s="33"/>
      <c r="DF25" s="33"/>
      <c r="DG25" s="33"/>
      <c r="DH25" s="33"/>
      <c r="DI25" s="33"/>
      <c r="DJ25" s="233"/>
      <c r="DK25" s="33"/>
      <c r="DL25" s="233"/>
      <c r="DM25" s="33"/>
      <c r="DN25" s="33"/>
      <c r="DO25" s="33"/>
      <c r="DP25" s="33"/>
      <c r="DQ25" s="33"/>
      <c r="DR25" s="33"/>
      <c r="DS25" s="33"/>
      <c r="DT25" s="33"/>
      <c r="DU25" s="440"/>
      <c r="DV25" s="46"/>
      <c r="DW25" s="217"/>
      <c r="DX25" s="217"/>
      <c r="DY25" s="217"/>
      <c r="DZ25" s="217"/>
      <c r="EA25" s="217"/>
      <c r="EB25" s="217"/>
      <c r="EC25" s="217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177"/>
      <c r="FB25" s="217"/>
      <c r="FC25" s="217"/>
      <c r="FD25" s="217"/>
      <c r="FE25" s="217"/>
      <c r="FF25" s="217"/>
      <c r="FG25" s="217"/>
      <c r="FH25" s="217"/>
      <c r="FI25" s="217"/>
      <c r="FJ25" s="233"/>
      <c r="FK25" s="217"/>
      <c r="FL25" s="33"/>
      <c r="FM25" s="33"/>
      <c r="FN25" s="33"/>
      <c r="FO25" s="33"/>
      <c r="FP25" s="33"/>
      <c r="FQ25" s="33"/>
      <c r="FR25" s="33"/>
      <c r="FS25" s="33"/>
      <c r="FT25" s="233"/>
      <c r="FU25" s="33"/>
      <c r="FV25" s="233"/>
      <c r="FW25" s="33"/>
      <c r="FX25" s="33"/>
      <c r="FY25" s="33"/>
      <c r="FZ25" s="33"/>
      <c r="GA25" s="33"/>
      <c r="GB25" s="33"/>
      <c r="GC25" s="33"/>
      <c r="GD25" s="33"/>
      <c r="GE25" s="440"/>
      <c r="GF25" s="46"/>
      <c r="GG25" s="217"/>
      <c r="GH25" s="217"/>
      <c r="GI25" s="217"/>
      <c r="GJ25" s="217"/>
      <c r="GK25" s="217"/>
      <c r="GL25" s="217"/>
      <c r="GM25" s="217"/>
      <c r="GN25" s="217"/>
      <c r="GO25" s="233"/>
      <c r="GP25" s="217"/>
      <c r="GQ25" s="33"/>
      <c r="GR25" s="33"/>
      <c r="GS25" s="33"/>
      <c r="GT25" s="33"/>
      <c r="GU25" s="33"/>
      <c r="GV25" s="33"/>
      <c r="GW25" s="33"/>
      <c r="GX25" s="33"/>
      <c r="GY25" s="233"/>
      <c r="GZ25" s="33"/>
      <c r="HA25" s="233"/>
      <c r="HB25" s="33"/>
      <c r="HC25" s="33"/>
      <c r="HD25" s="33"/>
      <c r="HE25" s="33"/>
      <c r="HF25" s="33"/>
      <c r="HG25" s="33"/>
      <c r="HH25" s="33"/>
      <c r="HI25" s="33"/>
      <c r="HJ25" s="440"/>
      <c r="HK25" s="46"/>
      <c r="HL25" s="217"/>
      <c r="HM25" s="217"/>
      <c r="HN25" s="217"/>
      <c r="HO25" s="217"/>
      <c r="HP25" s="217"/>
      <c r="HQ25" s="217"/>
      <c r="HR25" s="217"/>
      <c r="HS25" s="217"/>
      <c r="HT25" s="233"/>
      <c r="HU25" s="217"/>
      <c r="HV25" s="33"/>
      <c r="HW25" s="33"/>
      <c r="HX25" s="33"/>
      <c r="HY25" s="33"/>
      <c r="HZ25" s="33"/>
      <c r="IA25" s="33"/>
      <c r="IB25" s="33"/>
      <c r="IC25" s="33"/>
      <c r="ID25" s="233"/>
      <c r="IE25" s="33"/>
      <c r="IF25" s="233"/>
      <c r="IG25" s="33"/>
      <c r="IH25" s="33"/>
      <c r="II25" s="33"/>
      <c r="IJ25" s="33"/>
      <c r="IK25" s="33"/>
      <c r="IL25" s="33"/>
      <c r="IM25" s="33"/>
      <c r="IN25" s="33"/>
      <c r="IO25" s="440"/>
      <c r="IP25" s="46"/>
      <c r="IQ25" s="217"/>
      <c r="IR25" s="217"/>
      <c r="IS25" s="217"/>
      <c r="IT25" s="217"/>
      <c r="IU25" s="217"/>
      <c r="IV25" s="217"/>
      <c r="IW25" s="217"/>
      <c r="IX25" s="217"/>
      <c r="IY25" s="233"/>
      <c r="IZ25" s="217"/>
      <c r="JA25" s="33"/>
      <c r="JB25" s="42"/>
      <c r="JC25" s="42"/>
      <c r="JD25" s="42"/>
      <c r="JE25" s="42"/>
      <c r="JF25" s="26"/>
      <c r="JG25" s="26"/>
      <c r="JH25" s="26"/>
      <c r="JI25" s="233"/>
      <c r="JJ25" s="26"/>
      <c r="JK25" s="233"/>
      <c r="JL25" s="26"/>
      <c r="JM25" s="26"/>
      <c r="JN25" s="26"/>
      <c r="JO25" s="33"/>
      <c r="JP25" s="33"/>
      <c r="JQ25" s="33"/>
      <c r="JR25" s="33"/>
      <c r="JT25" s="450"/>
    </row>
    <row r="26" spans="1:280" s="17" customFormat="1" ht="12.75" customHeight="1">
      <c r="A26" s="222" t="s">
        <v>47</v>
      </c>
      <c r="J26" s="17">
        <v>5376.0460000000003</v>
      </c>
      <c r="K26" s="231">
        <f t="shared" ref="K26:K38" si="69">((L26-J26)/2)+J26</f>
        <v>5641.9605000000001</v>
      </c>
      <c r="L26" s="17">
        <v>5907.875</v>
      </c>
      <c r="M26" s="17">
        <v>6130.9229999999998</v>
      </c>
      <c r="N26" s="214">
        <v>6268.0230000000001</v>
      </c>
      <c r="O26" s="32">
        <v>6354.2060000000001</v>
      </c>
      <c r="P26" s="32">
        <v>6398.1019999999999</v>
      </c>
      <c r="Q26" s="32">
        <v>6705.2380000000003</v>
      </c>
      <c r="R26" s="32">
        <v>6866.7820000000002</v>
      </c>
      <c r="S26" s="32">
        <v>7238.2619999999997</v>
      </c>
      <c r="T26" s="32">
        <v>7712.4409999999998</v>
      </c>
      <c r="U26" s="231">
        <f t="shared" ref="U26:U38" si="70">((V26-T26)/2)+T26</f>
        <v>8077.8395</v>
      </c>
      <c r="V26" s="32">
        <v>8443.2379999999994</v>
      </c>
      <c r="W26" s="231">
        <f t="shared" ref="W26:W38" si="71">((X26-V26)/2)+V26</f>
        <v>8469.6334999999999</v>
      </c>
      <c r="X26" s="32">
        <v>8496.0290000000005</v>
      </c>
      <c r="Y26" s="32">
        <v>8795.4500000000007</v>
      </c>
      <c r="Z26" s="32">
        <v>9364.4650000000001</v>
      </c>
      <c r="AA26" s="32">
        <v>10340.205</v>
      </c>
      <c r="AB26" s="32">
        <v>11523.049000000001</v>
      </c>
      <c r="AC26" s="32">
        <v>12434.289000000001</v>
      </c>
      <c r="AD26" s="32">
        <v>12729.347</v>
      </c>
      <c r="AE26" s="32">
        <v>12790.477000000001</v>
      </c>
      <c r="AF26" s="440">
        <v>12648.251</v>
      </c>
      <c r="AG26" s="184"/>
      <c r="AO26" s="17">
        <f>1245.622+19.898</f>
        <v>1265.52</v>
      </c>
      <c r="AP26" s="231">
        <f t="shared" ref="AP26:AP38" si="72">((AQ26-AO26)/2)+AO26</f>
        <v>1325.3429999999998</v>
      </c>
      <c r="AQ26" s="30">
        <v>1385.1659999999999</v>
      </c>
      <c r="AR26" s="32">
        <v>1486.578</v>
      </c>
      <c r="AS26" s="32">
        <v>1491.6179999999999</v>
      </c>
      <c r="AT26" s="32">
        <v>1524.127</v>
      </c>
      <c r="AU26" s="32">
        <v>1572.2919999999999</v>
      </c>
      <c r="AV26" s="32">
        <v>1615.912</v>
      </c>
      <c r="AW26" s="32">
        <v>1555.7650000000001</v>
      </c>
      <c r="AX26" s="32">
        <v>1765.771</v>
      </c>
      <c r="AY26" s="32">
        <v>1785.2940000000001</v>
      </c>
      <c r="AZ26" s="231">
        <f t="shared" ref="AZ26:AZ38" si="73">((BA26-AY26)/2)+AY26</f>
        <v>1957.7655</v>
      </c>
      <c r="BA26" s="32">
        <v>2130.2370000000001</v>
      </c>
      <c r="BB26" s="231">
        <f t="shared" ref="BB26:BB38" si="74">((BC26-BA26)/2)+BA26</f>
        <v>2227.3724999999999</v>
      </c>
      <c r="BC26" s="32">
        <v>2324.5079999999998</v>
      </c>
      <c r="BD26" s="32">
        <v>2386.3359999999998</v>
      </c>
      <c r="BE26" s="32">
        <v>2483.8040000000001</v>
      </c>
      <c r="BF26" s="32">
        <v>2635.6019999999999</v>
      </c>
      <c r="BG26" s="32">
        <v>3042.8240000000001</v>
      </c>
      <c r="BH26" s="32">
        <v>3154.2719999999999</v>
      </c>
      <c r="BI26" s="32">
        <v>3255.2939999999999</v>
      </c>
      <c r="BJ26" s="32">
        <v>3420.306</v>
      </c>
      <c r="BK26" s="440">
        <v>3358.54</v>
      </c>
      <c r="BL26" s="83"/>
      <c r="BM26" s="75"/>
      <c r="BN26" s="75"/>
      <c r="BO26" s="75"/>
      <c r="BP26" s="75"/>
      <c r="BQ26" s="75"/>
      <c r="BR26" s="75"/>
      <c r="BS26" s="217"/>
      <c r="BT26" s="75">
        <v>913.40499999999997</v>
      </c>
      <c r="BU26" s="231">
        <f t="shared" ref="BU26:BU38" si="75">((BV26-BT26)/2)+BT26</f>
        <v>959.70650000000001</v>
      </c>
      <c r="BV26" s="75">
        <v>1006.008</v>
      </c>
      <c r="BW26" s="32">
        <v>1088.885</v>
      </c>
      <c r="BX26" s="32">
        <v>1108.21</v>
      </c>
      <c r="BY26" s="32">
        <v>1135.6410000000001</v>
      </c>
      <c r="BZ26" s="32">
        <v>1178.5429999999999</v>
      </c>
      <c r="CA26" s="32">
        <v>1221.896</v>
      </c>
      <c r="CB26" s="32">
        <v>1157.546</v>
      </c>
      <c r="CC26" s="32">
        <v>1348.354</v>
      </c>
      <c r="CD26" s="32">
        <v>1334.885</v>
      </c>
      <c r="CE26" s="231">
        <f t="shared" ref="CE26:CE38" si="76">((CF26-CD26)/2)+CD26</f>
        <v>1416.856</v>
      </c>
      <c r="CF26" s="32">
        <v>1498.827</v>
      </c>
      <c r="CG26" s="231">
        <f t="shared" ref="CG26:CG38" si="77">((CH26-CF26)/2)+CF26</f>
        <v>1559.2089999999998</v>
      </c>
      <c r="CH26" s="32">
        <v>1619.5909999999999</v>
      </c>
      <c r="CI26" s="32">
        <v>1729.461</v>
      </c>
      <c r="CJ26" s="32">
        <v>1797.278</v>
      </c>
      <c r="CK26" s="32">
        <v>1896.1610000000001</v>
      </c>
      <c r="CL26" s="32">
        <v>2236.2069999999999</v>
      </c>
      <c r="CM26" s="32">
        <v>2297.9259999999999</v>
      </c>
      <c r="CN26" s="32">
        <v>2373.1590000000001</v>
      </c>
      <c r="CO26" s="32">
        <v>2459.9609999999998</v>
      </c>
      <c r="CP26" s="440">
        <v>2290.0219999999999</v>
      </c>
      <c r="CQ26" s="83"/>
      <c r="CR26" s="75"/>
      <c r="CS26" s="75"/>
      <c r="CT26" s="75"/>
      <c r="CU26" s="75"/>
      <c r="CV26" s="75"/>
      <c r="CW26" s="75"/>
      <c r="CX26" s="217"/>
      <c r="CY26" s="75">
        <v>245.536</v>
      </c>
      <c r="CZ26" s="231">
        <f t="shared" ref="CZ26:CZ38" si="78">((DA26-CY26)/2)+CY26</f>
        <v>270.86500000000001</v>
      </c>
      <c r="DA26" s="75">
        <f>296194/1000</f>
        <v>296.19400000000002</v>
      </c>
      <c r="DB26" s="32">
        <v>323.80599999999998</v>
      </c>
      <c r="DC26" s="32">
        <v>300.49700000000001</v>
      </c>
      <c r="DD26" s="32">
        <v>297.90899999999999</v>
      </c>
      <c r="DE26" s="32">
        <v>316.20699999999999</v>
      </c>
      <c r="DF26" s="32">
        <v>304.63799999999998</v>
      </c>
      <c r="DG26" s="32">
        <v>315.67200000000003</v>
      </c>
      <c r="DH26" s="32">
        <v>341.15600000000001</v>
      </c>
      <c r="DI26" s="32">
        <v>374.84699999999998</v>
      </c>
      <c r="DJ26" s="231">
        <f t="shared" ref="DJ26:DJ38" si="79">((DK26-DI26)/2)+DI26</f>
        <v>431.065</v>
      </c>
      <c r="DK26" s="32">
        <v>487.28300000000002</v>
      </c>
      <c r="DL26" s="231">
        <f t="shared" ref="DL26:DL38" si="80">((DM26-DK26)/2)+DK26</f>
        <v>534.32449999999994</v>
      </c>
      <c r="DM26" s="32">
        <v>581.36599999999999</v>
      </c>
      <c r="DN26" s="32">
        <v>546.48800000000006</v>
      </c>
      <c r="DO26" s="32">
        <v>578.76</v>
      </c>
      <c r="DP26" s="32">
        <v>625.45600000000002</v>
      </c>
      <c r="DQ26" s="32">
        <v>689.04300000000001</v>
      </c>
      <c r="DR26" s="32">
        <v>719.11900000000003</v>
      </c>
      <c r="DS26" s="32">
        <v>726.98699999999997</v>
      </c>
      <c r="DT26" s="32">
        <v>804.68700000000001</v>
      </c>
      <c r="DU26" s="440">
        <v>894.66</v>
      </c>
      <c r="DV26" s="38"/>
      <c r="DW26" s="219"/>
      <c r="DX26" s="219"/>
      <c r="DY26" s="219"/>
      <c r="DZ26" s="219"/>
      <c r="EA26" s="219"/>
      <c r="EB26" s="219"/>
      <c r="EC26" s="219"/>
      <c r="ED26" s="40">
        <f t="shared" ref="ED26:ED38" si="81">AO26-BT26-CY26</f>
        <v>106.57900000000001</v>
      </c>
      <c r="EE26" s="40">
        <f t="shared" ref="EE26:EE38" si="82">AP26-BU26-CZ26</f>
        <v>94.771499999999833</v>
      </c>
      <c r="EF26" s="40">
        <f t="shared" ref="EF26:EF38" si="83">AQ26-BV26-DA26</f>
        <v>82.963999999999885</v>
      </c>
      <c r="EG26" s="40">
        <f t="shared" ref="EG26:EG38" si="84">(AR26-BW26)-DB26</f>
        <v>73.887</v>
      </c>
      <c r="EH26" s="40">
        <f t="shared" ref="EH26:EH38" si="85">(AS26-BX26)-DC26</f>
        <v>82.910999999999888</v>
      </c>
      <c r="EI26" s="40">
        <f t="shared" ref="EI26:EI38" si="86">(AT26-BY26)-DD26</f>
        <v>90.576999999999884</v>
      </c>
      <c r="EJ26" s="40">
        <f t="shared" ref="EJ26:EJ38" si="87">(AU26-BZ26)-DE26</f>
        <v>77.54200000000003</v>
      </c>
      <c r="EK26" s="40">
        <f t="shared" ref="EK26:EK38" si="88">(AV26-CA26)-DF26</f>
        <v>89.3780000000001</v>
      </c>
      <c r="EL26" s="40">
        <f t="shared" ref="EL26:EL38" si="89">(AW26-CB26)-DG26</f>
        <v>82.547000000000025</v>
      </c>
      <c r="EM26" s="40">
        <f t="shared" ref="EM26:EM38" si="90">(AX26-CC26)-DH26</f>
        <v>76.26099999999991</v>
      </c>
      <c r="EN26" s="40">
        <f t="shared" ref="EN26:EN38" si="91">(AY26-CD26)-DI26</f>
        <v>75.562000000000126</v>
      </c>
      <c r="EO26" s="40">
        <f t="shared" ref="EO26:EO38" si="92">(AZ26-CE26)-DJ26</f>
        <v>109.84449999999998</v>
      </c>
      <c r="EP26" s="40">
        <f t="shared" ref="EP26:EP38" si="93">(BA26-CF26)-DK26</f>
        <v>144.12700000000007</v>
      </c>
      <c r="EQ26" s="40">
        <f t="shared" ref="EQ26:EQ38" si="94">(BB26-CG26)-DL26</f>
        <v>133.83900000000017</v>
      </c>
      <c r="ER26" s="40">
        <f t="shared" ref="ER26:ER38" si="95">(BC26-CH26)-DM26</f>
        <v>123.55099999999993</v>
      </c>
      <c r="ES26" s="40">
        <f t="shared" ref="ES26:ES38" si="96">(BD26-CI26)-DN26</f>
        <v>110.38699999999972</v>
      </c>
      <c r="ET26" s="40">
        <f t="shared" ref="ET26:ET38" si="97">(BE26-CJ26)-DO26</f>
        <v>107.76600000000008</v>
      </c>
      <c r="EU26" s="40">
        <f t="shared" ref="EU26:EU38" si="98">+BF26-CK26-DP26</f>
        <v>113.98499999999979</v>
      </c>
      <c r="EV26" s="40">
        <f t="shared" ref="EV26:EV38" si="99">+BG26-CL26-DQ26</f>
        <v>117.57400000000018</v>
      </c>
      <c r="EW26" s="40">
        <f t="shared" ref="EW26:EW38" si="100">+BH26-CM26-DR26</f>
        <v>137.22699999999998</v>
      </c>
      <c r="EX26" s="40">
        <f t="shared" ref="EX26:EX38" si="101">+BI26-CN26-DS26</f>
        <v>155.1479999999998</v>
      </c>
      <c r="EY26" s="40">
        <f t="shared" ref="EY26:EY38" si="102">+BJ26-CO26-DT26</f>
        <v>155.65800000000024</v>
      </c>
      <c r="EZ26" s="40">
        <f t="shared" ref="EZ26:EZ38" si="103">+BK26-CP26-DU26</f>
        <v>173.85800000000006</v>
      </c>
      <c r="FA26" s="179"/>
      <c r="FB26" s="75"/>
      <c r="FC26" s="75"/>
      <c r="FD26" s="75"/>
      <c r="FE26" s="75"/>
      <c r="FF26" s="75"/>
      <c r="FG26" s="75"/>
      <c r="FH26" s="217"/>
      <c r="FI26" s="75">
        <f>374.712+60.955+145.218+22.374+0.641</f>
        <v>603.9</v>
      </c>
      <c r="FJ26" s="231">
        <f t="shared" ref="FJ26:FJ38" si="104">((FK26-FI26)/2)+FI26</f>
        <v>637.76099999999997</v>
      </c>
      <c r="FK26" s="75">
        <v>671.62199999999996</v>
      </c>
      <c r="FL26" s="32">
        <v>755.37400000000002</v>
      </c>
      <c r="FM26" s="32">
        <v>813.65899999999999</v>
      </c>
      <c r="FN26" s="32">
        <v>846.72500000000002</v>
      </c>
      <c r="FO26" s="32">
        <v>923.80700000000002</v>
      </c>
      <c r="FP26" s="32">
        <v>962.73299999999995</v>
      </c>
      <c r="FQ26" s="32">
        <v>978.49599999999998</v>
      </c>
      <c r="FR26" s="32">
        <v>999.97</v>
      </c>
      <c r="FS26" s="32">
        <v>1109.3900000000001</v>
      </c>
      <c r="FT26" s="231">
        <f t="shared" ref="FT26:FT38" si="105">((FU26-FS26)/2)+FS26</f>
        <v>1234.2850000000001</v>
      </c>
      <c r="FU26" s="32">
        <v>1359.18</v>
      </c>
      <c r="FV26" s="231">
        <f t="shared" ref="FV26:FV38" si="106">((FW26-FU26)/2)+FU26</f>
        <v>1517.2809999999999</v>
      </c>
      <c r="FW26" s="32">
        <v>1675.3820000000001</v>
      </c>
      <c r="FX26" s="32">
        <v>1762.8009999999999</v>
      </c>
      <c r="FY26" s="32">
        <v>1792.88</v>
      </c>
      <c r="FZ26" s="32">
        <v>1874.8510000000001</v>
      </c>
      <c r="GA26" s="32">
        <v>1912.367</v>
      </c>
      <c r="GB26" s="32">
        <v>2071.3330000000001</v>
      </c>
      <c r="GC26" s="32">
        <v>2418.884</v>
      </c>
      <c r="GD26" s="32">
        <v>2553.31</v>
      </c>
      <c r="GE26" s="440">
        <v>2628.886</v>
      </c>
      <c r="GF26" s="83"/>
      <c r="GG26" s="75"/>
      <c r="GH26" s="75"/>
      <c r="GI26" s="75"/>
      <c r="GJ26" s="75"/>
      <c r="GK26" s="75"/>
      <c r="GL26" s="75"/>
      <c r="GM26" s="217"/>
      <c r="GN26" s="75">
        <f>536.308+86.297+2.946+25.933+0.014+107.756+45.375+114.904+30.199+207.828+72.94+69.84+67.544+25.033</f>
        <v>1392.9169999999999</v>
      </c>
      <c r="GO26" s="231">
        <f t="shared" ref="GO26:GO38" si="107">((GP26-GN26)/2)+GN26</f>
        <v>1490.8789999999999</v>
      </c>
      <c r="GP26" s="75">
        <v>1588.8409999999999</v>
      </c>
      <c r="GQ26" s="32">
        <v>1657.5150000000001</v>
      </c>
      <c r="GR26" s="32">
        <v>1741.259</v>
      </c>
      <c r="GS26" s="32">
        <v>1705.6579999999999</v>
      </c>
      <c r="GT26" s="32">
        <v>1768.806</v>
      </c>
      <c r="GU26" s="32">
        <v>1837.4770000000001</v>
      </c>
      <c r="GV26" s="32">
        <v>1840.912</v>
      </c>
      <c r="GW26" s="32">
        <v>1941.066</v>
      </c>
      <c r="GX26" s="32">
        <v>2112.0169999999998</v>
      </c>
      <c r="GY26" s="231">
        <f t="shared" ref="GY26:GY38" si="108">((GZ26-GX26)/2)+GX26</f>
        <v>2204.5320000000002</v>
      </c>
      <c r="GZ26" s="32">
        <v>2297.047</v>
      </c>
      <c r="HA26" s="231">
        <f t="shared" ref="HA26:HA38" si="109">((HB26-GZ26)/2)+GZ26</f>
        <v>2362.0115000000001</v>
      </c>
      <c r="HB26" s="32">
        <v>2426.9760000000001</v>
      </c>
      <c r="HC26" s="32">
        <v>2640.4259999999999</v>
      </c>
      <c r="HD26" s="32">
        <v>2759.694</v>
      </c>
      <c r="HE26" s="32">
        <v>3069.6779999999999</v>
      </c>
      <c r="HF26" s="32">
        <v>3329.9110000000001</v>
      </c>
      <c r="HG26" s="32">
        <v>3552.4769999999999</v>
      </c>
      <c r="HH26" s="32">
        <v>3993.7339999999999</v>
      </c>
      <c r="HI26" s="32">
        <v>3873.694</v>
      </c>
      <c r="HJ26" s="440">
        <v>3570.4459999999999</v>
      </c>
      <c r="HK26" s="83"/>
      <c r="HL26" s="75"/>
      <c r="HM26" s="75"/>
      <c r="HN26" s="75"/>
      <c r="HO26" s="75"/>
      <c r="HP26" s="75"/>
      <c r="HQ26" s="75"/>
      <c r="HR26" s="217"/>
      <c r="HS26" s="75">
        <f>138.745+90.108+35.081+97.049</f>
        <v>360.98300000000006</v>
      </c>
      <c r="HT26" s="231">
        <f t="shared" ref="HT26:HT38" si="110">((HU26-HS26)/2)+HS26</f>
        <v>378.76350000000002</v>
      </c>
      <c r="HU26" s="75">
        <v>396.54399999999998</v>
      </c>
      <c r="HV26" s="32">
        <v>401.279</v>
      </c>
      <c r="HW26" s="32">
        <v>439.79199999999997</v>
      </c>
      <c r="HX26" s="32">
        <v>489.029</v>
      </c>
      <c r="HY26" s="32">
        <v>475.78399999999999</v>
      </c>
      <c r="HZ26" s="32">
        <v>492.959</v>
      </c>
      <c r="IA26" s="32">
        <v>507.52499999999998</v>
      </c>
      <c r="IB26" s="32">
        <v>482.89600000000002</v>
      </c>
      <c r="IC26" s="32">
        <v>504.09899999999999</v>
      </c>
      <c r="ID26" s="231">
        <f t="shared" ref="ID26:ID38" si="111">((IE26-IC26)/2)+IC26</f>
        <v>513.4325</v>
      </c>
      <c r="IE26" s="32">
        <v>522.76599999999996</v>
      </c>
      <c r="IF26" s="231">
        <f t="shared" ref="IF26:IF38" si="112">((IG26-IE26)/2)+IE26</f>
        <v>557.96349999999995</v>
      </c>
      <c r="IG26" s="32">
        <v>593.16099999999994</v>
      </c>
      <c r="IH26" s="32">
        <v>584.39700000000005</v>
      </c>
      <c r="II26" s="32">
        <v>666.78</v>
      </c>
      <c r="IJ26" s="32">
        <v>724.49199999999996</v>
      </c>
      <c r="IK26" s="32">
        <v>787.98800000000006</v>
      </c>
      <c r="IL26" s="32">
        <v>825.02599999999995</v>
      </c>
      <c r="IM26" s="32">
        <v>903.92100000000005</v>
      </c>
      <c r="IN26" s="32">
        <v>859.92499999999995</v>
      </c>
      <c r="IO26" s="440">
        <v>939.46199999999999</v>
      </c>
      <c r="IP26" s="83"/>
      <c r="IQ26" s="75"/>
      <c r="IR26" s="75"/>
      <c r="IS26" s="75"/>
      <c r="IT26" s="75"/>
      <c r="IU26" s="75"/>
      <c r="IV26" s="75"/>
      <c r="IW26" s="217"/>
      <c r="IX26" s="75">
        <f>792.639+70.254+889.833</f>
        <v>1752.7260000000001</v>
      </c>
      <c r="IY26" s="231">
        <f t="shared" ref="IY26:IY38" si="113">((IZ26-IX26)/2)+IX26</f>
        <v>1809.2139999999999</v>
      </c>
      <c r="IZ26" s="75">
        <v>1865.702</v>
      </c>
      <c r="JA26" s="32">
        <v>1830.1769999999999</v>
      </c>
      <c r="JB26" s="47">
        <v>1781.6949999999999</v>
      </c>
      <c r="JC26" s="47">
        <v>1788.6669999999999</v>
      </c>
      <c r="JD26" s="47">
        <v>1657.413</v>
      </c>
      <c r="JE26" s="47">
        <v>1796.1569999999999</v>
      </c>
      <c r="JF26" s="17">
        <v>1984.0840000000001</v>
      </c>
      <c r="JG26" s="17">
        <v>2048.5590000000002</v>
      </c>
      <c r="JH26" s="17">
        <v>2201.6410000000001</v>
      </c>
      <c r="JI26" s="231">
        <f t="shared" ref="JI26:JI38" si="114">((JJ26-JH26)/2)+JH26</f>
        <v>2167.8244999999997</v>
      </c>
      <c r="JJ26" s="17">
        <v>2134.0079999999998</v>
      </c>
      <c r="JK26" s="231">
        <f t="shared" ref="JK26:JK38" si="115">((JL26-JJ26)/2)+JJ26</f>
        <v>1805.0049999999999</v>
      </c>
      <c r="JL26" s="17">
        <v>1476.002</v>
      </c>
      <c r="JM26" s="17">
        <v>1421.49</v>
      </c>
      <c r="JN26" s="17">
        <v>1661.307</v>
      </c>
      <c r="JO26" s="32">
        <v>2035.5820000000001</v>
      </c>
      <c r="JP26" s="32">
        <v>2449.9589999999998</v>
      </c>
      <c r="JQ26" s="32">
        <v>2831.18</v>
      </c>
      <c r="JR26" s="32">
        <v>2157.5140000000001</v>
      </c>
      <c r="JS26" s="17">
        <v>2083.2420000000002</v>
      </c>
      <c r="JT26" s="450">
        <v>2150.9169999999999</v>
      </c>
    </row>
    <row r="27" spans="1:280" s="17" customFormat="1" ht="12.75" customHeight="1">
      <c r="A27" s="222" t="s">
        <v>48</v>
      </c>
      <c r="J27" s="17">
        <v>13040.036</v>
      </c>
      <c r="K27" s="231">
        <f t="shared" si="69"/>
        <v>13244.175999999999</v>
      </c>
      <c r="L27" s="17">
        <v>13448.316000000001</v>
      </c>
      <c r="M27" s="17">
        <v>14195.414000000001</v>
      </c>
      <c r="N27" s="214">
        <v>15033.333000000001</v>
      </c>
      <c r="O27" s="32">
        <v>15853.3</v>
      </c>
      <c r="P27" s="32">
        <v>16949.913</v>
      </c>
      <c r="Q27" s="32">
        <v>17769.150000000001</v>
      </c>
      <c r="R27" s="32">
        <v>18642.285</v>
      </c>
      <c r="S27" s="32">
        <v>20302.006000000001</v>
      </c>
      <c r="T27" s="32">
        <v>23262.124</v>
      </c>
      <c r="U27" s="231">
        <f t="shared" si="70"/>
        <v>24257.297500000001</v>
      </c>
      <c r="V27" s="32">
        <v>25252.471000000001</v>
      </c>
      <c r="W27" s="231">
        <f t="shared" si="71"/>
        <v>27663.9195</v>
      </c>
      <c r="X27" s="32">
        <v>30075.367999999999</v>
      </c>
      <c r="Y27" s="32">
        <v>32928.754000000001</v>
      </c>
      <c r="Z27" s="32">
        <v>35808.089</v>
      </c>
      <c r="AA27" s="32">
        <v>39288.303</v>
      </c>
      <c r="AB27" s="32">
        <v>43224.341999999997</v>
      </c>
      <c r="AC27" s="32">
        <v>43939.249000000003</v>
      </c>
      <c r="AD27" s="32">
        <v>43156.813999999998</v>
      </c>
      <c r="AE27" s="32">
        <v>42684.745999999999</v>
      </c>
      <c r="AF27" s="440">
        <v>41567.29</v>
      </c>
      <c r="AG27" s="184"/>
      <c r="AO27" s="17">
        <f>4457.302+77.701</f>
        <v>4535.0029999999997</v>
      </c>
      <c r="AP27" s="231">
        <f t="shared" si="72"/>
        <v>4715.7435000000005</v>
      </c>
      <c r="AQ27" s="30">
        <v>4896.4840000000004</v>
      </c>
      <c r="AR27" s="32">
        <v>5228.8159999999998</v>
      </c>
      <c r="AS27" s="32">
        <v>5356.4449999999997</v>
      </c>
      <c r="AT27" s="32">
        <v>5786.5749999999998</v>
      </c>
      <c r="AU27" s="32">
        <v>6235.0649999999996</v>
      </c>
      <c r="AV27" s="32">
        <v>6283.9570000000003</v>
      </c>
      <c r="AW27" s="32">
        <v>6625.6549999999997</v>
      </c>
      <c r="AX27" s="32">
        <v>7531.7539999999999</v>
      </c>
      <c r="AY27" s="32">
        <v>7987.0820000000003</v>
      </c>
      <c r="AZ27" s="231">
        <f t="shared" si="73"/>
        <v>8460.5325000000012</v>
      </c>
      <c r="BA27" s="32">
        <v>8933.9830000000002</v>
      </c>
      <c r="BB27" s="231">
        <f t="shared" si="74"/>
        <v>9573.6445000000003</v>
      </c>
      <c r="BC27" s="32">
        <v>10213.306</v>
      </c>
      <c r="BD27" s="32">
        <v>11025.8</v>
      </c>
      <c r="BE27" s="32">
        <v>11957.871999999999</v>
      </c>
      <c r="BF27" s="32">
        <v>13158.882</v>
      </c>
      <c r="BG27" s="32">
        <v>14267.196</v>
      </c>
      <c r="BH27" s="32">
        <v>14246.674999999999</v>
      </c>
      <c r="BI27" s="32">
        <v>13668.828</v>
      </c>
      <c r="BJ27" s="32">
        <v>13548.411</v>
      </c>
      <c r="BK27" s="440">
        <v>13677.128000000001</v>
      </c>
      <c r="BL27" s="37"/>
      <c r="BM27" s="75"/>
      <c r="BN27" s="75"/>
      <c r="BO27" s="75"/>
      <c r="BP27" s="75"/>
      <c r="BQ27" s="75"/>
      <c r="BR27" s="75"/>
      <c r="BS27" s="217"/>
      <c r="BT27" s="75">
        <v>2824.8040000000001</v>
      </c>
      <c r="BU27" s="231">
        <f t="shared" si="75"/>
        <v>3013.5754999999999</v>
      </c>
      <c r="BV27" s="75">
        <v>3202.3470000000002</v>
      </c>
      <c r="BW27" s="32">
        <v>3462.9270000000001</v>
      </c>
      <c r="BX27" s="32">
        <v>3531.7640000000001</v>
      </c>
      <c r="BY27" s="32">
        <v>3814.1930000000002</v>
      </c>
      <c r="BZ27" s="32">
        <v>4085.2240000000002</v>
      </c>
      <c r="CA27" s="32">
        <v>4185.5450000000001</v>
      </c>
      <c r="CB27" s="32">
        <v>4465.3059999999996</v>
      </c>
      <c r="CC27" s="32">
        <v>4874.3680000000004</v>
      </c>
      <c r="CD27" s="32">
        <v>5113.9449999999997</v>
      </c>
      <c r="CE27" s="231">
        <f t="shared" si="76"/>
        <v>5441.9110000000001</v>
      </c>
      <c r="CF27" s="32">
        <v>5769.8770000000004</v>
      </c>
      <c r="CG27" s="231">
        <f t="shared" si="77"/>
        <v>6149.8040000000001</v>
      </c>
      <c r="CH27" s="32">
        <v>6529.7309999999998</v>
      </c>
      <c r="CI27" s="32">
        <v>6941.6260000000002</v>
      </c>
      <c r="CJ27" s="32">
        <v>7737.7420000000002</v>
      </c>
      <c r="CK27" s="32">
        <v>8509.08</v>
      </c>
      <c r="CL27" s="32">
        <v>9183.7099999999991</v>
      </c>
      <c r="CM27" s="32">
        <v>9091.2469999999994</v>
      </c>
      <c r="CN27" s="32">
        <v>8333.223</v>
      </c>
      <c r="CO27" s="32">
        <v>8066.2550000000001</v>
      </c>
      <c r="CP27" s="440">
        <v>7896.97</v>
      </c>
      <c r="CQ27" s="37"/>
      <c r="CR27" s="75"/>
      <c r="CS27" s="75"/>
      <c r="CT27" s="75"/>
      <c r="CU27" s="75"/>
      <c r="CV27" s="75"/>
      <c r="CW27" s="75"/>
      <c r="CX27" s="217"/>
      <c r="CY27" s="75">
        <v>1502.43</v>
      </c>
      <c r="CZ27" s="231">
        <f t="shared" si="78"/>
        <v>1489.6765</v>
      </c>
      <c r="DA27" s="75">
        <f>1476923/1000</f>
        <v>1476.923</v>
      </c>
      <c r="DB27" s="32">
        <v>1503.2850000000001</v>
      </c>
      <c r="DC27" s="32">
        <v>1569.19</v>
      </c>
      <c r="DD27" s="32">
        <v>1695.6220000000001</v>
      </c>
      <c r="DE27" s="32">
        <v>1819.3630000000001</v>
      </c>
      <c r="DF27" s="32">
        <v>1696.816</v>
      </c>
      <c r="DG27" s="32">
        <v>1802.374</v>
      </c>
      <c r="DH27" s="32">
        <v>2265.2959999999998</v>
      </c>
      <c r="DI27" s="32">
        <v>2468.7399999999998</v>
      </c>
      <c r="DJ27" s="231">
        <f t="shared" si="79"/>
        <v>2585.8229999999999</v>
      </c>
      <c r="DK27" s="32">
        <v>2702.9059999999999</v>
      </c>
      <c r="DL27" s="231">
        <f t="shared" si="80"/>
        <v>2915.328</v>
      </c>
      <c r="DM27" s="32">
        <v>3127.75</v>
      </c>
      <c r="DN27" s="32">
        <v>3448.3029999999999</v>
      </c>
      <c r="DO27" s="32">
        <v>3574.9470000000001</v>
      </c>
      <c r="DP27" s="32">
        <v>3925.4859999999999</v>
      </c>
      <c r="DQ27" s="32">
        <v>4249.8440000000001</v>
      </c>
      <c r="DR27" s="32">
        <v>4242.5190000000002</v>
      </c>
      <c r="DS27" s="32">
        <v>4407.8059999999996</v>
      </c>
      <c r="DT27" s="32">
        <v>4581.9650000000001</v>
      </c>
      <c r="DU27" s="440">
        <v>4765.3500000000004</v>
      </c>
      <c r="DV27" s="38"/>
      <c r="DW27" s="219"/>
      <c r="DX27" s="219"/>
      <c r="DY27" s="219"/>
      <c r="DZ27" s="219"/>
      <c r="EA27" s="219"/>
      <c r="EB27" s="219"/>
      <c r="EC27" s="219"/>
      <c r="ED27" s="40">
        <f t="shared" si="81"/>
        <v>207.76899999999955</v>
      </c>
      <c r="EE27" s="40">
        <f t="shared" si="82"/>
        <v>212.49150000000054</v>
      </c>
      <c r="EF27" s="40">
        <f t="shared" si="83"/>
        <v>217.21400000000017</v>
      </c>
      <c r="EG27" s="40">
        <f t="shared" si="84"/>
        <v>262.60399999999959</v>
      </c>
      <c r="EH27" s="40">
        <f t="shared" si="85"/>
        <v>255.49099999999953</v>
      </c>
      <c r="EI27" s="40">
        <f t="shared" si="86"/>
        <v>276.75999999999954</v>
      </c>
      <c r="EJ27" s="40">
        <f t="shared" si="87"/>
        <v>330.47799999999938</v>
      </c>
      <c r="EK27" s="40">
        <f t="shared" si="88"/>
        <v>401.59600000000023</v>
      </c>
      <c r="EL27" s="40">
        <f t="shared" si="89"/>
        <v>357.97500000000014</v>
      </c>
      <c r="EM27" s="40">
        <f t="shared" si="90"/>
        <v>392.08999999999969</v>
      </c>
      <c r="EN27" s="40">
        <f t="shared" si="91"/>
        <v>404.39700000000084</v>
      </c>
      <c r="EO27" s="40">
        <f t="shared" si="92"/>
        <v>432.79850000000124</v>
      </c>
      <c r="EP27" s="40">
        <f t="shared" si="93"/>
        <v>461.19999999999982</v>
      </c>
      <c r="EQ27" s="40">
        <f t="shared" si="94"/>
        <v>508.51250000000027</v>
      </c>
      <c r="ER27" s="40">
        <f t="shared" si="95"/>
        <v>555.82500000000073</v>
      </c>
      <c r="ES27" s="40">
        <f t="shared" si="96"/>
        <v>635.87099999999919</v>
      </c>
      <c r="ET27" s="40">
        <f t="shared" si="97"/>
        <v>645.18299999999908</v>
      </c>
      <c r="EU27" s="40">
        <f t="shared" si="98"/>
        <v>724.3159999999998</v>
      </c>
      <c r="EV27" s="40">
        <f t="shared" si="99"/>
        <v>833.64200000000073</v>
      </c>
      <c r="EW27" s="40">
        <f t="shared" si="100"/>
        <v>912.90899999999965</v>
      </c>
      <c r="EX27" s="40">
        <f t="shared" si="101"/>
        <v>927.79899999999998</v>
      </c>
      <c r="EY27" s="40">
        <f t="shared" si="102"/>
        <v>900.1909999999998</v>
      </c>
      <c r="EZ27" s="40">
        <f t="shared" si="103"/>
        <v>1014.808</v>
      </c>
      <c r="FA27" s="176"/>
      <c r="FB27" s="75"/>
      <c r="FC27" s="75"/>
      <c r="FD27" s="75"/>
      <c r="FE27" s="75"/>
      <c r="FF27" s="75"/>
      <c r="FG27" s="75"/>
      <c r="FH27" s="217"/>
      <c r="FI27" s="75">
        <f>1284.246+314.436+312.378+20.644+1.647</f>
        <v>1933.3509999999999</v>
      </c>
      <c r="FJ27" s="231">
        <f t="shared" si="104"/>
        <v>2299.6999999999998</v>
      </c>
      <c r="FK27" s="75">
        <v>2666.049</v>
      </c>
      <c r="FL27" s="32">
        <v>3074.922</v>
      </c>
      <c r="FM27" s="32">
        <v>3288.8389999999999</v>
      </c>
      <c r="FN27" s="32">
        <v>3345.6</v>
      </c>
      <c r="FO27" s="32">
        <v>3514.7959999999998</v>
      </c>
      <c r="FP27" s="32">
        <v>3541.7530000000002</v>
      </c>
      <c r="FQ27" s="32">
        <v>3496.221</v>
      </c>
      <c r="FR27" s="32">
        <v>2932.3150000000001</v>
      </c>
      <c r="FS27" s="32">
        <v>4426.6080000000002</v>
      </c>
      <c r="FT27" s="231">
        <f t="shared" si="105"/>
        <v>4497.0115000000005</v>
      </c>
      <c r="FU27" s="32">
        <v>4567.415</v>
      </c>
      <c r="FV27" s="231">
        <f t="shared" si="106"/>
        <v>5801.4269999999997</v>
      </c>
      <c r="FW27" s="32">
        <v>7035.4390000000003</v>
      </c>
      <c r="FX27" s="32">
        <v>8220.9439999999995</v>
      </c>
      <c r="FY27" s="32">
        <v>8506.0630000000001</v>
      </c>
      <c r="FZ27" s="32">
        <v>9276.7009999999991</v>
      </c>
      <c r="GA27" s="32">
        <v>10311.906000000001</v>
      </c>
      <c r="GB27" s="32">
        <v>11024.75</v>
      </c>
      <c r="GC27" s="32">
        <v>11743.339</v>
      </c>
      <c r="GD27" s="32">
        <v>12245.215</v>
      </c>
      <c r="GE27" s="440">
        <v>11869.828</v>
      </c>
      <c r="GF27" s="37"/>
      <c r="GG27" s="75"/>
      <c r="GH27" s="75"/>
      <c r="GI27" s="75"/>
      <c r="GJ27" s="75"/>
      <c r="GK27" s="75"/>
      <c r="GL27" s="75"/>
      <c r="GM27" s="217"/>
      <c r="GN27" s="75">
        <f>1708.197+219.638+4.802+559.627+189.89+456.535+83.928+403.756+231.237+139.141+279.234+116.326</f>
        <v>4392.3109999999997</v>
      </c>
      <c r="GO27" s="231">
        <f t="shared" si="107"/>
        <v>3981.4380000000001</v>
      </c>
      <c r="GP27" s="75">
        <v>3570.5650000000001</v>
      </c>
      <c r="GQ27" s="32">
        <v>3644.3449999999998</v>
      </c>
      <c r="GR27" s="32">
        <v>3983.134</v>
      </c>
      <c r="GS27" s="32">
        <v>4153.6270000000004</v>
      </c>
      <c r="GT27" s="32">
        <v>4650.2830000000004</v>
      </c>
      <c r="GU27" s="32">
        <v>5320.5249999999996</v>
      </c>
      <c r="GV27" s="32">
        <v>5591.9219999999996</v>
      </c>
      <c r="GW27" s="32">
        <v>6354.4970000000003</v>
      </c>
      <c r="GX27" s="32">
        <v>7076.0219999999999</v>
      </c>
      <c r="GY27" s="231">
        <f t="shared" si="108"/>
        <v>7381.6134999999995</v>
      </c>
      <c r="GZ27" s="32">
        <v>7687.2049999999999</v>
      </c>
      <c r="HA27" s="231">
        <f t="shared" si="109"/>
        <v>8270.5709999999999</v>
      </c>
      <c r="HB27" s="32">
        <v>8853.9369999999999</v>
      </c>
      <c r="HC27" s="32">
        <v>9278.48</v>
      </c>
      <c r="HD27" s="32">
        <v>10356.216</v>
      </c>
      <c r="HE27" s="32">
        <v>11761.593000000001</v>
      </c>
      <c r="HF27" s="32">
        <v>12627.743</v>
      </c>
      <c r="HG27" s="32">
        <v>12774.531000000001</v>
      </c>
      <c r="HH27" s="32">
        <v>11880.790999999999</v>
      </c>
      <c r="HI27" s="32">
        <v>11064.732</v>
      </c>
      <c r="HJ27" s="440">
        <v>10794.687</v>
      </c>
      <c r="HK27" s="37"/>
      <c r="HL27" s="75"/>
      <c r="HM27" s="75"/>
      <c r="HN27" s="75"/>
      <c r="HO27" s="75"/>
      <c r="HP27" s="75"/>
      <c r="HQ27" s="75"/>
      <c r="HR27" s="217"/>
      <c r="HS27" s="75">
        <f>265.603+279.381+70.648+135.144</f>
        <v>750.77599999999995</v>
      </c>
      <c r="HT27" s="231">
        <f t="shared" si="110"/>
        <v>813.65899999999999</v>
      </c>
      <c r="HU27" s="75">
        <v>876.54200000000003</v>
      </c>
      <c r="HV27" s="32">
        <v>920.29899999999998</v>
      </c>
      <c r="HW27" s="32">
        <v>970.27</v>
      </c>
      <c r="HX27" s="32">
        <v>1022.022</v>
      </c>
      <c r="HY27" s="32">
        <v>1090.2750000000001</v>
      </c>
      <c r="HZ27" s="32">
        <v>1112.7349999999999</v>
      </c>
      <c r="IA27" s="32">
        <v>1255.279</v>
      </c>
      <c r="IB27" s="32">
        <v>1423.471</v>
      </c>
      <c r="IC27" s="32">
        <v>1521.826</v>
      </c>
      <c r="ID27" s="231">
        <f t="shared" si="111"/>
        <v>1582.7750000000001</v>
      </c>
      <c r="IE27" s="32">
        <v>1643.7239999999999</v>
      </c>
      <c r="IF27" s="231">
        <f t="shared" si="112"/>
        <v>1680.922</v>
      </c>
      <c r="IG27" s="32">
        <v>1718.12</v>
      </c>
      <c r="IH27" s="32">
        <v>1994.1020000000001</v>
      </c>
      <c r="II27" s="32">
        <v>2211.9940000000001</v>
      </c>
      <c r="IJ27" s="32">
        <v>2403.982</v>
      </c>
      <c r="IK27" s="32">
        <v>2629.2350000000001</v>
      </c>
      <c r="IL27" s="32">
        <v>2441.5430000000001</v>
      </c>
      <c r="IM27" s="32">
        <v>2377.873</v>
      </c>
      <c r="IN27" s="32">
        <v>2203.6010000000001</v>
      </c>
      <c r="IO27" s="440">
        <v>2178.5239999999999</v>
      </c>
      <c r="IP27" s="143"/>
      <c r="IQ27" s="75"/>
      <c r="IR27" s="75"/>
      <c r="IS27" s="75"/>
      <c r="IT27" s="75"/>
      <c r="IU27" s="75"/>
      <c r="IV27" s="75"/>
      <c r="IW27" s="217"/>
      <c r="IX27" s="75">
        <f>938.959+489.636</f>
        <v>1428.595</v>
      </c>
      <c r="IY27" s="231">
        <f t="shared" si="113"/>
        <v>1433.6354999999999</v>
      </c>
      <c r="IZ27" s="75">
        <v>1438.6759999999999</v>
      </c>
      <c r="JA27" s="32">
        <v>1327.0319999999999</v>
      </c>
      <c r="JB27" s="47">
        <v>1434.645</v>
      </c>
      <c r="JC27" s="47">
        <v>1545.4760000000001</v>
      </c>
      <c r="JD27" s="47">
        <v>1459.4939999999999</v>
      </c>
      <c r="JE27" s="47">
        <v>1510.18</v>
      </c>
      <c r="JF27" s="17">
        <v>1673.2080000000001</v>
      </c>
      <c r="JG27" s="17">
        <v>2059.9690000000001</v>
      </c>
      <c r="JH27" s="17">
        <v>2250.5859999999998</v>
      </c>
      <c r="JI27" s="231">
        <f t="shared" si="114"/>
        <v>2335.3649999999998</v>
      </c>
      <c r="JJ27" s="17">
        <v>2420.1439999999998</v>
      </c>
      <c r="JK27" s="231">
        <f t="shared" si="115"/>
        <v>2337.3549999999996</v>
      </c>
      <c r="JL27" s="17">
        <v>2254.5659999999998</v>
      </c>
      <c r="JM27" s="17">
        <v>2409.4279999999999</v>
      </c>
      <c r="JN27" s="17">
        <v>2775.944</v>
      </c>
      <c r="JO27" s="32">
        <v>2687.145</v>
      </c>
      <c r="JP27" s="32">
        <v>3388.2620000000002</v>
      </c>
      <c r="JQ27" s="32">
        <v>3451.75</v>
      </c>
      <c r="JR27" s="32">
        <v>3485.982</v>
      </c>
      <c r="JS27" s="17">
        <v>3622.7869999999998</v>
      </c>
      <c r="JT27" s="450">
        <v>3047.123</v>
      </c>
    </row>
    <row r="28" spans="1:280" s="17" customFormat="1" ht="12.75" customHeight="1">
      <c r="A28" s="222" t="s">
        <v>49</v>
      </c>
      <c r="J28" s="17">
        <v>112945.261</v>
      </c>
      <c r="K28" s="231">
        <f t="shared" si="69"/>
        <v>122723.0215</v>
      </c>
      <c r="L28" s="17">
        <v>132500.78200000001</v>
      </c>
      <c r="M28" s="17">
        <v>136871.98300000001</v>
      </c>
      <c r="N28" s="214">
        <v>140655.83499999999</v>
      </c>
      <c r="O28" s="32">
        <v>147506.008</v>
      </c>
      <c r="P28" s="32">
        <v>153509.86499999999</v>
      </c>
      <c r="Q28" s="32">
        <v>160856.56700000001</v>
      </c>
      <c r="R28" s="32">
        <v>170054.7</v>
      </c>
      <c r="S28" s="32">
        <v>183165.06299999999</v>
      </c>
      <c r="T28" s="32">
        <v>198296.45300000001</v>
      </c>
      <c r="U28" s="231">
        <f t="shared" si="70"/>
        <v>218399.60399999999</v>
      </c>
      <c r="V28" s="32">
        <v>238502.755</v>
      </c>
      <c r="W28" s="231">
        <f t="shared" si="71"/>
        <v>251442.7225</v>
      </c>
      <c r="X28" s="32">
        <v>264382.69</v>
      </c>
      <c r="Y28" s="32">
        <v>279162.92700000003</v>
      </c>
      <c r="Z28" s="32">
        <v>295239.04499999998</v>
      </c>
      <c r="AA28" s="32">
        <v>318340.89</v>
      </c>
      <c r="AB28" s="32">
        <v>338922.27100000001</v>
      </c>
      <c r="AC28" s="32">
        <v>345162.48100000003</v>
      </c>
      <c r="AD28" s="32">
        <v>343113.10800000001</v>
      </c>
      <c r="AE28" s="32">
        <v>356555.07799999998</v>
      </c>
      <c r="AF28" s="440">
        <v>351547.902</v>
      </c>
      <c r="AG28" s="184"/>
      <c r="AO28" s="17">
        <f>35374.615+558.146</f>
        <v>35932.760999999999</v>
      </c>
      <c r="AP28" s="231">
        <f t="shared" si="72"/>
        <v>37946.335500000001</v>
      </c>
      <c r="AQ28" s="30">
        <v>39959.910000000003</v>
      </c>
      <c r="AR28" s="32">
        <v>40065.858</v>
      </c>
      <c r="AS28" s="32">
        <v>39504.749000000003</v>
      </c>
      <c r="AT28" s="32">
        <v>41881.603000000003</v>
      </c>
      <c r="AU28" s="32">
        <v>44511.093000000001</v>
      </c>
      <c r="AV28" s="32">
        <v>47470.52</v>
      </c>
      <c r="AW28" s="32">
        <v>52907.315000000002</v>
      </c>
      <c r="AX28" s="32">
        <v>57417.521999999997</v>
      </c>
      <c r="AY28" s="32">
        <v>64377.205000000002</v>
      </c>
      <c r="AZ28" s="231">
        <f t="shared" si="73"/>
        <v>71115.52900000001</v>
      </c>
      <c r="BA28" s="32">
        <v>77853.853000000003</v>
      </c>
      <c r="BB28" s="231">
        <f t="shared" si="74"/>
        <v>81694.375</v>
      </c>
      <c r="BC28" s="32">
        <v>85534.896999999997</v>
      </c>
      <c r="BD28" s="32">
        <v>89896.213000000003</v>
      </c>
      <c r="BE28" s="32">
        <v>93910.523000000001</v>
      </c>
      <c r="BF28" s="32">
        <v>99844.527000000002</v>
      </c>
      <c r="BG28" s="32">
        <v>105374.05499999999</v>
      </c>
      <c r="BH28" s="32">
        <v>105551.45699999999</v>
      </c>
      <c r="BI28" s="32">
        <v>103815.124</v>
      </c>
      <c r="BJ28" s="32">
        <v>103518.056</v>
      </c>
      <c r="BK28" s="440">
        <v>109115.952</v>
      </c>
      <c r="BL28" s="37"/>
      <c r="BM28" s="75"/>
      <c r="BN28" s="75"/>
      <c r="BO28" s="75"/>
      <c r="BP28" s="75"/>
      <c r="BQ28" s="75"/>
      <c r="BR28" s="75"/>
      <c r="BS28" s="217"/>
      <c r="BT28" s="75">
        <v>24160.546999999999</v>
      </c>
      <c r="BU28" s="231">
        <f t="shared" si="75"/>
        <v>25483.380499999999</v>
      </c>
      <c r="BV28" s="75">
        <v>26806.214</v>
      </c>
      <c r="BW28" s="32">
        <v>26530.114000000001</v>
      </c>
      <c r="BX28" s="32">
        <v>26971.241000000002</v>
      </c>
      <c r="BY28" s="32">
        <v>28350.527999999998</v>
      </c>
      <c r="BZ28" s="32">
        <v>29889.907999999999</v>
      </c>
      <c r="CA28" s="32">
        <v>32310.298999999999</v>
      </c>
      <c r="CB28" s="32">
        <v>36674.004000000001</v>
      </c>
      <c r="CC28" s="32">
        <v>38850.883999999998</v>
      </c>
      <c r="CD28" s="32">
        <v>43135.741999999998</v>
      </c>
      <c r="CE28" s="231">
        <f t="shared" si="76"/>
        <v>48169.317499999997</v>
      </c>
      <c r="CF28" s="32">
        <v>53202.892999999996</v>
      </c>
      <c r="CG28" s="231">
        <f t="shared" si="77"/>
        <v>56075.523999999998</v>
      </c>
      <c r="CH28" s="32">
        <v>58948.154999999999</v>
      </c>
      <c r="CI28" s="32">
        <v>61759.506999999998</v>
      </c>
      <c r="CJ28" s="32">
        <v>64115.35</v>
      </c>
      <c r="CK28" s="32">
        <v>68428.952999999994</v>
      </c>
      <c r="CL28" s="32">
        <v>70687.156000000003</v>
      </c>
      <c r="CM28" s="32">
        <v>69341.892000000007</v>
      </c>
      <c r="CN28" s="32">
        <v>65314.699000000001</v>
      </c>
      <c r="CO28" s="32">
        <v>63482.302000000003</v>
      </c>
      <c r="CP28" s="440">
        <v>66954.179999999993</v>
      </c>
      <c r="CQ28" s="37"/>
      <c r="CR28" s="75"/>
      <c r="CS28" s="75"/>
      <c r="CT28" s="75"/>
      <c r="CU28" s="75"/>
      <c r="CV28" s="75"/>
      <c r="CW28" s="75"/>
      <c r="CX28" s="217"/>
      <c r="CY28" s="75">
        <v>10036.433000000001</v>
      </c>
      <c r="CZ28" s="231">
        <f t="shared" si="78"/>
        <v>10551.496999999999</v>
      </c>
      <c r="DA28" s="75">
        <f>11066561/1000</f>
        <v>11066.561</v>
      </c>
      <c r="DB28" s="32">
        <v>11494.302</v>
      </c>
      <c r="DC28" s="32">
        <v>10126.179</v>
      </c>
      <c r="DD28" s="32">
        <v>10966.737999999999</v>
      </c>
      <c r="DE28" s="32">
        <v>11953.745999999999</v>
      </c>
      <c r="DF28" s="32">
        <v>12347.422</v>
      </c>
      <c r="DG28" s="32">
        <v>13344.691000000001</v>
      </c>
      <c r="DH28" s="32">
        <v>15526.73</v>
      </c>
      <c r="DI28" s="32">
        <v>18009.807000000001</v>
      </c>
      <c r="DJ28" s="231">
        <f t="shared" si="79"/>
        <v>19192.78</v>
      </c>
      <c r="DK28" s="32">
        <v>20375.753000000001</v>
      </c>
      <c r="DL28" s="231">
        <f t="shared" si="80"/>
        <v>21214.652000000002</v>
      </c>
      <c r="DM28" s="32">
        <v>22053.550999999999</v>
      </c>
      <c r="DN28" s="32">
        <v>23272.008000000002</v>
      </c>
      <c r="DO28" s="32">
        <v>24336.273000000001</v>
      </c>
      <c r="DP28" s="32">
        <v>26804.620999999999</v>
      </c>
      <c r="DQ28" s="32">
        <v>29521.422999999999</v>
      </c>
      <c r="DR28" s="32">
        <v>31000.667000000001</v>
      </c>
      <c r="DS28" s="32">
        <v>32342.562000000002</v>
      </c>
      <c r="DT28" s="32">
        <v>33924.656999999999</v>
      </c>
      <c r="DU28" s="440">
        <v>35844.574000000001</v>
      </c>
      <c r="DV28" s="38"/>
      <c r="DW28" s="219"/>
      <c r="DX28" s="219"/>
      <c r="DY28" s="219"/>
      <c r="DZ28" s="219"/>
      <c r="EA28" s="219"/>
      <c r="EB28" s="219"/>
      <c r="EC28" s="219"/>
      <c r="ED28" s="40">
        <f t="shared" si="81"/>
        <v>1735.780999999999</v>
      </c>
      <c r="EE28" s="40">
        <f t="shared" si="82"/>
        <v>1911.4580000000024</v>
      </c>
      <c r="EF28" s="40">
        <f t="shared" si="83"/>
        <v>2087.1350000000039</v>
      </c>
      <c r="EG28" s="40">
        <f t="shared" si="84"/>
        <v>2041.4419999999991</v>
      </c>
      <c r="EH28" s="40">
        <f t="shared" si="85"/>
        <v>2407.3290000000015</v>
      </c>
      <c r="EI28" s="40">
        <f t="shared" si="86"/>
        <v>2564.337000000005</v>
      </c>
      <c r="EJ28" s="40">
        <f t="shared" si="87"/>
        <v>2667.4390000000021</v>
      </c>
      <c r="EK28" s="40">
        <f t="shared" si="88"/>
        <v>2812.7989999999972</v>
      </c>
      <c r="EL28" s="40">
        <f t="shared" si="89"/>
        <v>2888.6200000000008</v>
      </c>
      <c r="EM28" s="40">
        <f t="shared" si="90"/>
        <v>3039.9079999999994</v>
      </c>
      <c r="EN28" s="40">
        <f t="shared" si="91"/>
        <v>3231.6560000000027</v>
      </c>
      <c r="EO28" s="40">
        <f t="shared" si="92"/>
        <v>3753.4315000000133</v>
      </c>
      <c r="EP28" s="40">
        <f t="shared" si="93"/>
        <v>4275.2070000000058</v>
      </c>
      <c r="EQ28" s="40">
        <f t="shared" si="94"/>
        <v>4404.1990000000005</v>
      </c>
      <c r="ER28" s="40">
        <f t="shared" si="95"/>
        <v>4533.1909999999989</v>
      </c>
      <c r="ES28" s="40">
        <f t="shared" si="96"/>
        <v>4864.698000000004</v>
      </c>
      <c r="ET28" s="40">
        <f t="shared" si="97"/>
        <v>5458.9000000000015</v>
      </c>
      <c r="EU28" s="40">
        <f t="shared" si="98"/>
        <v>4610.9530000000086</v>
      </c>
      <c r="EV28" s="40">
        <f t="shared" si="99"/>
        <v>5165.4759999999915</v>
      </c>
      <c r="EW28" s="40">
        <f t="shared" si="100"/>
        <v>5208.8979999999865</v>
      </c>
      <c r="EX28" s="40">
        <f t="shared" si="101"/>
        <v>6157.8629999999939</v>
      </c>
      <c r="EY28" s="40">
        <f t="shared" si="102"/>
        <v>6111.0969999999943</v>
      </c>
      <c r="EZ28" s="40">
        <f t="shared" si="103"/>
        <v>6317.1980000000112</v>
      </c>
      <c r="FA28" s="176"/>
      <c r="FB28" s="75"/>
      <c r="FC28" s="75"/>
      <c r="FD28" s="75"/>
      <c r="FE28" s="75"/>
      <c r="FF28" s="75"/>
      <c r="FG28" s="75"/>
      <c r="FH28" s="217"/>
      <c r="FI28" s="75">
        <f>17127.089+6630.685+3375.756+270.197+19.206</f>
        <v>27422.933000000001</v>
      </c>
      <c r="FJ28" s="231">
        <f t="shared" si="104"/>
        <v>30575.427499999998</v>
      </c>
      <c r="FK28" s="75">
        <v>33727.921999999999</v>
      </c>
      <c r="FL28" s="32">
        <v>35703.610999999997</v>
      </c>
      <c r="FM28" s="32">
        <v>38140.012000000002</v>
      </c>
      <c r="FN28" s="32">
        <v>39005.906000000003</v>
      </c>
      <c r="FO28" s="32">
        <v>39858.392999999996</v>
      </c>
      <c r="FP28" s="32">
        <v>41278.722000000002</v>
      </c>
      <c r="FQ28" s="32">
        <v>41004.819000000003</v>
      </c>
      <c r="FR28" s="32">
        <v>44261.796000000002</v>
      </c>
      <c r="FS28" s="32">
        <v>47672.13</v>
      </c>
      <c r="FT28" s="231">
        <f t="shared" si="105"/>
        <v>52297.145000000004</v>
      </c>
      <c r="FU28" s="32">
        <v>56922.16</v>
      </c>
      <c r="FV28" s="231">
        <f t="shared" si="106"/>
        <v>60872.140500000001</v>
      </c>
      <c r="FW28" s="32">
        <v>64822.120999999999</v>
      </c>
      <c r="FX28" s="32">
        <v>70518.346999999994</v>
      </c>
      <c r="FY28" s="32">
        <v>71185.225999999995</v>
      </c>
      <c r="FZ28" s="32">
        <v>76961.760999999999</v>
      </c>
      <c r="GA28" s="32">
        <v>83277.983999999997</v>
      </c>
      <c r="GB28" s="32">
        <v>86374.099000000002</v>
      </c>
      <c r="GC28" s="32">
        <v>84607.612999999998</v>
      </c>
      <c r="GD28" s="32">
        <v>101412.61599999999</v>
      </c>
      <c r="GE28" s="440">
        <v>96994.846000000005</v>
      </c>
      <c r="GF28" s="37"/>
      <c r="GG28" s="75"/>
      <c r="GH28" s="75"/>
      <c r="GI28" s="75"/>
      <c r="GJ28" s="75"/>
      <c r="GK28" s="75"/>
      <c r="GL28" s="75"/>
      <c r="GM28" s="217"/>
      <c r="GN28" s="75">
        <f>5033.022+583.687+102.599+484.759+64.778+4914.911+2404.771+4368.817+1445.5+2676.705+2213.588+2807.702+2780.368+816.436</f>
        <v>30697.643</v>
      </c>
      <c r="GO28" s="231">
        <f t="shared" si="107"/>
        <v>33156.141499999998</v>
      </c>
      <c r="GP28" s="75">
        <v>35614.639999999999</v>
      </c>
      <c r="GQ28" s="32">
        <v>35890.322</v>
      </c>
      <c r="GR28" s="32">
        <v>38682.758999999998</v>
      </c>
      <c r="GS28" s="32">
        <v>41047.928</v>
      </c>
      <c r="GT28" s="32">
        <v>43545.413999999997</v>
      </c>
      <c r="GU28" s="32">
        <v>44776.303</v>
      </c>
      <c r="GV28" s="32">
        <v>45201.495999999999</v>
      </c>
      <c r="GW28" s="32">
        <v>47870.050999999999</v>
      </c>
      <c r="GX28" s="32">
        <v>51087.853000000003</v>
      </c>
      <c r="GY28" s="231">
        <f t="shared" si="108"/>
        <v>57005.065499999997</v>
      </c>
      <c r="GZ28" s="32">
        <v>62922.277999999998</v>
      </c>
      <c r="HA28" s="231">
        <f t="shared" si="109"/>
        <v>64838.202499999999</v>
      </c>
      <c r="HB28" s="32">
        <v>66754.126999999993</v>
      </c>
      <c r="HC28" s="32">
        <v>72297.498000000007</v>
      </c>
      <c r="HD28" s="32">
        <v>80675.710000000006</v>
      </c>
      <c r="HE28" s="32">
        <v>85729.320999999996</v>
      </c>
      <c r="HF28" s="32">
        <v>93742.937999999995</v>
      </c>
      <c r="HG28" s="32">
        <v>94604.130999999994</v>
      </c>
      <c r="HH28" s="32">
        <v>94251.570999999996</v>
      </c>
      <c r="HI28" s="32">
        <v>91890.892999999996</v>
      </c>
      <c r="HJ28" s="440">
        <v>90947.667000000001</v>
      </c>
      <c r="HK28" s="37"/>
      <c r="HL28" s="75"/>
      <c r="HM28" s="75"/>
      <c r="HN28" s="75"/>
      <c r="HO28" s="75"/>
      <c r="HP28" s="75"/>
      <c r="HQ28" s="75"/>
      <c r="HR28" s="217"/>
      <c r="HS28" s="75">
        <f>2728.671+2619.101+294.307+1081.729</f>
        <v>6723.808</v>
      </c>
      <c r="HT28" s="231">
        <f t="shared" si="110"/>
        <v>7311.3625000000002</v>
      </c>
      <c r="HU28" s="75">
        <v>7898.9170000000004</v>
      </c>
      <c r="HV28" s="32">
        <v>8003.2439999999997</v>
      </c>
      <c r="HW28" s="32">
        <v>8309.1880000000001</v>
      </c>
      <c r="HX28" s="32">
        <v>8713.1980000000003</v>
      </c>
      <c r="HY28" s="32">
        <v>9185.6659999999993</v>
      </c>
      <c r="HZ28" s="32">
        <v>9605.2060000000001</v>
      </c>
      <c r="IA28" s="32">
        <v>10916.078</v>
      </c>
      <c r="IB28" s="32">
        <v>12292.011</v>
      </c>
      <c r="IC28" s="32">
        <v>13470.6</v>
      </c>
      <c r="ID28" s="231">
        <f t="shared" si="111"/>
        <v>14555.263500000001</v>
      </c>
      <c r="IE28" s="32">
        <v>15639.927</v>
      </c>
      <c r="IF28" s="231">
        <f t="shared" si="112"/>
        <v>16730.724999999999</v>
      </c>
      <c r="IG28" s="32">
        <v>17821.523000000001</v>
      </c>
      <c r="IH28" s="32">
        <v>18591.713</v>
      </c>
      <c r="II28" s="32">
        <v>18511.411</v>
      </c>
      <c r="IJ28" s="32">
        <v>20990.554</v>
      </c>
      <c r="IK28" s="32">
        <v>22430.262999999999</v>
      </c>
      <c r="IL28" s="32">
        <v>21985.079000000002</v>
      </c>
      <c r="IM28" s="32">
        <v>21172.396000000001</v>
      </c>
      <c r="IN28" s="32">
        <v>20658.287</v>
      </c>
      <c r="IO28" s="440">
        <v>19892.897000000001</v>
      </c>
      <c r="IP28" s="37"/>
      <c r="IQ28" s="75"/>
      <c r="IR28" s="75"/>
      <c r="IS28" s="75"/>
      <c r="IT28" s="75"/>
      <c r="IU28" s="75"/>
      <c r="IV28" s="75"/>
      <c r="IW28" s="217"/>
      <c r="IX28" s="75">
        <f>4996.477+7.628+7164.011</f>
        <v>12168.116</v>
      </c>
      <c r="IY28" s="231">
        <f t="shared" si="113"/>
        <v>13733.754499999999</v>
      </c>
      <c r="IZ28" s="75">
        <v>15299.393</v>
      </c>
      <c r="JA28" s="32">
        <v>17208.948</v>
      </c>
      <c r="JB28" s="47">
        <v>16019.127</v>
      </c>
      <c r="JC28" s="47">
        <v>16857.373</v>
      </c>
      <c r="JD28" s="47">
        <v>16409.298999999999</v>
      </c>
      <c r="JE28" s="47">
        <v>17725.815999999999</v>
      </c>
      <c r="JF28" s="17">
        <v>20024.991999999998</v>
      </c>
      <c r="JG28" s="17">
        <v>21323.683000000001</v>
      </c>
      <c r="JH28" s="17">
        <v>21688.665000000001</v>
      </c>
      <c r="JI28" s="231">
        <f t="shared" si="114"/>
        <v>23426.601000000002</v>
      </c>
      <c r="JJ28" s="17">
        <v>25164.537</v>
      </c>
      <c r="JK28" s="231">
        <f t="shared" si="115"/>
        <v>27307.279500000001</v>
      </c>
      <c r="JL28" s="17">
        <v>29450.022000000001</v>
      </c>
      <c r="JM28" s="17">
        <v>27859.155999999999</v>
      </c>
      <c r="JN28" s="17">
        <v>30956.174999999999</v>
      </c>
      <c r="JO28" s="32">
        <v>34814.726999999999</v>
      </c>
      <c r="JP28" s="32">
        <v>34097.031000000003</v>
      </c>
      <c r="JQ28" s="32">
        <v>36647.712</v>
      </c>
      <c r="JR28" s="32">
        <v>39266.402999999998</v>
      </c>
      <c r="JS28" s="17">
        <v>39075.226000000002</v>
      </c>
      <c r="JT28" s="450">
        <v>34596.54</v>
      </c>
    </row>
    <row r="29" spans="1:280" s="17" customFormat="1" ht="12.75" customHeight="1">
      <c r="A29" s="222" t="s">
        <v>50</v>
      </c>
      <c r="J29" s="17">
        <v>10706.886</v>
      </c>
      <c r="K29" s="231">
        <f t="shared" si="69"/>
        <v>11775.1965</v>
      </c>
      <c r="L29" s="17">
        <v>12843.507</v>
      </c>
      <c r="M29" s="17">
        <v>14466.563</v>
      </c>
      <c r="N29" s="214">
        <v>15013.92</v>
      </c>
      <c r="O29" s="32">
        <v>15684.849</v>
      </c>
      <c r="P29" s="32">
        <v>16200.569</v>
      </c>
      <c r="Q29" s="32">
        <v>17472.886999999999</v>
      </c>
      <c r="R29" s="32">
        <v>18478.032999999999</v>
      </c>
      <c r="S29" s="32">
        <v>20071.949000000001</v>
      </c>
      <c r="T29" s="32">
        <v>22530.74</v>
      </c>
      <c r="U29" s="231">
        <f t="shared" si="70"/>
        <v>24816.468000000001</v>
      </c>
      <c r="V29" s="32">
        <v>27102.196</v>
      </c>
      <c r="W29" s="231">
        <f t="shared" si="71"/>
        <v>27764.400999999998</v>
      </c>
      <c r="X29" s="32">
        <v>28426.606</v>
      </c>
      <c r="Y29" s="32">
        <v>28996.088</v>
      </c>
      <c r="Z29" s="32">
        <v>30804.032999999999</v>
      </c>
      <c r="AA29" s="32">
        <v>33550.495000000003</v>
      </c>
      <c r="AB29" s="32">
        <v>35594.951000000001</v>
      </c>
      <c r="AC29" s="32">
        <v>36505.851999999999</v>
      </c>
      <c r="AD29" s="32">
        <v>40354.341</v>
      </c>
      <c r="AE29" s="32">
        <v>41288.285000000003</v>
      </c>
      <c r="AF29" s="440">
        <v>39748.474000000002</v>
      </c>
      <c r="AG29" s="184"/>
      <c r="AO29" s="17">
        <f>4019.042+62.166</f>
        <v>4081.2080000000001</v>
      </c>
      <c r="AP29" s="231">
        <f t="shared" si="72"/>
        <v>4423.2275</v>
      </c>
      <c r="AQ29" s="30">
        <v>4765.2470000000003</v>
      </c>
      <c r="AR29" s="32">
        <v>5025.652</v>
      </c>
      <c r="AS29" s="32">
        <v>5109.6239999999998</v>
      </c>
      <c r="AT29" s="32">
        <v>5774.9359999999997</v>
      </c>
      <c r="AU29" s="32">
        <v>6172.3879999999999</v>
      </c>
      <c r="AV29" s="32">
        <v>6582.87</v>
      </c>
      <c r="AW29" s="32">
        <v>6957.6959999999999</v>
      </c>
      <c r="AX29" s="32">
        <v>7373.598</v>
      </c>
      <c r="AY29" s="32">
        <v>8035.0540000000001</v>
      </c>
      <c r="AZ29" s="231">
        <f t="shared" si="73"/>
        <v>8604.2554999999993</v>
      </c>
      <c r="BA29" s="32">
        <v>9173.4570000000003</v>
      </c>
      <c r="BB29" s="231">
        <f t="shared" si="74"/>
        <v>9543.5695000000014</v>
      </c>
      <c r="BC29" s="32">
        <v>9913.6820000000007</v>
      </c>
      <c r="BD29" s="32">
        <v>10326.94</v>
      </c>
      <c r="BE29" s="32">
        <v>11135.896000000001</v>
      </c>
      <c r="BF29" s="32">
        <v>11758.046</v>
      </c>
      <c r="BG29" s="32">
        <v>12893.800999999999</v>
      </c>
      <c r="BH29" s="32">
        <v>12970.763000000001</v>
      </c>
      <c r="BI29" s="32">
        <v>13490.81</v>
      </c>
      <c r="BJ29" s="32">
        <v>13497.68</v>
      </c>
      <c r="BK29" s="440">
        <v>13464.285</v>
      </c>
      <c r="BL29" s="37"/>
      <c r="BM29" s="75"/>
      <c r="BN29" s="75"/>
      <c r="BO29" s="75"/>
      <c r="BP29" s="75"/>
      <c r="BQ29" s="75"/>
      <c r="BR29" s="75"/>
      <c r="BS29" s="217"/>
      <c r="BT29" s="75">
        <v>2681.1350000000002</v>
      </c>
      <c r="BU29" s="231">
        <f t="shared" si="75"/>
        <v>2903.0659999999998</v>
      </c>
      <c r="BV29" s="75">
        <v>3124.9969999999998</v>
      </c>
      <c r="BW29" s="32">
        <v>3291.0729999999999</v>
      </c>
      <c r="BX29" s="32">
        <v>3242.3850000000002</v>
      </c>
      <c r="BY29" s="32">
        <v>3668.7379999999998</v>
      </c>
      <c r="BZ29" s="32">
        <v>3896.8110000000001</v>
      </c>
      <c r="CA29" s="32">
        <v>4144.6540000000005</v>
      </c>
      <c r="CB29" s="32">
        <v>4487.7060000000001</v>
      </c>
      <c r="CC29" s="32">
        <v>4768.9589999999998</v>
      </c>
      <c r="CD29" s="32">
        <v>5183.4009999999998</v>
      </c>
      <c r="CE29" s="231">
        <f t="shared" si="76"/>
        <v>5529.924</v>
      </c>
      <c r="CF29" s="32">
        <v>5876.4470000000001</v>
      </c>
      <c r="CG29" s="231">
        <f t="shared" si="77"/>
        <v>6208.7855</v>
      </c>
      <c r="CH29" s="32">
        <v>6541.1239999999998</v>
      </c>
      <c r="CI29" s="32">
        <v>6916.6559999999999</v>
      </c>
      <c r="CJ29" s="32">
        <v>7418.1239999999998</v>
      </c>
      <c r="CK29" s="32">
        <v>7651.1779999999999</v>
      </c>
      <c r="CL29" s="32">
        <v>8444.8950000000004</v>
      </c>
      <c r="CM29" s="32">
        <v>8215.1080000000002</v>
      </c>
      <c r="CN29" s="32">
        <v>8400.5380000000005</v>
      </c>
      <c r="CO29" s="32">
        <v>8185.3159999999998</v>
      </c>
      <c r="CP29" s="440">
        <v>7989.0550000000003</v>
      </c>
      <c r="CQ29" s="37"/>
      <c r="CR29" s="75"/>
      <c r="CS29" s="75"/>
      <c r="CT29" s="75"/>
      <c r="CU29" s="75"/>
      <c r="CV29" s="75"/>
      <c r="CW29" s="75"/>
      <c r="CX29" s="217"/>
      <c r="CY29" s="75">
        <v>1254.335</v>
      </c>
      <c r="CZ29" s="231">
        <f t="shared" si="78"/>
        <v>1355.8175000000001</v>
      </c>
      <c r="DA29" s="75">
        <f>1457300/1000</f>
        <v>1457.3</v>
      </c>
      <c r="DB29" s="32">
        <v>1527.203</v>
      </c>
      <c r="DC29" s="32">
        <v>1651.9259999999999</v>
      </c>
      <c r="DD29" s="32">
        <v>1769.9459999999999</v>
      </c>
      <c r="DE29" s="32">
        <v>1882.068</v>
      </c>
      <c r="DF29" s="32">
        <v>2131.596</v>
      </c>
      <c r="DG29" s="32">
        <v>2166.8620000000001</v>
      </c>
      <c r="DH29" s="32">
        <v>2280.674</v>
      </c>
      <c r="DI29" s="32">
        <v>2513.5680000000002</v>
      </c>
      <c r="DJ29" s="231">
        <f t="shared" si="79"/>
        <v>2684.902</v>
      </c>
      <c r="DK29" s="32">
        <v>2856.2359999999999</v>
      </c>
      <c r="DL29" s="231">
        <f t="shared" si="80"/>
        <v>2866.8869999999997</v>
      </c>
      <c r="DM29" s="32">
        <v>2877.538</v>
      </c>
      <c r="DN29" s="32">
        <v>2917.2959999999998</v>
      </c>
      <c r="DO29" s="32">
        <v>3176.2660000000001</v>
      </c>
      <c r="DP29" s="32">
        <v>3579.3470000000002</v>
      </c>
      <c r="DQ29" s="32">
        <v>3810.1959999999999</v>
      </c>
      <c r="DR29" s="32">
        <v>4148.2460000000001</v>
      </c>
      <c r="DS29" s="32">
        <v>4326.2150000000001</v>
      </c>
      <c r="DT29" s="32">
        <v>4524.6509999999998</v>
      </c>
      <c r="DU29" s="440">
        <v>4590.34</v>
      </c>
      <c r="DV29" s="38"/>
      <c r="DW29" s="219"/>
      <c r="DX29" s="219"/>
      <c r="DY29" s="219"/>
      <c r="DZ29" s="219"/>
      <c r="EA29" s="219"/>
      <c r="EB29" s="219"/>
      <c r="EC29" s="219"/>
      <c r="ED29" s="40">
        <f t="shared" si="81"/>
        <v>145.73799999999983</v>
      </c>
      <c r="EE29" s="40">
        <f t="shared" si="82"/>
        <v>164.34400000000005</v>
      </c>
      <c r="EF29" s="40">
        <f t="shared" si="83"/>
        <v>182.9500000000005</v>
      </c>
      <c r="EG29" s="40">
        <f t="shared" si="84"/>
        <v>207.3760000000002</v>
      </c>
      <c r="EH29" s="40">
        <f t="shared" si="85"/>
        <v>215.31299999999965</v>
      </c>
      <c r="EI29" s="40">
        <f t="shared" si="86"/>
        <v>336.25199999999995</v>
      </c>
      <c r="EJ29" s="40">
        <f t="shared" si="87"/>
        <v>393.50899999999979</v>
      </c>
      <c r="EK29" s="40">
        <f t="shared" si="88"/>
        <v>306.61999999999944</v>
      </c>
      <c r="EL29" s="40">
        <f t="shared" si="89"/>
        <v>303.1279999999997</v>
      </c>
      <c r="EM29" s="40">
        <f t="shared" si="90"/>
        <v>323.96500000000015</v>
      </c>
      <c r="EN29" s="40">
        <f t="shared" si="91"/>
        <v>338.08500000000004</v>
      </c>
      <c r="EO29" s="40">
        <f t="shared" si="92"/>
        <v>389.42949999999928</v>
      </c>
      <c r="EP29" s="40">
        <f t="shared" si="93"/>
        <v>440.77400000000034</v>
      </c>
      <c r="EQ29" s="40">
        <f t="shared" si="94"/>
        <v>467.89700000000175</v>
      </c>
      <c r="ER29" s="40">
        <f t="shared" si="95"/>
        <v>495.02000000000089</v>
      </c>
      <c r="ES29" s="40">
        <f t="shared" si="96"/>
        <v>492.98800000000074</v>
      </c>
      <c r="ET29" s="40">
        <f t="shared" si="97"/>
        <v>541.50600000000077</v>
      </c>
      <c r="EU29" s="40">
        <f t="shared" si="98"/>
        <v>527.52100000000019</v>
      </c>
      <c r="EV29" s="40">
        <f t="shared" si="99"/>
        <v>638.70999999999913</v>
      </c>
      <c r="EW29" s="40">
        <f t="shared" si="100"/>
        <v>607.40900000000056</v>
      </c>
      <c r="EX29" s="40">
        <f t="shared" si="101"/>
        <v>764.05699999999888</v>
      </c>
      <c r="EY29" s="40">
        <f t="shared" si="102"/>
        <v>787.71300000000065</v>
      </c>
      <c r="EZ29" s="40">
        <f t="shared" si="103"/>
        <v>884.88999999999942</v>
      </c>
      <c r="FA29" s="176"/>
      <c r="FB29" s="75"/>
      <c r="FC29" s="75"/>
      <c r="FD29" s="75"/>
      <c r="FE29" s="75"/>
      <c r="FF29" s="75"/>
      <c r="FG29" s="75"/>
      <c r="FH29" s="217"/>
      <c r="FI29" s="75">
        <f>1026.506+460.507+274.379+51.315</f>
        <v>1812.7070000000003</v>
      </c>
      <c r="FJ29" s="231">
        <f t="shared" si="104"/>
        <v>2118.2880000000005</v>
      </c>
      <c r="FK29" s="75">
        <v>2423.8690000000001</v>
      </c>
      <c r="FL29" s="32">
        <v>2934.4810000000002</v>
      </c>
      <c r="FM29" s="32">
        <v>2739.44</v>
      </c>
      <c r="FN29" s="32">
        <v>3227.2060000000001</v>
      </c>
      <c r="FO29" s="32">
        <v>3259.4160000000002</v>
      </c>
      <c r="FP29" s="32">
        <v>3426.375</v>
      </c>
      <c r="FQ29" s="32">
        <v>3494.7139999999999</v>
      </c>
      <c r="FR29" s="32">
        <v>3616.8560000000002</v>
      </c>
      <c r="FS29" s="32">
        <v>4110.4030000000002</v>
      </c>
      <c r="FT29" s="231">
        <f t="shared" si="105"/>
        <v>4510.9430000000002</v>
      </c>
      <c r="FU29" s="32">
        <v>4911.4830000000002</v>
      </c>
      <c r="FV29" s="231">
        <f t="shared" si="106"/>
        <v>5293.4234999999999</v>
      </c>
      <c r="FW29" s="32">
        <v>5675.3639999999996</v>
      </c>
      <c r="FX29" s="32">
        <v>5665.48</v>
      </c>
      <c r="FY29" s="32">
        <v>6037.1409999999996</v>
      </c>
      <c r="FZ29" s="32">
        <v>6717.7110000000002</v>
      </c>
      <c r="GA29" s="32">
        <v>7139.01</v>
      </c>
      <c r="GB29" s="32">
        <v>7563.6580000000004</v>
      </c>
      <c r="GC29" s="32">
        <v>7963.8310000000001</v>
      </c>
      <c r="GD29" s="32">
        <v>8802.3860000000004</v>
      </c>
      <c r="GE29" s="440">
        <v>9246.8089999999993</v>
      </c>
      <c r="GF29" s="37"/>
      <c r="GG29" s="75"/>
      <c r="GH29" s="75"/>
      <c r="GI29" s="75"/>
      <c r="GJ29" s="75"/>
      <c r="GK29" s="75"/>
      <c r="GL29" s="75"/>
      <c r="GM29" s="217"/>
      <c r="GN29" s="75">
        <f>988.374+145.653+12.396+0.785+0.249+406.925+171.048+370.581+45.979+147.465+285.174+156.537+230.763+59.7</f>
        <v>3021.6289999999995</v>
      </c>
      <c r="GO29" s="231">
        <f t="shared" si="107"/>
        <v>3310.0914999999995</v>
      </c>
      <c r="GP29" s="75">
        <v>3598.5540000000001</v>
      </c>
      <c r="GQ29" s="32">
        <v>4301.7340000000004</v>
      </c>
      <c r="GR29" s="32">
        <v>4881.5839999999998</v>
      </c>
      <c r="GS29" s="32">
        <v>4295.5990000000002</v>
      </c>
      <c r="GT29" s="32">
        <v>4314.7619999999997</v>
      </c>
      <c r="GU29" s="32">
        <v>4725.3559999999998</v>
      </c>
      <c r="GV29" s="32">
        <v>5194.4189999999999</v>
      </c>
      <c r="GW29" s="32">
        <v>5572.4849999999997</v>
      </c>
      <c r="GX29" s="32">
        <v>5940.1710000000003</v>
      </c>
      <c r="GY29" s="231">
        <f t="shared" si="108"/>
        <v>6910.5694999999996</v>
      </c>
      <c r="GZ29" s="32">
        <v>7880.9679999999998</v>
      </c>
      <c r="HA29" s="231">
        <f t="shared" si="109"/>
        <v>7870.7199999999993</v>
      </c>
      <c r="HB29" s="32">
        <v>7860.4719999999998</v>
      </c>
      <c r="HC29" s="32">
        <v>8075.4059999999999</v>
      </c>
      <c r="HD29" s="32">
        <v>8420.5550000000003</v>
      </c>
      <c r="HE29" s="32">
        <v>9232.2929999999997</v>
      </c>
      <c r="HF29" s="32">
        <v>9779.3430000000008</v>
      </c>
      <c r="HG29" s="32">
        <v>9640.8529999999992</v>
      </c>
      <c r="HH29" s="32">
        <v>12072.492</v>
      </c>
      <c r="HI29" s="32">
        <v>11964.388999999999</v>
      </c>
      <c r="HJ29" s="440">
        <v>10151.279</v>
      </c>
      <c r="HK29" s="37"/>
      <c r="HL29" s="75"/>
      <c r="HM29" s="75"/>
      <c r="HN29" s="75"/>
      <c r="HO29" s="75"/>
      <c r="HP29" s="75"/>
      <c r="HQ29" s="75"/>
      <c r="HR29" s="217"/>
      <c r="HS29" s="75">
        <f>265.458+185.802+73.267+154.283</f>
        <v>678.81000000000006</v>
      </c>
      <c r="HT29" s="231">
        <f t="shared" si="110"/>
        <v>706.4190000000001</v>
      </c>
      <c r="HU29" s="75">
        <v>734.02800000000002</v>
      </c>
      <c r="HV29" s="32">
        <v>776.07600000000002</v>
      </c>
      <c r="HW29" s="32">
        <v>806.32899999999995</v>
      </c>
      <c r="HX29" s="32">
        <v>875.827</v>
      </c>
      <c r="HY29" s="32">
        <v>879.351</v>
      </c>
      <c r="HZ29" s="32">
        <v>972.56500000000005</v>
      </c>
      <c r="IA29" s="32">
        <v>1011.138</v>
      </c>
      <c r="IB29" s="32">
        <v>1075.4459999999999</v>
      </c>
      <c r="IC29" s="32">
        <v>1261.7380000000001</v>
      </c>
      <c r="ID29" s="231">
        <f t="shared" si="111"/>
        <v>1361.4715000000001</v>
      </c>
      <c r="IE29" s="32">
        <v>1461.2049999999999</v>
      </c>
      <c r="IF29" s="231">
        <f t="shared" si="112"/>
        <v>1542.6959999999999</v>
      </c>
      <c r="IG29" s="32">
        <v>1624.1869999999999</v>
      </c>
      <c r="IH29" s="32">
        <v>1753.8330000000001</v>
      </c>
      <c r="II29" s="32">
        <v>1913.115</v>
      </c>
      <c r="IJ29" s="32">
        <v>2291.6489999999999</v>
      </c>
      <c r="IK29" s="32">
        <v>2307.0129999999999</v>
      </c>
      <c r="IL29" s="32">
        <v>2419.4090000000001</v>
      </c>
      <c r="IM29" s="32">
        <v>2590.42</v>
      </c>
      <c r="IN29" s="32">
        <v>2474.5940000000001</v>
      </c>
      <c r="IO29" s="440">
        <v>2373.0259999999998</v>
      </c>
      <c r="IP29" s="37"/>
      <c r="IQ29" s="75"/>
      <c r="IR29" s="75"/>
      <c r="IS29" s="75"/>
      <c r="IT29" s="75"/>
      <c r="IU29" s="75"/>
      <c r="IV29" s="75"/>
      <c r="IW29" s="217"/>
      <c r="IX29" s="75">
        <f>786.214+0.172+326.146</f>
        <v>1112.5320000000002</v>
      </c>
      <c r="IY29" s="231">
        <f t="shared" si="113"/>
        <v>1217.1705000000002</v>
      </c>
      <c r="IZ29" s="75">
        <v>1321.809</v>
      </c>
      <c r="JA29" s="32">
        <v>1428.62</v>
      </c>
      <c r="JB29" s="47">
        <v>1476.943</v>
      </c>
      <c r="JC29" s="47">
        <v>1511.2809999999999</v>
      </c>
      <c r="JD29" s="47">
        <v>1574.652</v>
      </c>
      <c r="JE29" s="47">
        <v>1765.721</v>
      </c>
      <c r="JF29" s="17">
        <v>1820.066</v>
      </c>
      <c r="JG29" s="17">
        <v>2433.5639999999999</v>
      </c>
      <c r="JH29" s="17">
        <v>3183.3739999999998</v>
      </c>
      <c r="JI29" s="231">
        <f t="shared" si="114"/>
        <v>3429.2285000000002</v>
      </c>
      <c r="JJ29" s="17">
        <v>3675.0830000000001</v>
      </c>
      <c r="JK29" s="231">
        <f t="shared" si="115"/>
        <v>3513.9920000000002</v>
      </c>
      <c r="JL29" s="17">
        <v>3352.9009999999998</v>
      </c>
      <c r="JM29" s="17">
        <v>3174.4290000000001</v>
      </c>
      <c r="JN29" s="17">
        <v>3297.326</v>
      </c>
      <c r="JO29" s="32">
        <v>3550.7959999999998</v>
      </c>
      <c r="JP29" s="32">
        <v>3475.7840000000001</v>
      </c>
      <c r="JQ29" s="32">
        <v>3911.1689999999999</v>
      </c>
      <c r="JR29" s="32">
        <v>4236.7879999999996</v>
      </c>
      <c r="JS29" s="17">
        <v>4549.2359999999999</v>
      </c>
      <c r="JT29" s="450">
        <v>4513.0749999999998</v>
      </c>
    </row>
    <row r="30" spans="1:280" s="17" customFormat="1" ht="12.75" customHeight="1">
      <c r="A30" s="222" t="s">
        <v>52</v>
      </c>
      <c r="J30" s="17">
        <v>4413.7489999999998</v>
      </c>
      <c r="K30" s="231">
        <f t="shared" si="69"/>
        <v>5230.0324999999993</v>
      </c>
      <c r="L30" s="17">
        <v>6046.3159999999998</v>
      </c>
      <c r="M30" s="17">
        <v>6381.4390000000003</v>
      </c>
      <c r="N30" s="214">
        <v>6661.4179999999997</v>
      </c>
      <c r="O30" s="32">
        <v>6725.34</v>
      </c>
      <c r="P30" s="32">
        <v>6567.4690000000001</v>
      </c>
      <c r="Q30" s="32">
        <v>6717.8959999999997</v>
      </c>
      <c r="R30" s="32">
        <v>6606.8050000000003</v>
      </c>
      <c r="S30" s="32">
        <v>6902.6180000000004</v>
      </c>
      <c r="T30" s="32">
        <v>7306.1019999999999</v>
      </c>
      <c r="U30" s="231">
        <f t="shared" si="70"/>
        <v>7804.8955000000005</v>
      </c>
      <c r="V30" s="32">
        <v>8303.6890000000003</v>
      </c>
      <c r="W30" s="231">
        <f t="shared" si="71"/>
        <v>8488.5155000000013</v>
      </c>
      <c r="X30" s="32">
        <v>8673.3420000000006</v>
      </c>
      <c r="Y30" s="32">
        <v>9329.11</v>
      </c>
      <c r="Z30" s="32">
        <v>9849.8709999999992</v>
      </c>
      <c r="AA30" s="32">
        <v>10995.317999999999</v>
      </c>
      <c r="AB30" s="32">
        <v>11704.596</v>
      </c>
      <c r="AC30" s="32">
        <v>12638.81</v>
      </c>
      <c r="AD30" s="32">
        <v>12222.081</v>
      </c>
      <c r="AE30" s="32">
        <v>12206.038</v>
      </c>
      <c r="AF30" s="440">
        <v>12315.089</v>
      </c>
      <c r="AG30" s="184"/>
      <c r="AO30" s="17">
        <f>1113.473+21.959</f>
        <v>1135.432</v>
      </c>
      <c r="AP30" s="231">
        <f t="shared" si="72"/>
        <v>1258.5520000000001</v>
      </c>
      <c r="AQ30" s="30">
        <v>1381.672</v>
      </c>
      <c r="AR30" s="32">
        <v>1473.3340000000001</v>
      </c>
      <c r="AS30" s="32">
        <v>1522.296</v>
      </c>
      <c r="AT30" s="32">
        <v>1676.327</v>
      </c>
      <c r="AU30" s="32">
        <v>1573.425</v>
      </c>
      <c r="AV30" s="32">
        <v>1578.2670000000001</v>
      </c>
      <c r="AW30" s="32">
        <v>1659.107</v>
      </c>
      <c r="AX30" s="32">
        <v>1782.6669999999999</v>
      </c>
      <c r="AY30" s="32">
        <v>1856.0060000000001</v>
      </c>
      <c r="AZ30" s="231">
        <f t="shared" si="73"/>
        <v>2071.3615</v>
      </c>
      <c r="BA30" s="32">
        <v>2286.7170000000001</v>
      </c>
      <c r="BB30" s="231">
        <f t="shared" si="74"/>
        <v>2401.0185000000001</v>
      </c>
      <c r="BC30" s="32">
        <v>2515.3200000000002</v>
      </c>
      <c r="BD30" s="32">
        <v>2678.623</v>
      </c>
      <c r="BE30" s="32">
        <v>2944.15</v>
      </c>
      <c r="BF30" s="32">
        <v>3270.9209999999998</v>
      </c>
      <c r="BG30" s="32">
        <v>3426.4549999999999</v>
      </c>
      <c r="BH30" s="32">
        <v>3590.6390000000001</v>
      </c>
      <c r="BI30" s="32">
        <v>3292.27</v>
      </c>
      <c r="BJ30" s="32">
        <v>3381.0970000000002</v>
      </c>
      <c r="BK30" s="440">
        <v>3539.2069999999999</v>
      </c>
      <c r="BL30" s="37"/>
      <c r="BM30" s="75"/>
      <c r="BN30" s="75"/>
      <c r="BO30" s="75"/>
      <c r="BP30" s="75"/>
      <c r="BQ30" s="75"/>
      <c r="BR30" s="75"/>
      <c r="BS30" s="217"/>
      <c r="BT30" s="75">
        <v>684.66300000000001</v>
      </c>
      <c r="BU30" s="231">
        <f t="shared" si="75"/>
        <v>749.60599999999999</v>
      </c>
      <c r="BV30" s="75">
        <v>814.54899999999998</v>
      </c>
      <c r="BW30" s="32">
        <v>834.1</v>
      </c>
      <c r="BX30" s="32">
        <v>887.59400000000005</v>
      </c>
      <c r="BY30" s="32">
        <v>958.72199999999998</v>
      </c>
      <c r="BZ30" s="32">
        <v>947.399</v>
      </c>
      <c r="CA30" s="32">
        <v>946.995</v>
      </c>
      <c r="CB30" s="32">
        <v>973.44299999999998</v>
      </c>
      <c r="CC30" s="32">
        <v>1069.5730000000001</v>
      </c>
      <c r="CD30" s="32">
        <v>1144.9590000000001</v>
      </c>
      <c r="CE30" s="231">
        <f t="shared" si="76"/>
        <v>1293.5264999999999</v>
      </c>
      <c r="CF30" s="32">
        <v>1442.0940000000001</v>
      </c>
      <c r="CG30" s="231">
        <f t="shared" si="77"/>
        <v>1558.5805</v>
      </c>
      <c r="CH30" s="32">
        <v>1675.067</v>
      </c>
      <c r="CI30" s="32">
        <v>1728.202</v>
      </c>
      <c r="CJ30" s="32">
        <v>1937.23</v>
      </c>
      <c r="CK30" s="32">
        <v>2159.6080000000002</v>
      </c>
      <c r="CL30" s="32">
        <v>2248.9899999999998</v>
      </c>
      <c r="CM30" s="32">
        <v>2349.125</v>
      </c>
      <c r="CN30" s="32">
        <v>2094.712</v>
      </c>
      <c r="CO30" s="32">
        <v>1938.691</v>
      </c>
      <c r="CP30" s="440">
        <v>1895.835</v>
      </c>
      <c r="CQ30" s="37"/>
      <c r="CR30" s="75"/>
      <c r="CS30" s="75"/>
      <c r="CT30" s="75"/>
      <c r="CU30" s="75"/>
      <c r="CV30" s="75"/>
      <c r="CW30" s="75"/>
      <c r="CX30" s="217"/>
      <c r="CY30" s="75">
        <v>409.68</v>
      </c>
      <c r="CZ30" s="231">
        <f t="shared" si="78"/>
        <v>460.57650000000001</v>
      </c>
      <c r="DA30" s="75">
        <f>511473/1000</f>
        <v>511.47300000000001</v>
      </c>
      <c r="DB30" s="32">
        <v>591.38800000000003</v>
      </c>
      <c r="DC30" s="32">
        <v>589.399</v>
      </c>
      <c r="DD30" s="32">
        <v>664.50199999999995</v>
      </c>
      <c r="DE30" s="32">
        <v>579.03399999999999</v>
      </c>
      <c r="DF30" s="32">
        <v>589.625</v>
      </c>
      <c r="DG30" s="32">
        <v>640.07799999999997</v>
      </c>
      <c r="DH30" s="32">
        <v>686.28</v>
      </c>
      <c r="DI30" s="32">
        <v>689.072</v>
      </c>
      <c r="DJ30" s="231">
        <f t="shared" si="79"/>
        <v>740.64100000000008</v>
      </c>
      <c r="DK30" s="32">
        <v>792.21</v>
      </c>
      <c r="DL30" s="231">
        <f t="shared" si="80"/>
        <v>781.2645</v>
      </c>
      <c r="DM30" s="32">
        <v>770.31899999999996</v>
      </c>
      <c r="DN30" s="32">
        <v>880.42700000000002</v>
      </c>
      <c r="DO30" s="32">
        <v>935.69</v>
      </c>
      <c r="DP30" s="32">
        <v>1030.768</v>
      </c>
      <c r="DQ30" s="32">
        <v>1088.7380000000001</v>
      </c>
      <c r="DR30" s="32">
        <v>1149.6410000000001</v>
      </c>
      <c r="DS30" s="32">
        <v>1090.6759999999999</v>
      </c>
      <c r="DT30" s="32">
        <v>1311.7560000000001</v>
      </c>
      <c r="DU30" s="440">
        <v>1506.7270000000001</v>
      </c>
      <c r="DV30" s="38"/>
      <c r="DW30" s="219"/>
      <c r="DX30" s="219"/>
      <c r="DY30" s="219"/>
      <c r="DZ30" s="219"/>
      <c r="EA30" s="219"/>
      <c r="EB30" s="219"/>
      <c r="EC30" s="219"/>
      <c r="ED30" s="40">
        <f t="shared" si="81"/>
        <v>41.088999999999999</v>
      </c>
      <c r="EE30" s="40">
        <f t="shared" si="82"/>
        <v>48.36950000000013</v>
      </c>
      <c r="EF30" s="40">
        <f t="shared" si="83"/>
        <v>55.650000000000034</v>
      </c>
      <c r="EG30" s="40">
        <f t="shared" si="84"/>
        <v>47.846000000000004</v>
      </c>
      <c r="EH30" s="40">
        <f t="shared" si="85"/>
        <v>45.302999999999997</v>
      </c>
      <c r="EI30" s="40">
        <f t="shared" si="86"/>
        <v>53.103000000000065</v>
      </c>
      <c r="EJ30" s="40">
        <f t="shared" si="87"/>
        <v>46.991999999999962</v>
      </c>
      <c r="EK30" s="40">
        <f t="shared" si="88"/>
        <v>41.647000000000048</v>
      </c>
      <c r="EL30" s="40">
        <f t="shared" si="89"/>
        <v>45.586000000000013</v>
      </c>
      <c r="EM30" s="40">
        <f t="shared" si="90"/>
        <v>26.813999999999851</v>
      </c>
      <c r="EN30" s="40">
        <f t="shared" si="91"/>
        <v>21.975000000000023</v>
      </c>
      <c r="EO30" s="40">
        <f t="shared" si="92"/>
        <v>37.19399999999996</v>
      </c>
      <c r="EP30" s="40">
        <f t="shared" si="93"/>
        <v>52.413000000000011</v>
      </c>
      <c r="EQ30" s="40">
        <f t="shared" si="94"/>
        <v>61.173500000000104</v>
      </c>
      <c r="ER30" s="40">
        <f t="shared" si="95"/>
        <v>69.934000000000196</v>
      </c>
      <c r="ES30" s="40">
        <f t="shared" si="96"/>
        <v>69.994000000000028</v>
      </c>
      <c r="ET30" s="40">
        <f t="shared" si="97"/>
        <v>71.230000000000018</v>
      </c>
      <c r="EU30" s="40">
        <f t="shared" si="98"/>
        <v>80.544999999999618</v>
      </c>
      <c r="EV30" s="40">
        <f t="shared" si="99"/>
        <v>88.727000000000089</v>
      </c>
      <c r="EW30" s="40">
        <f t="shared" si="100"/>
        <v>91.873000000000047</v>
      </c>
      <c r="EX30" s="40">
        <f t="shared" si="101"/>
        <v>106.88200000000006</v>
      </c>
      <c r="EY30" s="40">
        <f t="shared" si="102"/>
        <v>130.65000000000009</v>
      </c>
      <c r="EZ30" s="40">
        <f t="shared" si="103"/>
        <v>136.64499999999975</v>
      </c>
      <c r="FA30" s="176"/>
      <c r="FB30" s="75"/>
      <c r="FC30" s="75"/>
      <c r="FD30" s="75"/>
      <c r="FE30" s="75"/>
      <c r="FF30" s="75"/>
      <c r="FG30" s="75"/>
      <c r="FH30" s="217"/>
      <c r="FI30" s="75">
        <f>439.888+151.417+158.784+17.238+2.102</f>
        <v>769.42899999999997</v>
      </c>
      <c r="FJ30" s="231">
        <f t="shared" si="104"/>
        <v>897.64049999999997</v>
      </c>
      <c r="FK30" s="75">
        <v>1025.8520000000001</v>
      </c>
      <c r="FL30" s="32">
        <v>1158.652</v>
      </c>
      <c r="FM30" s="32">
        <v>1259.2070000000001</v>
      </c>
      <c r="FN30" s="32">
        <v>1441.1479999999999</v>
      </c>
      <c r="FO30" s="32">
        <v>1444.681</v>
      </c>
      <c r="FP30" s="32">
        <v>1532.018</v>
      </c>
      <c r="FQ30" s="32">
        <v>1467.79</v>
      </c>
      <c r="FR30" s="32">
        <v>1550.0930000000001</v>
      </c>
      <c r="FS30" s="32">
        <v>1684.8320000000001</v>
      </c>
      <c r="FT30" s="231">
        <f t="shared" si="105"/>
        <v>1762.2865000000002</v>
      </c>
      <c r="FU30" s="32">
        <v>1839.741</v>
      </c>
      <c r="FV30" s="231">
        <f t="shared" si="106"/>
        <v>1963.2719999999999</v>
      </c>
      <c r="FW30" s="32">
        <v>2086.8029999999999</v>
      </c>
      <c r="FX30" s="32">
        <v>2319.663</v>
      </c>
      <c r="FY30" s="32">
        <v>2425.6979999999999</v>
      </c>
      <c r="FZ30" s="32">
        <v>2682.8629999999998</v>
      </c>
      <c r="GA30" s="32">
        <v>2932.4160000000002</v>
      </c>
      <c r="GB30" s="32">
        <v>3089.07</v>
      </c>
      <c r="GC30" s="32">
        <v>3281.2</v>
      </c>
      <c r="GD30" s="32">
        <v>3468.0219999999999</v>
      </c>
      <c r="GE30" s="440">
        <v>3288.7089999999998</v>
      </c>
      <c r="GF30" s="37"/>
      <c r="GG30" s="75"/>
      <c r="GH30" s="75"/>
      <c r="GI30" s="75"/>
      <c r="GJ30" s="75"/>
      <c r="GK30" s="75"/>
      <c r="GL30" s="75"/>
      <c r="GM30" s="217"/>
      <c r="GN30" s="75">
        <f>264.1+197.314+1.747+39.971+137.565+47.534+80.117+26.219+140.716+132.666+166.727+103.915+78.823</f>
        <v>1417.4140000000002</v>
      </c>
      <c r="GO30" s="231">
        <f t="shared" si="107"/>
        <v>1770.6395</v>
      </c>
      <c r="GP30" s="75">
        <v>2123.8649999999998</v>
      </c>
      <c r="GQ30" s="32">
        <v>2161.971</v>
      </c>
      <c r="GR30" s="32">
        <v>2145.1669999999999</v>
      </c>
      <c r="GS30" s="32">
        <v>1913.779</v>
      </c>
      <c r="GT30" s="32">
        <v>1844.097</v>
      </c>
      <c r="GU30" s="32">
        <v>1888.0630000000001</v>
      </c>
      <c r="GV30" s="32">
        <v>1708.703</v>
      </c>
      <c r="GW30" s="32">
        <v>1683.1110000000001</v>
      </c>
      <c r="GX30" s="32">
        <v>1896.3810000000001</v>
      </c>
      <c r="GY30" s="231">
        <f t="shared" si="108"/>
        <v>1981.1730000000002</v>
      </c>
      <c r="GZ30" s="32">
        <v>2065.9650000000001</v>
      </c>
      <c r="HA30" s="231">
        <f t="shared" si="109"/>
        <v>2009.0340000000001</v>
      </c>
      <c r="HB30" s="32">
        <v>1952.1030000000001</v>
      </c>
      <c r="HC30" s="32">
        <v>2142.9650000000001</v>
      </c>
      <c r="HD30" s="32">
        <v>2216.7159999999999</v>
      </c>
      <c r="HE30" s="32">
        <v>2603.8670000000002</v>
      </c>
      <c r="HF30" s="32">
        <v>2749.82</v>
      </c>
      <c r="HG30" s="32">
        <v>3249.558</v>
      </c>
      <c r="HH30" s="32">
        <v>3202.9760000000001</v>
      </c>
      <c r="HI30" s="32">
        <v>2934.56</v>
      </c>
      <c r="HJ30" s="440">
        <v>2881.0610000000001</v>
      </c>
      <c r="HK30" s="37"/>
      <c r="HL30" s="75"/>
      <c r="HM30" s="75"/>
      <c r="HN30" s="75"/>
      <c r="HO30" s="75"/>
      <c r="HP30" s="75"/>
      <c r="HQ30" s="75"/>
      <c r="HR30" s="217"/>
      <c r="HS30" s="75">
        <f>106.923+111.489+102.504+66.442</f>
        <v>387.358</v>
      </c>
      <c r="HT30" s="231">
        <f t="shared" si="110"/>
        <v>414.47900000000004</v>
      </c>
      <c r="HU30" s="75">
        <v>441.6</v>
      </c>
      <c r="HV30" s="32">
        <v>472.96899999999999</v>
      </c>
      <c r="HW30" s="32">
        <v>560.88900000000001</v>
      </c>
      <c r="HX30" s="32">
        <v>439.274</v>
      </c>
      <c r="HY30" s="32">
        <v>424.83100000000002</v>
      </c>
      <c r="HZ30" s="32">
        <v>409.738</v>
      </c>
      <c r="IA30" s="32">
        <v>433.33</v>
      </c>
      <c r="IB30" s="32">
        <v>439.63400000000001</v>
      </c>
      <c r="IC30" s="32">
        <v>455.858</v>
      </c>
      <c r="ID30" s="231">
        <f t="shared" si="111"/>
        <v>492.33600000000001</v>
      </c>
      <c r="IE30" s="32">
        <v>528.81399999999996</v>
      </c>
      <c r="IF30" s="231">
        <f t="shared" si="112"/>
        <v>565.38549999999998</v>
      </c>
      <c r="IG30" s="32">
        <v>601.95699999999999</v>
      </c>
      <c r="IH30" s="32">
        <v>571.47699999999998</v>
      </c>
      <c r="II30" s="32">
        <v>597.51700000000005</v>
      </c>
      <c r="IJ30" s="32">
        <v>660.95699999999999</v>
      </c>
      <c r="IK30" s="32">
        <v>765.69899999999996</v>
      </c>
      <c r="IL30" s="32">
        <v>784.00699999999995</v>
      </c>
      <c r="IM30" s="32">
        <v>669.83900000000006</v>
      </c>
      <c r="IN30" s="32">
        <v>649.39700000000005</v>
      </c>
      <c r="IO30" s="440">
        <v>720.92</v>
      </c>
      <c r="IP30" s="37"/>
      <c r="IQ30" s="75"/>
      <c r="IR30" s="75"/>
      <c r="IS30" s="75"/>
      <c r="IT30" s="75"/>
      <c r="IU30" s="75"/>
      <c r="IV30" s="75"/>
      <c r="IW30" s="217"/>
      <c r="IX30" s="75">
        <f>276.086+427.939</f>
        <v>704.02500000000009</v>
      </c>
      <c r="IY30" s="231">
        <f t="shared" si="113"/>
        <v>888.67600000000004</v>
      </c>
      <c r="IZ30" s="75">
        <v>1073.327</v>
      </c>
      <c r="JA30" s="32">
        <v>1114.5129999999999</v>
      </c>
      <c r="JB30" s="47">
        <v>1173.8589999999999</v>
      </c>
      <c r="JC30" s="47">
        <v>1254.8119999999999</v>
      </c>
      <c r="JD30" s="47">
        <v>1280.4349999999999</v>
      </c>
      <c r="JE30" s="47">
        <v>1309.81</v>
      </c>
      <c r="JF30" s="17">
        <v>1337.875</v>
      </c>
      <c r="JG30" s="17">
        <v>1447.1130000000001</v>
      </c>
      <c r="JH30" s="17">
        <v>1413.0250000000001</v>
      </c>
      <c r="JI30" s="231">
        <f t="shared" si="114"/>
        <v>1497.7384999999999</v>
      </c>
      <c r="JJ30" s="17">
        <v>1582.452</v>
      </c>
      <c r="JK30" s="231">
        <f t="shared" si="115"/>
        <v>1549.8054999999999</v>
      </c>
      <c r="JL30" s="17">
        <v>1517.1590000000001</v>
      </c>
      <c r="JM30" s="17">
        <v>1616.3820000000001</v>
      </c>
      <c r="JN30" s="17">
        <v>1665.79</v>
      </c>
      <c r="JO30" s="32">
        <v>1776.71</v>
      </c>
      <c r="JP30" s="32">
        <v>1830.2059999999999</v>
      </c>
      <c r="JQ30" s="32">
        <v>1925.5360000000001</v>
      </c>
      <c r="JR30" s="32">
        <v>1775.796</v>
      </c>
      <c r="JS30" s="17">
        <v>1772.962</v>
      </c>
      <c r="JT30" s="450">
        <v>1885.192</v>
      </c>
    </row>
    <row r="31" spans="1:280" s="17" customFormat="1" ht="12.75" customHeight="1">
      <c r="A31" s="222" t="s">
        <v>53</v>
      </c>
      <c r="J31" s="17">
        <v>2651.1410000000001</v>
      </c>
      <c r="K31" s="231">
        <f t="shared" si="69"/>
        <v>2958.5569999999998</v>
      </c>
      <c r="L31" s="17">
        <v>3265.973</v>
      </c>
      <c r="M31" s="17">
        <v>3458.1759999999999</v>
      </c>
      <c r="N31" s="214">
        <v>3769.614</v>
      </c>
      <c r="O31" s="32">
        <v>4336.6629999999996</v>
      </c>
      <c r="P31" s="32">
        <v>4545.49</v>
      </c>
      <c r="Q31" s="32">
        <v>4872.759</v>
      </c>
      <c r="R31" s="32">
        <v>5184.82</v>
      </c>
      <c r="S31" s="32">
        <v>5611.6379999999999</v>
      </c>
      <c r="T31" s="32">
        <v>5827.8389999999999</v>
      </c>
      <c r="U31" s="231">
        <f t="shared" si="70"/>
        <v>6315.7820000000002</v>
      </c>
      <c r="V31" s="32">
        <v>6803.7250000000004</v>
      </c>
      <c r="W31" s="231">
        <f t="shared" si="71"/>
        <v>7171.8384999999998</v>
      </c>
      <c r="X31" s="32">
        <v>7539.9520000000002</v>
      </c>
      <c r="Y31" s="32">
        <v>8062.2430000000004</v>
      </c>
      <c r="Z31" s="32">
        <v>8432.8580000000002</v>
      </c>
      <c r="AA31" s="32">
        <v>8989.7610000000004</v>
      </c>
      <c r="AB31" s="32">
        <v>9696.8700000000008</v>
      </c>
      <c r="AC31" s="32">
        <v>10179.596</v>
      </c>
      <c r="AD31" s="32">
        <v>10335.565000000001</v>
      </c>
      <c r="AE31" s="32">
        <v>10488.459000000001</v>
      </c>
      <c r="AF31" s="440">
        <v>9974.8870000000006</v>
      </c>
      <c r="AG31" s="184"/>
      <c r="AO31" s="17">
        <f>997.063+12.418</f>
        <v>1009.481</v>
      </c>
      <c r="AP31" s="231">
        <f t="shared" si="72"/>
        <v>1135.1934999999999</v>
      </c>
      <c r="AQ31" s="30">
        <v>1260.9059999999999</v>
      </c>
      <c r="AR31" s="32">
        <v>1296.367</v>
      </c>
      <c r="AS31" s="32">
        <v>1429.152</v>
      </c>
      <c r="AT31" s="32">
        <v>1673.1569999999999</v>
      </c>
      <c r="AU31" s="32">
        <v>1827.145</v>
      </c>
      <c r="AV31" s="32">
        <v>1872.309</v>
      </c>
      <c r="AW31" s="32">
        <v>1952.548</v>
      </c>
      <c r="AX31" s="32">
        <v>2049.6030000000001</v>
      </c>
      <c r="AY31" s="32">
        <v>2155.98</v>
      </c>
      <c r="AZ31" s="231">
        <f t="shared" si="73"/>
        <v>2303.683</v>
      </c>
      <c r="BA31" s="32">
        <v>2451.386</v>
      </c>
      <c r="BB31" s="231">
        <f t="shared" si="74"/>
        <v>2561.1530000000002</v>
      </c>
      <c r="BC31" s="32">
        <v>2670.92</v>
      </c>
      <c r="BD31" s="32">
        <v>2811.288</v>
      </c>
      <c r="BE31" s="32">
        <v>2917.6860000000001</v>
      </c>
      <c r="BF31" s="32">
        <v>3011.7840000000001</v>
      </c>
      <c r="BG31" s="32">
        <v>3213.576</v>
      </c>
      <c r="BH31" s="32">
        <v>3349.9560000000001</v>
      </c>
      <c r="BI31" s="32">
        <v>3347.799</v>
      </c>
      <c r="BJ31" s="32">
        <v>3180.7179999999998</v>
      </c>
      <c r="BK31" s="440">
        <v>3176.11</v>
      </c>
      <c r="BL31" s="37"/>
      <c r="BM31" s="75"/>
      <c r="BN31" s="75"/>
      <c r="BO31" s="75"/>
      <c r="BP31" s="75"/>
      <c r="BQ31" s="75"/>
      <c r="BR31" s="75"/>
      <c r="BS31" s="217"/>
      <c r="BT31" s="75">
        <v>647.11099999999999</v>
      </c>
      <c r="BU31" s="231">
        <f t="shared" si="75"/>
        <v>737.38549999999998</v>
      </c>
      <c r="BV31" s="75">
        <v>827.66</v>
      </c>
      <c r="BW31" s="32">
        <v>837.36500000000001</v>
      </c>
      <c r="BX31" s="32">
        <v>906.77300000000002</v>
      </c>
      <c r="BY31" s="32">
        <v>1090.498</v>
      </c>
      <c r="BZ31" s="32">
        <v>1177.972</v>
      </c>
      <c r="CA31" s="32">
        <v>1263.8209999999999</v>
      </c>
      <c r="CB31" s="32">
        <v>1310.479</v>
      </c>
      <c r="CC31" s="32">
        <v>1376.991</v>
      </c>
      <c r="CD31" s="32">
        <v>1405.8630000000001</v>
      </c>
      <c r="CE31" s="231">
        <f t="shared" si="76"/>
        <v>1518.2240000000002</v>
      </c>
      <c r="CF31" s="32">
        <v>1630.585</v>
      </c>
      <c r="CG31" s="231">
        <f t="shared" si="77"/>
        <v>1668.0385000000001</v>
      </c>
      <c r="CH31" s="32">
        <v>1705.492</v>
      </c>
      <c r="CI31" s="32">
        <v>1779.385</v>
      </c>
      <c r="CJ31" s="32">
        <v>1856.893</v>
      </c>
      <c r="CK31" s="32">
        <v>1908.9839999999999</v>
      </c>
      <c r="CL31" s="32">
        <v>1927.885</v>
      </c>
      <c r="CM31" s="32">
        <v>2014.4549999999999</v>
      </c>
      <c r="CN31" s="32">
        <v>2032.15</v>
      </c>
      <c r="CO31" s="32">
        <v>1898.5940000000001</v>
      </c>
      <c r="CP31" s="440">
        <v>1853.1389999999999</v>
      </c>
      <c r="CQ31" s="37"/>
      <c r="CR31" s="75"/>
      <c r="CS31" s="75"/>
      <c r="CT31" s="75"/>
      <c r="CU31" s="75"/>
      <c r="CV31" s="75"/>
      <c r="CW31" s="75"/>
      <c r="CX31" s="217"/>
      <c r="CY31" s="75">
        <v>309.14</v>
      </c>
      <c r="CZ31" s="231">
        <f t="shared" si="78"/>
        <v>336.62950000000001</v>
      </c>
      <c r="DA31" s="75">
        <f>364119/1000</f>
        <v>364.11900000000003</v>
      </c>
      <c r="DB31" s="32">
        <v>389.77199999999999</v>
      </c>
      <c r="DC31" s="32">
        <v>447.30399999999997</v>
      </c>
      <c r="DD31" s="32">
        <v>473.05900000000003</v>
      </c>
      <c r="DE31" s="32">
        <v>510.22699999999998</v>
      </c>
      <c r="DF31" s="32">
        <v>514.73500000000001</v>
      </c>
      <c r="DG31" s="32">
        <v>543.89099999999996</v>
      </c>
      <c r="DH31" s="32">
        <v>582.53700000000003</v>
      </c>
      <c r="DI31" s="32">
        <v>629.65599999999995</v>
      </c>
      <c r="DJ31" s="231">
        <f t="shared" si="79"/>
        <v>660.86599999999999</v>
      </c>
      <c r="DK31" s="32">
        <v>692.07600000000002</v>
      </c>
      <c r="DL31" s="231">
        <f t="shared" si="80"/>
        <v>758.98299999999995</v>
      </c>
      <c r="DM31" s="32">
        <v>825.89</v>
      </c>
      <c r="DN31" s="32">
        <v>858.13699999999994</v>
      </c>
      <c r="DO31" s="32">
        <v>890.41300000000001</v>
      </c>
      <c r="DP31" s="32">
        <v>926.19399999999996</v>
      </c>
      <c r="DQ31" s="32">
        <v>1090.867</v>
      </c>
      <c r="DR31" s="32">
        <v>1122.521</v>
      </c>
      <c r="DS31" s="32">
        <v>1102.5029999999999</v>
      </c>
      <c r="DT31" s="32">
        <v>1081.7</v>
      </c>
      <c r="DU31" s="440">
        <v>1110.6300000000001</v>
      </c>
      <c r="DV31" s="38"/>
      <c r="DW31" s="219"/>
      <c r="DX31" s="219"/>
      <c r="DY31" s="219"/>
      <c r="DZ31" s="219"/>
      <c r="EA31" s="219"/>
      <c r="EB31" s="219"/>
      <c r="EC31" s="219"/>
      <c r="ED31" s="40">
        <f t="shared" si="81"/>
        <v>53.230000000000018</v>
      </c>
      <c r="EE31" s="40">
        <f t="shared" si="82"/>
        <v>61.178499999999872</v>
      </c>
      <c r="EF31" s="40">
        <f t="shared" si="83"/>
        <v>69.126999999999953</v>
      </c>
      <c r="EG31" s="40">
        <f t="shared" si="84"/>
        <v>69.229999999999961</v>
      </c>
      <c r="EH31" s="40">
        <f t="shared" si="85"/>
        <v>75.075000000000045</v>
      </c>
      <c r="EI31" s="40">
        <f t="shared" si="86"/>
        <v>109.59999999999985</v>
      </c>
      <c r="EJ31" s="40">
        <f t="shared" si="87"/>
        <v>138.94600000000003</v>
      </c>
      <c r="EK31" s="40">
        <f t="shared" si="88"/>
        <v>93.753000000000043</v>
      </c>
      <c r="EL31" s="40">
        <f t="shared" si="89"/>
        <v>98.177999999999997</v>
      </c>
      <c r="EM31" s="40">
        <f t="shared" si="90"/>
        <v>90.075000000000045</v>
      </c>
      <c r="EN31" s="40">
        <f t="shared" si="91"/>
        <v>120.46100000000001</v>
      </c>
      <c r="EO31" s="40">
        <f t="shared" si="92"/>
        <v>124.59299999999985</v>
      </c>
      <c r="EP31" s="40">
        <f t="shared" si="93"/>
        <v>128.72499999999991</v>
      </c>
      <c r="EQ31" s="40">
        <f t="shared" si="94"/>
        <v>134.13150000000019</v>
      </c>
      <c r="ER31" s="40">
        <f t="shared" si="95"/>
        <v>139.53800000000012</v>
      </c>
      <c r="ES31" s="40">
        <f t="shared" si="96"/>
        <v>173.76600000000008</v>
      </c>
      <c r="ET31" s="40">
        <f t="shared" si="97"/>
        <v>170.38000000000011</v>
      </c>
      <c r="EU31" s="40">
        <f t="shared" si="98"/>
        <v>176.60600000000022</v>
      </c>
      <c r="EV31" s="40">
        <f t="shared" si="99"/>
        <v>194.82400000000007</v>
      </c>
      <c r="EW31" s="40">
        <f t="shared" si="100"/>
        <v>212.98000000000025</v>
      </c>
      <c r="EX31" s="40">
        <f t="shared" si="101"/>
        <v>213.14599999999996</v>
      </c>
      <c r="EY31" s="40">
        <f t="shared" si="102"/>
        <v>200.42399999999975</v>
      </c>
      <c r="EZ31" s="40">
        <f t="shared" si="103"/>
        <v>212.34100000000012</v>
      </c>
      <c r="FA31" s="176"/>
      <c r="FB31" s="75"/>
      <c r="FC31" s="75"/>
      <c r="FD31" s="75"/>
      <c r="FE31" s="75"/>
      <c r="FF31" s="75"/>
      <c r="FG31" s="75"/>
      <c r="FH31" s="217"/>
      <c r="FI31" s="75">
        <f>250.221+167.878+71.749+11.537+0.804</f>
        <v>502.18899999999991</v>
      </c>
      <c r="FJ31" s="231">
        <f t="shared" si="104"/>
        <v>591.29349999999999</v>
      </c>
      <c r="FK31" s="75">
        <v>680.39800000000002</v>
      </c>
      <c r="FL31" s="32">
        <v>816.68399999999997</v>
      </c>
      <c r="FM31" s="32">
        <v>854.84799999999996</v>
      </c>
      <c r="FN31" s="32">
        <v>954.08900000000006</v>
      </c>
      <c r="FO31" s="32">
        <v>984.71500000000003</v>
      </c>
      <c r="FP31" s="32">
        <v>1045.079</v>
      </c>
      <c r="FQ31" s="32">
        <v>1165.992</v>
      </c>
      <c r="FR31" s="32">
        <v>1298.31</v>
      </c>
      <c r="FS31" s="32">
        <v>1335.26</v>
      </c>
      <c r="FT31" s="231">
        <f t="shared" si="105"/>
        <v>1506.31</v>
      </c>
      <c r="FU31" s="32">
        <v>1677.36</v>
      </c>
      <c r="FV31" s="231">
        <f t="shared" si="106"/>
        <v>1821.7734999999998</v>
      </c>
      <c r="FW31" s="32">
        <v>1966.1869999999999</v>
      </c>
      <c r="FX31" s="32">
        <v>2225.8829999999998</v>
      </c>
      <c r="FY31" s="32">
        <v>2370.1</v>
      </c>
      <c r="FZ31" s="32">
        <v>2492.79</v>
      </c>
      <c r="GA31" s="32">
        <v>2677.404</v>
      </c>
      <c r="GB31" s="32">
        <v>2884.0320000000002</v>
      </c>
      <c r="GC31" s="32">
        <v>2876.5619999999999</v>
      </c>
      <c r="GD31" s="32">
        <v>3293.0509999999999</v>
      </c>
      <c r="GE31" s="440">
        <v>2857.33</v>
      </c>
      <c r="GF31" s="37"/>
      <c r="GG31" s="75"/>
      <c r="GH31" s="75"/>
      <c r="GI31" s="75"/>
      <c r="GJ31" s="75"/>
      <c r="GK31" s="75"/>
      <c r="GL31" s="75"/>
      <c r="GM31" s="217"/>
      <c r="GN31" s="75">
        <f>325.694+11.61+4.433+0.995+0.013+90.423+31.674+52.151+30.684+111.083+33.654+25.931+51.841+26.292</f>
        <v>796.47799999999995</v>
      </c>
      <c r="GO31" s="231">
        <f t="shared" si="107"/>
        <v>849.00049999999999</v>
      </c>
      <c r="GP31" s="75">
        <v>901.52300000000002</v>
      </c>
      <c r="GQ31" s="32">
        <v>916.90200000000004</v>
      </c>
      <c r="GR31" s="32">
        <v>1027.578</v>
      </c>
      <c r="GS31" s="32">
        <v>1200.5229999999999</v>
      </c>
      <c r="GT31" s="32">
        <v>1202.9069999999999</v>
      </c>
      <c r="GU31" s="32">
        <v>1347.5239999999999</v>
      </c>
      <c r="GV31" s="32">
        <v>1438.1959999999999</v>
      </c>
      <c r="GW31" s="32">
        <v>1537.6959999999999</v>
      </c>
      <c r="GX31" s="32">
        <v>1602.4480000000001</v>
      </c>
      <c r="GY31" s="231">
        <f t="shared" si="108"/>
        <v>1728.3045000000002</v>
      </c>
      <c r="GZ31" s="32">
        <v>1854.1610000000001</v>
      </c>
      <c r="HA31" s="231">
        <f t="shared" si="109"/>
        <v>1911.9760000000001</v>
      </c>
      <c r="HB31" s="32">
        <v>1969.7909999999999</v>
      </c>
      <c r="HC31" s="32">
        <v>2030.4860000000001</v>
      </c>
      <c r="HD31" s="32">
        <v>2158.09</v>
      </c>
      <c r="HE31" s="32">
        <v>2405.279</v>
      </c>
      <c r="HF31" s="32">
        <v>2569.4070000000002</v>
      </c>
      <c r="HG31" s="32">
        <v>2633.3139999999999</v>
      </c>
      <c r="HH31" s="32">
        <v>2803.1880000000001</v>
      </c>
      <c r="HI31" s="32">
        <v>2823.9070000000002</v>
      </c>
      <c r="HJ31" s="440">
        <v>2724.9479999999999</v>
      </c>
      <c r="HK31" s="37"/>
      <c r="HL31" s="75"/>
      <c r="HM31" s="75"/>
      <c r="HN31" s="75"/>
      <c r="HO31" s="75"/>
      <c r="HP31" s="75"/>
      <c r="HQ31" s="75"/>
      <c r="HR31" s="217"/>
      <c r="HS31" s="75">
        <f>67.191+37.169+11.161+24.694</f>
        <v>140.215</v>
      </c>
      <c r="HT31" s="231">
        <f t="shared" si="110"/>
        <v>156.13249999999999</v>
      </c>
      <c r="HU31" s="75">
        <v>172.05</v>
      </c>
      <c r="HV31" s="32">
        <v>180.239</v>
      </c>
      <c r="HW31" s="32">
        <v>201.76</v>
      </c>
      <c r="HX31" s="32">
        <v>226.3</v>
      </c>
      <c r="HY31" s="32">
        <v>259.33800000000002</v>
      </c>
      <c r="HZ31" s="32">
        <v>268.85599999999999</v>
      </c>
      <c r="IA31" s="32">
        <v>288.00700000000001</v>
      </c>
      <c r="IB31" s="32">
        <v>379.017</v>
      </c>
      <c r="IC31" s="32">
        <v>379.399</v>
      </c>
      <c r="ID31" s="231">
        <f t="shared" si="111"/>
        <v>399.07349999999997</v>
      </c>
      <c r="IE31" s="32">
        <v>418.74799999999999</v>
      </c>
      <c r="IF31" s="231">
        <f t="shared" si="112"/>
        <v>454.70650000000001</v>
      </c>
      <c r="IG31" s="32">
        <v>490.66500000000002</v>
      </c>
      <c r="IH31" s="32">
        <v>504.053</v>
      </c>
      <c r="II31" s="32">
        <v>517.56899999999996</v>
      </c>
      <c r="IJ31" s="32">
        <v>571.27</v>
      </c>
      <c r="IK31" s="32">
        <v>677.46299999999997</v>
      </c>
      <c r="IL31" s="32">
        <v>695.82600000000002</v>
      </c>
      <c r="IM31" s="32">
        <v>655.70600000000002</v>
      </c>
      <c r="IN31" s="32">
        <v>589.68100000000004</v>
      </c>
      <c r="IO31" s="440">
        <v>575.92200000000003</v>
      </c>
      <c r="IP31" s="37"/>
      <c r="IQ31" s="75"/>
      <c r="IR31" s="75"/>
      <c r="IS31" s="75"/>
      <c r="IT31" s="75"/>
      <c r="IU31" s="75"/>
      <c r="IV31" s="75"/>
      <c r="IW31" s="217"/>
      <c r="IX31" s="75">
        <f>99.544+3.32+99.914</f>
        <v>202.77799999999999</v>
      </c>
      <c r="IY31" s="231">
        <f t="shared" si="113"/>
        <v>226.93700000000001</v>
      </c>
      <c r="IZ31" s="75">
        <v>251.096</v>
      </c>
      <c r="JA31" s="32">
        <v>247.98400000000001</v>
      </c>
      <c r="JB31" s="47">
        <v>256.27600000000001</v>
      </c>
      <c r="JC31" s="47">
        <v>282.59399999999999</v>
      </c>
      <c r="JD31" s="47">
        <v>271.38499999999999</v>
      </c>
      <c r="JE31" s="47">
        <v>338.99099999999999</v>
      </c>
      <c r="JF31" s="17">
        <v>340.077</v>
      </c>
      <c r="JG31" s="17">
        <v>347.012</v>
      </c>
      <c r="JH31" s="17">
        <v>354.75200000000001</v>
      </c>
      <c r="JI31" s="231">
        <f t="shared" si="114"/>
        <v>378.411</v>
      </c>
      <c r="JJ31" s="17">
        <v>402.07</v>
      </c>
      <c r="JK31" s="231">
        <f t="shared" si="115"/>
        <v>422.22950000000003</v>
      </c>
      <c r="JL31" s="17">
        <v>442.38900000000001</v>
      </c>
      <c r="JM31" s="17">
        <v>490.53300000000002</v>
      </c>
      <c r="JN31" s="17">
        <v>469.41300000000001</v>
      </c>
      <c r="JO31" s="32">
        <v>508.63799999999998</v>
      </c>
      <c r="JP31" s="32">
        <v>559.02</v>
      </c>
      <c r="JQ31" s="32">
        <v>616.46699999999998</v>
      </c>
      <c r="JR31" s="32">
        <v>652.31299999999999</v>
      </c>
      <c r="JS31" s="17">
        <v>601.10199999999998</v>
      </c>
      <c r="JT31" s="450">
        <v>640.577</v>
      </c>
    </row>
    <row r="32" spans="1:280" s="17" customFormat="1" ht="12.75" customHeight="1">
      <c r="A32" s="222" t="s">
        <v>63</v>
      </c>
      <c r="B32" s="16"/>
      <c r="C32" s="16"/>
      <c r="D32" s="16"/>
      <c r="E32" s="16"/>
      <c r="F32" s="16"/>
      <c r="G32" s="16"/>
      <c r="H32" s="16"/>
      <c r="I32" s="25"/>
      <c r="J32" s="16">
        <v>2513.0720000000001</v>
      </c>
      <c r="K32" s="231">
        <f t="shared" si="69"/>
        <v>2720.2215000000001</v>
      </c>
      <c r="L32" s="16">
        <v>2927.3710000000001</v>
      </c>
      <c r="M32" s="16">
        <v>3104.174</v>
      </c>
      <c r="N32" s="73">
        <v>3299.5450000000001</v>
      </c>
      <c r="O32" s="32">
        <v>3535.2379999999998</v>
      </c>
      <c r="P32" s="32">
        <v>3723.2550000000001</v>
      </c>
      <c r="Q32" s="32">
        <v>3910.23</v>
      </c>
      <c r="R32" s="32">
        <v>4004.7269999999999</v>
      </c>
      <c r="S32" s="32">
        <v>4292.607</v>
      </c>
      <c r="T32" s="32">
        <v>4522.9709999999995</v>
      </c>
      <c r="U32" s="231">
        <f t="shared" si="70"/>
        <v>4787.4399999999996</v>
      </c>
      <c r="V32" s="32">
        <v>5051.9089999999997</v>
      </c>
      <c r="W32" s="231">
        <f t="shared" si="71"/>
        <v>5299.26</v>
      </c>
      <c r="X32" s="32">
        <v>5546.6109999999999</v>
      </c>
      <c r="Y32" s="32">
        <v>5746.5479999999998</v>
      </c>
      <c r="Z32" s="32">
        <v>6650.8190000000004</v>
      </c>
      <c r="AA32" s="32">
        <v>6648.0249999999996</v>
      </c>
      <c r="AB32" s="32">
        <v>7257.8990000000003</v>
      </c>
      <c r="AC32" s="32">
        <v>7446.6120000000001</v>
      </c>
      <c r="AD32" s="32">
        <v>8033.1850000000004</v>
      </c>
      <c r="AE32" s="32">
        <v>8112.5969999999998</v>
      </c>
      <c r="AF32" s="440">
        <v>8199.6990000000005</v>
      </c>
      <c r="AG32" s="185"/>
      <c r="AH32" s="216"/>
      <c r="AI32" s="216"/>
      <c r="AJ32" s="216"/>
      <c r="AK32" s="216"/>
      <c r="AL32" s="216"/>
      <c r="AM32" s="216"/>
      <c r="AN32" s="235"/>
      <c r="AO32" s="216">
        <f>944.74+9.359</f>
        <v>954.09900000000005</v>
      </c>
      <c r="AP32" s="231">
        <f t="shared" si="72"/>
        <v>1026.6245000000001</v>
      </c>
      <c r="AQ32" s="30">
        <v>1099.1500000000001</v>
      </c>
      <c r="AR32" s="73">
        <v>1157.6780000000001</v>
      </c>
      <c r="AS32" s="32">
        <v>1293.537</v>
      </c>
      <c r="AT32" s="32">
        <v>1417.6089999999999</v>
      </c>
      <c r="AU32" s="32">
        <v>1481.7539999999999</v>
      </c>
      <c r="AV32" s="32">
        <v>1464.259</v>
      </c>
      <c r="AW32" s="32">
        <v>1480.1859999999999</v>
      </c>
      <c r="AX32" s="32">
        <v>1619.2449999999999</v>
      </c>
      <c r="AY32" s="32">
        <v>1656.9970000000001</v>
      </c>
      <c r="AZ32" s="231">
        <f t="shared" si="73"/>
        <v>1733.817</v>
      </c>
      <c r="BA32" s="32">
        <v>1810.6369999999999</v>
      </c>
      <c r="BB32" s="231">
        <f t="shared" si="74"/>
        <v>1882.711</v>
      </c>
      <c r="BC32" s="32">
        <v>1954.7850000000001</v>
      </c>
      <c r="BD32" s="32">
        <v>2002.7840000000001</v>
      </c>
      <c r="BE32" s="32">
        <v>2361.7440000000001</v>
      </c>
      <c r="BF32" s="32">
        <v>2361.7429999999999</v>
      </c>
      <c r="BG32" s="32">
        <v>2550.4160000000002</v>
      </c>
      <c r="BH32" s="32">
        <v>2593.761</v>
      </c>
      <c r="BI32" s="32">
        <v>2616.3679999999999</v>
      </c>
      <c r="BJ32" s="32">
        <v>2628.2109999999998</v>
      </c>
      <c r="BK32" s="440">
        <v>2609.1219999999998</v>
      </c>
      <c r="BL32" s="86"/>
      <c r="BM32" s="228"/>
      <c r="BN32" s="228"/>
      <c r="BO32" s="228"/>
      <c r="BP32" s="228"/>
      <c r="BQ32" s="228"/>
      <c r="BR32" s="228"/>
      <c r="BS32" s="236"/>
      <c r="BT32" s="228">
        <v>698.40200000000004</v>
      </c>
      <c r="BU32" s="231">
        <f t="shared" si="75"/>
        <v>734.41550000000007</v>
      </c>
      <c r="BV32" s="228">
        <v>770.42899999999997</v>
      </c>
      <c r="BW32" s="73">
        <v>809.98800000000006</v>
      </c>
      <c r="BX32" s="32">
        <v>902.78899999999999</v>
      </c>
      <c r="BY32" s="32">
        <v>948.62199999999996</v>
      </c>
      <c r="BZ32" s="32">
        <v>980.81</v>
      </c>
      <c r="CA32" s="32">
        <v>954.14400000000001</v>
      </c>
      <c r="CB32" s="32">
        <v>996.93600000000004</v>
      </c>
      <c r="CC32" s="32">
        <v>1016.527</v>
      </c>
      <c r="CD32" s="32">
        <v>1036.922</v>
      </c>
      <c r="CE32" s="231">
        <f t="shared" si="76"/>
        <v>1084.636</v>
      </c>
      <c r="CF32" s="32">
        <v>1132.3499999999999</v>
      </c>
      <c r="CG32" s="231">
        <f t="shared" si="77"/>
        <v>1177.2024999999999</v>
      </c>
      <c r="CH32" s="32">
        <v>1222.0550000000001</v>
      </c>
      <c r="CI32" s="32">
        <v>1249.0650000000001</v>
      </c>
      <c r="CJ32" s="32">
        <v>1429.433</v>
      </c>
      <c r="CK32" s="32">
        <v>1429.433</v>
      </c>
      <c r="CL32" s="32">
        <v>1535.395</v>
      </c>
      <c r="CM32" s="32">
        <v>1593.9290000000001</v>
      </c>
      <c r="CN32" s="32">
        <v>1611.335</v>
      </c>
      <c r="CO32" s="32">
        <v>1621.4069999999999</v>
      </c>
      <c r="CP32" s="440">
        <v>1618.002</v>
      </c>
      <c r="CQ32" s="87"/>
      <c r="CR32" s="73"/>
      <c r="CS32" s="73"/>
      <c r="CT32" s="73"/>
      <c r="CU32" s="73"/>
      <c r="CV32" s="73"/>
      <c r="CW32" s="73"/>
      <c r="CX32" s="89"/>
      <c r="CY32" s="73">
        <v>183.18799999999999</v>
      </c>
      <c r="CZ32" s="231">
        <f t="shared" si="78"/>
        <v>215.25799999999998</v>
      </c>
      <c r="DA32" s="73">
        <f>247328/1000</f>
        <v>247.328</v>
      </c>
      <c r="DB32" s="73">
        <v>263.80200000000002</v>
      </c>
      <c r="DC32" s="32">
        <v>290.19299999999998</v>
      </c>
      <c r="DD32" s="32">
        <v>355.548</v>
      </c>
      <c r="DE32" s="32">
        <v>379.90899999999999</v>
      </c>
      <c r="DF32" s="32">
        <v>412.572</v>
      </c>
      <c r="DG32" s="32">
        <v>378.59899999999999</v>
      </c>
      <c r="DH32" s="32">
        <v>474.76</v>
      </c>
      <c r="DI32" s="32">
        <v>479.21100000000001</v>
      </c>
      <c r="DJ32" s="231">
        <f t="shared" si="79"/>
        <v>492.78899999999999</v>
      </c>
      <c r="DK32" s="32">
        <v>506.36700000000002</v>
      </c>
      <c r="DL32" s="231">
        <f t="shared" si="80"/>
        <v>549.46450000000004</v>
      </c>
      <c r="DM32" s="32">
        <v>592.56200000000001</v>
      </c>
      <c r="DN32" s="32">
        <v>613.93200000000002</v>
      </c>
      <c r="DO32" s="32">
        <v>754.04499999999996</v>
      </c>
      <c r="DP32" s="32">
        <v>754.04499999999996</v>
      </c>
      <c r="DQ32" s="32">
        <v>835.99099999999999</v>
      </c>
      <c r="DR32" s="32">
        <v>827.47699999999998</v>
      </c>
      <c r="DS32" s="32">
        <v>812.66</v>
      </c>
      <c r="DT32" s="32">
        <v>797.11099999999999</v>
      </c>
      <c r="DU32" s="440">
        <v>787.995</v>
      </c>
      <c r="DV32" s="88"/>
      <c r="DW32" s="90"/>
      <c r="DX32" s="90"/>
      <c r="DY32" s="90"/>
      <c r="DZ32" s="90"/>
      <c r="EA32" s="90"/>
      <c r="EB32" s="90"/>
      <c r="EC32" s="90"/>
      <c r="ED32" s="40">
        <f t="shared" si="81"/>
        <v>72.509000000000015</v>
      </c>
      <c r="EE32" s="40">
        <f t="shared" si="82"/>
        <v>76.951000000000079</v>
      </c>
      <c r="EF32" s="40">
        <f t="shared" si="83"/>
        <v>81.393000000000114</v>
      </c>
      <c r="EG32" s="40">
        <f t="shared" si="84"/>
        <v>83.888000000000034</v>
      </c>
      <c r="EH32" s="40">
        <f t="shared" si="85"/>
        <v>100.55500000000006</v>
      </c>
      <c r="EI32" s="40">
        <f t="shared" si="86"/>
        <v>113.43899999999996</v>
      </c>
      <c r="EJ32" s="40">
        <f t="shared" si="87"/>
        <v>121.03499999999997</v>
      </c>
      <c r="EK32" s="40">
        <f t="shared" si="88"/>
        <v>97.543000000000006</v>
      </c>
      <c r="EL32" s="40">
        <f t="shared" si="89"/>
        <v>104.6509999999999</v>
      </c>
      <c r="EM32" s="40">
        <f t="shared" si="90"/>
        <v>127.95799999999986</v>
      </c>
      <c r="EN32" s="40">
        <f t="shared" si="91"/>
        <v>140.86400000000003</v>
      </c>
      <c r="EO32" s="40">
        <f t="shared" si="92"/>
        <v>156.39200000000005</v>
      </c>
      <c r="EP32" s="40">
        <f t="shared" si="93"/>
        <v>171.92000000000002</v>
      </c>
      <c r="EQ32" s="40">
        <f t="shared" si="94"/>
        <v>156.0440000000001</v>
      </c>
      <c r="ER32" s="40">
        <f t="shared" si="95"/>
        <v>140.16800000000001</v>
      </c>
      <c r="ES32" s="40">
        <f t="shared" si="96"/>
        <v>139.78700000000003</v>
      </c>
      <c r="ET32" s="40">
        <f t="shared" si="97"/>
        <v>178.26600000000019</v>
      </c>
      <c r="EU32" s="40">
        <f t="shared" si="98"/>
        <v>178.26499999999999</v>
      </c>
      <c r="EV32" s="40">
        <f t="shared" si="99"/>
        <v>179.0300000000002</v>
      </c>
      <c r="EW32" s="40">
        <f t="shared" si="100"/>
        <v>172.3549999999999</v>
      </c>
      <c r="EX32" s="40">
        <f t="shared" si="101"/>
        <v>192.37299999999993</v>
      </c>
      <c r="EY32" s="40">
        <f t="shared" si="102"/>
        <v>209.69299999999987</v>
      </c>
      <c r="EZ32" s="40">
        <f t="shared" si="103"/>
        <v>203.12499999999989</v>
      </c>
      <c r="FA32" s="181"/>
      <c r="FB32" s="73"/>
      <c r="FC32" s="73"/>
      <c r="FD32" s="73"/>
      <c r="FE32" s="73"/>
      <c r="FF32" s="73"/>
      <c r="FG32" s="73"/>
      <c r="FH32" s="89"/>
      <c r="FI32" s="73">
        <f>292.721+59.578+84.348+9.052+0.462</f>
        <v>446.161</v>
      </c>
      <c r="FJ32" s="231">
        <f t="shared" si="104"/>
        <v>491.82150000000001</v>
      </c>
      <c r="FK32" s="73">
        <v>537.48199999999997</v>
      </c>
      <c r="FL32" s="73">
        <v>617.21500000000003</v>
      </c>
      <c r="FM32" s="32">
        <v>619.89</v>
      </c>
      <c r="FN32" s="32">
        <v>666.05600000000004</v>
      </c>
      <c r="FO32" s="32">
        <v>752.98</v>
      </c>
      <c r="FP32" s="32">
        <v>784.63599999999997</v>
      </c>
      <c r="FQ32" s="32">
        <v>786.89300000000003</v>
      </c>
      <c r="FR32" s="32">
        <v>821.68200000000002</v>
      </c>
      <c r="FS32" s="32">
        <v>908.06</v>
      </c>
      <c r="FT32" s="231">
        <f t="shared" si="105"/>
        <v>985.70399999999995</v>
      </c>
      <c r="FU32" s="32">
        <v>1063.348</v>
      </c>
      <c r="FV32" s="231">
        <f t="shared" si="106"/>
        <v>1103.414</v>
      </c>
      <c r="FW32" s="32">
        <v>1143.48</v>
      </c>
      <c r="FX32" s="32">
        <v>1227.2470000000001</v>
      </c>
      <c r="FY32" s="32">
        <v>1334.405</v>
      </c>
      <c r="FZ32" s="32">
        <v>1334.405</v>
      </c>
      <c r="GA32" s="32">
        <v>1436.569</v>
      </c>
      <c r="GB32" s="32">
        <v>1622.7729999999999</v>
      </c>
      <c r="GC32" s="32">
        <v>1730.8689999999999</v>
      </c>
      <c r="GD32" s="32">
        <v>1846.1690000000001</v>
      </c>
      <c r="GE32" s="440">
        <v>1837.65</v>
      </c>
      <c r="GF32" s="87"/>
      <c r="GG32" s="73"/>
      <c r="GH32" s="73"/>
      <c r="GI32" s="73"/>
      <c r="GJ32" s="73"/>
      <c r="GK32" s="73"/>
      <c r="GL32" s="73"/>
      <c r="GM32" s="89"/>
      <c r="GN32" s="73">
        <f>310.687+17.099+3.449+0.006+64.348+22.008+34.227+10.848+97.723+19.87+44.185+21.649+19.714</f>
        <v>665.8130000000001</v>
      </c>
      <c r="GO32" s="231">
        <f t="shared" si="107"/>
        <v>726.33600000000001</v>
      </c>
      <c r="GP32" s="73">
        <v>786.85900000000004</v>
      </c>
      <c r="GQ32" s="73">
        <v>809.09199999999998</v>
      </c>
      <c r="GR32" s="32">
        <v>862.71400000000006</v>
      </c>
      <c r="GS32" s="32">
        <v>900.75099999999998</v>
      </c>
      <c r="GT32" s="32">
        <v>950.36099999999999</v>
      </c>
      <c r="GU32" s="32">
        <v>1049.527</v>
      </c>
      <c r="GV32" s="32">
        <v>1059.558</v>
      </c>
      <c r="GW32" s="32">
        <v>1173.213</v>
      </c>
      <c r="GX32" s="32">
        <v>1255.508</v>
      </c>
      <c r="GY32" s="231">
        <f t="shared" si="108"/>
        <v>1319.3229999999999</v>
      </c>
      <c r="GZ32" s="32">
        <v>1383.1379999999999</v>
      </c>
      <c r="HA32" s="231">
        <f t="shared" si="109"/>
        <v>1522.8575000000001</v>
      </c>
      <c r="HB32" s="32">
        <v>1662.577</v>
      </c>
      <c r="HC32" s="32">
        <v>1683.575</v>
      </c>
      <c r="HD32" s="32">
        <v>1920.547</v>
      </c>
      <c r="HE32" s="32">
        <v>1921.059</v>
      </c>
      <c r="HF32" s="32">
        <v>2091.232</v>
      </c>
      <c r="HG32" s="32">
        <v>2134.61</v>
      </c>
      <c r="HH32" s="32">
        <v>2310.4780000000001</v>
      </c>
      <c r="HI32" s="32">
        <v>2319.34</v>
      </c>
      <c r="HJ32" s="440">
        <v>2453.7939999999999</v>
      </c>
      <c r="HK32" s="87"/>
      <c r="HL32" s="73"/>
      <c r="HM32" s="73"/>
      <c r="HN32" s="73"/>
      <c r="HO32" s="73"/>
      <c r="HP32" s="73"/>
      <c r="HQ32" s="73"/>
      <c r="HR32" s="89"/>
      <c r="HS32" s="73">
        <f>75.088+32.564+11.896+23.569</f>
        <v>143.11699999999999</v>
      </c>
      <c r="HT32" s="231">
        <f t="shared" si="110"/>
        <v>161.821</v>
      </c>
      <c r="HU32" s="73">
        <v>180.52500000000001</v>
      </c>
      <c r="HV32" s="73">
        <v>198.77</v>
      </c>
      <c r="HW32" s="32">
        <v>208.44900000000001</v>
      </c>
      <c r="HX32" s="32">
        <v>203.59299999999999</v>
      </c>
      <c r="HY32" s="32">
        <v>208.233</v>
      </c>
      <c r="HZ32" s="32">
        <v>233.965</v>
      </c>
      <c r="IA32" s="32">
        <v>263.2</v>
      </c>
      <c r="IB32" s="32">
        <v>292.37299999999999</v>
      </c>
      <c r="IC32" s="32">
        <v>302.82600000000002</v>
      </c>
      <c r="ID32" s="231">
        <f t="shared" si="111"/>
        <v>318.74450000000002</v>
      </c>
      <c r="IE32" s="32">
        <v>334.66300000000001</v>
      </c>
      <c r="IF32" s="231">
        <f t="shared" si="112"/>
        <v>339.79150000000004</v>
      </c>
      <c r="IG32" s="32">
        <v>344.92</v>
      </c>
      <c r="IH32" s="32">
        <v>386.03699999999998</v>
      </c>
      <c r="II32" s="32">
        <v>482.48099999999999</v>
      </c>
      <c r="IJ32" s="32">
        <v>482.47800000000001</v>
      </c>
      <c r="IK32" s="32">
        <v>501.20600000000002</v>
      </c>
      <c r="IL32" s="32">
        <v>537.30499999999995</v>
      </c>
      <c r="IM32" s="32">
        <v>570.70799999999997</v>
      </c>
      <c r="IN32" s="32">
        <v>574.52599999999995</v>
      </c>
      <c r="IO32" s="440">
        <v>536.19100000000003</v>
      </c>
      <c r="IP32" s="36"/>
      <c r="IQ32" s="75"/>
      <c r="IR32" s="75"/>
      <c r="IS32" s="75"/>
      <c r="IT32" s="75"/>
      <c r="IU32" s="75"/>
      <c r="IV32" s="75"/>
      <c r="IW32" s="217"/>
      <c r="IX32" s="75">
        <f>188.665+1.512+113.705</f>
        <v>303.88200000000001</v>
      </c>
      <c r="IY32" s="231">
        <f t="shared" si="113"/>
        <v>313.61850000000004</v>
      </c>
      <c r="IZ32" s="75">
        <v>323.35500000000002</v>
      </c>
      <c r="JA32" s="73">
        <v>321.41899999999998</v>
      </c>
      <c r="JB32" s="47">
        <v>314.95499999999998</v>
      </c>
      <c r="JC32" s="47">
        <v>347.22899999999998</v>
      </c>
      <c r="JD32" s="47">
        <v>329.92700000000002</v>
      </c>
      <c r="JE32" s="47">
        <v>377.84300000000002</v>
      </c>
      <c r="JF32" s="17">
        <v>414.89</v>
      </c>
      <c r="JG32" s="17">
        <v>386.09399999999999</v>
      </c>
      <c r="JH32" s="17">
        <v>399.58</v>
      </c>
      <c r="JI32" s="231">
        <f t="shared" si="114"/>
        <v>429.85149999999999</v>
      </c>
      <c r="JJ32" s="17">
        <v>460.12299999999999</v>
      </c>
      <c r="JK32" s="231">
        <f t="shared" si="115"/>
        <v>450.48599999999999</v>
      </c>
      <c r="JL32" s="17">
        <v>440.84899999999999</v>
      </c>
      <c r="JM32" s="17">
        <v>446.90499999999997</v>
      </c>
      <c r="JN32" s="17">
        <v>551.64200000000005</v>
      </c>
      <c r="JO32" s="32">
        <v>548.34</v>
      </c>
      <c r="JP32" s="32">
        <v>678.476</v>
      </c>
      <c r="JQ32" s="32">
        <v>558.16300000000001</v>
      </c>
      <c r="JR32" s="32">
        <v>804.76099999999997</v>
      </c>
      <c r="JS32" s="17">
        <v>744.351</v>
      </c>
      <c r="JT32" s="450">
        <v>762.94200000000001</v>
      </c>
    </row>
    <row r="33" spans="1:280" s="17" customFormat="1" ht="12.75" customHeight="1">
      <c r="A33" s="222" t="s">
        <v>65</v>
      </c>
      <c r="B33" s="16"/>
      <c r="C33" s="16"/>
      <c r="D33" s="16"/>
      <c r="E33" s="16"/>
      <c r="F33" s="16"/>
      <c r="G33" s="16"/>
      <c r="H33" s="16"/>
      <c r="I33" s="25"/>
      <c r="J33" s="16">
        <v>4124.0240000000003</v>
      </c>
      <c r="K33" s="231">
        <f t="shared" si="69"/>
        <v>4716.2415000000001</v>
      </c>
      <c r="L33" s="16">
        <v>5308.4589999999998</v>
      </c>
      <c r="M33" s="16">
        <v>5591.9859999999999</v>
      </c>
      <c r="N33" s="73">
        <v>6284.8239999999996</v>
      </c>
      <c r="O33" s="32">
        <v>6440.598</v>
      </c>
      <c r="P33" s="32">
        <v>6872.0569999999998</v>
      </c>
      <c r="Q33" s="32">
        <v>7918.0110000000004</v>
      </c>
      <c r="R33" s="32">
        <v>8589.9969999999994</v>
      </c>
      <c r="S33" s="32">
        <v>9302.1880000000001</v>
      </c>
      <c r="T33" s="32">
        <v>9761.6389999999992</v>
      </c>
      <c r="U33" s="231">
        <f t="shared" si="70"/>
        <v>10767.672500000001</v>
      </c>
      <c r="V33" s="32">
        <v>11773.706</v>
      </c>
      <c r="W33" s="231">
        <f t="shared" si="71"/>
        <v>12697.141</v>
      </c>
      <c r="X33" s="32">
        <v>13620.575999999999</v>
      </c>
      <c r="Y33" s="32">
        <v>14934.718999999999</v>
      </c>
      <c r="Z33" s="32">
        <v>17231.099999999999</v>
      </c>
      <c r="AA33" s="32">
        <v>17231.099999999999</v>
      </c>
      <c r="AB33" s="32">
        <v>18232.978999999999</v>
      </c>
      <c r="AC33" s="32">
        <v>18805.245999999999</v>
      </c>
      <c r="AD33" s="32">
        <v>17776.901999999998</v>
      </c>
      <c r="AE33" s="32">
        <v>18696.002</v>
      </c>
      <c r="AF33" s="440">
        <v>18538.656999999999</v>
      </c>
      <c r="AG33" s="185"/>
      <c r="AH33" s="216"/>
      <c r="AI33" s="216"/>
      <c r="AJ33" s="216"/>
      <c r="AK33" s="216"/>
      <c r="AL33" s="216"/>
      <c r="AM33" s="216"/>
      <c r="AN33" s="235"/>
      <c r="AO33" s="216">
        <f>1223.833+28.832</f>
        <v>1252.6650000000002</v>
      </c>
      <c r="AP33" s="231">
        <f t="shared" si="72"/>
        <v>1448.4875000000002</v>
      </c>
      <c r="AQ33" s="30">
        <v>1644.31</v>
      </c>
      <c r="AR33" s="73">
        <v>1667.3720000000001</v>
      </c>
      <c r="AS33" s="32">
        <v>1761.809</v>
      </c>
      <c r="AT33" s="32">
        <v>1847.153</v>
      </c>
      <c r="AU33" s="32">
        <v>2080.2530000000002</v>
      </c>
      <c r="AV33" s="32">
        <v>2438.42</v>
      </c>
      <c r="AW33" s="32">
        <v>2607.1329999999998</v>
      </c>
      <c r="AX33" s="32">
        <v>2986.7379999999998</v>
      </c>
      <c r="AY33" s="32">
        <v>3070.768</v>
      </c>
      <c r="AZ33" s="231">
        <f t="shared" si="73"/>
        <v>3413.2725</v>
      </c>
      <c r="BA33" s="32">
        <v>3755.777</v>
      </c>
      <c r="BB33" s="231">
        <f t="shared" si="74"/>
        <v>4003.6605</v>
      </c>
      <c r="BC33" s="32">
        <v>4251.5439999999999</v>
      </c>
      <c r="BD33" s="32">
        <v>4591.3419999999996</v>
      </c>
      <c r="BE33" s="32">
        <v>5777.5469999999996</v>
      </c>
      <c r="BF33" s="32">
        <v>5777.5469999999996</v>
      </c>
      <c r="BG33" s="32">
        <v>6361.2579999999998</v>
      </c>
      <c r="BH33" s="32">
        <v>5961.2640000000001</v>
      </c>
      <c r="BI33" s="32">
        <v>5663.2150000000001</v>
      </c>
      <c r="BJ33" s="32">
        <v>5675.0450000000001</v>
      </c>
      <c r="BK33" s="440">
        <v>5507.7740000000003</v>
      </c>
      <c r="BL33" s="86"/>
      <c r="BM33" s="228"/>
      <c r="BN33" s="228"/>
      <c r="BO33" s="228"/>
      <c r="BP33" s="228"/>
      <c r="BQ33" s="228"/>
      <c r="BR33" s="228"/>
      <c r="BS33" s="236"/>
      <c r="BT33" s="228">
        <v>922.79100000000005</v>
      </c>
      <c r="BU33" s="231">
        <f t="shared" si="75"/>
        <v>1056.6745000000001</v>
      </c>
      <c r="BV33" s="228">
        <v>1190.558</v>
      </c>
      <c r="BW33" s="73">
        <v>1190.6300000000001</v>
      </c>
      <c r="BX33" s="32">
        <v>1264.451</v>
      </c>
      <c r="BY33" s="32">
        <v>1296.885</v>
      </c>
      <c r="BZ33" s="32">
        <v>1509.5419999999999</v>
      </c>
      <c r="CA33" s="32">
        <v>1811.1010000000001</v>
      </c>
      <c r="CB33" s="32">
        <v>1919.4680000000001</v>
      </c>
      <c r="CC33" s="32">
        <v>2194.9279999999999</v>
      </c>
      <c r="CD33" s="32">
        <v>2308.6889999999999</v>
      </c>
      <c r="CE33" s="231">
        <f t="shared" si="76"/>
        <v>2541.7685000000001</v>
      </c>
      <c r="CF33" s="32">
        <v>2774.848</v>
      </c>
      <c r="CG33" s="231">
        <f t="shared" si="77"/>
        <v>2916.7125000000001</v>
      </c>
      <c r="CH33" s="32">
        <v>3058.5770000000002</v>
      </c>
      <c r="CI33" s="32">
        <v>3291.6210000000001</v>
      </c>
      <c r="CJ33" s="32">
        <v>4134.3119999999999</v>
      </c>
      <c r="CK33" s="32">
        <v>4134.3119999999999</v>
      </c>
      <c r="CL33" s="32">
        <v>4633.0150000000003</v>
      </c>
      <c r="CM33" s="32">
        <v>4285.6009999999997</v>
      </c>
      <c r="CN33" s="32">
        <v>4000.2379999999998</v>
      </c>
      <c r="CO33" s="32">
        <v>4012.3609999999999</v>
      </c>
      <c r="CP33" s="440">
        <v>3867.4450000000002</v>
      </c>
      <c r="CQ33" s="87"/>
      <c r="CR33" s="73"/>
      <c r="CS33" s="73"/>
      <c r="CT33" s="73"/>
      <c r="CU33" s="73"/>
      <c r="CV33" s="73"/>
      <c r="CW33" s="73"/>
      <c r="CX33" s="89"/>
      <c r="CY33" s="73">
        <v>272.46499999999997</v>
      </c>
      <c r="CZ33" s="231">
        <f t="shared" si="78"/>
        <v>324.75850000000003</v>
      </c>
      <c r="DA33" s="73">
        <f>377052/1000</f>
        <v>377.05200000000002</v>
      </c>
      <c r="DB33" s="73">
        <v>399.25299999999999</v>
      </c>
      <c r="DC33" s="32">
        <v>408.36700000000002</v>
      </c>
      <c r="DD33" s="32">
        <v>466.07600000000002</v>
      </c>
      <c r="DE33" s="32">
        <v>480.09800000000001</v>
      </c>
      <c r="DF33" s="32">
        <v>534.56700000000001</v>
      </c>
      <c r="DG33" s="32">
        <v>583.46199999999999</v>
      </c>
      <c r="DH33" s="32">
        <v>683.12099999999998</v>
      </c>
      <c r="DI33" s="32">
        <v>656.55700000000002</v>
      </c>
      <c r="DJ33" s="231">
        <f t="shared" si="79"/>
        <v>733.48700000000008</v>
      </c>
      <c r="DK33" s="32">
        <v>810.41700000000003</v>
      </c>
      <c r="DL33" s="231">
        <f t="shared" si="80"/>
        <v>902.90350000000001</v>
      </c>
      <c r="DM33" s="32">
        <v>995.39</v>
      </c>
      <c r="DN33" s="32">
        <v>1060.6579999999999</v>
      </c>
      <c r="DO33" s="32">
        <v>1386.3330000000001</v>
      </c>
      <c r="DP33" s="32">
        <v>1386.3330000000001</v>
      </c>
      <c r="DQ33" s="32">
        <v>1423.9390000000001</v>
      </c>
      <c r="DR33" s="32">
        <v>1342.127</v>
      </c>
      <c r="DS33" s="32">
        <v>1311.886</v>
      </c>
      <c r="DT33" s="32">
        <v>1283.45</v>
      </c>
      <c r="DU33" s="440">
        <v>1210.539</v>
      </c>
      <c r="DV33" s="88"/>
      <c r="DW33" s="90"/>
      <c r="DX33" s="90"/>
      <c r="DY33" s="90"/>
      <c r="DZ33" s="90"/>
      <c r="EA33" s="90"/>
      <c r="EB33" s="90"/>
      <c r="EC33" s="90"/>
      <c r="ED33" s="40">
        <f t="shared" si="81"/>
        <v>57.409000000000162</v>
      </c>
      <c r="EE33" s="40">
        <f t="shared" si="82"/>
        <v>67.054500000000075</v>
      </c>
      <c r="EF33" s="40">
        <f t="shared" si="83"/>
        <v>76.699999999999932</v>
      </c>
      <c r="EG33" s="40">
        <f t="shared" si="84"/>
        <v>77.488999999999976</v>
      </c>
      <c r="EH33" s="40">
        <f t="shared" si="85"/>
        <v>88.990999999999929</v>
      </c>
      <c r="EI33" s="40">
        <f t="shared" si="86"/>
        <v>84.192000000000007</v>
      </c>
      <c r="EJ33" s="40">
        <f t="shared" si="87"/>
        <v>90.613000000000227</v>
      </c>
      <c r="EK33" s="40">
        <f t="shared" si="88"/>
        <v>92.751999999999953</v>
      </c>
      <c r="EL33" s="40">
        <f t="shared" si="89"/>
        <v>104.20299999999975</v>
      </c>
      <c r="EM33" s="40">
        <f t="shared" si="90"/>
        <v>108.68899999999996</v>
      </c>
      <c r="EN33" s="40">
        <f t="shared" si="91"/>
        <v>105.52200000000016</v>
      </c>
      <c r="EO33" s="40">
        <f t="shared" si="92"/>
        <v>138.01699999999983</v>
      </c>
      <c r="EP33" s="40">
        <f t="shared" si="93"/>
        <v>170.51200000000006</v>
      </c>
      <c r="EQ33" s="40">
        <f t="shared" si="94"/>
        <v>184.04449999999986</v>
      </c>
      <c r="ER33" s="40">
        <f t="shared" si="95"/>
        <v>197.57699999999966</v>
      </c>
      <c r="ES33" s="40">
        <f t="shared" si="96"/>
        <v>239.06299999999965</v>
      </c>
      <c r="ET33" s="40">
        <f t="shared" si="97"/>
        <v>256.90199999999959</v>
      </c>
      <c r="EU33" s="40">
        <f t="shared" si="98"/>
        <v>256.90199999999959</v>
      </c>
      <c r="EV33" s="40">
        <f t="shared" si="99"/>
        <v>304.30399999999941</v>
      </c>
      <c r="EW33" s="40">
        <f t="shared" si="100"/>
        <v>333.53600000000051</v>
      </c>
      <c r="EX33" s="40">
        <f t="shared" si="101"/>
        <v>351.09100000000035</v>
      </c>
      <c r="EY33" s="40">
        <f t="shared" si="102"/>
        <v>379.23400000000015</v>
      </c>
      <c r="EZ33" s="40">
        <f t="shared" si="103"/>
        <v>429.79000000000019</v>
      </c>
      <c r="FA33" s="181"/>
      <c r="FB33" s="73"/>
      <c r="FC33" s="73"/>
      <c r="FD33" s="73"/>
      <c r="FE33" s="73"/>
      <c r="FF33" s="73"/>
      <c r="FG33" s="73"/>
      <c r="FH33" s="89"/>
      <c r="FI33" s="73">
        <f>254.023+233.432+82.255+18.559+1.622</f>
        <v>589.89099999999996</v>
      </c>
      <c r="FJ33" s="231">
        <f t="shared" si="104"/>
        <v>750.71049999999991</v>
      </c>
      <c r="FK33" s="73">
        <v>911.53</v>
      </c>
      <c r="FL33" s="73">
        <v>1025.075</v>
      </c>
      <c r="FM33" s="32">
        <v>1106.239</v>
      </c>
      <c r="FN33" s="32">
        <v>1189.1949999999999</v>
      </c>
      <c r="FO33" s="32">
        <v>1321.1790000000001</v>
      </c>
      <c r="FP33" s="32">
        <v>1366.81</v>
      </c>
      <c r="FQ33" s="32">
        <v>1518.7349999999999</v>
      </c>
      <c r="FR33" s="32">
        <v>1570.079</v>
      </c>
      <c r="FS33" s="32">
        <v>1659.0989999999999</v>
      </c>
      <c r="FT33" s="231">
        <f t="shared" si="105"/>
        <v>1880.1824999999999</v>
      </c>
      <c r="FU33" s="32">
        <v>2101.2660000000001</v>
      </c>
      <c r="FV33" s="231">
        <f t="shared" si="106"/>
        <v>2305.9170000000004</v>
      </c>
      <c r="FW33" s="32">
        <v>2510.5680000000002</v>
      </c>
      <c r="FX33" s="32">
        <v>2761.08</v>
      </c>
      <c r="FY33" s="32">
        <v>3183.1060000000002</v>
      </c>
      <c r="FZ33" s="32">
        <v>3183.1060000000002</v>
      </c>
      <c r="GA33" s="32">
        <v>3216.212</v>
      </c>
      <c r="GB33" s="32">
        <v>3558.578</v>
      </c>
      <c r="GC33" s="32">
        <v>3584.7959999999998</v>
      </c>
      <c r="GD33" s="32">
        <v>3774.7280000000001</v>
      </c>
      <c r="GE33" s="440">
        <v>3930.0450000000001</v>
      </c>
      <c r="GF33" s="87"/>
      <c r="GG33" s="73"/>
      <c r="GH33" s="73"/>
      <c r="GI33" s="73"/>
      <c r="GJ33" s="73"/>
      <c r="GK33" s="73"/>
      <c r="GL33" s="73"/>
      <c r="GM33" s="89"/>
      <c r="GN33" s="73">
        <f>445.457+105.451+1.289+195.031+121.263+186.53+58.62+75.591+143.725+64.388+83.851+2.192</f>
        <v>1483.3879999999999</v>
      </c>
      <c r="GO33" s="231">
        <f t="shared" si="107"/>
        <v>1598.1275000000001</v>
      </c>
      <c r="GP33" s="73">
        <v>1712.867</v>
      </c>
      <c r="GQ33" s="73">
        <v>1885.6210000000001</v>
      </c>
      <c r="GR33" s="32">
        <v>2187.7840000000001</v>
      </c>
      <c r="GS33" s="32">
        <v>2163.6619999999998</v>
      </c>
      <c r="GT33" s="32">
        <v>2220.2089999999998</v>
      </c>
      <c r="GU33" s="32">
        <v>2683.0909999999999</v>
      </c>
      <c r="GV33" s="32">
        <v>2938.6590000000001</v>
      </c>
      <c r="GW33" s="32">
        <v>3070.0210000000002</v>
      </c>
      <c r="GX33" s="32">
        <v>3521.37</v>
      </c>
      <c r="GY33" s="231">
        <f t="shared" si="108"/>
        <v>3774.931</v>
      </c>
      <c r="GZ33" s="32">
        <v>4028.4920000000002</v>
      </c>
      <c r="HA33" s="231">
        <f t="shared" si="109"/>
        <v>4463.5844999999999</v>
      </c>
      <c r="HB33" s="32">
        <v>4898.6769999999997</v>
      </c>
      <c r="HC33" s="32">
        <v>5292.674</v>
      </c>
      <c r="HD33" s="32">
        <v>5845.6270000000004</v>
      </c>
      <c r="HE33" s="32">
        <v>5845.6270000000004</v>
      </c>
      <c r="HF33" s="32">
        <v>5961.643</v>
      </c>
      <c r="HG33" s="32">
        <v>6456.7939999999999</v>
      </c>
      <c r="HH33" s="32">
        <v>5952.0169999999998</v>
      </c>
      <c r="HI33" s="32">
        <v>6594.1660000000002</v>
      </c>
      <c r="HJ33" s="440">
        <v>6418.2719999999999</v>
      </c>
      <c r="HK33" s="87"/>
      <c r="HL33" s="73"/>
      <c r="HM33" s="73"/>
      <c r="HN33" s="73"/>
      <c r="HO33" s="73"/>
      <c r="HP33" s="73"/>
      <c r="HQ33" s="73"/>
      <c r="HR33" s="89"/>
      <c r="HS33" s="73">
        <f>111.262+96.252+38.286+67.268</f>
        <v>313.06799999999998</v>
      </c>
      <c r="HT33" s="231">
        <f t="shared" si="110"/>
        <v>347.50049999999999</v>
      </c>
      <c r="HU33" s="73">
        <v>381.93299999999999</v>
      </c>
      <c r="HV33" s="73">
        <v>424.98200000000003</v>
      </c>
      <c r="HW33" s="32">
        <v>496.68700000000001</v>
      </c>
      <c r="HX33" s="32">
        <v>582.24</v>
      </c>
      <c r="HY33" s="32">
        <v>551.35900000000004</v>
      </c>
      <c r="HZ33" s="32">
        <v>619.072</v>
      </c>
      <c r="IA33" s="32">
        <v>670.55</v>
      </c>
      <c r="IB33" s="32">
        <v>781.93799999999999</v>
      </c>
      <c r="IC33" s="32">
        <v>741.774</v>
      </c>
      <c r="ID33" s="231">
        <f t="shared" si="111"/>
        <v>825.94299999999998</v>
      </c>
      <c r="IE33" s="32">
        <v>910.11199999999997</v>
      </c>
      <c r="IF33" s="231">
        <f t="shared" si="112"/>
        <v>881.76499999999999</v>
      </c>
      <c r="IG33" s="32">
        <v>853.41800000000001</v>
      </c>
      <c r="IH33" s="32">
        <v>1181.2660000000001</v>
      </c>
      <c r="II33" s="32">
        <v>1343.2470000000001</v>
      </c>
      <c r="IJ33" s="32">
        <v>1343.2470000000001</v>
      </c>
      <c r="IK33" s="32">
        <v>1449.491</v>
      </c>
      <c r="IL33" s="32">
        <v>1582.04</v>
      </c>
      <c r="IM33" s="32">
        <v>1336.9680000000001</v>
      </c>
      <c r="IN33" s="32">
        <v>1286.49</v>
      </c>
      <c r="IO33" s="440">
        <v>1206.6479999999999</v>
      </c>
      <c r="IP33" s="36"/>
      <c r="IQ33" s="75"/>
      <c r="IR33" s="75"/>
      <c r="IS33" s="75"/>
      <c r="IT33" s="75"/>
      <c r="IU33" s="75"/>
      <c r="IV33" s="75"/>
      <c r="IW33" s="217"/>
      <c r="IX33" s="75">
        <f>318.799+0.845+165.368</f>
        <v>485.012</v>
      </c>
      <c r="IY33" s="231">
        <f t="shared" si="113"/>
        <v>571.41549999999995</v>
      </c>
      <c r="IZ33" s="75">
        <v>657.81899999999996</v>
      </c>
      <c r="JA33" s="73">
        <v>588.93600000000004</v>
      </c>
      <c r="JB33" s="47">
        <v>732.30499999999995</v>
      </c>
      <c r="JC33" s="47">
        <v>658.34799999999996</v>
      </c>
      <c r="JD33" s="47">
        <v>699.05700000000002</v>
      </c>
      <c r="JE33" s="47">
        <v>810.61800000000005</v>
      </c>
      <c r="JF33" s="17">
        <v>854.92</v>
      </c>
      <c r="JG33" s="17">
        <v>893.41200000000003</v>
      </c>
      <c r="JH33" s="17">
        <v>768.62800000000004</v>
      </c>
      <c r="JI33" s="231">
        <f t="shared" si="114"/>
        <v>873.34349999999995</v>
      </c>
      <c r="JJ33" s="17">
        <v>978.05899999999997</v>
      </c>
      <c r="JK33" s="231">
        <f t="shared" si="115"/>
        <v>1042.2139999999999</v>
      </c>
      <c r="JL33" s="17">
        <v>1106.3689999999999</v>
      </c>
      <c r="JM33" s="17">
        <v>1108.357</v>
      </c>
      <c r="JN33" s="17">
        <v>1081.5730000000001</v>
      </c>
      <c r="JO33" s="32">
        <v>1081.5730000000001</v>
      </c>
      <c r="JP33" s="32">
        <v>1244.375</v>
      </c>
      <c r="JQ33" s="32">
        <v>1246.5719999999999</v>
      </c>
      <c r="JR33" s="32">
        <v>1239.905</v>
      </c>
      <c r="JS33" s="17">
        <v>1365.5730000000001</v>
      </c>
      <c r="JT33" s="450">
        <v>1475.9179999999999</v>
      </c>
    </row>
    <row r="34" spans="1:280" s="17" customFormat="1" ht="12.75" customHeight="1">
      <c r="A34" s="222" t="s">
        <v>68</v>
      </c>
      <c r="B34" s="16"/>
      <c r="C34" s="16"/>
      <c r="D34" s="16"/>
      <c r="E34" s="16"/>
      <c r="F34" s="16"/>
      <c r="G34" s="16"/>
      <c r="H34" s="16"/>
      <c r="I34" s="25"/>
      <c r="J34" s="16">
        <v>4963.1400000000003</v>
      </c>
      <c r="K34" s="231">
        <f t="shared" si="69"/>
        <v>5475.7654999999995</v>
      </c>
      <c r="L34" s="16">
        <v>5988.3909999999996</v>
      </c>
      <c r="M34" s="16">
        <v>6548.1959999999999</v>
      </c>
      <c r="N34" s="73">
        <v>6894.8469999999998</v>
      </c>
      <c r="O34" s="32">
        <v>7369.585</v>
      </c>
      <c r="P34" s="32">
        <v>7818.15</v>
      </c>
      <c r="Q34" s="32">
        <v>8377.3240000000005</v>
      </c>
      <c r="R34" s="32">
        <v>8777.3940000000002</v>
      </c>
      <c r="S34" s="32">
        <v>9465.6370000000006</v>
      </c>
      <c r="T34" s="32">
        <v>10098.749</v>
      </c>
      <c r="U34" s="231">
        <f t="shared" si="70"/>
        <v>10767.370999999999</v>
      </c>
      <c r="V34" s="32">
        <v>11435.993</v>
      </c>
      <c r="W34" s="231">
        <f t="shared" si="71"/>
        <v>12026.183000000001</v>
      </c>
      <c r="X34" s="32">
        <v>12616.373</v>
      </c>
      <c r="Y34" s="32">
        <v>14092.748</v>
      </c>
      <c r="Z34" s="32">
        <v>16219.771000000001</v>
      </c>
      <c r="AA34" s="32">
        <v>16214.851000000001</v>
      </c>
      <c r="AB34" s="32">
        <v>17273.326000000001</v>
      </c>
      <c r="AC34" s="32">
        <v>18451.887999999999</v>
      </c>
      <c r="AD34" s="32">
        <v>19461.101999999999</v>
      </c>
      <c r="AE34" s="32">
        <v>19440.075000000001</v>
      </c>
      <c r="AF34" s="440">
        <v>18139.757000000001</v>
      </c>
      <c r="AG34" s="185"/>
      <c r="AH34" s="216"/>
      <c r="AI34" s="216"/>
      <c r="AJ34" s="216"/>
      <c r="AK34" s="216"/>
      <c r="AL34" s="216"/>
      <c r="AM34" s="216"/>
      <c r="AN34" s="235"/>
      <c r="AO34" s="216">
        <f>1867.257+19.533</f>
        <v>1886.79</v>
      </c>
      <c r="AP34" s="231">
        <f t="shared" si="72"/>
        <v>2022.4759999999999</v>
      </c>
      <c r="AQ34" s="30">
        <v>2158.1619999999998</v>
      </c>
      <c r="AR34" s="73">
        <v>2312.5819999999999</v>
      </c>
      <c r="AS34" s="32">
        <v>2338.4349999999999</v>
      </c>
      <c r="AT34" s="32">
        <v>2592.67</v>
      </c>
      <c r="AU34" s="32">
        <v>2632.3870000000002</v>
      </c>
      <c r="AV34" s="32">
        <v>2997.6410000000001</v>
      </c>
      <c r="AW34" s="32">
        <v>3140.5439999999999</v>
      </c>
      <c r="AX34" s="32">
        <v>3365.8029999999999</v>
      </c>
      <c r="AY34" s="32">
        <v>3726.893</v>
      </c>
      <c r="AZ34" s="231">
        <f t="shared" si="73"/>
        <v>3968.6480000000001</v>
      </c>
      <c r="BA34" s="32">
        <v>4210.4030000000002</v>
      </c>
      <c r="BB34" s="231">
        <f t="shared" si="74"/>
        <v>4450.9740000000002</v>
      </c>
      <c r="BC34" s="32">
        <v>4691.5450000000001</v>
      </c>
      <c r="BD34" s="32">
        <v>4915.6189999999997</v>
      </c>
      <c r="BE34" s="32">
        <v>5606.241</v>
      </c>
      <c r="BF34" s="32">
        <v>5606.1779999999999</v>
      </c>
      <c r="BG34" s="32">
        <v>5963.9369999999999</v>
      </c>
      <c r="BH34" s="32">
        <v>6440.1610000000001</v>
      </c>
      <c r="BI34" s="32">
        <v>6568.741</v>
      </c>
      <c r="BJ34" s="32">
        <v>6816.5439999999999</v>
      </c>
      <c r="BK34" s="440">
        <v>6331.165</v>
      </c>
      <c r="BL34" s="86"/>
      <c r="BM34" s="228"/>
      <c r="BN34" s="228"/>
      <c r="BO34" s="228"/>
      <c r="BP34" s="228"/>
      <c r="BQ34" s="228"/>
      <c r="BR34" s="228"/>
      <c r="BS34" s="236"/>
      <c r="BT34" s="228">
        <v>1134.259</v>
      </c>
      <c r="BU34" s="231">
        <f t="shared" si="75"/>
        <v>1221.2269999999999</v>
      </c>
      <c r="BV34" s="228">
        <v>1308.1949999999999</v>
      </c>
      <c r="BW34" s="73">
        <v>1402.62</v>
      </c>
      <c r="BX34" s="32">
        <v>1367.9280000000001</v>
      </c>
      <c r="BY34" s="32">
        <v>1491.9059999999999</v>
      </c>
      <c r="BZ34" s="32">
        <v>1503.8520000000001</v>
      </c>
      <c r="CA34" s="32">
        <v>1787.559</v>
      </c>
      <c r="CB34" s="32">
        <v>1885.473</v>
      </c>
      <c r="CC34" s="32">
        <v>2049.393</v>
      </c>
      <c r="CD34" s="32">
        <v>2133.4250000000002</v>
      </c>
      <c r="CE34" s="231">
        <f t="shared" si="76"/>
        <v>2320.1125000000002</v>
      </c>
      <c r="CF34" s="32">
        <v>2506.8000000000002</v>
      </c>
      <c r="CG34" s="231">
        <f t="shared" si="77"/>
        <v>2672.6235000000001</v>
      </c>
      <c r="CH34" s="32">
        <v>2838.4470000000001</v>
      </c>
      <c r="CI34" s="32">
        <v>2967.1149999999998</v>
      </c>
      <c r="CJ34" s="32">
        <v>3229.9639999999999</v>
      </c>
      <c r="CK34" s="32">
        <v>3229.9009999999998</v>
      </c>
      <c r="CL34" s="32">
        <v>3557.2840000000001</v>
      </c>
      <c r="CM34" s="32">
        <v>3892.0569999999998</v>
      </c>
      <c r="CN34" s="32">
        <v>3748.3690000000001</v>
      </c>
      <c r="CO34" s="32">
        <v>4058.681</v>
      </c>
      <c r="CP34" s="440">
        <v>3544.2759999999998</v>
      </c>
      <c r="CQ34" s="87"/>
      <c r="CR34" s="73"/>
      <c r="CS34" s="73"/>
      <c r="CT34" s="73"/>
      <c r="CU34" s="73"/>
      <c r="CV34" s="73"/>
      <c r="CW34" s="73"/>
      <c r="CX34" s="89"/>
      <c r="CY34" s="73">
        <v>666.39200000000005</v>
      </c>
      <c r="CZ34" s="231">
        <f t="shared" si="78"/>
        <v>708.70849999999996</v>
      </c>
      <c r="DA34" s="73">
        <f>751025/1000</f>
        <v>751.02499999999998</v>
      </c>
      <c r="DB34" s="73">
        <v>810.82100000000003</v>
      </c>
      <c r="DC34" s="32">
        <v>840.92200000000003</v>
      </c>
      <c r="DD34" s="32">
        <v>964.80700000000002</v>
      </c>
      <c r="DE34" s="32">
        <v>997.93</v>
      </c>
      <c r="DF34" s="32">
        <v>1069.769</v>
      </c>
      <c r="DG34" s="32">
        <v>1100.3119999999999</v>
      </c>
      <c r="DH34" s="32">
        <v>1144.431</v>
      </c>
      <c r="DI34" s="32">
        <v>1408.7860000000001</v>
      </c>
      <c r="DJ34" s="231">
        <f t="shared" si="79"/>
        <v>1435.3085000000001</v>
      </c>
      <c r="DK34" s="32">
        <v>1461.8309999999999</v>
      </c>
      <c r="DL34" s="231">
        <f t="shared" si="80"/>
        <v>1517.13</v>
      </c>
      <c r="DM34" s="32">
        <v>1572.4290000000001</v>
      </c>
      <c r="DN34" s="32">
        <v>1704.96</v>
      </c>
      <c r="DO34" s="32">
        <v>1960.0450000000001</v>
      </c>
      <c r="DP34" s="32">
        <v>1960.0450000000001</v>
      </c>
      <c r="DQ34" s="32">
        <v>1996.106</v>
      </c>
      <c r="DR34" s="32">
        <v>2166.5</v>
      </c>
      <c r="DS34" s="32">
        <v>2436.9459999999999</v>
      </c>
      <c r="DT34" s="32">
        <v>2392.7240000000002</v>
      </c>
      <c r="DU34" s="440">
        <v>2367.4180000000001</v>
      </c>
      <c r="DV34" s="88"/>
      <c r="DW34" s="90"/>
      <c r="DX34" s="90"/>
      <c r="DY34" s="90"/>
      <c r="DZ34" s="90"/>
      <c r="EA34" s="90"/>
      <c r="EB34" s="90"/>
      <c r="EC34" s="90"/>
      <c r="ED34" s="40">
        <f t="shared" si="81"/>
        <v>86.138999999999896</v>
      </c>
      <c r="EE34" s="40">
        <f t="shared" si="82"/>
        <v>92.540500000000065</v>
      </c>
      <c r="EF34" s="40">
        <f t="shared" si="83"/>
        <v>98.941999999999894</v>
      </c>
      <c r="EG34" s="40">
        <f t="shared" si="84"/>
        <v>99.140999999999963</v>
      </c>
      <c r="EH34" s="40">
        <f t="shared" si="85"/>
        <v>129.58499999999981</v>
      </c>
      <c r="EI34" s="40">
        <f t="shared" si="86"/>
        <v>135.95700000000011</v>
      </c>
      <c r="EJ34" s="40">
        <f t="shared" si="87"/>
        <v>130.60500000000013</v>
      </c>
      <c r="EK34" s="40">
        <f t="shared" si="88"/>
        <v>140.3130000000001</v>
      </c>
      <c r="EL34" s="40">
        <f t="shared" si="89"/>
        <v>154.75900000000001</v>
      </c>
      <c r="EM34" s="40">
        <f t="shared" si="90"/>
        <v>171.97899999999981</v>
      </c>
      <c r="EN34" s="40">
        <f t="shared" si="91"/>
        <v>184.68199999999979</v>
      </c>
      <c r="EO34" s="40">
        <f t="shared" si="92"/>
        <v>213.22699999999986</v>
      </c>
      <c r="EP34" s="40">
        <f t="shared" si="93"/>
        <v>241.77200000000016</v>
      </c>
      <c r="EQ34" s="40">
        <f t="shared" si="94"/>
        <v>261.2204999999999</v>
      </c>
      <c r="ER34" s="40">
        <f t="shared" si="95"/>
        <v>280.66899999999987</v>
      </c>
      <c r="ES34" s="40">
        <f t="shared" si="96"/>
        <v>243.54399999999987</v>
      </c>
      <c r="ET34" s="40">
        <f t="shared" si="97"/>
        <v>416.23199999999997</v>
      </c>
      <c r="EU34" s="40">
        <f t="shared" si="98"/>
        <v>416.23199999999997</v>
      </c>
      <c r="EV34" s="40">
        <f t="shared" si="99"/>
        <v>410.5469999999998</v>
      </c>
      <c r="EW34" s="40">
        <f t="shared" si="100"/>
        <v>381.60400000000027</v>
      </c>
      <c r="EX34" s="40">
        <f t="shared" si="101"/>
        <v>383.42599999999993</v>
      </c>
      <c r="EY34" s="40">
        <f t="shared" si="102"/>
        <v>365.13899999999967</v>
      </c>
      <c r="EZ34" s="40">
        <f t="shared" si="103"/>
        <v>419.471</v>
      </c>
      <c r="FA34" s="181"/>
      <c r="FB34" s="73"/>
      <c r="FC34" s="73"/>
      <c r="FD34" s="73"/>
      <c r="FE34" s="73"/>
      <c r="FF34" s="73"/>
      <c r="FG34" s="73"/>
      <c r="FH34" s="89"/>
      <c r="FI34" s="73">
        <f>459.737+282.205+142.799+46.533+0.957</f>
        <v>932.23099999999999</v>
      </c>
      <c r="FJ34" s="231">
        <f t="shared" si="104"/>
        <v>1138.922</v>
      </c>
      <c r="FK34" s="73">
        <v>1345.6130000000001</v>
      </c>
      <c r="FL34" s="73">
        <v>1454.4839999999999</v>
      </c>
      <c r="FM34" s="32">
        <v>1671.461</v>
      </c>
      <c r="FN34" s="32">
        <v>1725.896</v>
      </c>
      <c r="FO34" s="32">
        <v>1997.8679999999999</v>
      </c>
      <c r="FP34" s="32">
        <v>2126.145</v>
      </c>
      <c r="FQ34" s="32">
        <v>2134.2950000000001</v>
      </c>
      <c r="FR34" s="32">
        <v>2275.5059999999999</v>
      </c>
      <c r="FS34" s="32">
        <v>2377.86</v>
      </c>
      <c r="FT34" s="231">
        <f t="shared" si="105"/>
        <v>2670.4535000000001</v>
      </c>
      <c r="FU34" s="32">
        <v>2963.047</v>
      </c>
      <c r="FV34" s="231">
        <f t="shared" si="106"/>
        <v>3209.41</v>
      </c>
      <c r="FW34" s="32">
        <v>3455.7730000000001</v>
      </c>
      <c r="FX34" s="32">
        <v>4184.0240000000003</v>
      </c>
      <c r="FY34" s="32">
        <v>4589.4759999999997</v>
      </c>
      <c r="FZ34" s="32">
        <v>4589.4759999999997</v>
      </c>
      <c r="GA34" s="32">
        <v>5117.3500000000004</v>
      </c>
      <c r="GB34" s="32">
        <v>5528.2169999999996</v>
      </c>
      <c r="GC34" s="32">
        <v>6192.2060000000001</v>
      </c>
      <c r="GD34" s="32">
        <v>6110.0860000000002</v>
      </c>
      <c r="GE34" s="440">
        <v>5742.12</v>
      </c>
      <c r="GF34" s="87"/>
      <c r="GG34" s="73"/>
      <c r="GH34" s="73"/>
      <c r="GI34" s="73"/>
      <c r="GJ34" s="73"/>
      <c r="GK34" s="73"/>
      <c r="GL34" s="73"/>
      <c r="GM34" s="89"/>
      <c r="GN34" s="73">
        <f>491.165+42.809+2.606+184.232+66.756+148.254+42.164+94.072+130.355+34.22+91.687+55.086</f>
        <v>1383.4059999999999</v>
      </c>
      <c r="GO34" s="231">
        <f t="shared" si="107"/>
        <v>1530.2950000000001</v>
      </c>
      <c r="GP34" s="73">
        <v>1677.184</v>
      </c>
      <c r="GQ34" s="73">
        <v>1982.838</v>
      </c>
      <c r="GR34" s="32">
        <v>2031.451</v>
      </c>
      <c r="GS34" s="32">
        <v>2118.5149999999999</v>
      </c>
      <c r="GT34" s="32">
        <v>2208.3490000000002</v>
      </c>
      <c r="GU34" s="32">
        <v>2225.3960000000002</v>
      </c>
      <c r="GV34" s="32">
        <v>2427.4430000000002</v>
      </c>
      <c r="GW34" s="32">
        <v>2677.953</v>
      </c>
      <c r="GX34" s="32">
        <v>2728.2689999999998</v>
      </c>
      <c r="GY34" s="231">
        <f t="shared" si="108"/>
        <v>2834.895</v>
      </c>
      <c r="GZ34" s="32">
        <v>2941.5210000000002</v>
      </c>
      <c r="HA34" s="231">
        <f t="shared" si="109"/>
        <v>2911.8325</v>
      </c>
      <c r="HB34" s="32">
        <v>2882.1439999999998</v>
      </c>
      <c r="HC34" s="32">
        <v>3314.5340000000001</v>
      </c>
      <c r="HD34" s="32">
        <v>3876.1419999999998</v>
      </c>
      <c r="HE34" s="32">
        <v>3872.308</v>
      </c>
      <c r="HF34" s="32">
        <v>3894.0790000000002</v>
      </c>
      <c r="HG34" s="32">
        <v>4097.2539999999999</v>
      </c>
      <c r="HH34" s="32">
        <v>4216.6540000000005</v>
      </c>
      <c r="HI34" s="32">
        <v>4113.4210000000003</v>
      </c>
      <c r="HJ34" s="440">
        <v>3934.518</v>
      </c>
      <c r="HK34" s="87"/>
      <c r="HL34" s="73"/>
      <c r="HM34" s="73"/>
      <c r="HN34" s="73"/>
      <c r="HO34" s="73"/>
      <c r="HP34" s="73"/>
      <c r="HQ34" s="73"/>
      <c r="HR34" s="89"/>
      <c r="HS34" s="73">
        <f>112.483+71.909+44.426+63.526</f>
        <v>292.34399999999999</v>
      </c>
      <c r="HT34" s="231">
        <f t="shared" si="110"/>
        <v>319.41250000000002</v>
      </c>
      <c r="HU34" s="73">
        <v>346.48099999999999</v>
      </c>
      <c r="HV34" s="73">
        <v>346.173</v>
      </c>
      <c r="HW34" s="32">
        <v>375.69499999999999</v>
      </c>
      <c r="HX34" s="32">
        <v>432.97399999999999</v>
      </c>
      <c r="HY34" s="32">
        <v>438.661</v>
      </c>
      <c r="HZ34" s="32">
        <v>469.73899999999998</v>
      </c>
      <c r="IA34" s="32">
        <v>490.93700000000001</v>
      </c>
      <c r="IB34" s="32">
        <v>522.62300000000005</v>
      </c>
      <c r="IC34" s="32">
        <v>567.94799999999998</v>
      </c>
      <c r="ID34" s="231">
        <f t="shared" si="111"/>
        <v>596.94799999999998</v>
      </c>
      <c r="IE34" s="32">
        <v>625.94799999999998</v>
      </c>
      <c r="IF34" s="231">
        <f t="shared" si="112"/>
        <v>673.2</v>
      </c>
      <c r="IG34" s="32">
        <v>720.452</v>
      </c>
      <c r="IH34" s="32">
        <v>805.40099999999995</v>
      </c>
      <c r="II34" s="32">
        <v>931.68</v>
      </c>
      <c r="IJ34" s="32">
        <v>931.68</v>
      </c>
      <c r="IK34" s="32">
        <v>1004.215</v>
      </c>
      <c r="IL34" s="32">
        <v>1075.6669999999999</v>
      </c>
      <c r="IM34" s="32">
        <v>1160.759</v>
      </c>
      <c r="IN34" s="32">
        <v>1089.0930000000001</v>
      </c>
      <c r="IO34" s="440">
        <v>1069.5509999999999</v>
      </c>
      <c r="IP34" s="36"/>
      <c r="IQ34" s="75"/>
      <c r="IR34" s="75"/>
      <c r="IS34" s="75"/>
      <c r="IT34" s="75"/>
      <c r="IU34" s="75"/>
      <c r="IV34" s="75"/>
      <c r="IW34" s="217"/>
      <c r="IX34" s="75">
        <f>315.104+153.265</f>
        <v>468.36899999999997</v>
      </c>
      <c r="IY34" s="231">
        <f t="shared" si="113"/>
        <v>464.65999999999997</v>
      </c>
      <c r="IZ34" s="75">
        <v>460.95100000000002</v>
      </c>
      <c r="JA34" s="73">
        <v>452.11900000000003</v>
      </c>
      <c r="JB34" s="47">
        <v>477.80500000000001</v>
      </c>
      <c r="JC34" s="47">
        <v>499.53</v>
      </c>
      <c r="JD34" s="47">
        <v>540.88499999999999</v>
      </c>
      <c r="JE34" s="47">
        <v>558.40300000000002</v>
      </c>
      <c r="JF34" s="17">
        <v>584.17499999999995</v>
      </c>
      <c r="JG34" s="17">
        <v>623.75199999999995</v>
      </c>
      <c r="JH34" s="17">
        <v>697.779</v>
      </c>
      <c r="JI34" s="231">
        <f t="shared" si="114"/>
        <v>696.42650000000003</v>
      </c>
      <c r="JJ34" s="17">
        <v>695.07399999999996</v>
      </c>
      <c r="JK34" s="231">
        <f t="shared" si="115"/>
        <v>780.76649999999995</v>
      </c>
      <c r="JL34" s="17">
        <v>866.45899999999995</v>
      </c>
      <c r="JM34" s="17">
        <v>873.17</v>
      </c>
      <c r="JN34" s="17">
        <v>1216.232</v>
      </c>
      <c r="JO34" s="32">
        <v>1215.2090000000001</v>
      </c>
      <c r="JP34" s="32">
        <v>1293.7449999999999</v>
      </c>
      <c r="JQ34" s="32">
        <v>1310.5889999999999</v>
      </c>
      <c r="JR34" s="32">
        <v>1322.742</v>
      </c>
      <c r="JS34" s="17">
        <v>1310.931</v>
      </c>
      <c r="JT34" s="450">
        <v>1062.403</v>
      </c>
    </row>
    <row r="35" spans="1:280" s="17" customFormat="1" ht="12.75" customHeight="1">
      <c r="A35" s="222" t="s">
        <v>72</v>
      </c>
      <c r="B35" s="16"/>
      <c r="C35" s="16"/>
      <c r="D35" s="16"/>
      <c r="E35" s="16"/>
      <c r="F35" s="16"/>
      <c r="G35" s="16"/>
      <c r="H35" s="16"/>
      <c r="I35" s="25"/>
      <c r="J35" s="16">
        <v>9654.732</v>
      </c>
      <c r="K35" s="231">
        <f t="shared" si="69"/>
        <v>10711.3655</v>
      </c>
      <c r="L35" s="16">
        <v>11767.999</v>
      </c>
      <c r="M35" s="16">
        <v>12417.433000000001</v>
      </c>
      <c r="N35" s="73">
        <v>12897.807000000001</v>
      </c>
      <c r="O35" s="32">
        <v>14428.699000000001</v>
      </c>
      <c r="P35" s="32">
        <v>15090.413</v>
      </c>
      <c r="Q35" s="32">
        <v>16537.032999999999</v>
      </c>
      <c r="R35" s="32">
        <v>17021.417000000001</v>
      </c>
      <c r="S35" s="32">
        <v>18300.758000000002</v>
      </c>
      <c r="T35" s="32">
        <v>20161.134999999998</v>
      </c>
      <c r="U35" s="231">
        <f t="shared" si="70"/>
        <v>21575.455000000002</v>
      </c>
      <c r="V35" s="32">
        <v>22989.775000000001</v>
      </c>
      <c r="W35" s="231">
        <f t="shared" si="71"/>
        <v>22649.541499999999</v>
      </c>
      <c r="X35" s="32">
        <v>22309.308000000001</v>
      </c>
      <c r="Y35" s="32">
        <v>23726.302</v>
      </c>
      <c r="Z35" s="32">
        <v>26308.454000000002</v>
      </c>
      <c r="AA35" s="32">
        <v>26334.916000000001</v>
      </c>
      <c r="AB35" s="32">
        <v>28141.787</v>
      </c>
      <c r="AC35" s="32">
        <v>30395.274000000001</v>
      </c>
      <c r="AD35" s="32">
        <v>31169.213</v>
      </c>
      <c r="AE35" s="32">
        <v>31797.518</v>
      </c>
      <c r="AF35" s="440">
        <v>32063.931</v>
      </c>
      <c r="AG35" s="169"/>
      <c r="AH35" s="16"/>
      <c r="AI35" s="16"/>
      <c r="AJ35" s="16"/>
      <c r="AK35" s="16"/>
      <c r="AL35" s="16"/>
      <c r="AM35" s="16"/>
      <c r="AN35" s="25"/>
      <c r="AO35" s="16">
        <f>3688.624+48.335</f>
        <v>3736.9589999999998</v>
      </c>
      <c r="AP35" s="231">
        <f t="shared" si="72"/>
        <v>3969.4569999999999</v>
      </c>
      <c r="AQ35" s="30">
        <v>4201.9549999999999</v>
      </c>
      <c r="AR35" s="73">
        <v>4543.2179999999998</v>
      </c>
      <c r="AS35" s="32">
        <v>4721.7889999999998</v>
      </c>
      <c r="AT35" s="32">
        <v>4955.1970000000001</v>
      </c>
      <c r="AU35" s="32">
        <v>5377.43</v>
      </c>
      <c r="AV35" s="32">
        <v>5642.973</v>
      </c>
      <c r="AW35" s="32">
        <v>5978.0209999999997</v>
      </c>
      <c r="AX35" s="32">
        <v>6319.7479999999996</v>
      </c>
      <c r="AY35" s="32">
        <v>6584.9620000000004</v>
      </c>
      <c r="AZ35" s="231">
        <f t="shared" si="73"/>
        <v>7126.1640000000007</v>
      </c>
      <c r="BA35" s="32">
        <v>7667.366</v>
      </c>
      <c r="BB35" s="231">
        <f t="shared" si="74"/>
        <v>7677.6075000000001</v>
      </c>
      <c r="BC35" s="32">
        <v>7687.8490000000002</v>
      </c>
      <c r="BD35" s="32">
        <v>8022.7809999999999</v>
      </c>
      <c r="BE35" s="32">
        <v>8823.5030000000006</v>
      </c>
      <c r="BF35" s="32">
        <v>8823.5030000000006</v>
      </c>
      <c r="BG35" s="32">
        <v>9833.7990000000009</v>
      </c>
      <c r="BH35" s="32">
        <v>10768.727999999999</v>
      </c>
      <c r="BI35" s="32">
        <v>10623.52</v>
      </c>
      <c r="BJ35" s="32">
        <v>10707.511</v>
      </c>
      <c r="BK35" s="440">
        <v>10526.45</v>
      </c>
      <c r="BL35" s="87"/>
      <c r="BM35" s="73"/>
      <c r="BN35" s="73"/>
      <c r="BO35" s="73"/>
      <c r="BP35" s="73"/>
      <c r="BQ35" s="73"/>
      <c r="BR35" s="73"/>
      <c r="BS35" s="89"/>
      <c r="BT35" s="73">
        <v>2554.038</v>
      </c>
      <c r="BU35" s="231">
        <f t="shared" si="75"/>
        <v>2701.4490000000001</v>
      </c>
      <c r="BV35" s="73">
        <v>2848.86</v>
      </c>
      <c r="BW35" s="73">
        <v>3098.02</v>
      </c>
      <c r="BX35" s="32">
        <v>3164.0549999999998</v>
      </c>
      <c r="BY35" s="32">
        <v>3263.2330000000002</v>
      </c>
      <c r="BZ35" s="32">
        <v>3595.8110000000001</v>
      </c>
      <c r="CA35" s="32">
        <v>3658.712</v>
      </c>
      <c r="CB35" s="32">
        <v>3844.9490000000001</v>
      </c>
      <c r="CC35" s="32">
        <v>4045.018</v>
      </c>
      <c r="CD35" s="32">
        <v>4223.6639999999998</v>
      </c>
      <c r="CE35" s="231">
        <f t="shared" si="76"/>
        <v>4515.1120000000001</v>
      </c>
      <c r="CF35" s="32">
        <v>4806.5600000000004</v>
      </c>
      <c r="CG35" s="231">
        <f t="shared" si="77"/>
        <v>4758.9809999999998</v>
      </c>
      <c r="CH35" s="32">
        <v>4711.402</v>
      </c>
      <c r="CI35" s="32">
        <v>4897.0829999999996</v>
      </c>
      <c r="CJ35" s="32">
        <v>5400.8559999999998</v>
      </c>
      <c r="CK35" s="32">
        <v>5400.848</v>
      </c>
      <c r="CL35" s="32">
        <v>6112.8909999999996</v>
      </c>
      <c r="CM35" s="32">
        <v>6430.4840000000004</v>
      </c>
      <c r="CN35" s="32">
        <v>6093.6710000000003</v>
      </c>
      <c r="CO35" s="32">
        <v>6019.375</v>
      </c>
      <c r="CP35" s="440">
        <v>5985.3770000000004</v>
      </c>
      <c r="CQ35" s="87"/>
      <c r="CR35" s="73"/>
      <c r="CS35" s="73"/>
      <c r="CT35" s="73"/>
      <c r="CU35" s="73"/>
      <c r="CV35" s="73"/>
      <c r="CW35" s="73"/>
      <c r="CX35" s="89"/>
      <c r="CY35" s="73">
        <v>1027.7529999999999</v>
      </c>
      <c r="CZ35" s="231">
        <f t="shared" si="78"/>
        <v>1101.0169999999998</v>
      </c>
      <c r="DA35" s="73">
        <f>1174281/1000</f>
        <v>1174.2809999999999</v>
      </c>
      <c r="DB35" s="73">
        <v>1231.5039999999999</v>
      </c>
      <c r="DC35" s="32">
        <v>1308.2449999999999</v>
      </c>
      <c r="DD35" s="32">
        <v>1423.7139999999999</v>
      </c>
      <c r="DE35" s="32">
        <v>1481.9829999999999</v>
      </c>
      <c r="DF35" s="32">
        <v>1666.057</v>
      </c>
      <c r="DG35" s="32">
        <v>1783.2170000000001</v>
      </c>
      <c r="DH35" s="32">
        <v>1937.287</v>
      </c>
      <c r="DI35" s="32">
        <v>2038.5039999999999</v>
      </c>
      <c r="DJ35" s="231">
        <f t="shared" si="79"/>
        <v>2288.2945</v>
      </c>
      <c r="DK35" s="32">
        <v>2538.085</v>
      </c>
      <c r="DL35" s="231">
        <f t="shared" si="80"/>
        <v>2579.893</v>
      </c>
      <c r="DM35" s="32">
        <v>2621.701</v>
      </c>
      <c r="DN35" s="32">
        <v>2730.2339999999999</v>
      </c>
      <c r="DO35" s="32">
        <v>2978.5329999999999</v>
      </c>
      <c r="DP35" s="32">
        <v>2978.5329999999999</v>
      </c>
      <c r="DQ35" s="32">
        <v>3269.1460000000002</v>
      </c>
      <c r="DR35" s="32">
        <v>3801.3879999999999</v>
      </c>
      <c r="DS35" s="32">
        <v>3922.3429999999998</v>
      </c>
      <c r="DT35" s="32">
        <v>4146.0730000000003</v>
      </c>
      <c r="DU35" s="440">
        <v>3960.6320000000001</v>
      </c>
      <c r="DV35" s="88"/>
      <c r="DW35" s="90"/>
      <c r="DX35" s="90"/>
      <c r="DY35" s="90"/>
      <c r="DZ35" s="90"/>
      <c r="EA35" s="90"/>
      <c r="EB35" s="90"/>
      <c r="EC35" s="90"/>
      <c r="ED35" s="40">
        <f t="shared" si="81"/>
        <v>155.16799999999989</v>
      </c>
      <c r="EE35" s="40">
        <f t="shared" si="82"/>
        <v>166.99099999999999</v>
      </c>
      <c r="EF35" s="40">
        <f t="shared" si="83"/>
        <v>178.81399999999985</v>
      </c>
      <c r="EG35" s="40">
        <f t="shared" si="84"/>
        <v>213.69399999999996</v>
      </c>
      <c r="EH35" s="40">
        <f t="shared" si="85"/>
        <v>249.48900000000003</v>
      </c>
      <c r="EI35" s="40">
        <f t="shared" si="86"/>
        <v>268.25</v>
      </c>
      <c r="EJ35" s="40">
        <f t="shared" si="87"/>
        <v>299.63600000000019</v>
      </c>
      <c r="EK35" s="40">
        <f t="shared" si="88"/>
        <v>318.20399999999995</v>
      </c>
      <c r="EL35" s="40">
        <f t="shared" si="89"/>
        <v>349.85499999999956</v>
      </c>
      <c r="EM35" s="40">
        <f t="shared" si="90"/>
        <v>337.44299999999953</v>
      </c>
      <c r="EN35" s="40">
        <f t="shared" si="91"/>
        <v>322.79400000000078</v>
      </c>
      <c r="EO35" s="40">
        <f t="shared" si="92"/>
        <v>322.75750000000062</v>
      </c>
      <c r="EP35" s="40">
        <f t="shared" si="93"/>
        <v>322.72099999999955</v>
      </c>
      <c r="EQ35" s="40">
        <f t="shared" si="94"/>
        <v>338.73350000000028</v>
      </c>
      <c r="ER35" s="40">
        <f t="shared" si="95"/>
        <v>354.74600000000009</v>
      </c>
      <c r="ES35" s="40">
        <f t="shared" si="96"/>
        <v>395.4640000000004</v>
      </c>
      <c r="ET35" s="40">
        <f t="shared" si="97"/>
        <v>444.11400000000094</v>
      </c>
      <c r="EU35" s="40">
        <f t="shared" si="98"/>
        <v>444.12200000000075</v>
      </c>
      <c r="EV35" s="40">
        <f t="shared" si="99"/>
        <v>451.76200000000108</v>
      </c>
      <c r="EW35" s="40">
        <f t="shared" si="100"/>
        <v>536.85599999999886</v>
      </c>
      <c r="EX35" s="40">
        <f t="shared" si="101"/>
        <v>607.50600000000031</v>
      </c>
      <c r="EY35" s="40">
        <f t="shared" si="102"/>
        <v>542.0630000000001</v>
      </c>
      <c r="EZ35" s="40">
        <f t="shared" si="103"/>
        <v>580.44100000000026</v>
      </c>
      <c r="FA35" s="181"/>
      <c r="FB35" s="73"/>
      <c r="FC35" s="73"/>
      <c r="FD35" s="73"/>
      <c r="FE35" s="73"/>
      <c r="FF35" s="73"/>
      <c r="FG35" s="73"/>
      <c r="FH35" s="89"/>
      <c r="FI35" s="73">
        <f>959.603+420.192+257.519+31.267+17.341</f>
        <v>1685.922</v>
      </c>
      <c r="FJ35" s="231">
        <f t="shared" si="104"/>
        <v>2007.509</v>
      </c>
      <c r="FK35" s="73">
        <v>2329.096</v>
      </c>
      <c r="FL35" s="73">
        <v>2564.4769999999999</v>
      </c>
      <c r="FM35" s="32">
        <v>2751.779</v>
      </c>
      <c r="FN35" s="32">
        <v>3364.8960000000002</v>
      </c>
      <c r="FO35" s="32">
        <v>3446.5039999999999</v>
      </c>
      <c r="FP35" s="32">
        <v>3740.8670000000002</v>
      </c>
      <c r="FQ35" s="32">
        <v>3865.3339999999998</v>
      </c>
      <c r="FR35" s="32">
        <v>4314.7030000000004</v>
      </c>
      <c r="FS35" s="32">
        <v>5115.7700000000004</v>
      </c>
      <c r="FT35" s="231">
        <f t="shared" si="105"/>
        <v>5719.8924999999999</v>
      </c>
      <c r="FU35" s="32">
        <v>6324.0150000000003</v>
      </c>
      <c r="FV35" s="231">
        <f t="shared" si="106"/>
        <v>5787.9364999999998</v>
      </c>
      <c r="FW35" s="32">
        <v>5251.8580000000002</v>
      </c>
      <c r="FX35" s="32">
        <v>5791.3549999999996</v>
      </c>
      <c r="FY35" s="32">
        <v>6094.7879999999996</v>
      </c>
      <c r="FZ35" s="32">
        <v>6094.7879999999996</v>
      </c>
      <c r="GA35" s="32">
        <v>6465.5290000000005</v>
      </c>
      <c r="GB35" s="32">
        <v>7183.2510000000002</v>
      </c>
      <c r="GC35" s="32">
        <v>7954.6660000000002</v>
      </c>
      <c r="GD35" s="32">
        <v>8810.0010000000002</v>
      </c>
      <c r="GE35" s="440">
        <v>9057.3809999999994</v>
      </c>
      <c r="GF35" s="87"/>
      <c r="GG35" s="73"/>
      <c r="GH35" s="73"/>
      <c r="GI35" s="73"/>
      <c r="GJ35" s="73"/>
      <c r="GK35" s="73"/>
      <c r="GL35" s="73"/>
      <c r="GM35" s="89"/>
      <c r="GN35" s="73">
        <f>688.073+59.548+4.873+94.664+1.957+324.07+201.091+265.816+82.771+229.831+140.582+172.553+203.97+43.644</f>
        <v>2513.4429999999993</v>
      </c>
      <c r="GO35" s="231">
        <f t="shared" si="107"/>
        <v>2770.6194999999998</v>
      </c>
      <c r="GP35" s="73">
        <v>3027.7959999999998</v>
      </c>
      <c r="GQ35" s="73">
        <v>3311.2040000000002</v>
      </c>
      <c r="GR35" s="32">
        <v>3379.4070000000002</v>
      </c>
      <c r="GS35" s="32">
        <v>3637.1329999999998</v>
      </c>
      <c r="GT35" s="32">
        <v>3946.768</v>
      </c>
      <c r="GU35" s="32">
        <v>4570.49</v>
      </c>
      <c r="GV35" s="32">
        <v>4704.7539999999999</v>
      </c>
      <c r="GW35" s="32">
        <v>5017.8329999999996</v>
      </c>
      <c r="GX35" s="32">
        <v>5305.0540000000001</v>
      </c>
      <c r="GY35" s="231">
        <f t="shared" si="108"/>
        <v>5449.2415000000001</v>
      </c>
      <c r="GZ35" s="32">
        <v>5593.4290000000001</v>
      </c>
      <c r="HA35" s="231">
        <f t="shared" si="109"/>
        <v>5714.5214999999998</v>
      </c>
      <c r="HB35" s="32">
        <v>5835.6139999999996</v>
      </c>
      <c r="HC35" s="32">
        <v>6431.027</v>
      </c>
      <c r="HD35" s="32">
        <v>7459.4189999999999</v>
      </c>
      <c r="HE35" s="32">
        <v>7481.5889999999999</v>
      </c>
      <c r="HF35" s="32">
        <v>7815.4430000000002</v>
      </c>
      <c r="HG35" s="32">
        <v>8145.3280000000004</v>
      </c>
      <c r="HH35" s="32">
        <v>8425.4590000000007</v>
      </c>
      <c r="HI35" s="32">
        <v>8218.7459999999992</v>
      </c>
      <c r="HJ35" s="440">
        <v>8124.3530000000001</v>
      </c>
      <c r="HK35" s="87"/>
      <c r="HL35" s="73"/>
      <c r="HM35" s="73"/>
      <c r="HN35" s="73"/>
      <c r="HO35" s="73"/>
      <c r="HP35" s="73"/>
      <c r="HQ35" s="73"/>
      <c r="HR35" s="89"/>
      <c r="HS35" s="73">
        <f>227.972+155.975+86.05+139.661</f>
        <v>609.65800000000002</v>
      </c>
      <c r="HT35" s="231">
        <f t="shared" si="110"/>
        <v>688.13599999999997</v>
      </c>
      <c r="HU35" s="73">
        <v>766.61400000000003</v>
      </c>
      <c r="HV35" s="73">
        <v>872.69299999999998</v>
      </c>
      <c r="HW35" s="32">
        <v>943.36599999999999</v>
      </c>
      <c r="HX35" s="32">
        <v>1106.069</v>
      </c>
      <c r="HY35" s="32">
        <v>1146.154</v>
      </c>
      <c r="HZ35" s="32">
        <v>1249.752</v>
      </c>
      <c r="IA35" s="32">
        <v>1177.9190000000001</v>
      </c>
      <c r="IB35" s="32">
        <v>1282.8430000000001</v>
      </c>
      <c r="IC35" s="32">
        <v>1381.23</v>
      </c>
      <c r="ID35" s="231">
        <f t="shared" si="111"/>
        <v>1485.5464999999999</v>
      </c>
      <c r="IE35" s="32">
        <v>1589.8630000000001</v>
      </c>
      <c r="IF35" s="231">
        <f t="shared" si="112"/>
        <v>1639.0345</v>
      </c>
      <c r="IG35" s="32">
        <v>1688.2059999999999</v>
      </c>
      <c r="IH35" s="32">
        <v>1487.154</v>
      </c>
      <c r="II35" s="32">
        <v>1721.4549999999999</v>
      </c>
      <c r="IJ35" s="32">
        <v>1721.4549999999999</v>
      </c>
      <c r="IK35" s="32">
        <v>1721.271</v>
      </c>
      <c r="IL35" s="32">
        <v>1799.4280000000001</v>
      </c>
      <c r="IM35" s="32">
        <v>1691.2539999999999</v>
      </c>
      <c r="IN35" s="32">
        <v>1646</v>
      </c>
      <c r="IO35" s="440">
        <v>1942.193</v>
      </c>
      <c r="IP35" s="87"/>
      <c r="IQ35" s="73"/>
      <c r="IR35" s="73"/>
      <c r="IS35" s="73"/>
      <c r="IT35" s="73"/>
      <c r="IU35" s="73"/>
      <c r="IV35" s="73"/>
      <c r="IW35" s="89"/>
      <c r="IX35" s="73">
        <f>643.718+465.032</f>
        <v>1108.75</v>
      </c>
      <c r="IY35" s="231">
        <f t="shared" si="113"/>
        <v>1275.644</v>
      </c>
      <c r="IZ35" s="73">
        <v>1442.538</v>
      </c>
      <c r="JA35" s="73">
        <v>1125.8409999999999</v>
      </c>
      <c r="JB35" s="47">
        <v>1101.4659999999999</v>
      </c>
      <c r="JC35" s="47">
        <v>1365.404</v>
      </c>
      <c r="JD35" s="47">
        <v>1173.557</v>
      </c>
      <c r="JE35" s="47">
        <v>1332.951</v>
      </c>
      <c r="JF35" s="17">
        <v>1295.3889999999999</v>
      </c>
      <c r="JG35" s="17">
        <v>1365.6310000000001</v>
      </c>
      <c r="JH35" s="17">
        <v>1774.1189999999999</v>
      </c>
      <c r="JI35" s="231">
        <f t="shared" si="114"/>
        <v>1794.6105</v>
      </c>
      <c r="JJ35" s="17">
        <v>1815.1020000000001</v>
      </c>
      <c r="JK35" s="231">
        <f t="shared" si="115"/>
        <v>1830.4414999999999</v>
      </c>
      <c r="JL35" s="17">
        <v>1845.7809999999999</v>
      </c>
      <c r="JM35" s="17">
        <v>1993.9849999999999</v>
      </c>
      <c r="JN35" s="17">
        <v>2209.2890000000002</v>
      </c>
      <c r="JO35" s="32">
        <v>2213.5810000000001</v>
      </c>
      <c r="JP35" s="32">
        <v>2305.7449999999999</v>
      </c>
      <c r="JQ35" s="32">
        <v>2498.5410000000002</v>
      </c>
      <c r="JR35" s="32">
        <v>2474.317</v>
      </c>
      <c r="JS35" s="17">
        <v>2415.2600000000002</v>
      </c>
      <c r="JT35" s="450">
        <v>2413.5540000000001</v>
      </c>
    </row>
    <row r="36" spans="1:280" s="17" customFormat="1" ht="12.75" customHeight="1">
      <c r="A36" s="222" t="s">
        <v>76</v>
      </c>
      <c r="B36" s="16"/>
      <c r="C36" s="16"/>
      <c r="D36" s="16"/>
      <c r="E36" s="16"/>
      <c r="F36" s="16"/>
      <c r="G36" s="16"/>
      <c r="H36" s="16"/>
      <c r="I36" s="25"/>
      <c r="J36" s="16">
        <v>4961.2179999999998</v>
      </c>
      <c r="K36" s="231">
        <f t="shared" si="69"/>
        <v>5381.5149999999994</v>
      </c>
      <c r="L36" s="16">
        <v>5801.8119999999999</v>
      </c>
      <c r="M36" s="16">
        <v>6321.2629999999999</v>
      </c>
      <c r="N36" s="73">
        <v>6897.4489999999996</v>
      </c>
      <c r="O36" s="32">
        <v>7662.1940000000004</v>
      </c>
      <c r="P36" s="32">
        <v>8259.0709999999999</v>
      </c>
      <c r="Q36" s="32">
        <v>8998.3420000000006</v>
      </c>
      <c r="R36" s="32">
        <v>9862.7060000000001</v>
      </c>
      <c r="S36" s="32">
        <v>10440.169</v>
      </c>
      <c r="T36" s="32">
        <v>11013.141</v>
      </c>
      <c r="U36" s="231">
        <f t="shared" si="70"/>
        <v>11937.059000000001</v>
      </c>
      <c r="V36" s="32">
        <v>12860.977000000001</v>
      </c>
      <c r="W36" s="231">
        <f t="shared" si="71"/>
        <v>13383.963</v>
      </c>
      <c r="X36" s="32">
        <v>13906.949000000001</v>
      </c>
      <c r="Y36" s="32">
        <v>14521.628000000001</v>
      </c>
      <c r="Z36" s="32">
        <v>16759.751</v>
      </c>
      <c r="AA36" s="32">
        <v>16761.927</v>
      </c>
      <c r="AB36" s="32">
        <v>18716.344000000001</v>
      </c>
      <c r="AC36" s="32">
        <v>19710.043000000001</v>
      </c>
      <c r="AD36" s="32">
        <v>19658.617999999999</v>
      </c>
      <c r="AE36" s="32">
        <v>20369.821</v>
      </c>
      <c r="AF36" s="440">
        <v>21255.883999999998</v>
      </c>
      <c r="AG36" s="169"/>
      <c r="AH36" s="16"/>
      <c r="AI36" s="16"/>
      <c r="AJ36" s="16"/>
      <c r="AK36" s="16"/>
      <c r="AL36" s="16"/>
      <c r="AM36" s="16"/>
      <c r="AN36" s="25"/>
      <c r="AO36" s="16">
        <f>2051.93+27.329</f>
        <v>2079.259</v>
      </c>
      <c r="AP36" s="231">
        <f t="shared" si="72"/>
        <v>2291.3429999999998</v>
      </c>
      <c r="AQ36" s="77">
        <v>2503.4270000000001</v>
      </c>
      <c r="AR36" s="73">
        <v>2693.1379999999999</v>
      </c>
      <c r="AS36" s="32">
        <v>2985.3670000000002</v>
      </c>
      <c r="AT36" s="32">
        <v>3250.3359999999998</v>
      </c>
      <c r="AU36" s="32">
        <v>3502.9459999999999</v>
      </c>
      <c r="AV36" s="32">
        <v>3629.971</v>
      </c>
      <c r="AW36" s="32">
        <v>3890.614</v>
      </c>
      <c r="AX36" s="32">
        <v>4122.4520000000002</v>
      </c>
      <c r="AY36" s="32">
        <v>4297.8059999999996</v>
      </c>
      <c r="AZ36" s="231">
        <f t="shared" si="73"/>
        <v>4800.7099999999991</v>
      </c>
      <c r="BA36" s="32">
        <v>5303.6139999999996</v>
      </c>
      <c r="BB36" s="231">
        <f t="shared" si="74"/>
        <v>5406.1809999999996</v>
      </c>
      <c r="BC36" s="32">
        <v>5508.7479999999996</v>
      </c>
      <c r="BD36" s="32">
        <v>5599.2719999999999</v>
      </c>
      <c r="BE36" s="32">
        <v>6467.8010000000004</v>
      </c>
      <c r="BF36" s="32">
        <v>6467.8010000000004</v>
      </c>
      <c r="BG36" s="32">
        <v>7566.8829999999998</v>
      </c>
      <c r="BH36" s="32">
        <v>7944.8069999999998</v>
      </c>
      <c r="BI36" s="32">
        <v>7472.37</v>
      </c>
      <c r="BJ36" s="32">
        <v>7882.77</v>
      </c>
      <c r="BK36" s="440">
        <v>8341.5779999999995</v>
      </c>
      <c r="BL36" s="87"/>
      <c r="BM36" s="73"/>
      <c r="BN36" s="73"/>
      <c r="BO36" s="73"/>
      <c r="BP36" s="73"/>
      <c r="BQ36" s="73"/>
      <c r="BR36" s="73"/>
      <c r="BS36" s="89"/>
      <c r="BT36" s="73">
        <v>1239.117</v>
      </c>
      <c r="BU36" s="231">
        <f t="shared" si="75"/>
        <v>1372.7860000000001</v>
      </c>
      <c r="BV36" s="73">
        <v>1506.4549999999999</v>
      </c>
      <c r="BW36" s="73">
        <v>1626.174</v>
      </c>
      <c r="BX36" s="32">
        <v>1806.8889999999999</v>
      </c>
      <c r="BY36" s="32">
        <v>1994.4259999999999</v>
      </c>
      <c r="BZ36" s="32">
        <v>2095.9029999999998</v>
      </c>
      <c r="CA36" s="32">
        <v>2125.1849999999999</v>
      </c>
      <c r="CB36" s="32">
        <v>2261.895</v>
      </c>
      <c r="CC36" s="32">
        <v>2383.9549999999999</v>
      </c>
      <c r="CD36" s="32">
        <v>2414.2950000000001</v>
      </c>
      <c r="CE36" s="231">
        <f t="shared" si="76"/>
        <v>2629.7825000000003</v>
      </c>
      <c r="CF36" s="32">
        <v>2845.27</v>
      </c>
      <c r="CG36" s="231">
        <f t="shared" si="77"/>
        <v>2920.6875</v>
      </c>
      <c r="CH36" s="32">
        <v>2996.105</v>
      </c>
      <c r="CI36" s="32">
        <v>3113.5630000000001</v>
      </c>
      <c r="CJ36" s="32">
        <v>3533.7379999999998</v>
      </c>
      <c r="CK36" s="32">
        <v>3533.7379999999998</v>
      </c>
      <c r="CL36" s="32">
        <v>4236.2420000000002</v>
      </c>
      <c r="CM36" s="32">
        <v>4309.9880000000003</v>
      </c>
      <c r="CN36" s="32">
        <v>3990.7449999999999</v>
      </c>
      <c r="CO36" s="32">
        <v>4084.498</v>
      </c>
      <c r="CP36" s="440">
        <v>4215.0550000000003</v>
      </c>
      <c r="CQ36" s="87"/>
      <c r="CR36" s="73"/>
      <c r="CS36" s="73"/>
      <c r="CT36" s="73"/>
      <c r="CU36" s="73"/>
      <c r="CV36" s="73"/>
      <c r="CW36" s="73"/>
      <c r="CX36" s="89"/>
      <c r="CY36" s="73">
        <v>738.49400000000003</v>
      </c>
      <c r="CZ36" s="231">
        <f t="shared" si="78"/>
        <v>809.2595</v>
      </c>
      <c r="DA36" s="73">
        <f>880025/1000</f>
        <v>880.02499999999998</v>
      </c>
      <c r="DB36" s="73">
        <v>932.23</v>
      </c>
      <c r="DC36" s="32">
        <v>1027.6220000000001</v>
      </c>
      <c r="DD36" s="32">
        <v>1109.1320000000001</v>
      </c>
      <c r="DE36" s="32">
        <v>1199.1559999999999</v>
      </c>
      <c r="DF36" s="32">
        <v>1314.1610000000001</v>
      </c>
      <c r="DG36" s="32">
        <v>1428.876</v>
      </c>
      <c r="DH36" s="32">
        <v>1527.5830000000001</v>
      </c>
      <c r="DI36" s="32">
        <v>1631.3630000000001</v>
      </c>
      <c r="DJ36" s="231">
        <f t="shared" si="79"/>
        <v>1881.3440000000001</v>
      </c>
      <c r="DK36" s="32">
        <v>2131.3249999999998</v>
      </c>
      <c r="DL36" s="231">
        <f t="shared" si="80"/>
        <v>2180.9699999999998</v>
      </c>
      <c r="DM36" s="32">
        <v>2230.6149999999998</v>
      </c>
      <c r="DN36" s="32">
        <v>2183.3310000000001</v>
      </c>
      <c r="DO36" s="32">
        <v>2587.0360000000001</v>
      </c>
      <c r="DP36" s="32">
        <v>2587.0360000000001</v>
      </c>
      <c r="DQ36" s="32">
        <v>2952.5949999999998</v>
      </c>
      <c r="DR36" s="32">
        <v>3221.9259999999999</v>
      </c>
      <c r="DS36" s="32">
        <v>3070.7170000000001</v>
      </c>
      <c r="DT36" s="32">
        <v>3308.1379999999999</v>
      </c>
      <c r="DU36" s="440">
        <v>3634.7420000000002</v>
      </c>
      <c r="DV36" s="88"/>
      <c r="DW36" s="90"/>
      <c r="DX36" s="90"/>
      <c r="DY36" s="90"/>
      <c r="DZ36" s="90"/>
      <c r="EA36" s="90"/>
      <c r="EB36" s="90"/>
      <c r="EC36" s="90"/>
      <c r="ED36" s="40">
        <f t="shared" si="81"/>
        <v>101.64800000000002</v>
      </c>
      <c r="EE36" s="40">
        <f t="shared" si="82"/>
        <v>109.29749999999979</v>
      </c>
      <c r="EF36" s="40">
        <f t="shared" si="83"/>
        <v>116.94700000000023</v>
      </c>
      <c r="EG36" s="40">
        <f t="shared" si="84"/>
        <v>134.73399999999992</v>
      </c>
      <c r="EH36" s="40">
        <f t="shared" si="85"/>
        <v>150.85600000000022</v>
      </c>
      <c r="EI36" s="40">
        <f t="shared" si="86"/>
        <v>146.77799999999979</v>
      </c>
      <c r="EJ36" s="40">
        <f t="shared" si="87"/>
        <v>207.88700000000017</v>
      </c>
      <c r="EK36" s="40">
        <f t="shared" si="88"/>
        <v>190.625</v>
      </c>
      <c r="EL36" s="40">
        <f t="shared" si="89"/>
        <v>199.84300000000007</v>
      </c>
      <c r="EM36" s="40">
        <f t="shared" si="90"/>
        <v>210.91400000000021</v>
      </c>
      <c r="EN36" s="40">
        <f t="shared" si="91"/>
        <v>252.14799999999946</v>
      </c>
      <c r="EO36" s="40">
        <f t="shared" si="92"/>
        <v>289.58349999999882</v>
      </c>
      <c r="EP36" s="40">
        <f t="shared" si="93"/>
        <v>327.01899999999978</v>
      </c>
      <c r="EQ36" s="40">
        <f t="shared" si="94"/>
        <v>304.52349999999979</v>
      </c>
      <c r="ER36" s="40">
        <f t="shared" si="95"/>
        <v>282.02799999999979</v>
      </c>
      <c r="ES36" s="40">
        <f t="shared" si="96"/>
        <v>302.3779999999997</v>
      </c>
      <c r="ET36" s="40">
        <f t="shared" si="97"/>
        <v>347.0270000000005</v>
      </c>
      <c r="EU36" s="40">
        <f t="shared" si="98"/>
        <v>347.0270000000005</v>
      </c>
      <c r="EV36" s="40">
        <f t="shared" si="99"/>
        <v>378.04599999999982</v>
      </c>
      <c r="EW36" s="40">
        <f t="shared" si="100"/>
        <v>412.89299999999957</v>
      </c>
      <c r="EX36" s="40">
        <f t="shared" si="101"/>
        <v>410.9079999999999</v>
      </c>
      <c r="EY36" s="40">
        <f t="shared" si="102"/>
        <v>490.13400000000047</v>
      </c>
      <c r="EZ36" s="40">
        <f t="shared" si="103"/>
        <v>491.78099999999904</v>
      </c>
      <c r="FA36" s="181"/>
      <c r="FB36" s="73"/>
      <c r="FC36" s="73"/>
      <c r="FD36" s="73"/>
      <c r="FE36" s="73"/>
      <c r="FF36" s="73"/>
      <c r="FG36" s="73"/>
      <c r="FH36" s="89"/>
      <c r="FI36" s="73">
        <f>460.742+241.94+143.04+32.293+0.07</f>
        <v>878.08500000000004</v>
      </c>
      <c r="FJ36" s="231">
        <f t="shared" si="104"/>
        <v>996.87599999999998</v>
      </c>
      <c r="FK36" s="73">
        <v>1115.6669999999999</v>
      </c>
      <c r="FL36" s="73">
        <v>1241.395</v>
      </c>
      <c r="FM36" s="32">
        <v>1374.8789999999999</v>
      </c>
      <c r="FN36" s="32">
        <v>1495.1510000000001</v>
      </c>
      <c r="FO36" s="32">
        <v>1546.09</v>
      </c>
      <c r="FP36" s="32">
        <v>1641.6780000000001</v>
      </c>
      <c r="FQ36" s="32">
        <v>1748.5530000000001</v>
      </c>
      <c r="FR36" s="32">
        <v>2080.1379999999999</v>
      </c>
      <c r="FS36" s="32">
        <v>2224.4169999999999</v>
      </c>
      <c r="FT36" s="231">
        <f t="shared" si="105"/>
        <v>2345.3829999999998</v>
      </c>
      <c r="FU36" s="32">
        <v>2466.3490000000002</v>
      </c>
      <c r="FV36" s="231">
        <f t="shared" si="106"/>
        <v>2746.817</v>
      </c>
      <c r="FW36" s="32">
        <v>3027.2849999999999</v>
      </c>
      <c r="FX36" s="32">
        <v>3369.9830000000002</v>
      </c>
      <c r="FY36" s="32">
        <v>3531.85</v>
      </c>
      <c r="FZ36" s="32">
        <v>3530.7310000000002</v>
      </c>
      <c r="GA36" s="32">
        <v>3732.2020000000002</v>
      </c>
      <c r="GB36" s="32">
        <v>4084.8760000000002</v>
      </c>
      <c r="GC36" s="32">
        <v>4305.17</v>
      </c>
      <c r="GD36" s="32">
        <v>4396.0079999999998</v>
      </c>
      <c r="GE36" s="440">
        <v>4660.6689999999999</v>
      </c>
      <c r="GF36" s="87"/>
      <c r="GG36" s="73"/>
      <c r="GH36" s="73"/>
      <c r="GI36" s="73"/>
      <c r="GJ36" s="73"/>
      <c r="GK36" s="73"/>
      <c r="GL36" s="73"/>
      <c r="GM36" s="89"/>
      <c r="GN36" s="73">
        <f>419.547+61.549+0.007+154.229+59.506+107.446+19.856+92.774+97.686+98.842+102.205+42.838</f>
        <v>1256.4849999999999</v>
      </c>
      <c r="GO36" s="231">
        <f t="shared" si="107"/>
        <v>1294.3024999999998</v>
      </c>
      <c r="GP36" s="73">
        <v>1332.12</v>
      </c>
      <c r="GQ36" s="73">
        <v>1501.3510000000001</v>
      </c>
      <c r="GR36" s="32">
        <v>1591.963</v>
      </c>
      <c r="GS36" s="32">
        <v>1750.145</v>
      </c>
      <c r="GT36" s="32">
        <v>1923.454</v>
      </c>
      <c r="GU36" s="32">
        <v>2362.9949999999999</v>
      </c>
      <c r="GV36" s="32">
        <v>2773.8449999999998</v>
      </c>
      <c r="GW36" s="32">
        <v>2587.7689999999998</v>
      </c>
      <c r="GX36" s="32">
        <v>2811.4169999999999</v>
      </c>
      <c r="GY36" s="231">
        <f t="shared" si="108"/>
        <v>3033.8784999999998</v>
      </c>
      <c r="GZ36" s="32">
        <v>3256.34</v>
      </c>
      <c r="HA36" s="231">
        <f t="shared" si="109"/>
        <v>3346.6260000000002</v>
      </c>
      <c r="HB36" s="32">
        <v>3436.9119999999998</v>
      </c>
      <c r="HC36" s="32">
        <v>3569.3229999999999</v>
      </c>
      <c r="HD36" s="32">
        <v>4160.5519999999997</v>
      </c>
      <c r="HE36" s="32">
        <v>4165.2529999999997</v>
      </c>
      <c r="HF36" s="32">
        <v>4690.0320000000002</v>
      </c>
      <c r="HG36" s="32">
        <v>4926.2790000000005</v>
      </c>
      <c r="HH36" s="32">
        <v>5147.143</v>
      </c>
      <c r="HI36" s="32">
        <v>5231.2979999999998</v>
      </c>
      <c r="HJ36" s="440">
        <v>5270.99</v>
      </c>
      <c r="HK36" s="87"/>
      <c r="HL36" s="73"/>
      <c r="HM36" s="73"/>
      <c r="HN36" s="73"/>
      <c r="HO36" s="73"/>
      <c r="HP36" s="73"/>
      <c r="HQ36" s="73"/>
      <c r="HR36" s="89"/>
      <c r="HS36" s="73">
        <f>108.065+74.222+31.684+56.753</f>
        <v>270.72399999999999</v>
      </c>
      <c r="HT36" s="231">
        <f t="shared" si="110"/>
        <v>300.36450000000002</v>
      </c>
      <c r="HU36" s="73">
        <v>330.005</v>
      </c>
      <c r="HV36" s="73">
        <v>374.31200000000001</v>
      </c>
      <c r="HW36" s="32">
        <v>438.65499999999997</v>
      </c>
      <c r="HX36" s="32">
        <v>503.43</v>
      </c>
      <c r="HY36" s="32">
        <v>573.03899999999999</v>
      </c>
      <c r="HZ36" s="32">
        <v>586.72400000000005</v>
      </c>
      <c r="IA36" s="32">
        <v>689.00300000000004</v>
      </c>
      <c r="IB36" s="32">
        <v>809.05200000000002</v>
      </c>
      <c r="IC36" s="32">
        <v>779.83500000000004</v>
      </c>
      <c r="ID36" s="231">
        <f t="shared" si="111"/>
        <v>847.40350000000001</v>
      </c>
      <c r="IE36" s="32">
        <v>914.97199999999998</v>
      </c>
      <c r="IF36" s="231">
        <f t="shared" si="112"/>
        <v>970.46349999999995</v>
      </c>
      <c r="IG36" s="32">
        <v>1025.9549999999999</v>
      </c>
      <c r="IH36" s="32">
        <v>1198.317</v>
      </c>
      <c r="II36" s="32">
        <v>1305.1089999999999</v>
      </c>
      <c r="IJ36" s="32">
        <v>1305.1089999999999</v>
      </c>
      <c r="IK36" s="32">
        <v>1312.41</v>
      </c>
      <c r="IL36" s="32">
        <v>1422.452</v>
      </c>
      <c r="IM36" s="32">
        <v>1464.088</v>
      </c>
      <c r="IN36" s="32">
        <v>1419.8889999999999</v>
      </c>
      <c r="IO36" s="440">
        <v>1332.7</v>
      </c>
      <c r="IP36" s="87"/>
      <c r="IQ36" s="73"/>
      <c r="IR36" s="73"/>
      <c r="IS36" s="73"/>
      <c r="IT36" s="73"/>
      <c r="IU36" s="73"/>
      <c r="IV36" s="73"/>
      <c r="IW36" s="89"/>
      <c r="IX36" s="73">
        <f>289.776+3.801+183.088</f>
        <v>476.66499999999996</v>
      </c>
      <c r="IY36" s="231">
        <f t="shared" si="113"/>
        <v>498.62899999999996</v>
      </c>
      <c r="IZ36" s="73">
        <v>520.59299999999996</v>
      </c>
      <c r="JA36" s="73">
        <v>511.06700000000001</v>
      </c>
      <c r="JB36" s="47">
        <v>506.58499999999998</v>
      </c>
      <c r="JC36" s="47">
        <v>663.13199999999995</v>
      </c>
      <c r="JD36" s="47">
        <v>713.54200000000003</v>
      </c>
      <c r="JE36" s="47">
        <v>776.97400000000005</v>
      </c>
      <c r="JF36" s="17">
        <v>760.69100000000003</v>
      </c>
      <c r="JG36" s="17">
        <v>840.75800000000004</v>
      </c>
      <c r="JH36" s="17">
        <v>899.66600000000005</v>
      </c>
      <c r="JI36" s="231">
        <f t="shared" si="114"/>
        <v>909.68399999999997</v>
      </c>
      <c r="JJ36" s="17">
        <v>919.702</v>
      </c>
      <c r="JK36" s="231">
        <f t="shared" si="115"/>
        <v>913.87549999999999</v>
      </c>
      <c r="JL36" s="17">
        <v>908.04899999999998</v>
      </c>
      <c r="JM36" s="17">
        <v>784.73299999999995</v>
      </c>
      <c r="JN36" s="17">
        <v>1294.4390000000001</v>
      </c>
      <c r="JO36" s="32">
        <v>1293.0329999999999</v>
      </c>
      <c r="JP36" s="32">
        <v>1414.817</v>
      </c>
      <c r="JQ36" s="32">
        <v>1331.6279999999999</v>
      </c>
      <c r="JR36" s="32">
        <v>1269.848</v>
      </c>
      <c r="JS36" s="17">
        <v>1439.856</v>
      </c>
      <c r="JT36" s="450">
        <v>1649.9469999999999</v>
      </c>
    </row>
    <row r="37" spans="1:280" s="17" customFormat="1" ht="12.75" customHeight="1">
      <c r="A37" s="222" t="s">
        <v>78</v>
      </c>
      <c r="B37" s="16"/>
      <c r="C37" s="16"/>
      <c r="D37" s="16"/>
      <c r="E37" s="16"/>
      <c r="F37" s="16"/>
      <c r="G37" s="16"/>
      <c r="H37" s="16"/>
      <c r="I37" s="25"/>
      <c r="J37" s="16">
        <v>16612.546999999999</v>
      </c>
      <c r="K37" s="231">
        <f t="shared" si="69"/>
        <v>19132.614000000001</v>
      </c>
      <c r="L37" s="16">
        <v>21652.681</v>
      </c>
      <c r="M37" s="16">
        <v>25015.38</v>
      </c>
      <c r="N37" s="73">
        <v>24228.882000000001</v>
      </c>
      <c r="O37" s="32">
        <v>26440.607</v>
      </c>
      <c r="P37" s="32">
        <v>27048.031999999999</v>
      </c>
      <c r="Q37" s="32">
        <v>28882.454000000002</v>
      </c>
      <c r="R37" s="32">
        <v>30853.207999999999</v>
      </c>
      <c r="S37" s="32">
        <v>32337.366999999998</v>
      </c>
      <c r="T37" s="32">
        <v>33483.319000000003</v>
      </c>
      <c r="U37" s="231">
        <f t="shared" si="70"/>
        <v>36070.230500000005</v>
      </c>
      <c r="V37" s="32">
        <v>38657.142</v>
      </c>
      <c r="W37" s="231">
        <f t="shared" si="71"/>
        <v>40623.951000000001</v>
      </c>
      <c r="X37" s="32">
        <v>42590.76</v>
      </c>
      <c r="Y37" s="32">
        <v>44364.076000000001</v>
      </c>
      <c r="Z37" s="32">
        <v>49925.156000000003</v>
      </c>
      <c r="AA37" s="32">
        <v>49628.552000000003</v>
      </c>
      <c r="AB37" s="32">
        <v>53594.601000000002</v>
      </c>
      <c r="AC37" s="32">
        <v>56508.733</v>
      </c>
      <c r="AD37" s="32">
        <v>56798.245000000003</v>
      </c>
      <c r="AE37" s="32">
        <v>57781.870999999999</v>
      </c>
      <c r="AF37" s="440">
        <v>58368.296999999999</v>
      </c>
      <c r="AG37" s="169"/>
      <c r="AH37" s="16"/>
      <c r="AI37" s="16"/>
      <c r="AJ37" s="16"/>
      <c r="AK37" s="16"/>
      <c r="AL37" s="16"/>
      <c r="AM37" s="16"/>
      <c r="AN37" s="25"/>
      <c r="AO37" s="16">
        <f>6207.656+123.902</f>
        <v>6331.558</v>
      </c>
      <c r="AP37" s="231">
        <f t="shared" si="72"/>
        <v>7126.0304999999998</v>
      </c>
      <c r="AQ37" s="77">
        <v>7920.5029999999997</v>
      </c>
      <c r="AR37" s="73">
        <v>8723.8940000000002</v>
      </c>
      <c r="AS37" s="32">
        <v>8904.5429999999997</v>
      </c>
      <c r="AT37" s="32">
        <v>9239.7279999999992</v>
      </c>
      <c r="AU37" s="32">
        <v>9641.3340000000007</v>
      </c>
      <c r="AV37" s="32">
        <v>9994.4030000000002</v>
      </c>
      <c r="AW37" s="32">
        <v>10707.531999999999</v>
      </c>
      <c r="AX37" s="32">
        <v>11341.901</v>
      </c>
      <c r="AY37" s="32">
        <v>11769.082</v>
      </c>
      <c r="AZ37" s="231">
        <f t="shared" si="73"/>
        <v>12452.6255</v>
      </c>
      <c r="BA37" s="32">
        <v>13136.169</v>
      </c>
      <c r="BB37" s="231">
        <f t="shared" si="74"/>
        <v>13858.2215</v>
      </c>
      <c r="BC37" s="32">
        <v>14580.273999999999</v>
      </c>
      <c r="BD37" s="32">
        <v>15036.108</v>
      </c>
      <c r="BE37" s="32">
        <v>16863.851999999999</v>
      </c>
      <c r="BF37" s="32">
        <v>16863.851999999999</v>
      </c>
      <c r="BG37" s="32">
        <v>18397.121999999999</v>
      </c>
      <c r="BH37" s="32">
        <v>19462.434000000001</v>
      </c>
      <c r="BI37" s="32">
        <v>18709.976999999999</v>
      </c>
      <c r="BJ37" s="32">
        <v>19164.330999999998</v>
      </c>
      <c r="BK37" s="440">
        <v>19666.107</v>
      </c>
      <c r="BL37" s="87"/>
      <c r="BM37" s="73"/>
      <c r="BN37" s="73"/>
      <c r="BO37" s="73"/>
      <c r="BP37" s="73"/>
      <c r="BQ37" s="73"/>
      <c r="BR37" s="73"/>
      <c r="BS37" s="89"/>
      <c r="BT37" s="73">
        <v>4279.7</v>
      </c>
      <c r="BU37" s="231">
        <f t="shared" si="75"/>
        <v>4825.3675000000003</v>
      </c>
      <c r="BV37" s="73">
        <v>5371.0349999999999</v>
      </c>
      <c r="BW37" s="73">
        <v>5951.0159999999996</v>
      </c>
      <c r="BX37" s="32">
        <v>5899.2309999999998</v>
      </c>
      <c r="BY37" s="32">
        <v>6077.8310000000001</v>
      </c>
      <c r="BZ37" s="32">
        <v>6409.1909999999998</v>
      </c>
      <c r="CA37" s="32">
        <v>6640.3789999999999</v>
      </c>
      <c r="CB37" s="32">
        <v>7049.0860000000002</v>
      </c>
      <c r="CC37" s="32">
        <v>7336.4089999999997</v>
      </c>
      <c r="CD37" s="32">
        <v>7667.1360000000004</v>
      </c>
      <c r="CE37" s="231">
        <f t="shared" si="76"/>
        <v>7928.8739999999998</v>
      </c>
      <c r="CF37" s="32">
        <v>8190.6120000000001</v>
      </c>
      <c r="CG37" s="231">
        <f t="shared" si="77"/>
        <v>8555.7194999999992</v>
      </c>
      <c r="CH37" s="32">
        <v>8920.8269999999993</v>
      </c>
      <c r="CI37" s="32">
        <v>9232.0939999999991</v>
      </c>
      <c r="CJ37" s="32">
        <v>10267.382</v>
      </c>
      <c r="CK37" s="32">
        <v>10267.382</v>
      </c>
      <c r="CL37" s="32">
        <v>11237.121999999999</v>
      </c>
      <c r="CM37" s="32">
        <v>11782.638000000001</v>
      </c>
      <c r="CN37" s="32">
        <v>11362.166999999999</v>
      </c>
      <c r="CO37" s="32">
        <v>11421.314</v>
      </c>
      <c r="CP37" s="440">
        <v>11755.298000000001</v>
      </c>
      <c r="CQ37" s="87"/>
      <c r="CR37" s="73"/>
      <c r="CS37" s="73"/>
      <c r="CT37" s="73"/>
      <c r="CU37" s="73"/>
      <c r="CV37" s="73"/>
      <c r="CW37" s="73"/>
      <c r="CX37" s="89"/>
      <c r="CY37" s="73">
        <v>1705.5989999999999</v>
      </c>
      <c r="CZ37" s="231">
        <f t="shared" si="78"/>
        <v>1864.415</v>
      </c>
      <c r="DA37" s="73">
        <f>2023231/1000</f>
        <v>2023.231</v>
      </c>
      <c r="DB37" s="73">
        <v>2249.498</v>
      </c>
      <c r="DC37" s="32">
        <v>2341.2359999999999</v>
      </c>
      <c r="DD37" s="32">
        <v>2546.6509999999998</v>
      </c>
      <c r="DE37" s="32">
        <v>2587.759</v>
      </c>
      <c r="DF37" s="32">
        <v>2723.308</v>
      </c>
      <c r="DG37" s="32">
        <v>2889.415</v>
      </c>
      <c r="DH37" s="32">
        <v>3165.848</v>
      </c>
      <c r="DI37" s="32">
        <v>3333.9650000000001</v>
      </c>
      <c r="DJ37" s="231">
        <f t="shared" si="79"/>
        <v>3658.1130000000003</v>
      </c>
      <c r="DK37" s="32">
        <v>3982.261</v>
      </c>
      <c r="DL37" s="231">
        <f t="shared" si="80"/>
        <v>4183.0905000000002</v>
      </c>
      <c r="DM37" s="32">
        <v>4383.92</v>
      </c>
      <c r="DN37" s="32">
        <v>4526.6850000000004</v>
      </c>
      <c r="DO37" s="32">
        <v>5123.1279999999997</v>
      </c>
      <c r="DP37" s="32">
        <v>5126.9780000000001</v>
      </c>
      <c r="DQ37" s="32">
        <v>5566.9089999999997</v>
      </c>
      <c r="DR37" s="32">
        <v>5952.0879999999997</v>
      </c>
      <c r="DS37" s="32">
        <v>5591.9780000000001</v>
      </c>
      <c r="DT37" s="32">
        <v>5926.165</v>
      </c>
      <c r="DU37" s="440">
        <v>5900.8450000000003</v>
      </c>
      <c r="DV37" s="88"/>
      <c r="DW37" s="90"/>
      <c r="DX37" s="90"/>
      <c r="DY37" s="90"/>
      <c r="DZ37" s="90"/>
      <c r="EA37" s="90"/>
      <c r="EB37" s="90"/>
      <c r="EC37" s="90"/>
      <c r="ED37" s="40">
        <f t="shared" si="81"/>
        <v>346.25900000000024</v>
      </c>
      <c r="EE37" s="40">
        <f t="shared" si="82"/>
        <v>436.24799999999959</v>
      </c>
      <c r="EF37" s="40">
        <f t="shared" si="83"/>
        <v>526.23699999999985</v>
      </c>
      <c r="EG37" s="40">
        <f t="shared" si="84"/>
        <v>523.38000000000056</v>
      </c>
      <c r="EH37" s="40">
        <f t="shared" si="85"/>
        <v>664.07600000000002</v>
      </c>
      <c r="EI37" s="40">
        <f t="shared" si="86"/>
        <v>615.24599999999919</v>
      </c>
      <c r="EJ37" s="40">
        <f t="shared" si="87"/>
        <v>644.38400000000092</v>
      </c>
      <c r="EK37" s="40">
        <f t="shared" si="88"/>
        <v>630.71600000000035</v>
      </c>
      <c r="EL37" s="40">
        <f t="shared" si="89"/>
        <v>769.03099999999904</v>
      </c>
      <c r="EM37" s="40">
        <f t="shared" si="90"/>
        <v>839.64400000000023</v>
      </c>
      <c r="EN37" s="40">
        <f t="shared" si="91"/>
        <v>767.98099999999977</v>
      </c>
      <c r="EO37" s="40">
        <f t="shared" si="92"/>
        <v>865.63850000000002</v>
      </c>
      <c r="EP37" s="40">
        <f t="shared" si="93"/>
        <v>963.29599999999982</v>
      </c>
      <c r="EQ37" s="40">
        <f t="shared" si="94"/>
        <v>1119.4115000000002</v>
      </c>
      <c r="ER37" s="40">
        <f t="shared" si="95"/>
        <v>1275.527</v>
      </c>
      <c r="ES37" s="40">
        <f t="shared" si="96"/>
        <v>1277.3290000000006</v>
      </c>
      <c r="ET37" s="40">
        <f t="shared" si="97"/>
        <v>1473.3419999999996</v>
      </c>
      <c r="EU37" s="40">
        <f t="shared" si="98"/>
        <v>1469.4919999999993</v>
      </c>
      <c r="EV37" s="40">
        <f t="shared" si="99"/>
        <v>1593.0910000000003</v>
      </c>
      <c r="EW37" s="40">
        <f t="shared" si="100"/>
        <v>1727.7080000000005</v>
      </c>
      <c r="EX37" s="40">
        <f t="shared" si="101"/>
        <v>1755.8319999999994</v>
      </c>
      <c r="EY37" s="40">
        <f t="shared" si="102"/>
        <v>1816.851999999998</v>
      </c>
      <c r="EZ37" s="40">
        <f t="shared" si="103"/>
        <v>2009.963999999999</v>
      </c>
      <c r="FA37" s="181"/>
      <c r="FB37" s="73"/>
      <c r="FC37" s="73"/>
      <c r="FD37" s="73"/>
      <c r="FE37" s="73"/>
      <c r="FF37" s="73"/>
      <c r="FG37" s="73"/>
      <c r="FH37" s="89"/>
      <c r="FI37" s="73">
        <f>2098.801+777.473+577.455+72.977+1.32</f>
        <v>3528.0259999999998</v>
      </c>
      <c r="FJ37" s="231">
        <f t="shared" si="104"/>
        <v>4193.1559999999999</v>
      </c>
      <c r="FK37" s="73">
        <v>4858.2860000000001</v>
      </c>
      <c r="FL37" s="73">
        <v>5315.7330000000002</v>
      </c>
      <c r="FM37" s="32">
        <v>5877.1880000000001</v>
      </c>
      <c r="FN37" s="32">
        <v>6244.4560000000001</v>
      </c>
      <c r="FO37" s="32">
        <v>6483.6239999999998</v>
      </c>
      <c r="FP37" s="32">
        <v>7065.2870000000003</v>
      </c>
      <c r="FQ37" s="32">
        <v>7755.1589999999997</v>
      </c>
      <c r="FR37" s="32">
        <v>7946.9170000000004</v>
      </c>
      <c r="FS37" s="32">
        <v>8550.5879999999997</v>
      </c>
      <c r="FT37" s="231">
        <f t="shared" si="105"/>
        <v>9456.2174999999988</v>
      </c>
      <c r="FU37" s="32">
        <v>10361.847</v>
      </c>
      <c r="FV37" s="231">
        <f t="shared" si="106"/>
        <v>10882.3285</v>
      </c>
      <c r="FW37" s="32">
        <v>11402.81</v>
      </c>
      <c r="FX37" s="32">
        <v>11834.308999999999</v>
      </c>
      <c r="FY37" s="32">
        <v>13160.958000000001</v>
      </c>
      <c r="FZ37" s="32">
        <v>12861.129000000001</v>
      </c>
      <c r="GA37" s="32">
        <v>13986.055</v>
      </c>
      <c r="GB37" s="32">
        <v>14985.999</v>
      </c>
      <c r="GC37" s="32">
        <v>15586.557000000001</v>
      </c>
      <c r="GD37" s="32">
        <v>16071.378000000001</v>
      </c>
      <c r="GE37" s="440">
        <v>15845.896000000001</v>
      </c>
      <c r="GF37" s="87"/>
      <c r="GG37" s="73"/>
      <c r="GH37" s="73"/>
      <c r="GI37" s="73"/>
      <c r="GJ37" s="73"/>
      <c r="GK37" s="73"/>
      <c r="GL37" s="73"/>
      <c r="GM37" s="89"/>
      <c r="GN37" s="73">
        <f>1082.656+97.669+2.727+221.945+497.24+304.505+410.107+184.282+400.052+330.294+243.276+367.857+437.61</f>
        <v>4580.22</v>
      </c>
      <c r="GO37" s="231">
        <f t="shared" si="107"/>
        <v>5338.1810000000005</v>
      </c>
      <c r="GP37" s="73">
        <v>6096.1419999999998</v>
      </c>
      <c r="GQ37" s="73">
        <v>7996.5410000000002</v>
      </c>
      <c r="GR37" s="32">
        <v>6382.0889999999999</v>
      </c>
      <c r="GS37" s="32">
        <v>7528.8230000000003</v>
      </c>
      <c r="GT37" s="32">
        <v>7466.442</v>
      </c>
      <c r="GU37" s="32">
        <v>7985.1030000000001</v>
      </c>
      <c r="GV37" s="32">
        <v>8549.7999999999993</v>
      </c>
      <c r="GW37" s="32">
        <v>9052.4089999999997</v>
      </c>
      <c r="GX37" s="32">
        <v>9021.7389999999996</v>
      </c>
      <c r="GY37" s="231">
        <f t="shared" si="108"/>
        <v>9760.0109999999986</v>
      </c>
      <c r="GZ37" s="32">
        <v>10498.282999999999</v>
      </c>
      <c r="HA37" s="231">
        <f t="shared" si="109"/>
        <v>11025.999</v>
      </c>
      <c r="HB37" s="32">
        <v>11553.715</v>
      </c>
      <c r="HC37" s="32">
        <v>12238.004000000001</v>
      </c>
      <c r="HD37" s="32">
        <v>14080.795</v>
      </c>
      <c r="HE37" s="32">
        <v>14107.164000000001</v>
      </c>
      <c r="HF37" s="32">
        <v>15027.593999999999</v>
      </c>
      <c r="HG37" s="32">
        <v>15473.168</v>
      </c>
      <c r="HH37" s="32">
        <v>15997.831</v>
      </c>
      <c r="HI37" s="32">
        <v>15997.546</v>
      </c>
      <c r="HJ37" s="440">
        <v>15843.147999999999</v>
      </c>
      <c r="HK37" s="87"/>
      <c r="HL37" s="73"/>
      <c r="HM37" s="73"/>
      <c r="HN37" s="73"/>
      <c r="HO37" s="73"/>
      <c r="HP37" s="73"/>
      <c r="HQ37" s="73"/>
      <c r="HR37" s="89"/>
      <c r="HS37" s="73">
        <f>362.598+240.086+17.251+190.626</f>
        <v>810.56099999999992</v>
      </c>
      <c r="HT37" s="231">
        <f t="shared" si="110"/>
        <v>940.72799999999995</v>
      </c>
      <c r="HU37" s="73">
        <v>1070.895</v>
      </c>
      <c r="HV37" s="73">
        <v>1108.018</v>
      </c>
      <c r="HW37" s="32">
        <v>1193.1990000000001</v>
      </c>
      <c r="HX37" s="32">
        <v>1312.05</v>
      </c>
      <c r="HY37" s="32">
        <v>1318.903</v>
      </c>
      <c r="HZ37" s="32">
        <v>1456.74</v>
      </c>
      <c r="IA37" s="32">
        <v>1470.5909999999999</v>
      </c>
      <c r="IB37" s="32">
        <v>1480.34</v>
      </c>
      <c r="IC37" s="32">
        <v>1595.87</v>
      </c>
      <c r="ID37" s="231">
        <f t="shared" si="111"/>
        <v>1669.0439999999999</v>
      </c>
      <c r="IE37" s="32">
        <v>1742.2180000000001</v>
      </c>
      <c r="IF37" s="231">
        <f t="shared" si="112"/>
        <v>1800.7040000000002</v>
      </c>
      <c r="IG37" s="32">
        <v>1859.19</v>
      </c>
      <c r="IH37" s="32">
        <v>1939.5630000000001</v>
      </c>
      <c r="II37" s="32">
        <v>2165.578</v>
      </c>
      <c r="IJ37" s="32">
        <v>2152.2669999999998</v>
      </c>
      <c r="IK37" s="32">
        <v>2291.174</v>
      </c>
      <c r="IL37" s="32">
        <v>2354.348</v>
      </c>
      <c r="IM37" s="32">
        <v>2276.0259999999998</v>
      </c>
      <c r="IN37" s="32">
        <v>2271.9690000000001</v>
      </c>
      <c r="IO37" s="440">
        <v>2550.3530000000001</v>
      </c>
      <c r="IP37" s="87"/>
      <c r="IQ37" s="73"/>
      <c r="IR37" s="73"/>
      <c r="IS37" s="73"/>
      <c r="IT37" s="73"/>
      <c r="IU37" s="73"/>
      <c r="IV37" s="73"/>
      <c r="IW37" s="89"/>
      <c r="IX37" s="73">
        <f>745.883+0.541+615.758</f>
        <v>1362.1820000000002</v>
      </c>
      <c r="IY37" s="231">
        <f t="shared" si="113"/>
        <v>1534.5185000000001</v>
      </c>
      <c r="IZ37" s="73">
        <v>1706.855</v>
      </c>
      <c r="JA37" s="73">
        <v>1871.194</v>
      </c>
      <c r="JB37" s="47">
        <v>1871.8630000000001</v>
      </c>
      <c r="JC37" s="47">
        <v>2115.5500000000002</v>
      </c>
      <c r="JD37" s="47">
        <v>2137.7289999999998</v>
      </c>
      <c r="JE37" s="47">
        <v>2380.9209999999998</v>
      </c>
      <c r="JF37" s="17">
        <v>2370.1260000000002</v>
      </c>
      <c r="JG37" s="17">
        <v>2515.8000000000002</v>
      </c>
      <c r="JH37" s="17">
        <v>2546.04</v>
      </c>
      <c r="JI37" s="231">
        <f t="shared" si="114"/>
        <v>2732.3325</v>
      </c>
      <c r="JJ37" s="17">
        <v>2918.625</v>
      </c>
      <c r="JK37" s="231">
        <f t="shared" si="115"/>
        <v>3056.6980000000003</v>
      </c>
      <c r="JL37" s="17">
        <v>3194.7710000000002</v>
      </c>
      <c r="JM37" s="17">
        <v>3316.0920000000001</v>
      </c>
      <c r="JN37" s="17">
        <v>3653.973</v>
      </c>
      <c r="JO37" s="32">
        <v>3644.14</v>
      </c>
      <c r="JP37" s="32">
        <v>3892.6559999999999</v>
      </c>
      <c r="JQ37" s="32">
        <v>4232.7849999999999</v>
      </c>
      <c r="JR37" s="32">
        <v>4227.8530000000001</v>
      </c>
      <c r="JS37" s="17">
        <v>4276.6469999999999</v>
      </c>
      <c r="JT37" s="450">
        <v>4462.7929999999997</v>
      </c>
    </row>
    <row r="38" spans="1:280" s="17" customFormat="1" ht="12.75" customHeight="1">
      <c r="A38" s="247" t="s">
        <v>80</v>
      </c>
      <c r="B38" s="50"/>
      <c r="C38" s="50"/>
      <c r="D38" s="50"/>
      <c r="E38" s="50"/>
      <c r="F38" s="50"/>
      <c r="G38" s="50"/>
      <c r="H38" s="50"/>
      <c r="I38" s="213"/>
      <c r="J38" s="50">
        <v>2158.212</v>
      </c>
      <c r="K38" s="158">
        <f t="shared" si="69"/>
        <v>2309.8890000000001</v>
      </c>
      <c r="L38" s="50">
        <v>2461.5659999999998</v>
      </c>
      <c r="M38" s="50">
        <v>2403.069</v>
      </c>
      <c r="N38" s="112">
        <v>2543.2379999999998</v>
      </c>
      <c r="O38" s="49">
        <v>2622.875</v>
      </c>
      <c r="P38" s="49">
        <v>2695.788</v>
      </c>
      <c r="Q38" s="49">
        <v>2798.393</v>
      </c>
      <c r="R38" s="49">
        <v>2919.5410000000002</v>
      </c>
      <c r="S38" s="49">
        <v>3153.125</v>
      </c>
      <c r="T38" s="49">
        <v>3331.018</v>
      </c>
      <c r="U38" s="158">
        <f t="shared" si="70"/>
        <v>3592.2380000000003</v>
      </c>
      <c r="V38" s="49">
        <v>3853.4580000000001</v>
      </c>
      <c r="W38" s="158">
        <f t="shared" si="71"/>
        <v>4193.9859999999999</v>
      </c>
      <c r="X38" s="49">
        <v>4534.5140000000001</v>
      </c>
      <c r="Y38" s="49">
        <v>5077.3149999999996</v>
      </c>
      <c r="Z38" s="49">
        <v>6041.6</v>
      </c>
      <c r="AA38" s="49">
        <v>6042.3310000000001</v>
      </c>
      <c r="AB38" s="49">
        <v>6801.6620000000003</v>
      </c>
      <c r="AC38" s="49">
        <v>7461.201</v>
      </c>
      <c r="AD38" s="49">
        <v>7627.5029999999997</v>
      </c>
      <c r="AE38" s="49">
        <v>7578.6210000000001</v>
      </c>
      <c r="AF38" s="439">
        <v>7727.2879999999996</v>
      </c>
      <c r="AG38" s="220"/>
      <c r="AH38" s="50"/>
      <c r="AI38" s="50"/>
      <c r="AJ38" s="50"/>
      <c r="AK38" s="50"/>
      <c r="AL38" s="50"/>
      <c r="AM38" s="50"/>
      <c r="AN38" s="213"/>
      <c r="AO38" s="50">
        <f>783.582+10.576</f>
        <v>794.15800000000002</v>
      </c>
      <c r="AP38" s="158">
        <f t="shared" si="72"/>
        <v>850.98700000000008</v>
      </c>
      <c r="AQ38" s="78">
        <v>907.81600000000003</v>
      </c>
      <c r="AR38" s="112">
        <v>890.97</v>
      </c>
      <c r="AS38" s="49">
        <v>943.57500000000005</v>
      </c>
      <c r="AT38" s="49">
        <v>957.16099999999994</v>
      </c>
      <c r="AU38" s="49">
        <v>980.85400000000004</v>
      </c>
      <c r="AV38" s="49">
        <v>1006.706</v>
      </c>
      <c r="AW38" s="49">
        <v>1021.0890000000001</v>
      </c>
      <c r="AX38" s="49">
        <v>1082.1600000000001</v>
      </c>
      <c r="AY38" s="49">
        <v>1140.07</v>
      </c>
      <c r="AZ38" s="158">
        <f t="shared" si="73"/>
        <v>1220.365</v>
      </c>
      <c r="BA38" s="49">
        <v>1300.6600000000001</v>
      </c>
      <c r="BB38" s="158">
        <f t="shared" si="74"/>
        <v>1381.298</v>
      </c>
      <c r="BC38" s="49">
        <v>1461.9359999999999</v>
      </c>
      <c r="BD38" s="49">
        <v>1626.317</v>
      </c>
      <c r="BE38" s="49">
        <v>2060.2489999999998</v>
      </c>
      <c r="BF38" s="49">
        <v>2060.2489999999998</v>
      </c>
      <c r="BG38" s="49">
        <v>2285.3139999999999</v>
      </c>
      <c r="BH38" s="49">
        <v>2503.5729999999999</v>
      </c>
      <c r="BI38" s="49">
        <v>2505.634</v>
      </c>
      <c r="BJ38" s="49">
        <v>2530.4110000000001</v>
      </c>
      <c r="BK38" s="439">
        <v>2546.741</v>
      </c>
      <c r="BL38" s="248"/>
      <c r="BM38" s="112"/>
      <c r="BN38" s="112"/>
      <c r="BO38" s="112"/>
      <c r="BP38" s="112"/>
      <c r="BQ38" s="112"/>
      <c r="BR38" s="112"/>
      <c r="BS38" s="249"/>
      <c r="BT38" s="112">
        <v>541.79399999999998</v>
      </c>
      <c r="BU38" s="158">
        <f t="shared" si="75"/>
        <v>580.38099999999997</v>
      </c>
      <c r="BV38" s="112">
        <v>618.96799999999996</v>
      </c>
      <c r="BW38" s="112">
        <v>594.42399999999998</v>
      </c>
      <c r="BX38" s="49">
        <v>609.59</v>
      </c>
      <c r="BY38" s="49">
        <v>625.45600000000002</v>
      </c>
      <c r="BZ38" s="49">
        <v>653.33600000000001</v>
      </c>
      <c r="CA38" s="49">
        <v>676.77800000000002</v>
      </c>
      <c r="CB38" s="49">
        <v>689.43799999999999</v>
      </c>
      <c r="CC38" s="49">
        <v>724.27800000000002</v>
      </c>
      <c r="CD38" s="49">
        <v>755.73500000000001</v>
      </c>
      <c r="CE38" s="158">
        <f t="shared" si="76"/>
        <v>806.22399999999993</v>
      </c>
      <c r="CF38" s="49">
        <v>856.71299999999997</v>
      </c>
      <c r="CG38" s="158">
        <f t="shared" si="77"/>
        <v>901.38099999999997</v>
      </c>
      <c r="CH38" s="49">
        <v>946.04899999999998</v>
      </c>
      <c r="CI38" s="49">
        <v>1029.6379999999999</v>
      </c>
      <c r="CJ38" s="49">
        <v>1379.4690000000001</v>
      </c>
      <c r="CK38" s="49">
        <v>1379.4690000000001</v>
      </c>
      <c r="CL38" s="49">
        <v>1507.0730000000001</v>
      </c>
      <c r="CM38" s="49">
        <v>1647.1959999999999</v>
      </c>
      <c r="CN38" s="49">
        <v>1682.463</v>
      </c>
      <c r="CO38" s="49">
        <v>1640.623</v>
      </c>
      <c r="CP38" s="439">
        <v>1652.873</v>
      </c>
      <c r="CQ38" s="248"/>
      <c r="CR38" s="112"/>
      <c r="CS38" s="112"/>
      <c r="CT38" s="112"/>
      <c r="CU38" s="112"/>
      <c r="CV38" s="112"/>
      <c r="CW38" s="112"/>
      <c r="CX38" s="249"/>
      <c r="CY38" s="112">
        <v>223.47</v>
      </c>
      <c r="CZ38" s="158">
        <f t="shared" si="78"/>
        <v>233.91200000000001</v>
      </c>
      <c r="DA38" s="112">
        <f>244354/1000</f>
        <v>244.35400000000001</v>
      </c>
      <c r="DB38" s="112">
        <v>252.26</v>
      </c>
      <c r="DC38" s="49">
        <v>285.05200000000002</v>
      </c>
      <c r="DD38" s="49">
        <v>282.58999999999997</v>
      </c>
      <c r="DE38" s="49">
        <v>276.42500000000001</v>
      </c>
      <c r="DF38" s="49">
        <v>274.976</v>
      </c>
      <c r="DG38" s="49">
        <v>277.61099999999999</v>
      </c>
      <c r="DH38" s="49">
        <v>294.30200000000002</v>
      </c>
      <c r="DI38" s="49">
        <v>310.32900000000001</v>
      </c>
      <c r="DJ38" s="158">
        <f t="shared" si="79"/>
        <v>335.3655</v>
      </c>
      <c r="DK38" s="49">
        <v>360.40199999999999</v>
      </c>
      <c r="DL38" s="158">
        <f t="shared" si="80"/>
        <v>391.33449999999999</v>
      </c>
      <c r="DM38" s="49">
        <v>422.267</v>
      </c>
      <c r="DN38" s="49">
        <v>474.59899999999999</v>
      </c>
      <c r="DO38" s="49">
        <v>537.78899999999999</v>
      </c>
      <c r="DP38" s="49">
        <v>537.78899999999999</v>
      </c>
      <c r="DQ38" s="49">
        <v>636.56799999999998</v>
      </c>
      <c r="DR38" s="49">
        <v>687.35699999999997</v>
      </c>
      <c r="DS38" s="49">
        <v>668.74900000000002</v>
      </c>
      <c r="DT38" s="49">
        <v>685.28800000000001</v>
      </c>
      <c r="DU38" s="439">
        <v>715.54600000000005</v>
      </c>
      <c r="DV38" s="250"/>
      <c r="DW38" s="251"/>
      <c r="DX38" s="251"/>
      <c r="DY38" s="251"/>
      <c r="DZ38" s="251"/>
      <c r="EA38" s="251"/>
      <c r="EB38" s="251"/>
      <c r="EC38" s="251"/>
      <c r="ED38" s="68">
        <f t="shared" si="81"/>
        <v>28.894000000000034</v>
      </c>
      <c r="EE38" s="68">
        <f t="shared" si="82"/>
        <v>36.694000000000102</v>
      </c>
      <c r="EF38" s="68">
        <f t="shared" si="83"/>
        <v>44.494000000000057</v>
      </c>
      <c r="EG38" s="68">
        <f t="shared" si="84"/>
        <v>44.286000000000058</v>
      </c>
      <c r="EH38" s="68">
        <f t="shared" si="85"/>
        <v>48.932999999999993</v>
      </c>
      <c r="EI38" s="68">
        <f t="shared" si="86"/>
        <v>49.114999999999952</v>
      </c>
      <c r="EJ38" s="68">
        <f t="shared" si="87"/>
        <v>51.093000000000018</v>
      </c>
      <c r="EK38" s="68">
        <f t="shared" si="88"/>
        <v>54.951999999999998</v>
      </c>
      <c r="EL38" s="68">
        <f t="shared" si="89"/>
        <v>54.040000000000077</v>
      </c>
      <c r="EM38" s="68">
        <f t="shared" si="90"/>
        <v>63.580000000000041</v>
      </c>
      <c r="EN38" s="68">
        <f t="shared" si="91"/>
        <v>74.005999999999915</v>
      </c>
      <c r="EO38" s="68">
        <f t="shared" si="92"/>
        <v>78.775500000000079</v>
      </c>
      <c r="EP38" s="68">
        <f t="shared" si="93"/>
        <v>83.54500000000013</v>
      </c>
      <c r="EQ38" s="68">
        <f t="shared" si="94"/>
        <v>88.582500000000039</v>
      </c>
      <c r="ER38" s="68">
        <f t="shared" si="95"/>
        <v>93.619999999999948</v>
      </c>
      <c r="ES38" s="68">
        <f t="shared" si="96"/>
        <v>122.0800000000001</v>
      </c>
      <c r="ET38" s="68">
        <f t="shared" si="97"/>
        <v>142.99099999999976</v>
      </c>
      <c r="EU38" s="68">
        <f t="shared" si="98"/>
        <v>142.99099999999976</v>
      </c>
      <c r="EV38" s="68">
        <f t="shared" si="99"/>
        <v>141.67299999999977</v>
      </c>
      <c r="EW38" s="68">
        <f t="shared" si="100"/>
        <v>169.01999999999998</v>
      </c>
      <c r="EX38" s="68">
        <f t="shared" si="101"/>
        <v>154.42200000000003</v>
      </c>
      <c r="EY38" s="68">
        <f t="shared" si="102"/>
        <v>204.5</v>
      </c>
      <c r="EZ38" s="68">
        <f t="shared" si="103"/>
        <v>178.32199999999989</v>
      </c>
      <c r="FA38" s="252"/>
      <c r="FB38" s="112"/>
      <c r="FC38" s="112"/>
      <c r="FD38" s="112"/>
      <c r="FE38" s="112"/>
      <c r="FF38" s="112"/>
      <c r="FG38" s="112"/>
      <c r="FH38" s="249"/>
      <c r="FI38" s="112">
        <f>109.308+181.639+50.614+11.676</f>
        <v>353.23699999999997</v>
      </c>
      <c r="FJ38" s="158">
        <f t="shared" si="104"/>
        <v>416.42349999999999</v>
      </c>
      <c r="FK38" s="112">
        <v>479.61</v>
      </c>
      <c r="FL38" s="112">
        <v>506.10500000000002</v>
      </c>
      <c r="FM38" s="112">
        <v>584.73699999999997</v>
      </c>
      <c r="FN38" s="49">
        <v>607.27</v>
      </c>
      <c r="FO38" s="49">
        <v>649.66</v>
      </c>
      <c r="FP38" s="49">
        <v>608.26300000000003</v>
      </c>
      <c r="FQ38" s="49">
        <v>688.05100000000004</v>
      </c>
      <c r="FR38" s="49">
        <v>714.85699999999997</v>
      </c>
      <c r="FS38" s="49">
        <v>780.43600000000004</v>
      </c>
      <c r="FT38" s="158">
        <f t="shared" si="105"/>
        <v>853.52350000000001</v>
      </c>
      <c r="FU38" s="49">
        <v>926.61099999999999</v>
      </c>
      <c r="FV38" s="158">
        <f t="shared" si="106"/>
        <v>1081.8530000000001</v>
      </c>
      <c r="FW38" s="49">
        <v>1237.095</v>
      </c>
      <c r="FX38" s="49">
        <v>1412.865</v>
      </c>
      <c r="FY38" s="49">
        <v>1596.96</v>
      </c>
      <c r="FZ38" s="49">
        <v>1596.96</v>
      </c>
      <c r="GA38" s="49">
        <v>1838.0530000000001</v>
      </c>
      <c r="GB38" s="49">
        <v>2012.5830000000001</v>
      </c>
      <c r="GC38" s="49">
        <v>1987.335</v>
      </c>
      <c r="GD38" s="49">
        <v>2022.0630000000001</v>
      </c>
      <c r="GE38" s="439">
        <v>2115.3879999999999</v>
      </c>
      <c r="GF38" s="248"/>
      <c r="GG38" s="112"/>
      <c r="GH38" s="112"/>
      <c r="GI38" s="112"/>
      <c r="GJ38" s="112"/>
      <c r="GK38" s="112"/>
      <c r="GL38" s="112"/>
      <c r="GM38" s="249"/>
      <c r="GN38" s="112">
        <f>286.178+6.078+0.415+65.182+18.935+38.3+10.365+92.034+32.424+11.45+20.688+48.226</f>
        <v>630.27500000000009</v>
      </c>
      <c r="GO38" s="158">
        <f t="shared" si="107"/>
        <v>672.33150000000001</v>
      </c>
      <c r="GP38" s="112">
        <v>714.38800000000003</v>
      </c>
      <c r="GQ38" s="112">
        <v>641.11599999999999</v>
      </c>
      <c r="GR38" s="112">
        <v>657.97</v>
      </c>
      <c r="GS38" s="49">
        <v>693.60400000000004</v>
      </c>
      <c r="GT38" s="49">
        <v>699.78700000000003</v>
      </c>
      <c r="GU38" s="49">
        <v>765.48400000000004</v>
      </c>
      <c r="GV38" s="49">
        <v>797.44799999999998</v>
      </c>
      <c r="GW38" s="49">
        <v>892.09400000000005</v>
      </c>
      <c r="GX38" s="49">
        <v>949.65300000000002</v>
      </c>
      <c r="GY38" s="158">
        <f t="shared" si="108"/>
        <v>1040.377</v>
      </c>
      <c r="GZ38" s="49">
        <v>1131.1010000000001</v>
      </c>
      <c r="HA38" s="158">
        <f t="shared" si="109"/>
        <v>1216.5305000000001</v>
      </c>
      <c r="HB38" s="49">
        <v>1301.96</v>
      </c>
      <c r="HC38" s="49">
        <v>1435.7819999999999</v>
      </c>
      <c r="HD38" s="49">
        <v>1621.374</v>
      </c>
      <c r="HE38" s="49">
        <v>1622.75</v>
      </c>
      <c r="HF38" s="49">
        <v>1840.655</v>
      </c>
      <c r="HG38" s="49">
        <v>1983.18</v>
      </c>
      <c r="HH38" s="49">
        <v>2095.83</v>
      </c>
      <c r="HI38" s="49">
        <v>1975.4290000000001</v>
      </c>
      <c r="HJ38" s="439">
        <v>2082.5479999999998</v>
      </c>
      <c r="HK38" s="248"/>
      <c r="HL38" s="112"/>
      <c r="HM38" s="112"/>
      <c r="HN38" s="112"/>
      <c r="HO38" s="112"/>
      <c r="HP38" s="112"/>
      <c r="HQ38" s="112"/>
      <c r="HR38" s="249"/>
      <c r="HS38" s="112">
        <f>54.657+26.981+13.814+38.998</f>
        <v>134.44999999999999</v>
      </c>
      <c r="HT38" s="158">
        <f t="shared" si="110"/>
        <v>141.88499999999999</v>
      </c>
      <c r="HU38" s="112">
        <v>149.32</v>
      </c>
      <c r="HV38" s="112">
        <v>141.9</v>
      </c>
      <c r="HW38" s="49">
        <v>142.70599999999999</v>
      </c>
      <c r="HX38" s="49">
        <v>156.864</v>
      </c>
      <c r="HY38" s="49">
        <v>176.97300000000001</v>
      </c>
      <c r="HZ38" s="49">
        <v>195.595</v>
      </c>
      <c r="IA38" s="49">
        <v>190.28200000000001</v>
      </c>
      <c r="IB38" s="49">
        <v>208.15</v>
      </c>
      <c r="IC38" s="49">
        <v>194.16900000000001</v>
      </c>
      <c r="ID38" s="158">
        <f t="shared" si="111"/>
        <v>218.822</v>
      </c>
      <c r="IE38" s="49">
        <v>243.47499999999999</v>
      </c>
      <c r="IF38" s="158">
        <f t="shared" si="112"/>
        <v>260.15199999999999</v>
      </c>
      <c r="IG38" s="49">
        <v>276.82900000000001</v>
      </c>
      <c r="IH38" s="49">
        <v>302.11799999999999</v>
      </c>
      <c r="II38" s="49">
        <v>390.36200000000002</v>
      </c>
      <c r="IJ38" s="49">
        <v>390.36200000000002</v>
      </c>
      <c r="IK38" s="49">
        <v>450.3</v>
      </c>
      <c r="IL38" s="49">
        <v>544.572</v>
      </c>
      <c r="IM38" s="49">
        <v>591.9</v>
      </c>
      <c r="IN38" s="49">
        <v>510.721</v>
      </c>
      <c r="IO38" s="439">
        <v>518.34699999999998</v>
      </c>
      <c r="IP38" s="248"/>
      <c r="IQ38" s="112"/>
      <c r="IR38" s="112"/>
      <c r="IS38" s="112"/>
      <c r="IT38" s="112"/>
      <c r="IU38" s="112"/>
      <c r="IV38" s="112"/>
      <c r="IW38" s="249"/>
      <c r="IX38" s="112">
        <f>173.311+72.781</f>
        <v>246.09200000000001</v>
      </c>
      <c r="IY38" s="158">
        <f t="shared" si="113"/>
        <v>228.262</v>
      </c>
      <c r="IZ38" s="112">
        <v>210.43199999999999</v>
      </c>
      <c r="JA38" s="112">
        <v>222.97800000000001</v>
      </c>
      <c r="JB38" s="48">
        <v>214.25</v>
      </c>
      <c r="JC38" s="48">
        <v>207.976</v>
      </c>
      <c r="JD38" s="48">
        <v>188.51400000000001</v>
      </c>
      <c r="JE38" s="48">
        <v>222.345</v>
      </c>
      <c r="JF38" s="74">
        <v>222.67099999999999</v>
      </c>
      <c r="JG38" s="74">
        <v>255.864</v>
      </c>
      <c r="JH38" s="74">
        <v>266.69</v>
      </c>
      <c r="JI38" s="158">
        <f t="shared" si="114"/>
        <v>259.15049999999997</v>
      </c>
      <c r="JJ38" s="74">
        <v>251.61099999999999</v>
      </c>
      <c r="JK38" s="158">
        <f t="shared" si="115"/>
        <v>254.1525</v>
      </c>
      <c r="JL38" s="74">
        <v>256.69400000000002</v>
      </c>
      <c r="JM38" s="74">
        <v>300.233</v>
      </c>
      <c r="JN38" s="74">
        <v>372.65499999999997</v>
      </c>
      <c r="JO38" s="49">
        <v>372.01</v>
      </c>
      <c r="JP38" s="49">
        <v>387.34</v>
      </c>
      <c r="JQ38" s="49">
        <v>417.29300000000001</v>
      </c>
      <c r="JR38" s="49">
        <v>446.803</v>
      </c>
      <c r="JS38" s="17">
        <v>539.99699999999996</v>
      </c>
      <c r="JT38" s="450">
        <v>464.26400000000001</v>
      </c>
    </row>
    <row r="39" spans="1:280" s="17" customFormat="1" ht="12.75" customHeight="1">
      <c r="A39" s="223" t="s">
        <v>137</v>
      </c>
      <c r="B39" s="283">
        <f>SUM(B41:B52)</f>
        <v>0</v>
      </c>
      <c r="C39" s="283">
        <f t="shared" ref="C39:BV39" si="116">SUM(C41:C52)</f>
        <v>0</v>
      </c>
      <c r="D39" s="283">
        <f t="shared" si="116"/>
        <v>0</v>
      </c>
      <c r="E39" s="283">
        <f t="shared" si="116"/>
        <v>0</v>
      </c>
      <c r="F39" s="283">
        <f t="shared" si="116"/>
        <v>0</v>
      </c>
      <c r="G39" s="283">
        <f t="shared" si="116"/>
        <v>0</v>
      </c>
      <c r="H39" s="283">
        <f t="shared" si="116"/>
        <v>0</v>
      </c>
      <c r="I39" s="283">
        <f t="shared" si="116"/>
        <v>0</v>
      </c>
      <c r="J39" s="283">
        <f t="shared" si="116"/>
        <v>184699.217</v>
      </c>
      <c r="K39" s="283">
        <f t="shared" si="116"/>
        <v>200062.49150000003</v>
      </c>
      <c r="L39" s="283">
        <f t="shared" si="116"/>
        <v>215425.76600000003</v>
      </c>
      <c r="M39" s="283">
        <f t="shared" si="116"/>
        <v>229127.23300000001</v>
      </c>
      <c r="N39" s="284">
        <f t="shared" si="116"/>
        <v>239799.68600000002</v>
      </c>
      <c r="O39" s="285">
        <f t="shared" si="116"/>
        <v>254694.94700000001</v>
      </c>
      <c r="P39" s="285">
        <f t="shared" si="116"/>
        <v>265778.29100000003</v>
      </c>
      <c r="Q39" s="285">
        <f t="shared" si="116"/>
        <v>278593.52200000006</v>
      </c>
      <c r="R39" s="285">
        <f t="shared" si="116"/>
        <v>293771.902</v>
      </c>
      <c r="S39" s="285">
        <f t="shared" si="116"/>
        <v>311666.19099999993</v>
      </c>
      <c r="T39" s="285">
        <f t="shared" si="116"/>
        <v>336480.16800000001</v>
      </c>
      <c r="U39" s="283">
        <f t="shared" si="116"/>
        <v>359275.5845</v>
      </c>
      <c r="V39" s="285">
        <f t="shared" si="116"/>
        <v>382071.00099999993</v>
      </c>
      <c r="W39" s="283">
        <f t="shared" si="116"/>
        <v>398721.97599999997</v>
      </c>
      <c r="X39" s="285">
        <f t="shared" si="116"/>
        <v>415372.951</v>
      </c>
      <c r="Y39" s="285">
        <f t="shared" si="116"/>
        <v>429938.82900000003</v>
      </c>
      <c r="Z39" s="285">
        <f t="shared" si="116"/>
        <v>451784.45300000004</v>
      </c>
      <c r="AA39" s="285">
        <f t="shared" si="116"/>
        <v>469221.283</v>
      </c>
      <c r="AB39" s="285">
        <f t="shared" si="116"/>
        <v>493171.08499999996</v>
      </c>
      <c r="AC39" s="285">
        <f t="shared" si="116"/>
        <v>511878.78200000006</v>
      </c>
      <c r="AD39" s="285">
        <f>SUM(AD41:AD52)</f>
        <v>523160.88500000001</v>
      </c>
      <c r="AE39" s="285">
        <f>SUM(AE41:AE52)</f>
        <v>531302.07700000005</v>
      </c>
      <c r="AF39" s="442">
        <f>SUM(AF41:AF52)</f>
        <v>531769.03</v>
      </c>
      <c r="AG39" s="286">
        <f t="shared" si="116"/>
        <v>0</v>
      </c>
      <c r="AH39" s="283">
        <f t="shared" si="116"/>
        <v>0</v>
      </c>
      <c r="AI39" s="283">
        <f t="shared" si="116"/>
        <v>0</v>
      </c>
      <c r="AJ39" s="283">
        <f t="shared" si="116"/>
        <v>0</v>
      </c>
      <c r="AK39" s="283">
        <f t="shared" si="116"/>
        <v>0</v>
      </c>
      <c r="AL39" s="283">
        <f t="shared" si="116"/>
        <v>0</v>
      </c>
      <c r="AM39" s="283">
        <f t="shared" si="116"/>
        <v>0</v>
      </c>
      <c r="AN39" s="283">
        <f t="shared" si="116"/>
        <v>0</v>
      </c>
      <c r="AO39" s="283">
        <f t="shared" si="116"/>
        <v>69924.776000000013</v>
      </c>
      <c r="AP39" s="283">
        <f t="shared" si="116"/>
        <v>74957.042499999996</v>
      </c>
      <c r="AQ39" s="275">
        <f t="shared" si="116"/>
        <v>79989.308999999994</v>
      </c>
      <c r="AR39" s="285">
        <f t="shared" si="116"/>
        <v>84604.99099999998</v>
      </c>
      <c r="AS39" s="285">
        <f t="shared" si="116"/>
        <v>87632.052999999985</v>
      </c>
      <c r="AT39" s="285">
        <f t="shared" si="116"/>
        <v>94095.955000000016</v>
      </c>
      <c r="AU39" s="285">
        <f t="shared" si="116"/>
        <v>99776.373999999996</v>
      </c>
      <c r="AV39" s="285">
        <f t="shared" si="116"/>
        <v>104118.84499999999</v>
      </c>
      <c r="AW39" s="285">
        <f t="shared" si="116"/>
        <v>111988.33500000001</v>
      </c>
      <c r="AX39" s="285">
        <f t="shared" si="116"/>
        <v>119306.20000000001</v>
      </c>
      <c r="AY39" s="285">
        <f t="shared" si="116"/>
        <v>126829.25099999999</v>
      </c>
      <c r="AZ39" s="283">
        <f t="shared" si="116"/>
        <v>133789.64349999998</v>
      </c>
      <c r="BA39" s="285">
        <f t="shared" si="116"/>
        <v>140750.03599999999</v>
      </c>
      <c r="BB39" s="283">
        <f t="shared" si="116"/>
        <v>147744.31399999998</v>
      </c>
      <c r="BC39" s="285">
        <f t="shared" si="116"/>
        <v>154738.59199999998</v>
      </c>
      <c r="BD39" s="285">
        <f t="shared" si="116"/>
        <v>158859.19199999998</v>
      </c>
      <c r="BE39" s="285">
        <f t="shared" si="116"/>
        <v>166655.913</v>
      </c>
      <c r="BF39" s="285">
        <f t="shared" si="116"/>
        <v>172125.49399999998</v>
      </c>
      <c r="BG39" s="285">
        <f t="shared" si="116"/>
        <v>179879.141</v>
      </c>
      <c r="BH39" s="285">
        <f t="shared" si="116"/>
        <v>187297.18300000002</v>
      </c>
      <c r="BI39" s="285">
        <f t="shared" si="116"/>
        <v>190725.15700000004</v>
      </c>
      <c r="BJ39" s="285">
        <f t="shared" si="116"/>
        <v>190773.55299999999</v>
      </c>
      <c r="BK39" s="442">
        <f t="shared" si="116"/>
        <v>192122.69200000004</v>
      </c>
      <c r="BL39" s="287">
        <f t="shared" si="116"/>
        <v>0</v>
      </c>
      <c r="BM39" s="288">
        <f t="shared" si="116"/>
        <v>0</v>
      </c>
      <c r="BN39" s="288">
        <f t="shared" si="116"/>
        <v>0</v>
      </c>
      <c r="BO39" s="288">
        <f t="shared" si="116"/>
        <v>0</v>
      </c>
      <c r="BP39" s="288">
        <f t="shared" si="116"/>
        <v>0</v>
      </c>
      <c r="BQ39" s="288">
        <f t="shared" si="116"/>
        <v>0</v>
      </c>
      <c r="BR39" s="288">
        <f t="shared" si="116"/>
        <v>0</v>
      </c>
      <c r="BS39" s="288">
        <f t="shared" si="116"/>
        <v>0</v>
      </c>
      <c r="BT39" s="288">
        <f t="shared" si="116"/>
        <v>46885.724999999999</v>
      </c>
      <c r="BU39" s="283">
        <f t="shared" si="116"/>
        <v>50411.719000000005</v>
      </c>
      <c r="BV39" s="288">
        <f t="shared" si="116"/>
        <v>53937.712999999996</v>
      </c>
      <c r="BW39" s="285">
        <f t="shared" ref="BW39:EP39" si="117">SUM(BW41:BW52)</f>
        <v>57571.373999999996</v>
      </c>
      <c r="BX39" s="285">
        <f t="shared" si="117"/>
        <v>59156.160999999993</v>
      </c>
      <c r="BY39" s="285">
        <f t="shared" si="117"/>
        <v>63777.469000000005</v>
      </c>
      <c r="BZ39" s="285">
        <f t="shared" si="117"/>
        <v>67647.640999999989</v>
      </c>
      <c r="CA39" s="285">
        <f t="shared" si="117"/>
        <v>70217.921999999991</v>
      </c>
      <c r="CB39" s="285">
        <f t="shared" si="117"/>
        <v>75927.308000000005</v>
      </c>
      <c r="CC39" s="285">
        <f t="shared" si="117"/>
        <v>80670.224999999991</v>
      </c>
      <c r="CD39" s="285">
        <f t="shared" si="117"/>
        <v>85213.72100000002</v>
      </c>
      <c r="CE39" s="283">
        <f t="shared" si="117"/>
        <v>89336.192500000005</v>
      </c>
      <c r="CF39" s="285">
        <f t="shared" si="117"/>
        <v>93458.664000000004</v>
      </c>
      <c r="CG39" s="283">
        <f t="shared" si="117"/>
        <v>97971.148000000001</v>
      </c>
      <c r="CH39" s="285">
        <f t="shared" si="117"/>
        <v>102483.63200000001</v>
      </c>
      <c r="CI39" s="285">
        <f t="shared" si="117"/>
        <v>105044.72800000002</v>
      </c>
      <c r="CJ39" s="285">
        <f t="shared" si="117"/>
        <v>109539.82200000001</v>
      </c>
      <c r="CK39" s="285">
        <f t="shared" si="117"/>
        <v>113252.78800000002</v>
      </c>
      <c r="CL39" s="285">
        <f t="shared" si="117"/>
        <v>116442.121</v>
      </c>
      <c r="CM39" s="285">
        <f t="shared" si="117"/>
        <v>122128.63600000001</v>
      </c>
      <c r="CN39" s="285">
        <f t="shared" si="117"/>
        <v>121880.07100000001</v>
      </c>
      <c r="CO39" s="285">
        <f t="shared" si="117"/>
        <v>121264.49900000001</v>
      </c>
      <c r="CP39" s="442">
        <f t="shared" si="117"/>
        <v>121221.23200000002</v>
      </c>
      <c r="CQ39" s="287">
        <f t="shared" si="117"/>
        <v>0</v>
      </c>
      <c r="CR39" s="288">
        <f t="shared" si="117"/>
        <v>0</v>
      </c>
      <c r="CS39" s="288">
        <f t="shared" si="117"/>
        <v>0</v>
      </c>
      <c r="CT39" s="288">
        <f t="shared" si="117"/>
        <v>0</v>
      </c>
      <c r="CU39" s="288">
        <f t="shared" si="117"/>
        <v>0</v>
      </c>
      <c r="CV39" s="288">
        <f t="shared" si="117"/>
        <v>0</v>
      </c>
      <c r="CW39" s="288">
        <f t="shared" si="117"/>
        <v>0</v>
      </c>
      <c r="CX39" s="288">
        <f t="shared" si="117"/>
        <v>0</v>
      </c>
      <c r="CY39" s="288">
        <f t="shared" si="117"/>
        <v>19128.580000000002</v>
      </c>
      <c r="CZ39" s="283">
        <f t="shared" si="117"/>
        <v>20483.089500000006</v>
      </c>
      <c r="DA39" s="288">
        <f t="shared" si="117"/>
        <v>21837.599000000002</v>
      </c>
      <c r="DB39" s="285">
        <f t="shared" si="117"/>
        <v>22510.498999999996</v>
      </c>
      <c r="DC39" s="285">
        <f t="shared" si="117"/>
        <v>23610.075999999997</v>
      </c>
      <c r="DD39" s="285">
        <f t="shared" si="117"/>
        <v>24963.334999999999</v>
      </c>
      <c r="DE39" s="285">
        <f t="shared" si="117"/>
        <v>26331.727999999996</v>
      </c>
      <c r="DF39" s="285">
        <f t="shared" si="117"/>
        <v>27719.262999999999</v>
      </c>
      <c r="DG39" s="285">
        <f t="shared" si="117"/>
        <v>29408.895</v>
      </c>
      <c r="DH39" s="285">
        <f t="shared" si="117"/>
        <v>31708.333999999992</v>
      </c>
      <c r="DI39" s="285">
        <f t="shared" si="117"/>
        <v>34263.468999999997</v>
      </c>
      <c r="DJ39" s="283">
        <f t="shared" si="117"/>
        <v>36489.292499999996</v>
      </c>
      <c r="DK39" s="285">
        <f t="shared" si="117"/>
        <v>38715.116000000002</v>
      </c>
      <c r="DL39" s="283">
        <f t="shared" si="117"/>
        <v>40767.667999999998</v>
      </c>
      <c r="DM39" s="285">
        <f t="shared" si="117"/>
        <v>42820.219999999994</v>
      </c>
      <c r="DN39" s="285">
        <f t="shared" si="117"/>
        <v>44026.993999999999</v>
      </c>
      <c r="DO39" s="285">
        <f t="shared" si="117"/>
        <v>46799.902999999998</v>
      </c>
      <c r="DP39" s="285">
        <f t="shared" si="117"/>
        <v>47899.281000000003</v>
      </c>
      <c r="DQ39" s="285">
        <f t="shared" si="117"/>
        <v>51892.966999999997</v>
      </c>
      <c r="DR39" s="285">
        <f t="shared" si="117"/>
        <v>53393.831000000006</v>
      </c>
      <c r="DS39" s="285">
        <f t="shared" si="117"/>
        <v>55474.292999999998</v>
      </c>
      <c r="DT39" s="285">
        <f t="shared" si="117"/>
        <v>56647.193000000007</v>
      </c>
      <c r="DU39" s="442">
        <f t="shared" si="117"/>
        <v>59249.341999999997</v>
      </c>
      <c r="DV39" s="287">
        <f t="shared" si="117"/>
        <v>0</v>
      </c>
      <c r="DW39" s="288">
        <f t="shared" si="117"/>
        <v>0</v>
      </c>
      <c r="DX39" s="288">
        <f t="shared" si="117"/>
        <v>0</v>
      </c>
      <c r="DY39" s="288">
        <f t="shared" si="117"/>
        <v>0</v>
      </c>
      <c r="DZ39" s="288">
        <f t="shared" si="117"/>
        <v>0</v>
      </c>
      <c r="EA39" s="288">
        <f t="shared" si="117"/>
        <v>0</v>
      </c>
      <c r="EB39" s="288">
        <f t="shared" si="117"/>
        <v>0</v>
      </c>
      <c r="EC39" s="288">
        <f t="shared" si="117"/>
        <v>0</v>
      </c>
      <c r="ED39" s="285">
        <f t="shared" si="117"/>
        <v>3910.4710000000005</v>
      </c>
      <c r="EE39" s="285">
        <f t="shared" si="117"/>
        <v>4062.2340000000017</v>
      </c>
      <c r="EF39" s="285">
        <f t="shared" si="117"/>
        <v>4213.9970000000012</v>
      </c>
      <c r="EG39" s="285">
        <f t="shared" si="117"/>
        <v>4523.1180000000031</v>
      </c>
      <c r="EH39" s="285">
        <f t="shared" si="117"/>
        <v>4865.8160000000007</v>
      </c>
      <c r="EI39" s="285">
        <f t="shared" si="117"/>
        <v>5355.1509999999989</v>
      </c>
      <c r="EJ39" s="285">
        <f t="shared" si="117"/>
        <v>5797.0049999999965</v>
      </c>
      <c r="EK39" s="285">
        <f t="shared" si="117"/>
        <v>6181.6599999999944</v>
      </c>
      <c r="EL39" s="285">
        <f t="shared" si="117"/>
        <v>6652.1319999999978</v>
      </c>
      <c r="EM39" s="285">
        <f t="shared" si="117"/>
        <v>6927.6409999999996</v>
      </c>
      <c r="EN39" s="285">
        <f t="shared" si="117"/>
        <v>7352.0609999999979</v>
      </c>
      <c r="EO39" s="285">
        <f t="shared" si="117"/>
        <v>7964.158500000005</v>
      </c>
      <c r="EP39" s="285">
        <f t="shared" si="117"/>
        <v>8576.2559999999976</v>
      </c>
      <c r="EQ39" s="285">
        <f t="shared" ref="EQ39:HN39" si="118">SUM(EQ41:EQ52)</f>
        <v>9005.4980000000014</v>
      </c>
      <c r="ER39" s="285">
        <f t="shared" si="118"/>
        <v>9434.7400000000052</v>
      </c>
      <c r="ES39" s="285">
        <f t="shared" si="118"/>
        <v>9787.4700000000012</v>
      </c>
      <c r="ET39" s="285">
        <f t="shared" si="118"/>
        <v>10316.188000000004</v>
      </c>
      <c r="EU39" s="285">
        <f t="shared" si="118"/>
        <v>10973.425000000001</v>
      </c>
      <c r="EV39" s="285">
        <f t="shared" si="118"/>
        <v>11544.053</v>
      </c>
      <c r="EW39" s="285">
        <f t="shared" ref="EW39:EY39" si="119">SUM(EW41:EW52)</f>
        <v>11774.716000000002</v>
      </c>
      <c r="EX39" s="285">
        <f t="shared" si="119"/>
        <v>13370.792999999998</v>
      </c>
      <c r="EY39" s="285">
        <f t="shared" si="119"/>
        <v>12861.860999999995</v>
      </c>
      <c r="EZ39" s="285">
        <f t="shared" ref="EZ39" si="120">SUM(EZ41:EZ52)</f>
        <v>11652.118000000002</v>
      </c>
      <c r="FA39" s="289">
        <f t="shared" si="118"/>
        <v>0</v>
      </c>
      <c r="FB39" s="288">
        <f t="shared" si="118"/>
        <v>0</v>
      </c>
      <c r="FC39" s="288">
        <f t="shared" si="118"/>
        <v>0</v>
      </c>
      <c r="FD39" s="288">
        <f t="shared" si="118"/>
        <v>0</v>
      </c>
      <c r="FE39" s="288">
        <f t="shared" si="118"/>
        <v>0</v>
      </c>
      <c r="FF39" s="288">
        <f t="shared" si="118"/>
        <v>0</v>
      </c>
      <c r="FG39" s="288">
        <f t="shared" si="118"/>
        <v>0</v>
      </c>
      <c r="FH39" s="288">
        <f t="shared" si="118"/>
        <v>0</v>
      </c>
      <c r="FI39" s="288">
        <f t="shared" si="118"/>
        <v>42906.879000000001</v>
      </c>
      <c r="FJ39" s="283">
        <f t="shared" si="118"/>
        <v>48452.688000000002</v>
      </c>
      <c r="FK39" s="288">
        <f t="shared" si="118"/>
        <v>53998.497000000003</v>
      </c>
      <c r="FL39" s="285">
        <f t="shared" si="118"/>
        <v>58445.962</v>
      </c>
      <c r="FM39" s="285">
        <f t="shared" si="118"/>
        <v>63288.937999999995</v>
      </c>
      <c r="FN39" s="285">
        <f t="shared" si="118"/>
        <v>65022.981999999996</v>
      </c>
      <c r="FO39" s="285">
        <f t="shared" si="118"/>
        <v>66330.607000000004</v>
      </c>
      <c r="FP39" s="285">
        <f t="shared" si="118"/>
        <v>68179.968000000008</v>
      </c>
      <c r="FQ39" s="285">
        <f t="shared" si="118"/>
        <v>68979.911999999997</v>
      </c>
      <c r="FR39" s="285">
        <f t="shared" si="118"/>
        <v>72277.516000000003</v>
      </c>
      <c r="FS39" s="285">
        <f t="shared" si="118"/>
        <v>78117.79800000001</v>
      </c>
      <c r="FT39" s="283">
        <f t="shared" si="118"/>
        <v>86180.380500000014</v>
      </c>
      <c r="FU39" s="285">
        <f t="shared" si="118"/>
        <v>94242.963000000003</v>
      </c>
      <c r="FV39" s="283">
        <f t="shared" si="118"/>
        <v>100661.795</v>
      </c>
      <c r="FW39" s="285">
        <f t="shared" si="118"/>
        <v>107080.62699999999</v>
      </c>
      <c r="FX39" s="285">
        <f t="shared" si="118"/>
        <v>113940.72199999998</v>
      </c>
      <c r="FY39" s="285">
        <f t="shared" si="118"/>
        <v>117024.77799999999</v>
      </c>
      <c r="FZ39" s="285">
        <f t="shared" si="118"/>
        <v>121883.22400000002</v>
      </c>
      <c r="GA39" s="285">
        <f t="shared" si="118"/>
        <v>129393.622</v>
      </c>
      <c r="GB39" s="285">
        <f t="shared" si="118"/>
        <v>136359.91899999999</v>
      </c>
      <c r="GC39" s="285">
        <f t="shared" si="118"/>
        <v>142059.50899999999</v>
      </c>
      <c r="GD39" s="285">
        <f t="shared" si="118"/>
        <v>147706.21099999998</v>
      </c>
      <c r="GE39" s="442">
        <f t="shared" si="118"/>
        <v>149716.10700000002</v>
      </c>
      <c r="GF39" s="287">
        <f t="shared" si="118"/>
        <v>0</v>
      </c>
      <c r="GG39" s="288">
        <f t="shared" si="118"/>
        <v>0</v>
      </c>
      <c r="GH39" s="288">
        <f t="shared" si="118"/>
        <v>0</v>
      </c>
      <c r="GI39" s="288">
        <f t="shared" si="118"/>
        <v>0</v>
      </c>
      <c r="GJ39" s="288">
        <f t="shared" si="118"/>
        <v>0</v>
      </c>
      <c r="GK39" s="288">
        <f t="shared" si="118"/>
        <v>0</v>
      </c>
      <c r="GL39" s="288">
        <f t="shared" si="118"/>
        <v>0</v>
      </c>
      <c r="GM39" s="288">
        <f t="shared" si="118"/>
        <v>0</v>
      </c>
      <c r="GN39" s="288">
        <f t="shared" si="118"/>
        <v>44682.546000000002</v>
      </c>
      <c r="GO39" s="283">
        <f t="shared" si="118"/>
        <v>47816.692999999999</v>
      </c>
      <c r="GP39" s="288">
        <f t="shared" si="118"/>
        <v>50950.840000000004</v>
      </c>
      <c r="GQ39" s="285">
        <f t="shared" si="118"/>
        <v>53994.805999999997</v>
      </c>
      <c r="GR39" s="285">
        <f t="shared" si="118"/>
        <v>55985.641000000003</v>
      </c>
      <c r="GS39" s="285">
        <f t="shared" si="118"/>
        <v>60715.945999999996</v>
      </c>
      <c r="GT39" s="285">
        <f t="shared" si="118"/>
        <v>63114.813999999998</v>
      </c>
      <c r="GU39" s="285">
        <f t="shared" si="118"/>
        <v>67019.019</v>
      </c>
      <c r="GV39" s="285">
        <f t="shared" si="118"/>
        <v>71730.880000000005</v>
      </c>
      <c r="GW39" s="285">
        <f t="shared" si="118"/>
        <v>75697.552999999985</v>
      </c>
      <c r="GX39" s="285">
        <f t="shared" si="118"/>
        <v>82136.884000000005</v>
      </c>
      <c r="GY39" s="283">
        <f t="shared" si="118"/>
        <v>87115.209499999983</v>
      </c>
      <c r="GZ39" s="285">
        <f t="shared" si="118"/>
        <v>92093.535000000018</v>
      </c>
      <c r="HA39" s="283">
        <f t="shared" si="118"/>
        <v>93858.256500000018</v>
      </c>
      <c r="HB39" s="285">
        <f t="shared" si="118"/>
        <v>95622.977999999988</v>
      </c>
      <c r="HC39" s="285">
        <f t="shared" si="118"/>
        <v>98461.936999999991</v>
      </c>
      <c r="HD39" s="285">
        <f t="shared" si="118"/>
        <v>103985.61299999998</v>
      </c>
      <c r="HE39" s="285">
        <f t="shared" si="118"/>
        <v>108150.36500000002</v>
      </c>
      <c r="HF39" s="285">
        <f t="shared" si="118"/>
        <v>114379.899</v>
      </c>
      <c r="HG39" s="285">
        <f t="shared" si="118"/>
        <v>117285.36199999999</v>
      </c>
      <c r="HH39" s="285">
        <f t="shared" si="118"/>
        <v>119425.667</v>
      </c>
      <c r="HI39" s="285">
        <f t="shared" si="118"/>
        <v>120364.674</v>
      </c>
      <c r="HJ39" s="442">
        <f t="shared" si="118"/>
        <v>119952.68299999999</v>
      </c>
      <c r="HK39" s="287">
        <f t="shared" si="118"/>
        <v>0</v>
      </c>
      <c r="HL39" s="288">
        <f t="shared" si="118"/>
        <v>0</v>
      </c>
      <c r="HM39" s="288">
        <f t="shared" si="118"/>
        <v>0</v>
      </c>
      <c r="HN39" s="288">
        <f t="shared" si="118"/>
        <v>0</v>
      </c>
      <c r="HO39" s="288">
        <f t="shared" ref="HO39:JR39" si="121">SUM(HO41:HO52)</f>
        <v>0</v>
      </c>
      <c r="HP39" s="288">
        <f t="shared" si="121"/>
        <v>0</v>
      </c>
      <c r="HQ39" s="288">
        <f t="shared" si="121"/>
        <v>0</v>
      </c>
      <c r="HR39" s="288">
        <f t="shared" si="121"/>
        <v>0</v>
      </c>
      <c r="HS39" s="288">
        <f t="shared" si="121"/>
        <v>9723.5829999999987</v>
      </c>
      <c r="HT39" s="283">
        <f t="shared" si="121"/>
        <v>10341.7875</v>
      </c>
      <c r="HU39" s="288">
        <f t="shared" si="121"/>
        <v>10959.991999999998</v>
      </c>
      <c r="HV39" s="285">
        <f t="shared" si="121"/>
        <v>11547.670000000002</v>
      </c>
      <c r="HW39" s="285">
        <f t="shared" si="121"/>
        <v>12102.734</v>
      </c>
      <c r="HX39" s="285">
        <f t="shared" si="121"/>
        <v>13055.091000000002</v>
      </c>
      <c r="HY39" s="285">
        <f t="shared" si="121"/>
        <v>13846.812999999998</v>
      </c>
      <c r="HZ39" s="285">
        <f t="shared" si="121"/>
        <v>14783.516000000001</v>
      </c>
      <c r="IA39" s="285">
        <f t="shared" si="121"/>
        <v>15311.732999999998</v>
      </c>
      <c r="IB39" s="285">
        <f t="shared" si="121"/>
        <v>16581.781999999999</v>
      </c>
      <c r="IC39" s="285">
        <f t="shared" si="121"/>
        <v>18200.673999999999</v>
      </c>
      <c r="ID39" s="283">
        <f t="shared" si="121"/>
        <v>19479.392500000002</v>
      </c>
      <c r="IE39" s="285">
        <f t="shared" si="121"/>
        <v>20758.111000000001</v>
      </c>
      <c r="IF39" s="283">
        <f t="shared" si="121"/>
        <v>20972.749000000003</v>
      </c>
      <c r="IG39" s="285">
        <f t="shared" si="121"/>
        <v>21187.386999999999</v>
      </c>
      <c r="IH39" s="285">
        <f t="shared" si="121"/>
        <v>21578.652999999998</v>
      </c>
      <c r="II39" s="285">
        <f t="shared" si="121"/>
        <v>22345.871999999999</v>
      </c>
      <c r="IJ39" s="285">
        <f t="shared" si="121"/>
        <v>22557.925999999999</v>
      </c>
      <c r="IK39" s="285">
        <f t="shared" si="121"/>
        <v>23203.328000000001</v>
      </c>
      <c r="IL39" s="285">
        <f t="shared" si="121"/>
        <v>23191.825000000004</v>
      </c>
      <c r="IM39" s="285">
        <f t="shared" si="121"/>
        <v>23375.598999999998</v>
      </c>
      <c r="IN39" s="285">
        <f t="shared" si="121"/>
        <v>23595.902999999998</v>
      </c>
      <c r="IO39" s="442">
        <f t="shared" si="121"/>
        <v>23329.1</v>
      </c>
      <c r="IP39" s="287">
        <f t="shared" si="121"/>
        <v>0</v>
      </c>
      <c r="IQ39" s="288">
        <f t="shared" si="121"/>
        <v>0</v>
      </c>
      <c r="IR39" s="288">
        <f t="shared" si="121"/>
        <v>0</v>
      </c>
      <c r="IS39" s="288">
        <f t="shared" si="121"/>
        <v>0</v>
      </c>
      <c r="IT39" s="288">
        <f t="shared" si="121"/>
        <v>0</v>
      </c>
      <c r="IU39" s="288">
        <f t="shared" si="121"/>
        <v>0</v>
      </c>
      <c r="IV39" s="288">
        <f t="shared" si="121"/>
        <v>0</v>
      </c>
      <c r="IW39" s="288">
        <f t="shared" si="121"/>
        <v>0</v>
      </c>
      <c r="IX39" s="288">
        <f t="shared" si="121"/>
        <v>17461.260000000002</v>
      </c>
      <c r="IY39" s="283">
        <f t="shared" si="121"/>
        <v>18494.193999999996</v>
      </c>
      <c r="IZ39" s="288">
        <f t="shared" si="121"/>
        <v>19527.127999999997</v>
      </c>
      <c r="JA39" s="285">
        <f t="shared" si="121"/>
        <v>20533.804000000004</v>
      </c>
      <c r="JB39" s="290">
        <f t="shared" si="121"/>
        <v>20790.32</v>
      </c>
      <c r="JC39" s="290">
        <f t="shared" si="121"/>
        <v>21804.972999999998</v>
      </c>
      <c r="JD39" s="290">
        <f t="shared" si="121"/>
        <v>22709.683000000001</v>
      </c>
      <c r="JE39" s="290">
        <f t="shared" si="121"/>
        <v>24492.173999999999</v>
      </c>
      <c r="JF39" s="283">
        <f t="shared" si="121"/>
        <v>25761.041999999998</v>
      </c>
      <c r="JG39" s="283">
        <f t="shared" si="121"/>
        <v>27803.14</v>
      </c>
      <c r="JH39" s="283">
        <f t="shared" si="121"/>
        <v>31195.560999999998</v>
      </c>
      <c r="JI39" s="283">
        <f t="shared" si="121"/>
        <v>32710.958499999997</v>
      </c>
      <c r="JJ39" s="283">
        <f t="shared" si="121"/>
        <v>34226.355999999992</v>
      </c>
      <c r="JK39" s="283">
        <f t="shared" si="121"/>
        <v>35484.861499999999</v>
      </c>
      <c r="JL39" s="283">
        <f t="shared" si="121"/>
        <v>36743.366999999998</v>
      </c>
      <c r="JM39" s="283">
        <f t="shared" si="121"/>
        <v>37098.324999999997</v>
      </c>
      <c r="JN39" s="283">
        <f t="shared" si="121"/>
        <v>41772.276999999995</v>
      </c>
      <c r="JO39" s="285">
        <f t="shared" si="121"/>
        <v>44504.274000000005</v>
      </c>
      <c r="JP39" s="285">
        <f t="shared" si="121"/>
        <v>46315.095000000001</v>
      </c>
      <c r="JQ39" s="285">
        <f t="shared" si="121"/>
        <v>47744.491999999998</v>
      </c>
      <c r="JR39" s="285">
        <f t="shared" si="121"/>
        <v>47574.950000000004</v>
      </c>
      <c r="JS39" s="416">
        <f>SUM(JS41:JS52)</f>
        <v>48861.735999999997</v>
      </c>
      <c r="JT39" s="452">
        <f>SUM(JT41:JT52)</f>
        <v>46648.448000000004</v>
      </c>
    </row>
    <row r="40" spans="1:280" s="17" customFormat="1" ht="12.75" customHeight="1">
      <c r="A40" s="223" t="s">
        <v>135</v>
      </c>
      <c r="B40" s="26"/>
      <c r="C40" s="26"/>
      <c r="D40" s="26"/>
      <c r="E40" s="26"/>
      <c r="F40" s="26"/>
      <c r="G40" s="26"/>
      <c r="H40" s="26"/>
      <c r="I40" s="26"/>
      <c r="J40" s="26"/>
      <c r="K40" s="233"/>
      <c r="L40" s="26"/>
      <c r="M40" s="26"/>
      <c r="N40" s="234"/>
      <c r="O40" s="33"/>
      <c r="P40" s="33"/>
      <c r="Q40" s="33"/>
      <c r="R40" s="33"/>
      <c r="S40" s="33"/>
      <c r="T40" s="33"/>
      <c r="U40" s="233"/>
      <c r="V40" s="33"/>
      <c r="W40" s="233"/>
      <c r="X40" s="33"/>
      <c r="Y40" s="33"/>
      <c r="Z40" s="33"/>
      <c r="AA40" s="33"/>
      <c r="AB40" s="33"/>
      <c r="AC40" s="33"/>
      <c r="AD40" s="33"/>
      <c r="AE40" s="33"/>
      <c r="AF40" s="440"/>
      <c r="AG40" s="226"/>
      <c r="AH40" s="26"/>
      <c r="AI40" s="26"/>
      <c r="AJ40" s="26"/>
      <c r="AK40" s="26"/>
      <c r="AL40" s="26"/>
      <c r="AM40" s="26"/>
      <c r="AN40" s="26"/>
      <c r="AO40" s="26"/>
      <c r="AP40" s="233"/>
      <c r="AQ40" s="77"/>
      <c r="AR40" s="33"/>
      <c r="AS40" s="33"/>
      <c r="AT40" s="33"/>
      <c r="AU40" s="33"/>
      <c r="AV40" s="33"/>
      <c r="AW40" s="33"/>
      <c r="AX40" s="33"/>
      <c r="AY40" s="33"/>
      <c r="AZ40" s="233"/>
      <c r="BA40" s="33"/>
      <c r="BB40" s="233"/>
      <c r="BC40" s="33"/>
      <c r="BD40" s="33"/>
      <c r="BE40" s="33"/>
      <c r="BF40" s="33"/>
      <c r="BG40" s="33"/>
      <c r="BH40" s="33"/>
      <c r="BI40" s="33"/>
      <c r="BJ40" s="33"/>
      <c r="BK40" s="440"/>
      <c r="BL40" s="46"/>
      <c r="BM40" s="217"/>
      <c r="BN40" s="217"/>
      <c r="BO40" s="217"/>
      <c r="BP40" s="217"/>
      <c r="BQ40" s="217"/>
      <c r="BR40" s="217"/>
      <c r="BS40" s="217"/>
      <c r="BT40" s="217"/>
      <c r="BU40" s="233"/>
      <c r="BV40" s="217"/>
      <c r="BW40" s="33"/>
      <c r="BX40" s="33"/>
      <c r="BY40" s="33"/>
      <c r="BZ40" s="33"/>
      <c r="CA40" s="33"/>
      <c r="CB40" s="33"/>
      <c r="CC40" s="33"/>
      <c r="CD40" s="33"/>
      <c r="CE40" s="233"/>
      <c r="CF40" s="33"/>
      <c r="CG40" s="233"/>
      <c r="CH40" s="33"/>
      <c r="CI40" s="33"/>
      <c r="CJ40" s="33"/>
      <c r="CK40" s="33"/>
      <c r="CL40" s="33"/>
      <c r="CM40" s="33"/>
      <c r="CN40" s="33"/>
      <c r="CO40" s="33"/>
      <c r="CP40" s="440"/>
      <c r="CQ40" s="46"/>
      <c r="CR40" s="217"/>
      <c r="CS40" s="217"/>
      <c r="CT40" s="217"/>
      <c r="CU40" s="217"/>
      <c r="CV40" s="217"/>
      <c r="CW40" s="217"/>
      <c r="CX40" s="217"/>
      <c r="CY40" s="217"/>
      <c r="CZ40" s="233"/>
      <c r="DA40" s="217"/>
      <c r="DB40" s="33"/>
      <c r="DC40" s="33"/>
      <c r="DD40" s="33"/>
      <c r="DE40" s="33"/>
      <c r="DF40" s="33"/>
      <c r="DG40" s="33"/>
      <c r="DH40" s="33"/>
      <c r="DI40" s="33"/>
      <c r="DJ40" s="233"/>
      <c r="DK40" s="33"/>
      <c r="DL40" s="233"/>
      <c r="DM40" s="33"/>
      <c r="DN40" s="33"/>
      <c r="DO40" s="33"/>
      <c r="DP40" s="33"/>
      <c r="DQ40" s="33"/>
      <c r="DR40" s="33"/>
      <c r="DS40" s="33"/>
      <c r="DT40" s="33"/>
      <c r="DU40" s="440"/>
      <c r="DV40" s="46"/>
      <c r="DW40" s="217"/>
      <c r="DX40" s="217"/>
      <c r="DY40" s="217"/>
      <c r="DZ40" s="217"/>
      <c r="EA40" s="217"/>
      <c r="EB40" s="217"/>
      <c r="EC40" s="217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177"/>
      <c r="FB40" s="217"/>
      <c r="FC40" s="217"/>
      <c r="FD40" s="217"/>
      <c r="FE40" s="217"/>
      <c r="FF40" s="217"/>
      <c r="FG40" s="217"/>
      <c r="FH40" s="217"/>
      <c r="FI40" s="217"/>
      <c r="FJ40" s="233"/>
      <c r="FK40" s="217"/>
      <c r="FL40" s="33"/>
      <c r="FM40" s="33"/>
      <c r="FN40" s="33"/>
      <c r="FO40" s="33"/>
      <c r="FP40" s="33"/>
      <c r="FQ40" s="33"/>
      <c r="FR40" s="33"/>
      <c r="FS40" s="33"/>
      <c r="FT40" s="233"/>
      <c r="FU40" s="33"/>
      <c r="FV40" s="233"/>
      <c r="FW40" s="33"/>
      <c r="FX40" s="33"/>
      <c r="FY40" s="33"/>
      <c r="FZ40" s="33"/>
      <c r="GA40" s="33"/>
      <c r="GB40" s="33"/>
      <c r="GC40" s="33"/>
      <c r="GD40" s="33"/>
      <c r="GE40" s="440"/>
      <c r="GF40" s="46"/>
      <c r="GG40" s="217"/>
      <c r="GH40" s="217"/>
      <c r="GI40" s="217"/>
      <c r="GJ40" s="217"/>
      <c r="GK40" s="217"/>
      <c r="GL40" s="217"/>
      <c r="GM40" s="217"/>
      <c r="GN40" s="217"/>
      <c r="GO40" s="233"/>
      <c r="GP40" s="217"/>
      <c r="GQ40" s="33"/>
      <c r="GR40" s="33"/>
      <c r="GS40" s="33"/>
      <c r="GT40" s="33"/>
      <c r="GU40" s="33"/>
      <c r="GV40" s="33"/>
      <c r="GW40" s="33"/>
      <c r="GX40" s="33"/>
      <c r="GY40" s="233"/>
      <c r="GZ40" s="33"/>
      <c r="HA40" s="233"/>
      <c r="HB40" s="33"/>
      <c r="HC40" s="33"/>
      <c r="HD40" s="33"/>
      <c r="HE40" s="33"/>
      <c r="HF40" s="33"/>
      <c r="HG40" s="33"/>
      <c r="HH40" s="33"/>
      <c r="HI40" s="33"/>
      <c r="HJ40" s="440"/>
      <c r="HK40" s="46"/>
      <c r="HL40" s="217"/>
      <c r="HM40" s="217"/>
      <c r="HN40" s="217"/>
      <c r="HO40" s="217"/>
      <c r="HP40" s="217"/>
      <c r="HQ40" s="217"/>
      <c r="HR40" s="217"/>
      <c r="HS40" s="217"/>
      <c r="HT40" s="233"/>
      <c r="HU40" s="217"/>
      <c r="HV40" s="33"/>
      <c r="HW40" s="33"/>
      <c r="HX40" s="33"/>
      <c r="HY40" s="33"/>
      <c r="HZ40" s="33"/>
      <c r="IA40" s="33"/>
      <c r="IB40" s="33"/>
      <c r="IC40" s="33"/>
      <c r="ID40" s="233"/>
      <c r="IE40" s="33"/>
      <c r="IF40" s="233"/>
      <c r="IG40" s="33"/>
      <c r="IH40" s="33"/>
      <c r="II40" s="33"/>
      <c r="IJ40" s="33"/>
      <c r="IK40" s="33"/>
      <c r="IL40" s="33"/>
      <c r="IM40" s="33"/>
      <c r="IN40" s="33"/>
      <c r="IO40" s="440"/>
      <c r="IP40" s="46"/>
      <c r="IQ40" s="217"/>
      <c r="IR40" s="217"/>
      <c r="IS40" s="217"/>
      <c r="IT40" s="217"/>
      <c r="IU40" s="217"/>
      <c r="IV40" s="217"/>
      <c r="IW40" s="217"/>
      <c r="IX40" s="217"/>
      <c r="IY40" s="233"/>
      <c r="IZ40" s="217"/>
      <c r="JA40" s="33"/>
      <c r="JB40" s="42"/>
      <c r="JC40" s="42"/>
      <c r="JD40" s="42"/>
      <c r="JE40" s="42"/>
      <c r="JF40" s="26"/>
      <c r="JG40" s="26"/>
      <c r="JH40" s="26"/>
      <c r="JI40" s="233"/>
      <c r="JJ40" s="26"/>
      <c r="JK40" s="233"/>
      <c r="JL40" s="26"/>
      <c r="JM40" s="26"/>
      <c r="JN40" s="26"/>
      <c r="JO40" s="33"/>
      <c r="JP40" s="33"/>
      <c r="JQ40" s="33"/>
      <c r="JR40" s="33"/>
      <c r="JT40" s="450"/>
    </row>
    <row r="41" spans="1:280" s="17" customFormat="1" ht="12.75" customHeight="1">
      <c r="A41" s="222" t="s">
        <v>54</v>
      </c>
      <c r="J41" s="17">
        <v>34540.108999999997</v>
      </c>
      <c r="K41" s="231">
        <f t="shared" ref="K41:K52" si="122">((L41-J41)/2)+J41</f>
        <v>37431.769499999995</v>
      </c>
      <c r="L41" s="17">
        <v>40323.43</v>
      </c>
      <c r="M41" s="17">
        <v>42976.961000000003</v>
      </c>
      <c r="N41" s="214">
        <v>44327.205999999998</v>
      </c>
      <c r="O41" s="32">
        <v>48723.688999999998</v>
      </c>
      <c r="P41" s="32">
        <v>50952.875999999997</v>
      </c>
      <c r="Q41" s="32">
        <v>53121.752999999997</v>
      </c>
      <c r="R41" s="32">
        <v>55827.091</v>
      </c>
      <c r="S41" s="32">
        <v>59729.434000000001</v>
      </c>
      <c r="T41" s="32">
        <v>64405.934999999998</v>
      </c>
      <c r="U41" s="231">
        <f t="shared" ref="U41:U52" si="123">((V41-T41)/2)+T41</f>
        <v>69113.8845</v>
      </c>
      <c r="V41" s="32">
        <v>73821.834000000003</v>
      </c>
      <c r="W41" s="231">
        <f t="shared" ref="W41:W52" si="124">((X41-V41)/2)+V41</f>
        <v>76659.40849999999</v>
      </c>
      <c r="X41" s="32">
        <v>79496.982999999993</v>
      </c>
      <c r="Y41" s="32">
        <v>82258.394</v>
      </c>
      <c r="Z41" s="32">
        <v>84466.540999999997</v>
      </c>
      <c r="AA41" s="32">
        <v>91124.39</v>
      </c>
      <c r="AB41" s="32">
        <v>96218.751000000004</v>
      </c>
      <c r="AC41" s="32">
        <v>100863.97500000001</v>
      </c>
      <c r="AD41" s="32">
        <v>103497.999</v>
      </c>
      <c r="AE41" s="32">
        <v>104305.711</v>
      </c>
      <c r="AF41" s="440">
        <v>102728.05</v>
      </c>
      <c r="AG41" s="184"/>
      <c r="AO41" s="17">
        <f>11837.108+253.149</f>
        <v>12090.257</v>
      </c>
      <c r="AP41" s="231">
        <f t="shared" ref="AP41:AP52" si="125">((AQ41-AO41)/2)+AO41</f>
        <v>12862.742</v>
      </c>
      <c r="AQ41" s="30">
        <v>13635.227000000001</v>
      </c>
      <c r="AR41" s="32">
        <v>14811.816000000001</v>
      </c>
      <c r="AS41" s="32">
        <v>14782.584000000001</v>
      </c>
      <c r="AT41" s="32">
        <v>16255.53</v>
      </c>
      <c r="AU41" s="32">
        <v>17335.982</v>
      </c>
      <c r="AV41" s="32">
        <v>17839.303</v>
      </c>
      <c r="AW41" s="32">
        <v>19763.963</v>
      </c>
      <c r="AX41" s="32">
        <v>21597.72</v>
      </c>
      <c r="AY41" s="32">
        <v>23184.692999999999</v>
      </c>
      <c r="AZ41" s="231">
        <f t="shared" ref="AZ41:AZ52" si="126">((BA41-AY41)/2)+AY41</f>
        <v>24849.744500000001</v>
      </c>
      <c r="BA41" s="32">
        <v>26514.795999999998</v>
      </c>
      <c r="BB41" s="231">
        <f t="shared" ref="BB41:BB52" si="127">((BC41-BA41)/2)+BA41</f>
        <v>27887.694499999998</v>
      </c>
      <c r="BC41" s="32">
        <v>29260.593000000001</v>
      </c>
      <c r="BD41" s="32">
        <v>29381.067999999999</v>
      </c>
      <c r="BE41" s="32">
        <v>30049.748</v>
      </c>
      <c r="BF41" s="32">
        <v>31321.079000000002</v>
      </c>
      <c r="BG41" s="32">
        <v>33426.112999999998</v>
      </c>
      <c r="BH41" s="32">
        <v>35299.114999999998</v>
      </c>
      <c r="BI41" s="32">
        <v>35560.472999999998</v>
      </c>
      <c r="BJ41" s="32">
        <v>35496.243999999999</v>
      </c>
      <c r="BK41" s="440">
        <v>36151.821000000004</v>
      </c>
      <c r="BL41" s="37"/>
      <c r="BM41" s="75"/>
      <c r="BN41" s="75"/>
      <c r="BO41" s="75"/>
      <c r="BP41" s="75"/>
      <c r="BQ41" s="75"/>
      <c r="BR41" s="75"/>
      <c r="BS41" s="217"/>
      <c r="BT41" s="75">
        <v>8217.4369999999999</v>
      </c>
      <c r="BU41" s="231">
        <f t="shared" ref="BU41:BU52" si="128">((BV41-BT41)/2)+BT41</f>
        <v>8770.6290000000008</v>
      </c>
      <c r="BV41" s="75">
        <v>9323.8209999999999</v>
      </c>
      <c r="BW41" s="73">
        <v>10243.067999999999</v>
      </c>
      <c r="BX41" s="32">
        <v>10110.258</v>
      </c>
      <c r="BY41" s="32">
        <v>11242.263999999999</v>
      </c>
      <c r="BZ41" s="32">
        <v>11942.147999999999</v>
      </c>
      <c r="CA41" s="32">
        <v>12457.237999999999</v>
      </c>
      <c r="CB41" s="32">
        <v>14099.411</v>
      </c>
      <c r="CC41" s="32">
        <v>15410.119000000001</v>
      </c>
      <c r="CD41" s="32">
        <v>16465.749</v>
      </c>
      <c r="CE41" s="231">
        <f t="shared" ref="CE41:CE52" si="129">((CF41-CD41)/2)+CD41</f>
        <v>17203.0965</v>
      </c>
      <c r="CF41" s="32">
        <v>17940.444</v>
      </c>
      <c r="CG41" s="231">
        <f t="shared" ref="CG41:CG52" si="130">((CH41-CF41)/2)+CF41</f>
        <v>18678.754999999997</v>
      </c>
      <c r="CH41" s="32">
        <v>19417.065999999999</v>
      </c>
      <c r="CI41" s="32">
        <v>19848.664000000001</v>
      </c>
      <c r="CJ41" s="32">
        <v>20688.589</v>
      </c>
      <c r="CK41" s="32">
        <v>21499.268</v>
      </c>
      <c r="CL41" s="32">
        <v>22985.805</v>
      </c>
      <c r="CM41" s="32">
        <v>24792.789000000001</v>
      </c>
      <c r="CN41" s="32">
        <v>24499.366999999998</v>
      </c>
      <c r="CO41" s="32">
        <v>24526.655999999999</v>
      </c>
      <c r="CP41" s="440">
        <v>24846.257000000001</v>
      </c>
      <c r="CQ41" s="37"/>
      <c r="CR41" s="75"/>
      <c r="CS41" s="75"/>
      <c r="CT41" s="75"/>
      <c r="CU41" s="75"/>
      <c r="CV41" s="75"/>
      <c r="CW41" s="75"/>
      <c r="CX41" s="217"/>
      <c r="CY41" s="75">
        <v>2940.4659999999999</v>
      </c>
      <c r="CZ41" s="231">
        <f t="shared" ref="CZ41:CZ52" si="131">((DA41-CY41)/2)+CY41</f>
        <v>3145.2809999999999</v>
      </c>
      <c r="DA41" s="75">
        <f>3350096/1000</f>
        <v>3350.096</v>
      </c>
      <c r="DB41" s="73">
        <v>3588.5</v>
      </c>
      <c r="DC41" s="32">
        <v>3516.1959999999999</v>
      </c>
      <c r="DD41" s="32">
        <v>3826.3490000000002</v>
      </c>
      <c r="DE41" s="32">
        <v>4143.0839999999998</v>
      </c>
      <c r="DF41" s="32">
        <v>3995.32</v>
      </c>
      <c r="DG41" s="32">
        <v>4183.1120000000001</v>
      </c>
      <c r="DH41" s="32">
        <v>4623.4589999999998</v>
      </c>
      <c r="DI41" s="32">
        <v>5050.2079999999996</v>
      </c>
      <c r="DJ41" s="231">
        <f t="shared" ref="DJ41:DJ52" si="132">((DK41-DI41)/2)+DI41</f>
        <v>5778.241</v>
      </c>
      <c r="DK41" s="32">
        <v>6506.2740000000003</v>
      </c>
      <c r="DL41" s="231">
        <f t="shared" ref="DL41:DL52" si="133">((DM41-DK41)/2)+DK41</f>
        <v>7080.4575000000004</v>
      </c>
      <c r="DM41" s="32">
        <v>7654.6409999999996</v>
      </c>
      <c r="DN41" s="32">
        <v>7505.9480000000003</v>
      </c>
      <c r="DO41" s="32">
        <v>7419.8270000000002</v>
      </c>
      <c r="DP41" s="32">
        <v>7668.08</v>
      </c>
      <c r="DQ41" s="32">
        <v>8285.7090000000007</v>
      </c>
      <c r="DR41" s="32">
        <v>8250.86</v>
      </c>
      <c r="DS41" s="32">
        <v>8650.6049999999996</v>
      </c>
      <c r="DT41" s="32">
        <v>8688.7990000000009</v>
      </c>
      <c r="DU41" s="440">
        <v>8978.402</v>
      </c>
      <c r="DV41" s="38"/>
      <c r="DW41" s="219"/>
      <c r="DX41" s="219"/>
      <c r="DY41" s="219"/>
      <c r="DZ41" s="219"/>
      <c r="EA41" s="219"/>
      <c r="EB41" s="219"/>
      <c r="EC41" s="219"/>
      <c r="ED41" s="40">
        <f t="shared" ref="ED41:ED52" si="134">AO41-BT41-CY41</f>
        <v>932.35399999999981</v>
      </c>
      <c r="EE41" s="40">
        <f t="shared" ref="EE41:EE52" si="135">AP41-BU41-CZ41</f>
        <v>946.83199999999943</v>
      </c>
      <c r="EF41" s="40">
        <f t="shared" ref="EF41:EF52" si="136">AQ41-BV41-DA41</f>
        <v>961.31000000000085</v>
      </c>
      <c r="EG41" s="40">
        <f t="shared" ref="EG41:EG52" si="137">(AR41-BW41)-DB41</f>
        <v>980.24800000000141</v>
      </c>
      <c r="EH41" s="40">
        <f t="shared" ref="EH41:EH52" si="138">(AS41-BX41)-DC41</f>
        <v>1156.130000000001</v>
      </c>
      <c r="EI41" s="40">
        <f t="shared" ref="EI41:EI52" si="139">(AT41-BY41)-DD41</f>
        <v>1186.9170000000013</v>
      </c>
      <c r="EJ41" s="40">
        <f t="shared" ref="EJ41:EJ52" si="140">(AU41-BZ41)-DE41</f>
        <v>1250.7500000000009</v>
      </c>
      <c r="EK41" s="40">
        <f t="shared" ref="EK41:EK52" si="141">(AV41-CA41)-DF41</f>
        <v>1386.7450000000003</v>
      </c>
      <c r="EL41" s="40">
        <f t="shared" ref="EL41:EL52" si="142">(AW41-CB41)-DG41</f>
        <v>1481.4399999999996</v>
      </c>
      <c r="EM41" s="40">
        <f t="shared" ref="EM41:EM52" si="143">(AX41-CC41)-DH41</f>
        <v>1564.1420000000007</v>
      </c>
      <c r="EN41" s="40">
        <f t="shared" ref="EN41:EN52" si="144">(AY41-CD41)-DI41</f>
        <v>1668.7359999999999</v>
      </c>
      <c r="EO41" s="40">
        <f t="shared" ref="EO41:EO52" si="145">(AZ41-CE41)-DJ41</f>
        <v>1868.4070000000011</v>
      </c>
      <c r="EP41" s="40">
        <f t="shared" ref="EP41:EP52" si="146">(BA41-CF41)-DK41</f>
        <v>2068.0779999999986</v>
      </c>
      <c r="EQ41" s="40">
        <f t="shared" ref="EQ41:EQ52" si="147">(BB41-CG41)-DL41</f>
        <v>2128.482</v>
      </c>
      <c r="ER41" s="40">
        <f t="shared" ref="ER41:ER52" si="148">(BC41-CH41)-DM41</f>
        <v>2188.8860000000022</v>
      </c>
      <c r="ES41" s="40">
        <f t="shared" ref="ES41:ES52" si="149">(BD41-CI41)-DN41</f>
        <v>2026.4559999999983</v>
      </c>
      <c r="ET41" s="40">
        <f t="shared" ref="ET41:ET52" si="150">(BE41-CJ41)-DO41</f>
        <v>1941.3319999999994</v>
      </c>
      <c r="EU41" s="40">
        <f t="shared" ref="EU41:EU52" si="151">+BF41-CK41-DP41</f>
        <v>2153.7310000000016</v>
      </c>
      <c r="EV41" s="40">
        <f t="shared" ref="EV41:EV52" si="152">+BG41-CL41-DQ41</f>
        <v>2154.5989999999965</v>
      </c>
      <c r="EW41" s="40">
        <f t="shared" ref="EW41:EW52" si="153">+BH41-CM41-DR41</f>
        <v>2255.4659999999967</v>
      </c>
      <c r="EX41" s="40">
        <f t="shared" ref="EX41:EX52" si="154">+BI41-CN41-DS41</f>
        <v>2410.5010000000002</v>
      </c>
      <c r="EY41" s="40">
        <f t="shared" ref="EY41:EY52" si="155">+BJ41-CO41-DT41</f>
        <v>2280.7889999999989</v>
      </c>
      <c r="EZ41" s="40">
        <f t="shared" ref="EZ41:EZ52" si="156">+BK41-CP41-DU41</f>
        <v>2327.1620000000021</v>
      </c>
      <c r="FA41" s="176"/>
      <c r="FB41" s="75"/>
      <c r="FC41" s="75"/>
      <c r="FD41" s="75"/>
      <c r="FE41" s="75"/>
      <c r="FF41" s="75"/>
      <c r="FG41" s="75"/>
      <c r="FH41" s="217"/>
      <c r="FI41" s="75">
        <f>4535.668+1296.461+970.59+173.73+13.284</f>
        <v>6989.7329999999993</v>
      </c>
      <c r="FJ41" s="231">
        <f t="shared" ref="FJ41:FJ52" si="157">((FK41-FI41)/2)+FI41</f>
        <v>8024.5519999999997</v>
      </c>
      <c r="FK41" s="75">
        <v>9059.3709999999992</v>
      </c>
      <c r="FL41" s="73">
        <v>9644.509</v>
      </c>
      <c r="FM41" s="32">
        <v>10386.536</v>
      </c>
      <c r="FN41" s="32">
        <v>12031.808000000001</v>
      </c>
      <c r="FO41" s="32">
        <v>12678.599</v>
      </c>
      <c r="FP41" s="32">
        <v>12637.971</v>
      </c>
      <c r="FQ41" s="32">
        <v>12340.305</v>
      </c>
      <c r="FR41" s="32">
        <v>13071.455</v>
      </c>
      <c r="FS41" s="32">
        <v>13478.457</v>
      </c>
      <c r="FT41" s="231">
        <f t="shared" ref="FT41:FT52" si="158">((FU41-FS41)/2)+FS41</f>
        <v>14407.587500000001</v>
      </c>
      <c r="FU41" s="32">
        <v>15336.718000000001</v>
      </c>
      <c r="FV41" s="231">
        <f t="shared" ref="FV41:FV52" si="159">((FW41-FU41)/2)+FU41</f>
        <v>16267.4015</v>
      </c>
      <c r="FW41" s="32">
        <v>17198.084999999999</v>
      </c>
      <c r="FX41" s="32">
        <v>18625.02</v>
      </c>
      <c r="FY41" s="32">
        <v>18494.687999999998</v>
      </c>
      <c r="FZ41" s="32">
        <v>19843.758000000002</v>
      </c>
      <c r="GA41" s="32">
        <v>21690.262999999999</v>
      </c>
      <c r="GB41" s="32">
        <v>23163.566999999999</v>
      </c>
      <c r="GC41" s="32">
        <v>23642.522000000001</v>
      </c>
      <c r="GD41" s="32">
        <v>24288.9</v>
      </c>
      <c r="GE41" s="440">
        <v>22316.453000000001</v>
      </c>
      <c r="GF41" s="37"/>
      <c r="GG41" s="75"/>
      <c r="GH41" s="75"/>
      <c r="GI41" s="75"/>
      <c r="GJ41" s="75"/>
      <c r="GK41" s="75"/>
      <c r="GL41" s="75"/>
      <c r="GM41" s="217"/>
      <c r="GN41" s="75">
        <f>3019.645+393.35+36.733+10.891+10.575+1522.44+640.437+743.524+199.017+292.052+1022.72+722.159+845.513+268.785</f>
        <v>9727.8410000000003</v>
      </c>
      <c r="GO41" s="231">
        <f t="shared" ref="GO41:GO52" si="160">((GP41-GN41)/2)+GN41</f>
        <v>10388.4355</v>
      </c>
      <c r="GP41" s="75">
        <v>11049.03</v>
      </c>
      <c r="GQ41" s="73">
        <v>11787.091</v>
      </c>
      <c r="GR41" s="32">
        <v>12044.378000000001</v>
      </c>
      <c r="GS41" s="32">
        <v>12851.915000000001</v>
      </c>
      <c r="GT41" s="32">
        <v>12926.44</v>
      </c>
      <c r="GU41" s="32">
        <v>13965.953</v>
      </c>
      <c r="GV41" s="32">
        <v>14842.647000000001</v>
      </c>
      <c r="GW41" s="32">
        <v>15439.734</v>
      </c>
      <c r="GX41" s="32">
        <v>16734.528999999999</v>
      </c>
      <c r="GY41" s="231">
        <f t="shared" ref="GY41:GY52" si="161">((GZ41-GX41)/2)+GX41</f>
        <v>18400.5815</v>
      </c>
      <c r="GZ41" s="32">
        <v>20066.633999999998</v>
      </c>
      <c r="HA41" s="231">
        <f t="shared" ref="HA41:HA52" si="162">((HB41-GZ41)/2)+GZ41</f>
        <v>19944.432999999997</v>
      </c>
      <c r="HB41" s="32">
        <v>19822.232</v>
      </c>
      <c r="HC41" s="32">
        <v>20034.618999999999</v>
      </c>
      <c r="HD41" s="32">
        <v>20838.733</v>
      </c>
      <c r="HE41" s="32">
        <v>23574.04</v>
      </c>
      <c r="HF41" s="32">
        <v>24325.396000000001</v>
      </c>
      <c r="HG41" s="32">
        <v>25157.57</v>
      </c>
      <c r="HH41" s="32">
        <v>26582.981</v>
      </c>
      <c r="HI41" s="32">
        <v>26282.598000000002</v>
      </c>
      <c r="HJ41" s="440">
        <v>25746.114000000001</v>
      </c>
      <c r="HK41" s="37"/>
      <c r="HL41" s="75"/>
      <c r="HM41" s="75"/>
      <c r="HN41" s="75"/>
      <c r="HO41" s="75"/>
      <c r="HP41" s="75"/>
      <c r="HQ41" s="75"/>
      <c r="HR41" s="217"/>
      <c r="HS41" s="75">
        <f>657.908+535.596+229.095+444.932</f>
        <v>1867.5309999999999</v>
      </c>
      <c r="HT41" s="231">
        <f t="shared" ref="HT41:HT52" si="163">((HU41-HS41)/2)+HS41</f>
        <v>1972.0844999999999</v>
      </c>
      <c r="HU41" s="75">
        <v>2076.6379999999999</v>
      </c>
      <c r="HV41" s="73">
        <v>2062.5210000000002</v>
      </c>
      <c r="HW41" s="32">
        <v>2287.4259999999999</v>
      </c>
      <c r="HX41" s="32">
        <v>2383.9119999999998</v>
      </c>
      <c r="HY41" s="32">
        <v>2661.366</v>
      </c>
      <c r="HZ41" s="32">
        <v>2949.2730000000001</v>
      </c>
      <c r="IA41" s="32">
        <v>3020.2190000000001</v>
      </c>
      <c r="IB41" s="32">
        <v>3152.413</v>
      </c>
      <c r="IC41" s="32">
        <v>3715.76</v>
      </c>
      <c r="ID41" s="231">
        <f t="shared" ref="ID41:ID52" si="164">((IE41-IC41)/2)+IC41</f>
        <v>3932.096</v>
      </c>
      <c r="IE41" s="32">
        <v>4148.4319999999998</v>
      </c>
      <c r="IF41" s="231">
        <f t="shared" ref="IF41:IF52" si="165">((IG41-IE41)/2)+IE41</f>
        <v>4185.2109999999993</v>
      </c>
      <c r="IG41" s="32">
        <v>4221.99</v>
      </c>
      <c r="IH41" s="32">
        <v>4206.8779999999997</v>
      </c>
      <c r="II41" s="32">
        <v>4174.3729999999996</v>
      </c>
      <c r="IJ41" s="32">
        <v>4471.0640000000003</v>
      </c>
      <c r="IK41" s="32">
        <v>4416.4279999999999</v>
      </c>
      <c r="IL41" s="32">
        <v>4691.7340000000004</v>
      </c>
      <c r="IM41" s="32">
        <v>4784.8509999999997</v>
      </c>
      <c r="IN41" s="32">
        <v>4869.8810000000003</v>
      </c>
      <c r="IO41" s="444">
        <v>4760.5280000000002</v>
      </c>
      <c r="IP41" s="37"/>
      <c r="IQ41" s="75"/>
      <c r="IR41" s="75"/>
      <c r="IS41" s="75"/>
      <c r="IT41" s="75"/>
      <c r="IU41" s="75"/>
      <c r="IV41" s="75"/>
      <c r="IW41" s="217"/>
      <c r="IX41" s="75">
        <f>1997.961+0.1+1866.686</f>
        <v>3864.7469999999998</v>
      </c>
      <c r="IY41" s="231">
        <f t="shared" ref="IY41:IY52" si="166">((IZ41-IX41)/2)+IX41</f>
        <v>4183.9555</v>
      </c>
      <c r="IZ41" s="75">
        <v>4503.1639999999998</v>
      </c>
      <c r="JA41" s="73">
        <v>4671.0240000000003</v>
      </c>
      <c r="JB41" s="47">
        <v>4826.2820000000002</v>
      </c>
      <c r="JC41" s="47">
        <v>5200.5240000000003</v>
      </c>
      <c r="JD41" s="47">
        <v>5350.4889999999996</v>
      </c>
      <c r="JE41" s="47">
        <v>5729.2529999999997</v>
      </c>
      <c r="JF41" s="17">
        <v>5859.9570000000003</v>
      </c>
      <c r="JG41" s="17">
        <v>6468.1120000000001</v>
      </c>
      <c r="JH41" s="17">
        <v>7292.4960000000001</v>
      </c>
      <c r="JI41" s="231">
        <f t="shared" ref="JI41:JI52" si="167">((JJ41-JH41)/2)+JH41</f>
        <v>7523.875</v>
      </c>
      <c r="JJ41" s="17">
        <v>7755.2539999999999</v>
      </c>
      <c r="JK41" s="231">
        <f t="shared" ref="JK41:JK52" si="168">((JL41-JJ41)/2)+JJ41</f>
        <v>8374.6684999999998</v>
      </c>
      <c r="JL41" s="17">
        <v>8994.0830000000005</v>
      </c>
      <c r="JM41" s="17">
        <v>10010.808999999999</v>
      </c>
      <c r="JN41" s="17">
        <v>10908.999</v>
      </c>
      <c r="JO41" s="32">
        <v>11914.449000000001</v>
      </c>
      <c r="JP41" s="32">
        <v>12360.550999999999</v>
      </c>
      <c r="JQ41" s="32">
        <v>12551.989</v>
      </c>
      <c r="JR41" s="32">
        <v>12927.171</v>
      </c>
      <c r="JS41" s="17">
        <v>13368.088</v>
      </c>
      <c r="JT41" s="450">
        <v>13753.134</v>
      </c>
    </row>
    <row r="42" spans="1:280" s="17" customFormat="1" ht="12.75" customHeight="1">
      <c r="A42" s="222" t="s">
        <v>55</v>
      </c>
      <c r="J42" s="17">
        <v>15309.931</v>
      </c>
      <c r="K42" s="231">
        <f t="shared" si="122"/>
        <v>16689.122499999998</v>
      </c>
      <c r="L42" s="17">
        <v>18068.313999999998</v>
      </c>
      <c r="M42" s="16">
        <v>19983.213</v>
      </c>
      <c r="N42" s="73">
        <v>21304.057000000001</v>
      </c>
      <c r="O42" s="32">
        <v>21158.016</v>
      </c>
      <c r="P42" s="32">
        <v>22063.716</v>
      </c>
      <c r="Q42" s="32">
        <v>23372.414000000001</v>
      </c>
      <c r="R42" s="32">
        <v>24580.706999999999</v>
      </c>
      <c r="S42" s="32">
        <v>26662.953000000001</v>
      </c>
      <c r="T42" s="32">
        <v>28744.012999999999</v>
      </c>
      <c r="U42" s="231">
        <f t="shared" si="123"/>
        <v>30770.25</v>
      </c>
      <c r="V42" s="32">
        <v>32796.487000000001</v>
      </c>
      <c r="W42" s="231">
        <f t="shared" si="124"/>
        <v>34168.305999999997</v>
      </c>
      <c r="X42" s="32">
        <v>35540.125</v>
      </c>
      <c r="Y42" s="32">
        <v>38197.017999999996</v>
      </c>
      <c r="Z42" s="32">
        <v>40038.144</v>
      </c>
      <c r="AA42" s="32">
        <v>42132.116999999998</v>
      </c>
      <c r="AB42" s="32">
        <v>44442.421999999999</v>
      </c>
      <c r="AC42" s="32">
        <v>45455.851000000002</v>
      </c>
      <c r="AD42" s="32">
        <v>45057.188999999998</v>
      </c>
      <c r="AE42" s="32">
        <v>45868.525999999998</v>
      </c>
      <c r="AF42" s="440">
        <v>45859.957999999999</v>
      </c>
      <c r="AG42" s="184"/>
      <c r="AO42" s="17">
        <f>6266.759+124.335</f>
        <v>6391.0940000000001</v>
      </c>
      <c r="AP42" s="231">
        <f t="shared" si="125"/>
        <v>6919.8755000000001</v>
      </c>
      <c r="AQ42" s="30">
        <v>7448.6570000000002</v>
      </c>
      <c r="AR42" s="32">
        <v>7634.0739999999996</v>
      </c>
      <c r="AS42" s="32">
        <v>8276.6880000000001</v>
      </c>
      <c r="AT42" s="32">
        <v>8666.1129999999994</v>
      </c>
      <c r="AU42" s="32">
        <v>9349.8259999999991</v>
      </c>
      <c r="AV42" s="32">
        <v>9786.9830000000002</v>
      </c>
      <c r="AW42" s="32">
        <v>10431.066000000001</v>
      </c>
      <c r="AX42" s="32">
        <v>10930.027</v>
      </c>
      <c r="AY42" s="32">
        <v>11671.694</v>
      </c>
      <c r="AZ42" s="231">
        <f t="shared" si="126"/>
        <v>12088.061</v>
      </c>
      <c r="BA42" s="32">
        <v>12504.428</v>
      </c>
      <c r="BB42" s="231">
        <f t="shared" si="127"/>
        <v>13226.989</v>
      </c>
      <c r="BC42" s="32">
        <v>13949.55</v>
      </c>
      <c r="BD42" s="32">
        <v>15004.909</v>
      </c>
      <c r="BE42" s="32">
        <v>15299.727999999999</v>
      </c>
      <c r="BF42" s="32">
        <v>15952.856</v>
      </c>
      <c r="BG42" s="32">
        <v>15987.787</v>
      </c>
      <c r="BH42" s="32">
        <v>17072.54</v>
      </c>
      <c r="BI42" s="32">
        <v>17001.374</v>
      </c>
      <c r="BJ42" s="32">
        <v>16747.491000000002</v>
      </c>
      <c r="BK42" s="440">
        <v>17331.953000000001</v>
      </c>
      <c r="BL42" s="37"/>
      <c r="BM42" s="75"/>
      <c r="BN42" s="75"/>
      <c r="BO42" s="75"/>
      <c r="BP42" s="75"/>
      <c r="BQ42" s="75"/>
      <c r="BR42" s="75"/>
      <c r="BS42" s="217"/>
      <c r="BT42" s="75">
        <v>4121.2489999999998</v>
      </c>
      <c r="BU42" s="231">
        <f t="shared" si="128"/>
        <v>4489.2574999999997</v>
      </c>
      <c r="BV42" s="75">
        <v>4857.2659999999996</v>
      </c>
      <c r="BW42" s="73">
        <v>4922.7950000000001</v>
      </c>
      <c r="BX42" s="32">
        <v>5378.491</v>
      </c>
      <c r="BY42" s="32">
        <v>5633.2129999999997</v>
      </c>
      <c r="BZ42" s="32">
        <v>5966.7049999999999</v>
      </c>
      <c r="CA42" s="32">
        <v>6244.0919999999996</v>
      </c>
      <c r="CB42" s="32">
        <v>6648.5529999999999</v>
      </c>
      <c r="CC42" s="32">
        <v>6956.9</v>
      </c>
      <c r="CD42" s="32">
        <v>7351.4139999999998</v>
      </c>
      <c r="CE42" s="231">
        <f t="shared" si="129"/>
        <v>7669.8975</v>
      </c>
      <c r="CF42" s="32">
        <v>7988.3810000000003</v>
      </c>
      <c r="CG42" s="231">
        <f t="shared" si="130"/>
        <v>8450.1260000000002</v>
      </c>
      <c r="CH42" s="32">
        <v>8911.8709999999992</v>
      </c>
      <c r="CI42" s="32">
        <v>9639.3950000000004</v>
      </c>
      <c r="CJ42" s="32">
        <v>9773.7479999999996</v>
      </c>
      <c r="CK42" s="32">
        <v>10004.959999999999</v>
      </c>
      <c r="CL42" s="32">
        <v>9684.1170000000002</v>
      </c>
      <c r="CM42" s="32">
        <v>10308.562</v>
      </c>
      <c r="CN42" s="32">
        <v>10114.736999999999</v>
      </c>
      <c r="CO42" s="32">
        <v>9737.9680000000008</v>
      </c>
      <c r="CP42" s="440">
        <v>9812.2870000000003</v>
      </c>
      <c r="CQ42" s="37"/>
      <c r="CR42" s="75"/>
      <c r="CS42" s="75"/>
      <c r="CT42" s="75"/>
      <c r="CU42" s="75"/>
      <c r="CV42" s="75"/>
      <c r="CW42" s="75"/>
      <c r="CX42" s="217"/>
      <c r="CY42" s="75">
        <v>1797.9110000000001</v>
      </c>
      <c r="CZ42" s="231">
        <f t="shared" si="131"/>
        <v>1992.3375000000001</v>
      </c>
      <c r="DA42" s="75">
        <f>2186764/1000</f>
        <v>2186.7640000000001</v>
      </c>
      <c r="DB42" s="73">
        <v>2247.6129999999998</v>
      </c>
      <c r="DC42" s="32">
        <v>2448.38</v>
      </c>
      <c r="DD42" s="32">
        <v>2558.8510000000001</v>
      </c>
      <c r="DE42" s="32">
        <v>2878.7649999999999</v>
      </c>
      <c r="DF42" s="32">
        <v>2954.8359999999998</v>
      </c>
      <c r="DG42" s="32">
        <v>3178.6010000000001</v>
      </c>
      <c r="DH42" s="32">
        <v>3281.3939999999998</v>
      </c>
      <c r="DI42" s="32">
        <v>3617.732</v>
      </c>
      <c r="DJ42" s="231">
        <f t="shared" si="132"/>
        <v>3615.9139999999998</v>
      </c>
      <c r="DK42" s="32">
        <v>3614.096</v>
      </c>
      <c r="DL42" s="231">
        <f t="shared" si="133"/>
        <v>3803.107</v>
      </c>
      <c r="DM42" s="32">
        <v>3992.1179999999999</v>
      </c>
      <c r="DN42" s="32">
        <v>4240.9219999999996</v>
      </c>
      <c r="DO42" s="32">
        <v>4323.8909999999996</v>
      </c>
      <c r="DP42" s="32">
        <v>4599.2219999999998</v>
      </c>
      <c r="DQ42" s="32">
        <v>4889.4719999999998</v>
      </c>
      <c r="DR42" s="32">
        <v>5361.2389999999996</v>
      </c>
      <c r="DS42" s="32">
        <v>5445.9459999999999</v>
      </c>
      <c r="DT42" s="32">
        <v>5522.6559999999999</v>
      </c>
      <c r="DU42" s="440">
        <v>6020.6490000000003</v>
      </c>
      <c r="DV42" s="38"/>
      <c r="DW42" s="219"/>
      <c r="DX42" s="219"/>
      <c r="DY42" s="219"/>
      <c r="DZ42" s="219"/>
      <c r="EA42" s="219"/>
      <c r="EB42" s="219"/>
      <c r="EC42" s="219"/>
      <c r="ED42" s="40">
        <f t="shared" si="134"/>
        <v>471.9340000000002</v>
      </c>
      <c r="EE42" s="40">
        <f t="shared" si="135"/>
        <v>438.2805000000003</v>
      </c>
      <c r="EF42" s="40">
        <f t="shared" si="136"/>
        <v>404.62700000000041</v>
      </c>
      <c r="EG42" s="40">
        <f t="shared" si="137"/>
        <v>463.66599999999971</v>
      </c>
      <c r="EH42" s="40">
        <f t="shared" si="138"/>
        <v>449.81700000000001</v>
      </c>
      <c r="EI42" s="40">
        <f t="shared" si="139"/>
        <v>474.04899999999952</v>
      </c>
      <c r="EJ42" s="40">
        <f t="shared" si="140"/>
        <v>504.35599999999931</v>
      </c>
      <c r="EK42" s="40">
        <f t="shared" si="141"/>
        <v>588.05500000000075</v>
      </c>
      <c r="EL42" s="40">
        <f t="shared" si="142"/>
        <v>603.91200000000072</v>
      </c>
      <c r="EM42" s="40">
        <f t="shared" si="143"/>
        <v>691.73300000000063</v>
      </c>
      <c r="EN42" s="40">
        <f t="shared" si="144"/>
        <v>702.54799999999977</v>
      </c>
      <c r="EO42" s="40">
        <f t="shared" si="145"/>
        <v>802.2494999999999</v>
      </c>
      <c r="EP42" s="40">
        <f t="shared" si="146"/>
        <v>901.95099999999957</v>
      </c>
      <c r="EQ42" s="40">
        <f t="shared" si="147"/>
        <v>973.7559999999994</v>
      </c>
      <c r="ER42" s="40">
        <f t="shared" si="148"/>
        <v>1045.5610000000001</v>
      </c>
      <c r="ES42" s="40">
        <f t="shared" si="149"/>
        <v>1124.5919999999996</v>
      </c>
      <c r="ET42" s="40">
        <f t="shared" si="150"/>
        <v>1202.0889999999999</v>
      </c>
      <c r="EU42" s="40">
        <f t="shared" si="151"/>
        <v>1348.6740000000009</v>
      </c>
      <c r="EV42" s="40">
        <f t="shared" si="152"/>
        <v>1414.1980000000003</v>
      </c>
      <c r="EW42" s="40">
        <f t="shared" si="153"/>
        <v>1402.7390000000014</v>
      </c>
      <c r="EX42" s="40">
        <f t="shared" si="154"/>
        <v>1440.6910000000007</v>
      </c>
      <c r="EY42" s="40">
        <f t="shared" si="155"/>
        <v>1486.8670000000011</v>
      </c>
      <c r="EZ42" s="40">
        <f t="shared" si="156"/>
        <v>1499.0170000000007</v>
      </c>
      <c r="FA42" s="176"/>
      <c r="FB42" s="75"/>
      <c r="FC42" s="75"/>
      <c r="FD42" s="75"/>
      <c r="FE42" s="75"/>
      <c r="FF42" s="75"/>
      <c r="FG42" s="75"/>
      <c r="FH42" s="217"/>
      <c r="FI42" s="75">
        <f>1998.499+1251.008+336.145+63.041+0.36</f>
        <v>3649.0530000000003</v>
      </c>
      <c r="FJ42" s="231">
        <f t="shared" si="157"/>
        <v>4195.7545</v>
      </c>
      <c r="FK42" s="75">
        <v>4742.4560000000001</v>
      </c>
      <c r="FL42" s="73">
        <v>5628.04</v>
      </c>
      <c r="FM42" s="32">
        <v>6257.02</v>
      </c>
      <c r="FN42" s="32">
        <v>5583.6639999999998</v>
      </c>
      <c r="FO42" s="32">
        <v>5377.0010000000002</v>
      </c>
      <c r="FP42" s="32">
        <v>5736.1139999999996</v>
      </c>
      <c r="FQ42" s="32">
        <v>5871.7150000000001</v>
      </c>
      <c r="FR42" s="32">
        <v>6489.6279999999997</v>
      </c>
      <c r="FS42" s="32">
        <v>6992.7479999999996</v>
      </c>
      <c r="FT42" s="231">
        <f t="shared" si="158"/>
        <v>7659.1395000000002</v>
      </c>
      <c r="FU42" s="32">
        <v>8325.5310000000009</v>
      </c>
      <c r="FV42" s="231">
        <f t="shared" si="159"/>
        <v>8765.7865000000002</v>
      </c>
      <c r="FW42" s="32">
        <v>9206.0419999999995</v>
      </c>
      <c r="FX42" s="32">
        <v>10068.393</v>
      </c>
      <c r="FY42" s="32">
        <v>10509.421</v>
      </c>
      <c r="FZ42" s="32">
        <v>11024.037</v>
      </c>
      <c r="GA42" s="32">
        <v>12340.121999999999</v>
      </c>
      <c r="GB42" s="32">
        <v>11950.471</v>
      </c>
      <c r="GC42" s="32">
        <v>12160.44</v>
      </c>
      <c r="GD42" s="32">
        <v>12775.275</v>
      </c>
      <c r="GE42" s="440">
        <v>13107.953</v>
      </c>
      <c r="GF42" s="37"/>
      <c r="GG42" s="75"/>
      <c r="GH42" s="75"/>
      <c r="GI42" s="75"/>
      <c r="GJ42" s="75"/>
      <c r="GK42" s="75"/>
      <c r="GL42" s="75"/>
      <c r="GM42" s="217"/>
      <c r="GN42" s="75">
        <f>1048.442+81.059+7.168+6.321+19.403+480.834+195.351+318.716+40.776+169.279+162.737+203.463+367.401+65.027</f>
        <v>3165.9769999999999</v>
      </c>
      <c r="GO42" s="231">
        <f t="shared" si="160"/>
        <v>3316.252</v>
      </c>
      <c r="GP42" s="75">
        <v>3466.527</v>
      </c>
      <c r="GQ42" s="73">
        <v>4089.9229999999998</v>
      </c>
      <c r="GR42" s="32">
        <v>4144.5010000000002</v>
      </c>
      <c r="GS42" s="32">
        <v>4236.1260000000002</v>
      </c>
      <c r="GT42" s="32">
        <v>4578.7629999999999</v>
      </c>
      <c r="GU42" s="32">
        <v>4880.9570000000003</v>
      </c>
      <c r="GV42" s="32">
        <v>5163.9219999999996</v>
      </c>
      <c r="GW42" s="32">
        <v>5771.9780000000001</v>
      </c>
      <c r="GX42" s="32">
        <v>6250.2809999999999</v>
      </c>
      <c r="GY42" s="231">
        <f t="shared" si="161"/>
        <v>6633.1010000000006</v>
      </c>
      <c r="GZ42" s="32">
        <v>7015.9210000000003</v>
      </c>
      <c r="HA42" s="231">
        <f t="shared" si="162"/>
        <v>7238.3055000000004</v>
      </c>
      <c r="HB42" s="32">
        <v>7460.69</v>
      </c>
      <c r="HC42" s="32">
        <v>7912.9740000000002</v>
      </c>
      <c r="HD42" s="32">
        <v>8307.6849999999995</v>
      </c>
      <c r="HE42" s="32">
        <v>8479.5519999999997</v>
      </c>
      <c r="HF42" s="32">
        <v>9693.07</v>
      </c>
      <c r="HG42" s="32">
        <v>9642.1299999999992</v>
      </c>
      <c r="HH42" s="32">
        <v>9351.8420000000006</v>
      </c>
      <c r="HI42" s="32">
        <v>9586.5390000000007</v>
      </c>
      <c r="HJ42" s="440">
        <v>9567.5300000000007</v>
      </c>
      <c r="HK42" s="37"/>
      <c r="HL42" s="75"/>
      <c r="HM42" s="75"/>
      <c r="HN42" s="75"/>
      <c r="HO42" s="75"/>
      <c r="HP42" s="75"/>
      <c r="HQ42" s="75"/>
      <c r="HR42" s="217"/>
      <c r="HS42" s="75">
        <f>285.693+169.675+92.606+242.681</f>
        <v>790.65499999999997</v>
      </c>
      <c r="HT42" s="231">
        <f t="shared" si="163"/>
        <v>863.61649999999997</v>
      </c>
      <c r="HU42" s="75">
        <v>936.57799999999997</v>
      </c>
      <c r="HV42" s="73">
        <v>993.16200000000003</v>
      </c>
      <c r="HW42" s="32">
        <v>994.38300000000004</v>
      </c>
      <c r="HX42" s="32">
        <v>1009.8150000000001</v>
      </c>
      <c r="HY42" s="32">
        <v>1065.0250000000001</v>
      </c>
      <c r="HZ42" s="32">
        <v>1125.2070000000001</v>
      </c>
      <c r="IA42" s="32">
        <v>1228.972</v>
      </c>
      <c r="IB42" s="32">
        <v>1311.19</v>
      </c>
      <c r="IC42" s="32">
        <v>1553.58</v>
      </c>
      <c r="ID42" s="231">
        <f t="shared" si="164"/>
        <v>1729.7175</v>
      </c>
      <c r="IE42" s="32">
        <v>1905.855</v>
      </c>
      <c r="IF42" s="231">
        <f t="shared" si="165"/>
        <v>1830.873</v>
      </c>
      <c r="IG42" s="32">
        <v>1755.8910000000001</v>
      </c>
      <c r="IH42" s="32">
        <v>1842.11</v>
      </c>
      <c r="II42" s="32">
        <v>1796.7059999999999</v>
      </c>
      <c r="IJ42" s="32">
        <v>1912.835</v>
      </c>
      <c r="IK42" s="32">
        <v>2030.788</v>
      </c>
      <c r="IL42" s="32">
        <v>1893.462</v>
      </c>
      <c r="IM42" s="32">
        <v>1927.21</v>
      </c>
      <c r="IN42" s="32">
        <v>1939.9169999999999</v>
      </c>
      <c r="IO42" s="445">
        <v>1900.1110000000001</v>
      </c>
      <c r="IP42" s="37"/>
      <c r="IQ42" s="75"/>
      <c r="IR42" s="75"/>
      <c r="IS42" s="75"/>
      <c r="IT42" s="75"/>
      <c r="IU42" s="75"/>
      <c r="IV42" s="75"/>
      <c r="IW42" s="217"/>
      <c r="IX42" s="75">
        <f>640.805+6.874+665.473</f>
        <v>1313.152</v>
      </c>
      <c r="IY42" s="231">
        <f t="shared" si="166"/>
        <v>1393.624</v>
      </c>
      <c r="IZ42" s="75">
        <v>1474.096</v>
      </c>
      <c r="JA42" s="73">
        <v>1638.0139999999999</v>
      </c>
      <c r="JB42" s="47">
        <v>1631.4649999999999</v>
      </c>
      <c r="JC42" s="47">
        <v>1662.298</v>
      </c>
      <c r="JD42" s="47">
        <v>1693.1010000000001</v>
      </c>
      <c r="JE42" s="47">
        <v>1843.153</v>
      </c>
      <c r="JF42" s="17">
        <v>1885.0319999999999</v>
      </c>
      <c r="JG42" s="17">
        <v>2160.13</v>
      </c>
      <c r="JH42" s="17">
        <v>2275.71</v>
      </c>
      <c r="JI42" s="231">
        <f t="shared" si="167"/>
        <v>2660.2309999999998</v>
      </c>
      <c r="JJ42" s="17">
        <v>3044.752</v>
      </c>
      <c r="JK42" s="231">
        <f t="shared" si="168"/>
        <v>3106.3519999999999</v>
      </c>
      <c r="JL42" s="17">
        <v>3167.9520000000002</v>
      </c>
      <c r="JM42" s="17">
        <v>3368.6320000000001</v>
      </c>
      <c r="JN42" s="17">
        <v>4124.6040000000003</v>
      </c>
      <c r="JO42" s="32">
        <v>4762.8370000000004</v>
      </c>
      <c r="JP42" s="32">
        <v>4390.6549999999997</v>
      </c>
      <c r="JQ42" s="32">
        <v>4897.2479999999996</v>
      </c>
      <c r="JR42" s="32">
        <v>4616.3220000000001</v>
      </c>
      <c r="JS42" s="17">
        <v>4819.3040000000001</v>
      </c>
      <c r="JT42" s="450">
        <v>3952.4110000000001</v>
      </c>
    </row>
    <row r="43" spans="1:280" s="17" customFormat="1" ht="12.75" customHeight="1">
      <c r="A43" s="222" t="s">
        <v>56</v>
      </c>
      <c r="J43" s="17">
        <v>8842.3439999999991</v>
      </c>
      <c r="K43" s="231">
        <f t="shared" si="122"/>
        <v>9522.6165000000001</v>
      </c>
      <c r="L43" s="17">
        <v>10202.888999999999</v>
      </c>
      <c r="M43" s="16">
        <v>10798.789000000001</v>
      </c>
      <c r="N43" s="73">
        <v>11208.9</v>
      </c>
      <c r="O43" s="32">
        <v>11994.657999999999</v>
      </c>
      <c r="P43" s="32">
        <v>12254.178</v>
      </c>
      <c r="Q43" s="32">
        <v>12857.886</v>
      </c>
      <c r="R43" s="32">
        <v>13867.625</v>
      </c>
      <c r="S43" s="32">
        <v>14722.168</v>
      </c>
      <c r="T43" s="32">
        <v>15598.772000000001</v>
      </c>
      <c r="U43" s="231">
        <f t="shared" si="123"/>
        <v>16413.747000000003</v>
      </c>
      <c r="V43" s="32">
        <v>17228.722000000002</v>
      </c>
      <c r="W43" s="231">
        <f t="shared" si="124"/>
        <v>17836.603000000003</v>
      </c>
      <c r="X43" s="32">
        <v>18444.484</v>
      </c>
      <c r="Y43" s="32">
        <v>19513.5</v>
      </c>
      <c r="Z43" s="32">
        <v>20722.541000000001</v>
      </c>
      <c r="AA43" s="32">
        <v>21634.306</v>
      </c>
      <c r="AB43" s="32">
        <v>23030.761999999999</v>
      </c>
      <c r="AC43" s="32">
        <v>24835.550999999999</v>
      </c>
      <c r="AD43" s="32">
        <v>25590.34</v>
      </c>
      <c r="AE43" s="32">
        <v>26457.162</v>
      </c>
      <c r="AF43" s="440">
        <v>27929.948</v>
      </c>
      <c r="AG43" s="184"/>
      <c r="AO43" s="17">
        <f>3432.961+51.51</f>
        <v>3484.471</v>
      </c>
      <c r="AP43" s="231">
        <f t="shared" si="125"/>
        <v>3763.3230000000003</v>
      </c>
      <c r="AQ43" s="30">
        <v>4042.1750000000002</v>
      </c>
      <c r="AR43" s="32">
        <v>4138.8329999999996</v>
      </c>
      <c r="AS43" s="32">
        <v>4305.2619999999997</v>
      </c>
      <c r="AT43" s="32">
        <v>4483.4459999999999</v>
      </c>
      <c r="AU43" s="32">
        <v>4712.7569999999996</v>
      </c>
      <c r="AV43" s="32">
        <v>4984.5839999999998</v>
      </c>
      <c r="AW43" s="32">
        <v>5545.1409999999996</v>
      </c>
      <c r="AX43" s="32">
        <v>5783.2830000000004</v>
      </c>
      <c r="AY43" s="32">
        <v>6057.9080000000004</v>
      </c>
      <c r="AZ43" s="231">
        <f t="shared" si="126"/>
        <v>6311.2380000000003</v>
      </c>
      <c r="BA43" s="32">
        <v>6564.5680000000002</v>
      </c>
      <c r="BB43" s="231">
        <f t="shared" si="127"/>
        <v>6839.8805000000002</v>
      </c>
      <c r="BC43" s="32">
        <v>7115.1930000000002</v>
      </c>
      <c r="BD43" s="32">
        <v>7392.8140000000003</v>
      </c>
      <c r="BE43" s="32">
        <v>7892.7349999999997</v>
      </c>
      <c r="BF43" s="32">
        <v>8212.7019999999993</v>
      </c>
      <c r="BG43" s="32">
        <v>8827.6080000000002</v>
      </c>
      <c r="BH43" s="32">
        <v>9355.0339999999997</v>
      </c>
      <c r="BI43" s="32">
        <v>9426.23</v>
      </c>
      <c r="BJ43" s="32">
        <v>9775.4390000000003</v>
      </c>
      <c r="BK43" s="440">
        <v>9930.8230000000003</v>
      </c>
      <c r="BL43" s="37"/>
      <c r="BM43" s="75"/>
      <c r="BN43" s="75"/>
      <c r="BO43" s="75"/>
      <c r="BP43" s="75"/>
      <c r="BQ43" s="75"/>
      <c r="BR43" s="75"/>
      <c r="BS43" s="217"/>
      <c r="BT43" s="75">
        <v>2082.1350000000002</v>
      </c>
      <c r="BU43" s="231">
        <f t="shared" si="128"/>
        <v>2330.5219999999999</v>
      </c>
      <c r="BV43" s="75">
        <v>2578.9090000000001</v>
      </c>
      <c r="BW43" s="73">
        <v>2551.605</v>
      </c>
      <c r="BX43" s="32">
        <v>2567.5450000000001</v>
      </c>
      <c r="BY43" s="32">
        <v>2679.7310000000002</v>
      </c>
      <c r="BZ43" s="32">
        <v>2841.0790000000002</v>
      </c>
      <c r="CA43" s="32">
        <v>2963.6729999999998</v>
      </c>
      <c r="CB43" s="32">
        <v>3319.3589999999999</v>
      </c>
      <c r="CC43" s="32">
        <v>3453.5770000000002</v>
      </c>
      <c r="CD43" s="32">
        <v>3621.038</v>
      </c>
      <c r="CE43" s="231">
        <f t="shared" si="129"/>
        <v>3712.3415</v>
      </c>
      <c r="CF43" s="32">
        <v>3803.645</v>
      </c>
      <c r="CG43" s="231">
        <f t="shared" si="130"/>
        <v>4014.799</v>
      </c>
      <c r="CH43" s="32">
        <v>4225.9530000000004</v>
      </c>
      <c r="CI43" s="32">
        <v>4377.7569999999996</v>
      </c>
      <c r="CJ43" s="32">
        <v>4661.8109999999997</v>
      </c>
      <c r="CK43" s="32">
        <v>4906.4849999999997</v>
      </c>
      <c r="CL43" s="32">
        <v>5191.1099999999997</v>
      </c>
      <c r="CM43" s="32">
        <v>5427.6959999999999</v>
      </c>
      <c r="CN43" s="32">
        <v>5630.2870000000003</v>
      </c>
      <c r="CO43" s="32">
        <v>5749.91</v>
      </c>
      <c r="CP43" s="440">
        <v>5904.4620000000004</v>
      </c>
      <c r="CQ43" s="37"/>
      <c r="CR43" s="75"/>
      <c r="CS43" s="75"/>
      <c r="CT43" s="75"/>
      <c r="CU43" s="75"/>
      <c r="CV43" s="75"/>
      <c r="CW43" s="75"/>
      <c r="CX43" s="217"/>
      <c r="CY43" s="75">
        <v>1203.961</v>
      </c>
      <c r="CZ43" s="231">
        <f t="shared" si="131"/>
        <v>1227.4805000000001</v>
      </c>
      <c r="DA43" s="75">
        <f>1251000/1000</f>
        <v>1251</v>
      </c>
      <c r="DB43" s="73">
        <v>1351.09</v>
      </c>
      <c r="DC43" s="32">
        <v>1490.184</v>
      </c>
      <c r="DD43" s="32">
        <v>1509.143</v>
      </c>
      <c r="DE43" s="32">
        <v>1561.415</v>
      </c>
      <c r="DF43" s="32">
        <v>1687.355</v>
      </c>
      <c r="DG43" s="32">
        <v>1808.634</v>
      </c>
      <c r="DH43" s="32">
        <v>1939.7660000000001</v>
      </c>
      <c r="DI43" s="32">
        <v>2031.922</v>
      </c>
      <c r="DJ43" s="231">
        <f t="shared" si="132"/>
        <v>2179.9245000000001</v>
      </c>
      <c r="DK43" s="32">
        <v>2327.9270000000001</v>
      </c>
      <c r="DL43" s="231">
        <f t="shared" si="133"/>
        <v>2397.6605</v>
      </c>
      <c r="DM43" s="32">
        <v>2467.3939999999998</v>
      </c>
      <c r="DN43" s="32">
        <v>2533.63</v>
      </c>
      <c r="DO43" s="32">
        <v>2764.634</v>
      </c>
      <c r="DP43" s="32">
        <v>2828.4389999999999</v>
      </c>
      <c r="DQ43" s="32">
        <v>3090.4659999999999</v>
      </c>
      <c r="DR43" s="32">
        <v>3386.884</v>
      </c>
      <c r="DS43" s="32">
        <v>3241.982</v>
      </c>
      <c r="DT43" s="32">
        <v>3473.1559999999999</v>
      </c>
      <c r="DU43" s="440">
        <v>3484.5659999999998</v>
      </c>
      <c r="DV43" s="38"/>
      <c r="DW43" s="219"/>
      <c r="DX43" s="219"/>
      <c r="DY43" s="219"/>
      <c r="DZ43" s="219"/>
      <c r="EA43" s="219"/>
      <c r="EB43" s="219"/>
      <c r="EC43" s="219"/>
      <c r="ED43" s="40">
        <f t="shared" si="134"/>
        <v>198.37499999999977</v>
      </c>
      <c r="EE43" s="40">
        <f t="shared" si="135"/>
        <v>205.32050000000027</v>
      </c>
      <c r="EF43" s="40">
        <f t="shared" si="136"/>
        <v>212.26600000000008</v>
      </c>
      <c r="EG43" s="40">
        <f t="shared" si="137"/>
        <v>236.13799999999969</v>
      </c>
      <c r="EH43" s="40">
        <f t="shared" si="138"/>
        <v>247.53299999999967</v>
      </c>
      <c r="EI43" s="40">
        <f t="shared" si="139"/>
        <v>294.57199999999966</v>
      </c>
      <c r="EJ43" s="40">
        <f t="shared" si="140"/>
        <v>310.26299999999947</v>
      </c>
      <c r="EK43" s="40">
        <f t="shared" si="141"/>
        <v>333.55600000000004</v>
      </c>
      <c r="EL43" s="40">
        <f t="shared" si="142"/>
        <v>417.14799999999968</v>
      </c>
      <c r="EM43" s="40">
        <f t="shared" si="143"/>
        <v>389.94000000000005</v>
      </c>
      <c r="EN43" s="40">
        <f t="shared" si="144"/>
        <v>404.94800000000032</v>
      </c>
      <c r="EO43" s="40">
        <f t="shared" si="145"/>
        <v>418.97200000000021</v>
      </c>
      <c r="EP43" s="40">
        <f t="shared" si="146"/>
        <v>432.99600000000009</v>
      </c>
      <c r="EQ43" s="40">
        <f t="shared" si="147"/>
        <v>427.42100000000028</v>
      </c>
      <c r="ER43" s="40">
        <f t="shared" si="148"/>
        <v>421.846</v>
      </c>
      <c r="ES43" s="40">
        <f t="shared" si="149"/>
        <v>481.42700000000059</v>
      </c>
      <c r="ET43" s="40">
        <f t="shared" si="150"/>
        <v>466.28999999999996</v>
      </c>
      <c r="EU43" s="40">
        <f t="shared" si="151"/>
        <v>477.77799999999979</v>
      </c>
      <c r="EV43" s="40">
        <f t="shared" si="152"/>
        <v>546.03200000000061</v>
      </c>
      <c r="EW43" s="40">
        <f t="shared" si="153"/>
        <v>540.45399999999972</v>
      </c>
      <c r="EX43" s="40">
        <f t="shared" si="154"/>
        <v>553.96099999999933</v>
      </c>
      <c r="EY43" s="40">
        <f t="shared" si="155"/>
        <v>552.3730000000005</v>
      </c>
      <c r="EZ43" s="40">
        <f t="shared" si="156"/>
        <v>541.79500000000007</v>
      </c>
      <c r="FA43" s="176"/>
      <c r="FB43" s="75"/>
      <c r="FC43" s="75"/>
      <c r="FD43" s="75"/>
      <c r="FE43" s="75"/>
      <c r="FF43" s="75"/>
      <c r="FG43" s="75"/>
      <c r="FH43" s="217"/>
      <c r="FI43" s="75">
        <f>1215.493+769.933+184.194+41.115+0.002</f>
        <v>2210.7369999999996</v>
      </c>
      <c r="FJ43" s="231">
        <f t="shared" si="157"/>
        <v>2372.1704999999997</v>
      </c>
      <c r="FK43" s="75">
        <v>2533.6039999999998</v>
      </c>
      <c r="FL43" s="73">
        <v>2796.739</v>
      </c>
      <c r="FM43" s="32">
        <v>2849.9639999999999</v>
      </c>
      <c r="FN43" s="32">
        <v>3043.7979999999998</v>
      </c>
      <c r="FO43" s="32">
        <v>3180.3609999999999</v>
      </c>
      <c r="FP43" s="32">
        <v>3327.8429999999998</v>
      </c>
      <c r="FQ43" s="32">
        <v>3590.8739999999998</v>
      </c>
      <c r="FR43" s="32">
        <v>3798.0430000000001</v>
      </c>
      <c r="FS43" s="32">
        <v>4024.375</v>
      </c>
      <c r="FT43" s="231">
        <f t="shared" si="158"/>
        <v>4347.393</v>
      </c>
      <c r="FU43" s="32">
        <v>4670.4110000000001</v>
      </c>
      <c r="FV43" s="231">
        <f t="shared" si="159"/>
        <v>4957.5524999999998</v>
      </c>
      <c r="FW43" s="32">
        <v>5244.6940000000004</v>
      </c>
      <c r="FX43" s="32">
        <v>5745.0479999999998</v>
      </c>
      <c r="FY43" s="32">
        <v>5924.1869999999999</v>
      </c>
      <c r="FZ43" s="32">
        <v>6283.6289999999999</v>
      </c>
      <c r="GA43" s="32">
        <v>6832.6980000000003</v>
      </c>
      <c r="GB43" s="32">
        <v>7301.1139999999996</v>
      </c>
      <c r="GC43" s="32">
        <v>7819.0379999999996</v>
      </c>
      <c r="GD43" s="32">
        <v>8084.9859999999999</v>
      </c>
      <c r="GE43" s="440">
        <v>8814.9439999999995</v>
      </c>
      <c r="GF43" s="37"/>
      <c r="GG43" s="75"/>
      <c r="GH43" s="75"/>
      <c r="GI43" s="75"/>
      <c r="GJ43" s="75"/>
      <c r="GK43" s="75"/>
      <c r="GL43" s="75"/>
      <c r="GM43" s="217"/>
      <c r="GN43" s="217">
        <f>957.66+36.207+23.975+0.28+15.547+232.868+86.201+124.582+33.223+154.805+123.387+58.879+193.778+65.434</f>
        <v>2106.8259999999996</v>
      </c>
      <c r="GO43" s="231">
        <f t="shared" si="160"/>
        <v>2303.8244999999997</v>
      </c>
      <c r="GP43" s="217">
        <v>2500.8229999999999</v>
      </c>
      <c r="GQ43" s="73">
        <v>2606.5650000000001</v>
      </c>
      <c r="GR43" s="32">
        <v>2730.0659999999998</v>
      </c>
      <c r="GS43" s="32">
        <v>3071.748</v>
      </c>
      <c r="GT43" s="32">
        <v>3031.2510000000002</v>
      </c>
      <c r="GU43" s="32">
        <v>3183.4569999999999</v>
      </c>
      <c r="GV43" s="32">
        <v>3299.982</v>
      </c>
      <c r="GW43" s="32">
        <v>3544.4580000000001</v>
      </c>
      <c r="GX43" s="32">
        <v>3856.3820000000001</v>
      </c>
      <c r="GY43" s="231">
        <f t="shared" si="161"/>
        <v>3949.2339999999999</v>
      </c>
      <c r="GZ43" s="32">
        <v>4042.0859999999998</v>
      </c>
      <c r="HA43" s="231">
        <f t="shared" si="162"/>
        <v>3888.4785000000002</v>
      </c>
      <c r="HB43" s="32">
        <v>3734.8710000000001</v>
      </c>
      <c r="HC43" s="32">
        <v>4133.9409999999998</v>
      </c>
      <c r="HD43" s="32">
        <v>4380.59</v>
      </c>
      <c r="HE43" s="32">
        <v>4567.8410000000003</v>
      </c>
      <c r="HF43" s="32">
        <v>4714.5940000000001</v>
      </c>
      <c r="HG43" s="32">
        <v>5359.2250000000004</v>
      </c>
      <c r="HH43" s="32">
        <v>5487.5129999999999</v>
      </c>
      <c r="HI43" s="32">
        <v>5599.1689999999999</v>
      </c>
      <c r="HJ43" s="440">
        <v>6204.0550000000003</v>
      </c>
      <c r="HK43" s="37"/>
      <c r="HL43" s="75"/>
      <c r="HM43" s="75"/>
      <c r="HN43" s="75"/>
      <c r="HO43" s="75"/>
      <c r="HP43" s="75"/>
      <c r="HQ43" s="75"/>
      <c r="HR43" s="217"/>
      <c r="HS43" s="75">
        <f>169.358+136.3+41.624+87.297</f>
        <v>434.57900000000006</v>
      </c>
      <c r="HT43" s="231">
        <f t="shared" si="163"/>
        <v>444.71350000000007</v>
      </c>
      <c r="HU43" s="75">
        <v>454.84800000000001</v>
      </c>
      <c r="HV43" s="73">
        <v>496.40199999999999</v>
      </c>
      <c r="HW43" s="32">
        <v>514.89200000000005</v>
      </c>
      <c r="HX43" s="32">
        <v>566.79999999999995</v>
      </c>
      <c r="HY43" s="32">
        <v>576.10799999999995</v>
      </c>
      <c r="HZ43" s="32">
        <v>582.84799999999996</v>
      </c>
      <c r="IA43" s="32">
        <v>622.78399999999999</v>
      </c>
      <c r="IB43" s="32">
        <v>701.65899999999999</v>
      </c>
      <c r="IC43" s="32">
        <v>733.7</v>
      </c>
      <c r="ID43" s="231">
        <f t="shared" si="164"/>
        <v>785.87650000000008</v>
      </c>
      <c r="IE43" s="32">
        <v>838.053</v>
      </c>
      <c r="IF43" s="231">
        <f t="shared" si="165"/>
        <v>825.82249999999999</v>
      </c>
      <c r="IG43" s="32">
        <v>813.59199999999998</v>
      </c>
      <c r="IH43" s="32">
        <v>834.38699999999994</v>
      </c>
      <c r="II43" s="32">
        <v>891.05200000000002</v>
      </c>
      <c r="IJ43" s="32">
        <v>917.35500000000002</v>
      </c>
      <c r="IK43" s="32">
        <v>973.37099999999998</v>
      </c>
      <c r="IL43" s="32">
        <v>1010.182</v>
      </c>
      <c r="IM43" s="32">
        <v>962.38900000000001</v>
      </c>
      <c r="IN43" s="32">
        <v>1038.5509999999999</v>
      </c>
      <c r="IO43" s="445">
        <v>1024.1990000000001</v>
      </c>
      <c r="IP43" s="37"/>
      <c r="IQ43" s="75"/>
      <c r="IR43" s="75"/>
      <c r="IS43" s="75"/>
      <c r="IT43" s="75"/>
      <c r="IU43" s="75"/>
      <c r="IV43" s="75"/>
      <c r="IW43" s="217"/>
      <c r="IX43" s="75">
        <f>339.182+7.021+259.528</f>
        <v>605.73099999999999</v>
      </c>
      <c r="IY43" s="231">
        <f t="shared" si="166"/>
        <v>638.58500000000004</v>
      </c>
      <c r="IZ43" s="75">
        <v>671.43899999999996</v>
      </c>
      <c r="JA43" s="73">
        <v>760.25</v>
      </c>
      <c r="JB43" s="47">
        <v>808.71600000000001</v>
      </c>
      <c r="JC43" s="47">
        <v>828.86599999999999</v>
      </c>
      <c r="JD43" s="47">
        <v>753.70100000000002</v>
      </c>
      <c r="JE43" s="47">
        <v>779.154</v>
      </c>
      <c r="JF43" s="17">
        <v>808.84400000000005</v>
      </c>
      <c r="JG43" s="17">
        <v>894.72500000000002</v>
      </c>
      <c r="JH43" s="17">
        <v>926.40700000000004</v>
      </c>
      <c r="JI43" s="231">
        <f t="shared" si="167"/>
        <v>1020.0055</v>
      </c>
      <c r="JJ43" s="17">
        <v>1113.604</v>
      </c>
      <c r="JK43" s="231">
        <f t="shared" si="168"/>
        <v>1324.8690000000001</v>
      </c>
      <c r="JL43" s="17">
        <v>1536.134</v>
      </c>
      <c r="JM43" s="17">
        <v>1407.31</v>
      </c>
      <c r="JN43" s="17">
        <v>1633.9770000000001</v>
      </c>
      <c r="JO43" s="32">
        <v>1652.779</v>
      </c>
      <c r="JP43" s="32">
        <v>1682.491</v>
      </c>
      <c r="JQ43" s="32">
        <v>1809.9949999999999</v>
      </c>
      <c r="JR43" s="32">
        <v>1895.17</v>
      </c>
      <c r="JS43" s="17">
        <v>1959.0170000000001</v>
      </c>
      <c r="JT43" s="450">
        <v>1955.9269999999999</v>
      </c>
    </row>
    <row r="44" spans="1:280" s="17" customFormat="1" ht="12.75" customHeight="1">
      <c r="A44" s="222" t="s">
        <v>57</v>
      </c>
      <c r="J44" s="17">
        <v>7492.8559999999998</v>
      </c>
      <c r="K44" s="231">
        <f t="shared" si="122"/>
        <v>8024.8244999999997</v>
      </c>
      <c r="L44" s="17">
        <v>8556.7929999999997</v>
      </c>
      <c r="M44" s="16">
        <v>9017.3739999999998</v>
      </c>
      <c r="N44" s="73">
        <v>9714.9660000000003</v>
      </c>
      <c r="O44" s="32">
        <v>10221.133</v>
      </c>
      <c r="P44" s="32">
        <v>10825.737999999999</v>
      </c>
      <c r="Q44" s="32">
        <v>11038.097</v>
      </c>
      <c r="R44" s="32">
        <v>11332.574000000001</v>
      </c>
      <c r="S44" s="32">
        <v>12065.563</v>
      </c>
      <c r="T44" s="32">
        <v>12884.531000000001</v>
      </c>
      <c r="U44" s="231">
        <f t="shared" si="123"/>
        <v>13880.352999999999</v>
      </c>
      <c r="V44" s="32">
        <v>14876.174999999999</v>
      </c>
      <c r="W44" s="231">
        <f t="shared" si="124"/>
        <v>15580.888500000001</v>
      </c>
      <c r="X44" s="32">
        <v>16285.602000000001</v>
      </c>
      <c r="Y44" s="32">
        <v>16796.273000000001</v>
      </c>
      <c r="Z44" s="32">
        <v>17985.258000000002</v>
      </c>
      <c r="AA44" s="32">
        <v>19377.456999999999</v>
      </c>
      <c r="AB44" s="32">
        <v>20893.294999999998</v>
      </c>
      <c r="AC44" s="32">
        <v>22365.388999999999</v>
      </c>
      <c r="AD44" s="32">
        <v>22930.597000000002</v>
      </c>
      <c r="AE44" s="32">
        <v>22971.375</v>
      </c>
      <c r="AF44" s="440">
        <v>22953.806</v>
      </c>
      <c r="AG44" s="184"/>
      <c r="AO44" s="17">
        <f>2950.444+30.77</f>
        <v>2981.2139999999999</v>
      </c>
      <c r="AP44" s="231">
        <f t="shared" si="125"/>
        <v>3260.2624999999998</v>
      </c>
      <c r="AQ44" s="30">
        <v>3539.3110000000001</v>
      </c>
      <c r="AR44" s="32">
        <v>3650.1880000000001</v>
      </c>
      <c r="AS44" s="32">
        <v>3844.5079999999998</v>
      </c>
      <c r="AT44" s="32">
        <v>3980.317</v>
      </c>
      <c r="AU44" s="32">
        <v>4289.4290000000001</v>
      </c>
      <c r="AV44" s="32">
        <v>4199.0839999999998</v>
      </c>
      <c r="AW44" s="32">
        <v>4425.4179999999997</v>
      </c>
      <c r="AX44" s="32">
        <v>4827.7169999999996</v>
      </c>
      <c r="AY44" s="32">
        <v>4950.3609999999999</v>
      </c>
      <c r="AZ44" s="231">
        <f t="shared" si="126"/>
        <v>5263.4544999999998</v>
      </c>
      <c r="BA44" s="32">
        <v>5576.5479999999998</v>
      </c>
      <c r="BB44" s="231">
        <f t="shared" si="127"/>
        <v>5931.3984999999993</v>
      </c>
      <c r="BC44" s="32">
        <v>6286.2489999999998</v>
      </c>
      <c r="BD44" s="32">
        <v>6361.7380000000003</v>
      </c>
      <c r="BE44" s="32">
        <v>6691.1450000000004</v>
      </c>
      <c r="BF44" s="32">
        <v>7160.7910000000002</v>
      </c>
      <c r="BG44" s="32">
        <v>7629.125</v>
      </c>
      <c r="BH44" s="32">
        <v>8537.9269999999997</v>
      </c>
      <c r="BI44" s="32">
        <v>8657.9629999999997</v>
      </c>
      <c r="BJ44" s="32">
        <v>8476.2919999999995</v>
      </c>
      <c r="BK44" s="440">
        <v>8532.9639999999999</v>
      </c>
      <c r="BL44" s="37"/>
      <c r="BM44" s="75"/>
      <c r="BN44" s="75"/>
      <c r="BO44" s="75"/>
      <c r="BP44" s="75"/>
      <c r="BQ44" s="75"/>
      <c r="BR44" s="75"/>
      <c r="BS44" s="217"/>
      <c r="BT44" s="75">
        <v>1915.4390000000001</v>
      </c>
      <c r="BU44" s="231">
        <f t="shared" si="128"/>
        <v>2038.1264999999999</v>
      </c>
      <c r="BV44" s="75">
        <v>2160.8139999999999</v>
      </c>
      <c r="BW44" s="73">
        <v>2391.87</v>
      </c>
      <c r="BX44" s="32">
        <v>2498.2139999999999</v>
      </c>
      <c r="BY44" s="32">
        <v>2560.3240000000001</v>
      </c>
      <c r="BZ44" s="32">
        <v>2826.8180000000002</v>
      </c>
      <c r="CA44" s="32">
        <v>2735.7579999999998</v>
      </c>
      <c r="CB44" s="32">
        <v>2856.53</v>
      </c>
      <c r="CC44" s="32">
        <v>2961.0819999999999</v>
      </c>
      <c r="CD44" s="32">
        <v>3081.6469999999999</v>
      </c>
      <c r="CE44" s="231">
        <f t="shared" si="129"/>
        <v>3267.8244999999997</v>
      </c>
      <c r="CF44" s="32">
        <v>3454.002</v>
      </c>
      <c r="CG44" s="231">
        <f t="shared" si="130"/>
        <v>3574.4274999999998</v>
      </c>
      <c r="CH44" s="32">
        <v>3694.8530000000001</v>
      </c>
      <c r="CI44" s="32">
        <v>3803.9859999999999</v>
      </c>
      <c r="CJ44" s="32">
        <v>4117.3639999999996</v>
      </c>
      <c r="CK44" s="32">
        <v>4479.6030000000001</v>
      </c>
      <c r="CL44" s="32">
        <v>4758.174</v>
      </c>
      <c r="CM44" s="32">
        <v>5431.4049999999997</v>
      </c>
      <c r="CN44" s="32">
        <v>5554.3270000000002</v>
      </c>
      <c r="CO44" s="32">
        <v>5258.2520000000004</v>
      </c>
      <c r="CP44" s="440">
        <v>5088.6570000000002</v>
      </c>
      <c r="CQ44" s="37"/>
      <c r="CR44" s="75"/>
      <c r="CS44" s="75"/>
      <c r="CT44" s="75"/>
      <c r="CU44" s="75"/>
      <c r="CV44" s="75"/>
      <c r="CW44" s="75"/>
      <c r="CX44" s="217"/>
      <c r="CY44" s="75">
        <v>941.77800000000002</v>
      </c>
      <c r="CZ44" s="231">
        <f t="shared" si="131"/>
        <v>1082.501</v>
      </c>
      <c r="DA44" s="75">
        <f>1223224/1000</f>
        <v>1223.2239999999999</v>
      </c>
      <c r="DB44" s="73">
        <v>1098.3989999999999</v>
      </c>
      <c r="DC44" s="32">
        <v>1167.8630000000001</v>
      </c>
      <c r="DD44" s="32">
        <v>1233.9690000000001</v>
      </c>
      <c r="DE44" s="32">
        <v>1262.759</v>
      </c>
      <c r="DF44" s="32">
        <v>1265.2860000000001</v>
      </c>
      <c r="DG44" s="32">
        <v>1371.7</v>
      </c>
      <c r="DH44" s="32">
        <v>1636.8530000000001</v>
      </c>
      <c r="DI44" s="32">
        <v>1666.538</v>
      </c>
      <c r="DJ44" s="231">
        <f t="shared" si="132"/>
        <v>1718.5005000000001</v>
      </c>
      <c r="DK44" s="32">
        <v>1770.463</v>
      </c>
      <c r="DL44" s="231">
        <f t="shared" si="133"/>
        <v>1991.5639999999999</v>
      </c>
      <c r="DM44" s="32">
        <v>2212.665</v>
      </c>
      <c r="DN44" s="32">
        <v>2282.9949999999999</v>
      </c>
      <c r="DO44" s="32">
        <v>2287.2530000000002</v>
      </c>
      <c r="DP44" s="32">
        <v>2395.65</v>
      </c>
      <c r="DQ44" s="32">
        <v>2524.8470000000002</v>
      </c>
      <c r="DR44" s="32">
        <v>2748.5839999999998</v>
      </c>
      <c r="DS44" s="32">
        <v>2720.6129999999998</v>
      </c>
      <c r="DT44" s="32">
        <v>2844.866</v>
      </c>
      <c r="DU44" s="440">
        <v>3083.49</v>
      </c>
      <c r="DV44" s="38"/>
      <c r="DW44" s="219"/>
      <c r="DX44" s="219"/>
      <c r="DY44" s="219"/>
      <c r="DZ44" s="219"/>
      <c r="EA44" s="219"/>
      <c r="EB44" s="219"/>
      <c r="EC44" s="219"/>
      <c r="ED44" s="40">
        <f t="shared" si="134"/>
        <v>123.99699999999984</v>
      </c>
      <c r="EE44" s="40">
        <f t="shared" si="135"/>
        <v>139.63499999999999</v>
      </c>
      <c r="EF44" s="40">
        <f t="shared" si="136"/>
        <v>155.27300000000037</v>
      </c>
      <c r="EG44" s="40">
        <f t="shared" si="137"/>
        <v>159.91900000000032</v>
      </c>
      <c r="EH44" s="40">
        <f t="shared" si="138"/>
        <v>178.43099999999981</v>
      </c>
      <c r="EI44" s="40">
        <f t="shared" si="139"/>
        <v>186.02399999999989</v>
      </c>
      <c r="EJ44" s="40">
        <f t="shared" si="140"/>
        <v>199.85199999999986</v>
      </c>
      <c r="EK44" s="40">
        <f t="shared" si="141"/>
        <v>198.03999999999996</v>
      </c>
      <c r="EL44" s="40">
        <f t="shared" si="142"/>
        <v>197.18799999999942</v>
      </c>
      <c r="EM44" s="40">
        <f t="shared" si="143"/>
        <v>229.7819999999997</v>
      </c>
      <c r="EN44" s="40">
        <f t="shared" si="144"/>
        <v>202.17599999999993</v>
      </c>
      <c r="EO44" s="40">
        <f t="shared" si="145"/>
        <v>277.12950000000001</v>
      </c>
      <c r="EP44" s="40">
        <f t="shared" si="146"/>
        <v>352.08299999999986</v>
      </c>
      <c r="EQ44" s="40">
        <f t="shared" si="147"/>
        <v>365.4069999999997</v>
      </c>
      <c r="ER44" s="40">
        <f t="shared" si="148"/>
        <v>378.73099999999977</v>
      </c>
      <c r="ES44" s="40">
        <f t="shared" si="149"/>
        <v>274.75700000000052</v>
      </c>
      <c r="ET44" s="40">
        <f t="shared" si="150"/>
        <v>286.5280000000007</v>
      </c>
      <c r="EU44" s="40">
        <f t="shared" si="151"/>
        <v>285.53800000000001</v>
      </c>
      <c r="EV44" s="40">
        <f t="shared" si="152"/>
        <v>346.10399999999981</v>
      </c>
      <c r="EW44" s="40">
        <f t="shared" si="153"/>
        <v>357.9380000000001</v>
      </c>
      <c r="EX44" s="40">
        <f t="shared" si="154"/>
        <v>383.02299999999968</v>
      </c>
      <c r="EY44" s="40">
        <f t="shared" si="155"/>
        <v>373.17399999999907</v>
      </c>
      <c r="EZ44" s="40">
        <f t="shared" si="156"/>
        <v>360.81700000000001</v>
      </c>
      <c r="FA44" s="176"/>
      <c r="FB44" s="75"/>
      <c r="FC44" s="75"/>
      <c r="FD44" s="75"/>
      <c r="FE44" s="75"/>
      <c r="FF44" s="75"/>
      <c r="FG44" s="75"/>
      <c r="FH44" s="217"/>
      <c r="FI44" s="75">
        <f>758.018+487.785+154.345+16.25+1.502</f>
        <v>1417.9</v>
      </c>
      <c r="FJ44" s="231">
        <f t="shared" si="157"/>
        <v>1543.2545</v>
      </c>
      <c r="FK44" s="75">
        <v>1668.6089999999999</v>
      </c>
      <c r="FL44" s="73">
        <v>1871.9739999999999</v>
      </c>
      <c r="FM44" s="32">
        <v>2042.44</v>
      </c>
      <c r="FN44" s="32">
        <v>2164.7489999999998</v>
      </c>
      <c r="FO44" s="32">
        <v>2150.9050000000002</v>
      </c>
      <c r="FP44" s="32">
        <v>2239.6990000000001</v>
      </c>
      <c r="FQ44" s="32">
        <v>2225.4250000000002</v>
      </c>
      <c r="FR44" s="32">
        <v>2330.134</v>
      </c>
      <c r="FS44" s="32">
        <v>2304.6129999999998</v>
      </c>
      <c r="FT44" s="231">
        <f t="shared" si="158"/>
        <v>2790.4965000000002</v>
      </c>
      <c r="FU44" s="32">
        <v>3276.38</v>
      </c>
      <c r="FV44" s="231">
        <f t="shared" si="159"/>
        <v>3453.2624999999998</v>
      </c>
      <c r="FW44" s="32">
        <v>3630.145</v>
      </c>
      <c r="FX44" s="32">
        <v>3831.6129999999998</v>
      </c>
      <c r="FY44" s="32">
        <v>4158.2309999999998</v>
      </c>
      <c r="FZ44" s="32">
        <v>4971.7460000000001</v>
      </c>
      <c r="GA44" s="32">
        <v>5445.7929999999997</v>
      </c>
      <c r="GB44" s="32">
        <v>5522.924</v>
      </c>
      <c r="GC44" s="32">
        <v>5856.1049999999996</v>
      </c>
      <c r="GD44" s="32">
        <v>6271.527</v>
      </c>
      <c r="GE44" s="440">
        <v>6402.9790000000003</v>
      </c>
      <c r="GF44" s="37"/>
      <c r="GG44" s="75"/>
      <c r="GH44" s="75"/>
      <c r="GI44" s="75"/>
      <c r="GJ44" s="75"/>
      <c r="GK44" s="75"/>
      <c r="GL44" s="75"/>
      <c r="GM44" s="217"/>
      <c r="GN44" s="75">
        <f>819.513+42.676+2.09+0.735+228.452+99.004+210.011+33.283+155.73+96.716+33.298+80.705+38.374</f>
        <v>1840.5869999999998</v>
      </c>
      <c r="GO44" s="231">
        <f t="shared" si="160"/>
        <v>1965.0414999999998</v>
      </c>
      <c r="GP44" s="75">
        <v>2089.4960000000001</v>
      </c>
      <c r="GQ44" s="73">
        <v>2153.7829999999999</v>
      </c>
      <c r="GR44" s="32">
        <v>2365.047</v>
      </c>
      <c r="GS44" s="32">
        <v>2540</v>
      </c>
      <c r="GT44" s="32">
        <v>2786.1610000000001</v>
      </c>
      <c r="GU44" s="32">
        <v>2945.654</v>
      </c>
      <c r="GV44" s="32">
        <v>2912.2440000000001</v>
      </c>
      <c r="GW44" s="32">
        <v>3065.65</v>
      </c>
      <c r="GX44" s="32">
        <v>3560.6239999999998</v>
      </c>
      <c r="GY44" s="231">
        <f t="shared" si="161"/>
        <v>3540.348</v>
      </c>
      <c r="GZ44" s="32">
        <v>3520.0720000000001</v>
      </c>
      <c r="HA44" s="231">
        <f t="shared" si="162"/>
        <v>3644.0630000000001</v>
      </c>
      <c r="HB44" s="32">
        <v>3768.0540000000001</v>
      </c>
      <c r="HC44" s="32">
        <v>4082.643</v>
      </c>
      <c r="HD44" s="32">
        <v>4340.1549999999997</v>
      </c>
      <c r="HE44" s="32">
        <v>4220.3509999999997</v>
      </c>
      <c r="HF44" s="32">
        <v>4606.0079999999998</v>
      </c>
      <c r="HG44" s="32">
        <v>4791.5649999999996</v>
      </c>
      <c r="HH44" s="32">
        <v>4804.9769999999999</v>
      </c>
      <c r="HI44" s="32">
        <v>4833.4949999999999</v>
      </c>
      <c r="HJ44" s="440">
        <v>4821.0469999999996</v>
      </c>
      <c r="HK44" s="37"/>
      <c r="HL44" s="75"/>
      <c r="HM44" s="75"/>
      <c r="HN44" s="75"/>
      <c r="HO44" s="75"/>
      <c r="HP44" s="75"/>
      <c r="HQ44" s="75"/>
      <c r="HR44" s="217"/>
      <c r="HS44" s="75">
        <f>182.61+120.651+53.628+104.092</f>
        <v>460.98099999999999</v>
      </c>
      <c r="HT44" s="231">
        <f t="shared" si="163"/>
        <v>466.0095</v>
      </c>
      <c r="HU44" s="75">
        <v>471.03800000000001</v>
      </c>
      <c r="HV44" s="73">
        <v>515.25099999999998</v>
      </c>
      <c r="HW44" s="32">
        <v>545.54700000000003</v>
      </c>
      <c r="HX44" s="32">
        <v>608.90700000000004</v>
      </c>
      <c r="HY44" s="32">
        <v>617.00699999999995</v>
      </c>
      <c r="HZ44" s="32">
        <v>604.36900000000003</v>
      </c>
      <c r="IA44" s="32">
        <v>655.59400000000005</v>
      </c>
      <c r="IB44" s="32">
        <v>703.57</v>
      </c>
      <c r="IC44" s="32">
        <v>953.30100000000004</v>
      </c>
      <c r="ID44" s="231">
        <f t="shared" si="164"/>
        <v>948.30899999999997</v>
      </c>
      <c r="IE44" s="32">
        <v>943.31700000000001</v>
      </c>
      <c r="IF44" s="231">
        <f t="shared" si="165"/>
        <v>960.83749999999998</v>
      </c>
      <c r="IG44" s="32">
        <v>978.35799999999995</v>
      </c>
      <c r="IH44" s="32">
        <v>887.53700000000003</v>
      </c>
      <c r="II44" s="32">
        <v>959.39400000000001</v>
      </c>
      <c r="IJ44" s="32">
        <v>917.04700000000003</v>
      </c>
      <c r="IK44" s="32">
        <v>1057.489</v>
      </c>
      <c r="IL44" s="32">
        <v>1093.463</v>
      </c>
      <c r="IM44" s="32">
        <v>1147.0139999999999</v>
      </c>
      <c r="IN44" s="32">
        <v>1061.1759999999999</v>
      </c>
      <c r="IO44" s="445">
        <v>1107.374</v>
      </c>
      <c r="IP44" s="37"/>
      <c r="IQ44" s="75"/>
      <c r="IR44" s="75"/>
      <c r="IS44" s="75"/>
      <c r="IT44" s="75"/>
      <c r="IU44" s="75"/>
      <c r="IV44" s="75"/>
      <c r="IW44" s="217"/>
      <c r="IX44" s="75">
        <f>498.027+294.147</f>
        <v>792.17399999999998</v>
      </c>
      <c r="IY44" s="231">
        <f t="shared" si="166"/>
        <v>790.25649999999996</v>
      </c>
      <c r="IZ44" s="75">
        <v>788.33900000000006</v>
      </c>
      <c r="JA44" s="73">
        <v>826.178</v>
      </c>
      <c r="JB44" s="47">
        <v>917.42399999999998</v>
      </c>
      <c r="JC44" s="47">
        <v>927.16</v>
      </c>
      <c r="JD44" s="47">
        <v>982.23599999999999</v>
      </c>
      <c r="JE44" s="47">
        <v>1049.2909999999999</v>
      </c>
      <c r="JF44" s="17">
        <v>1113.893</v>
      </c>
      <c r="JG44" s="17">
        <v>1138.492</v>
      </c>
      <c r="JH44" s="17">
        <v>1115.6320000000001</v>
      </c>
      <c r="JI44" s="231">
        <f t="shared" si="167"/>
        <v>1337.7449999999999</v>
      </c>
      <c r="JJ44" s="17">
        <v>1559.8579999999999</v>
      </c>
      <c r="JK44" s="231">
        <f t="shared" si="168"/>
        <v>1591.327</v>
      </c>
      <c r="JL44" s="17">
        <v>1622.796</v>
      </c>
      <c r="JM44" s="17">
        <v>1632.742</v>
      </c>
      <c r="JN44" s="17">
        <v>1836.3330000000001</v>
      </c>
      <c r="JO44" s="32">
        <v>2107.5219999999999</v>
      </c>
      <c r="JP44" s="32">
        <v>2154.88</v>
      </c>
      <c r="JQ44" s="32">
        <v>2419.5079999999998</v>
      </c>
      <c r="JR44" s="32">
        <v>2464.538</v>
      </c>
      <c r="JS44" s="17">
        <v>2328.8850000000002</v>
      </c>
      <c r="JT44" s="450">
        <v>2089.442</v>
      </c>
    </row>
    <row r="45" spans="1:280" s="17" customFormat="1" ht="12.75" customHeight="1">
      <c r="A45" s="222" t="s">
        <v>60</v>
      </c>
      <c r="J45" s="17">
        <v>31202.591</v>
      </c>
      <c r="K45" s="231">
        <f t="shared" si="122"/>
        <v>33423.699999999997</v>
      </c>
      <c r="L45" s="17">
        <v>35644.809000000001</v>
      </c>
      <c r="M45" s="16">
        <v>37699.961000000003</v>
      </c>
      <c r="N45" s="73">
        <v>39432.201000000001</v>
      </c>
      <c r="O45" s="32">
        <v>41564.752</v>
      </c>
      <c r="P45" s="32">
        <v>43493.571000000004</v>
      </c>
      <c r="Q45" s="32">
        <v>45887.584000000003</v>
      </c>
      <c r="R45" s="32">
        <v>48552.023999999998</v>
      </c>
      <c r="S45" s="32">
        <v>50616.14</v>
      </c>
      <c r="T45" s="32">
        <v>54812.156000000003</v>
      </c>
      <c r="U45" s="231">
        <f t="shared" si="123"/>
        <v>57797.349499999997</v>
      </c>
      <c r="V45" s="32">
        <v>60782.542999999998</v>
      </c>
      <c r="W45" s="231">
        <f t="shared" si="124"/>
        <v>64241.9565</v>
      </c>
      <c r="X45" s="32">
        <v>67701.37</v>
      </c>
      <c r="Y45" s="32">
        <v>67107.846999999994</v>
      </c>
      <c r="Z45" s="32">
        <v>65930.532000000007</v>
      </c>
      <c r="AA45" s="32">
        <v>69936.573000000004</v>
      </c>
      <c r="AB45" s="32">
        <v>72284.062000000005</v>
      </c>
      <c r="AC45" s="32">
        <v>72805.373999999996</v>
      </c>
      <c r="AD45" s="32">
        <v>73885.361000000004</v>
      </c>
      <c r="AE45" s="32">
        <v>73723.149000000005</v>
      </c>
      <c r="AF45" s="440">
        <v>73807.410999999993</v>
      </c>
      <c r="AG45" s="184"/>
      <c r="AO45" s="17">
        <f>11838.307+130.451</f>
        <v>11968.758</v>
      </c>
      <c r="AP45" s="231">
        <f t="shared" si="125"/>
        <v>12994.958500000001</v>
      </c>
      <c r="AQ45" s="30">
        <v>14021.159</v>
      </c>
      <c r="AR45" s="32">
        <v>14960.174000000001</v>
      </c>
      <c r="AS45" s="32">
        <v>15172.273999999999</v>
      </c>
      <c r="AT45" s="32">
        <v>16501.284</v>
      </c>
      <c r="AU45" s="32">
        <v>17402.509999999998</v>
      </c>
      <c r="AV45" s="32">
        <v>18471.653999999999</v>
      </c>
      <c r="AW45" s="32">
        <v>20091.071</v>
      </c>
      <c r="AX45" s="32">
        <v>21471.271000000001</v>
      </c>
      <c r="AY45" s="32">
        <v>22779.387999999999</v>
      </c>
      <c r="AZ45" s="231">
        <f t="shared" si="126"/>
        <v>23437.758000000002</v>
      </c>
      <c r="BA45" s="32">
        <v>24096.128000000001</v>
      </c>
      <c r="BB45" s="231">
        <f t="shared" si="127"/>
        <v>25715.628000000001</v>
      </c>
      <c r="BC45" s="32">
        <v>27335.128000000001</v>
      </c>
      <c r="BD45" s="32">
        <v>27499.382000000001</v>
      </c>
      <c r="BE45" s="32">
        <v>26680.773000000001</v>
      </c>
      <c r="BF45" s="32">
        <v>28657.011999999999</v>
      </c>
      <c r="BG45" s="32">
        <v>28799.624</v>
      </c>
      <c r="BH45" s="32">
        <v>28532.143</v>
      </c>
      <c r="BI45" s="32">
        <v>29511.472000000002</v>
      </c>
      <c r="BJ45" s="32">
        <v>29082.565999999999</v>
      </c>
      <c r="BK45" s="440">
        <v>29073.147000000001</v>
      </c>
      <c r="BL45" s="37"/>
      <c r="BM45" s="75"/>
      <c r="BN45" s="75"/>
      <c r="BO45" s="75"/>
      <c r="BP45" s="75"/>
      <c r="BQ45" s="75"/>
      <c r="BR45" s="75"/>
      <c r="BS45" s="217"/>
      <c r="BT45" s="75">
        <v>7987.52</v>
      </c>
      <c r="BU45" s="231">
        <f t="shared" si="128"/>
        <v>8772.6209999999992</v>
      </c>
      <c r="BV45" s="75">
        <v>9557.7219999999998</v>
      </c>
      <c r="BW45" s="73">
        <v>10254.344999999999</v>
      </c>
      <c r="BX45" s="32">
        <v>10171.883</v>
      </c>
      <c r="BY45" s="32">
        <v>11098.585999999999</v>
      </c>
      <c r="BZ45" s="32">
        <v>11453.575999999999</v>
      </c>
      <c r="CA45" s="32">
        <v>12493.457</v>
      </c>
      <c r="CB45" s="32">
        <v>13693.873</v>
      </c>
      <c r="CC45" s="32">
        <v>14434.241</v>
      </c>
      <c r="CD45" s="32">
        <v>15094.92</v>
      </c>
      <c r="CE45" s="231">
        <f t="shared" si="129"/>
        <v>15539.96</v>
      </c>
      <c r="CF45" s="32">
        <v>15985</v>
      </c>
      <c r="CG45" s="231">
        <f t="shared" si="130"/>
        <v>17220.371500000001</v>
      </c>
      <c r="CH45" s="32">
        <v>18455.742999999999</v>
      </c>
      <c r="CI45" s="32">
        <v>18547.108</v>
      </c>
      <c r="CJ45" s="32">
        <v>17232.991999999998</v>
      </c>
      <c r="CK45" s="32">
        <v>18938.54</v>
      </c>
      <c r="CL45" s="32">
        <v>17985.16</v>
      </c>
      <c r="CM45" s="32">
        <v>18053.490000000002</v>
      </c>
      <c r="CN45" s="32">
        <v>17923.446</v>
      </c>
      <c r="CO45" s="32">
        <v>17511.552</v>
      </c>
      <c r="CP45" s="440">
        <v>17082.050999999999</v>
      </c>
      <c r="CQ45" s="37"/>
      <c r="CR45" s="75"/>
      <c r="CS45" s="75"/>
      <c r="CT45" s="75"/>
      <c r="CU45" s="75"/>
      <c r="CV45" s="75"/>
      <c r="CW45" s="75"/>
      <c r="CX45" s="217"/>
      <c r="CY45" s="75">
        <v>3550.413</v>
      </c>
      <c r="CZ45" s="231">
        <f t="shared" si="131"/>
        <v>3742.7695000000003</v>
      </c>
      <c r="DA45" s="75">
        <f>3935126/1000</f>
        <v>3935.1260000000002</v>
      </c>
      <c r="DB45" s="73">
        <v>4173.5839999999998</v>
      </c>
      <c r="DC45" s="32">
        <v>4473.21</v>
      </c>
      <c r="DD45" s="32">
        <v>4642.6840000000002</v>
      </c>
      <c r="DE45" s="32">
        <v>4992.6589999999997</v>
      </c>
      <c r="DF45" s="32">
        <v>5215.3770000000004</v>
      </c>
      <c r="DG45" s="32">
        <v>5616.585</v>
      </c>
      <c r="DH45" s="32">
        <v>6231.8320000000003</v>
      </c>
      <c r="DI45" s="32">
        <v>6849.9009999999998</v>
      </c>
      <c r="DJ45" s="231">
        <f t="shared" si="132"/>
        <v>7073.0045</v>
      </c>
      <c r="DK45" s="32">
        <v>7296.1080000000002</v>
      </c>
      <c r="DL45" s="231">
        <f t="shared" si="133"/>
        <v>7617.7555000000002</v>
      </c>
      <c r="DM45" s="32">
        <v>7939.4030000000002</v>
      </c>
      <c r="DN45" s="32">
        <v>7891.2070000000003</v>
      </c>
      <c r="DO45" s="32">
        <v>8297.9959999999992</v>
      </c>
      <c r="DP45" s="32">
        <v>8437.1720000000005</v>
      </c>
      <c r="DQ45" s="32">
        <v>9453.15</v>
      </c>
      <c r="DR45" s="32">
        <v>9088.509</v>
      </c>
      <c r="DS45" s="32">
        <v>10097.405000000001</v>
      </c>
      <c r="DT45" s="32">
        <v>10219.623</v>
      </c>
      <c r="DU45" s="440">
        <v>10608.307000000001</v>
      </c>
      <c r="DV45" s="38"/>
      <c r="DW45" s="219"/>
      <c r="DX45" s="219"/>
      <c r="DY45" s="219"/>
      <c r="DZ45" s="219"/>
      <c r="EA45" s="219"/>
      <c r="EB45" s="219"/>
      <c r="EC45" s="219"/>
      <c r="ED45" s="40">
        <f t="shared" si="134"/>
        <v>430.82499999999936</v>
      </c>
      <c r="EE45" s="40">
        <f t="shared" si="135"/>
        <v>479.56800000000112</v>
      </c>
      <c r="EF45" s="40">
        <f t="shared" si="136"/>
        <v>528.31099999999969</v>
      </c>
      <c r="EG45" s="40">
        <f t="shared" si="137"/>
        <v>532.24500000000171</v>
      </c>
      <c r="EH45" s="40">
        <f t="shared" si="138"/>
        <v>527.18099999999959</v>
      </c>
      <c r="EI45" s="40">
        <f t="shared" si="139"/>
        <v>760.01400000000012</v>
      </c>
      <c r="EJ45" s="40">
        <f t="shared" si="140"/>
        <v>956.27499999999964</v>
      </c>
      <c r="EK45" s="40">
        <f t="shared" si="141"/>
        <v>762.81999999999789</v>
      </c>
      <c r="EL45" s="40">
        <f t="shared" si="142"/>
        <v>780.61300000000028</v>
      </c>
      <c r="EM45" s="40">
        <f t="shared" si="143"/>
        <v>805.19800000000032</v>
      </c>
      <c r="EN45" s="40">
        <f t="shared" si="144"/>
        <v>834.5669999999991</v>
      </c>
      <c r="EO45" s="40">
        <f t="shared" si="145"/>
        <v>824.7935000000025</v>
      </c>
      <c r="EP45" s="40">
        <f t="shared" si="146"/>
        <v>815.02000000000044</v>
      </c>
      <c r="EQ45" s="40">
        <f t="shared" si="147"/>
        <v>877.50099999999929</v>
      </c>
      <c r="ER45" s="40">
        <f t="shared" si="148"/>
        <v>939.98200000000179</v>
      </c>
      <c r="ES45" s="40">
        <f t="shared" si="149"/>
        <v>1061.0670000000009</v>
      </c>
      <c r="ET45" s="40">
        <f t="shared" si="150"/>
        <v>1149.7850000000035</v>
      </c>
      <c r="EU45" s="40">
        <f t="shared" si="151"/>
        <v>1281.2999999999975</v>
      </c>
      <c r="EV45" s="40">
        <f t="shared" si="152"/>
        <v>1361.3140000000003</v>
      </c>
      <c r="EW45" s="40">
        <f t="shared" si="153"/>
        <v>1390.1439999999984</v>
      </c>
      <c r="EX45" s="40">
        <f t="shared" si="154"/>
        <v>1490.621000000001</v>
      </c>
      <c r="EY45" s="40">
        <f t="shared" si="155"/>
        <v>1351.3909999999996</v>
      </c>
      <c r="EZ45" s="40">
        <f t="shared" si="156"/>
        <v>1382.7890000000007</v>
      </c>
      <c r="FA45" s="176"/>
      <c r="FB45" s="75"/>
      <c r="FC45" s="75"/>
      <c r="FD45" s="75"/>
      <c r="FE45" s="75"/>
      <c r="FF45" s="75"/>
      <c r="FG45" s="75"/>
      <c r="FH45" s="217"/>
      <c r="FI45" s="75">
        <f>4672.134+1721.868+1564.343+147.243+0.648</f>
        <v>8106.2360000000008</v>
      </c>
      <c r="FJ45" s="231">
        <f t="shared" si="157"/>
        <v>8759.8405000000002</v>
      </c>
      <c r="FK45" s="75">
        <v>9413.4449999999997</v>
      </c>
      <c r="FL45" s="73">
        <v>10016.878000000001</v>
      </c>
      <c r="FM45" s="32">
        <v>11057.638000000001</v>
      </c>
      <c r="FN45" s="32">
        <v>10825.907999999999</v>
      </c>
      <c r="FO45" s="32">
        <v>11090.737999999999</v>
      </c>
      <c r="FP45" s="32">
        <v>11474.298000000001</v>
      </c>
      <c r="FQ45" s="32">
        <v>11230.949000000001</v>
      </c>
      <c r="FR45" s="32">
        <v>10867.034</v>
      </c>
      <c r="FS45" s="32">
        <v>12614.337</v>
      </c>
      <c r="FT45" s="231">
        <f t="shared" si="158"/>
        <v>14012.443499999999</v>
      </c>
      <c r="FU45" s="32">
        <v>15410.55</v>
      </c>
      <c r="FV45" s="231">
        <f t="shared" si="159"/>
        <v>16286.7155</v>
      </c>
      <c r="FW45" s="32">
        <v>17162.881000000001</v>
      </c>
      <c r="FX45" s="32">
        <v>17180.683000000001</v>
      </c>
      <c r="FY45" s="32">
        <v>16565.669999999998</v>
      </c>
      <c r="FZ45" s="32">
        <v>17602.436000000002</v>
      </c>
      <c r="GA45" s="32">
        <v>18745.651000000002</v>
      </c>
      <c r="GB45" s="32">
        <v>19717.45</v>
      </c>
      <c r="GC45" s="32">
        <v>20494.48</v>
      </c>
      <c r="GD45" s="32">
        <v>20902.569</v>
      </c>
      <c r="GE45" s="440">
        <v>21347.623</v>
      </c>
      <c r="GF45" s="37"/>
      <c r="GG45" s="75"/>
      <c r="GH45" s="75"/>
      <c r="GI45" s="75"/>
      <c r="GJ45" s="75"/>
      <c r="GK45" s="75"/>
      <c r="GL45" s="75"/>
      <c r="GM45" s="217"/>
      <c r="GN45" s="75">
        <f>1860.072+140.272+39.016+1.828+36.026+1169.958+389.035+958.387+164.129+283.964+412.019+135.228+703.726+310.785</f>
        <v>6604.4449999999997</v>
      </c>
      <c r="GO45" s="231">
        <f t="shared" si="160"/>
        <v>6908.0905000000002</v>
      </c>
      <c r="GP45" s="75">
        <v>7211.7359999999999</v>
      </c>
      <c r="GQ45" s="73">
        <v>7502.6890000000003</v>
      </c>
      <c r="GR45" s="32">
        <v>7886.49</v>
      </c>
      <c r="GS45" s="32">
        <v>8645.3770000000004</v>
      </c>
      <c r="GT45" s="32">
        <v>9119.7630000000008</v>
      </c>
      <c r="GU45" s="32">
        <v>9509.9860000000008</v>
      </c>
      <c r="GV45" s="32">
        <v>10291.393</v>
      </c>
      <c r="GW45" s="32">
        <v>10987.781999999999</v>
      </c>
      <c r="GX45" s="32">
        <v>11737.286</v>
      </c>
      <c r="GY45" s="231">
        <f t="shared" si="161"/>
        <v>12399.028</v>
      </c>
      <c r="GZ45" s="32">
        <v>13060.77</v>
      </c>
      <c r="HA45" s="231">
        <f t="shared" si="162"/>
        <v>13657.130000000001</v>
      </c>
      <c r="HB45" s="32">
        <v>14253.49</v>
      </c>
      <c r="HC45" s="32">
        <v>14188.962</v>
      </c>
      <c r="HD45" s="32">
        <v>14263.264999999999</v>
      </c>
      <c r="HE45" s="32">
        <v>14955.992</v>
      </c>
      <c r="HF45" s="32">
        <v>15508.552</v>
      </c>
      <c r="HG45" s="32">
        <v>15520.226000000001</v>
      </c>
      <c r="HH45" s="32">
        <v>14688.352000000001</v>
      </c>
      <c r="HI45" s="32">
        <v>14720.001</v>
      </c>
      <c r="HJ45" s="440">
        <v>14601.258</v>
      </c>
      <c r="HK45" s="37"/>
      <c r="HL45" s="75"/>
      <c r="HM45" s="75"/>
      <c r="HN45" s="75"/>
      <c r="HO45" s="75"/>
      <c r="HP45" s="75"/>
      <c r="HQ45" s="75"/>
      <c r="HR45" s="217"/>
      <c r="HS45" s="75">
        <f>466.694+538.973+200.333+399.32</f>
        <v>1605.32</v>
      </c>
      <c r="HT45" s="231">
        <f t="shared" si="163"/>
        <v>1714.8869999999999</v>
      </c>
      <c r="HU45" s="75">
        <v>1824.454</v>
      </c>
      <c r="HV45" s="73">
        <v>1837.8630000000001</v>
      </c>
      <c r="HW45" s="32">
        <v>1958.434</v>
      </c>
      <c r="HX45" s="32">
        <v>2030.7380000000001</v>
      </c>
      <c r="HY45" s="32">
        <v>2067.0450000000001</v>
      </c>
      <c r="HZ45" s="32">
        <v>2189.9430000000002</v>
      </c>
      <c r="IA45" s="32">
        <v>2331.1410000000001</v>
      </c>
      <c r="IB45" s="32">
        <v>2447.8980000000001</v>
      </c>
      <c r="IC45" s="32">
        <v>2761.22</v>
      </c>
      <c r="ID45" s="231">
        <f t="shared" si="164"/>
        <v>2810.7195000000002</v>
      </c>
      <c r="IE45" s="32">
        <v>2860.2190000000001</v>
      </c>
      <c r="IF45" s="231">
        <f t="shared" si="165"/>
        <v>2901.3410000000003</v>
      </c>
      <c r="IG45" s="32">
        <v>2942.4630000000002</v>
      </c>
      <c r="IH45" s="32">
        <v>3082.9960000000001</v>
      </c>
      <c r="II45" s="32">
        <v>3198.2719999999999</v>
      </c>
      <c r="IJ45" s="32">
        <v>3152.1190000000001</v>
      </c>
      <c r="IK45" s="32">
        <v>3083.7689999999998</v>
      </c>
      <c r="IL45" s="32">
        <v>2908.11</v>
      </c>
      <c r="IM45" s="32">
        <v>2777.3069999999998</v>
      </c>
      <c r="IN45" s="32">
        <v>2816.1170000000002</v>
      </c>
      <c r="IO45" s="445">
        <v>2854.1329999999998</v>
      </c>
      <c r="IP45" s="37"/>
      <c r="IQ45" s="75"/>
      <c r="IR45" s="75"/>
      <c r="IS45" s="75"/>
      <c r="IT45" s="75"/>
      <c r="IU45" s="75"/>
      <c r="IV45" s="75"/>
      <c r="IW45" s="217"/>
      <c r="IX45" s="75">
        <f>1186.377+16.393+1715.062</f>
        <v>2917.8319999999999</v>
      </c>
      <c r="IY45" s="231">
        <f t="shared" si="166"/>
        <v>3045.9234999999999</v>
      </c>
      <c r="IZ45" s="75">
        <v>3174.0149999999999</v>
      </c>
      <c r="JA45" s="73">
        <v>3382.357</v>
      </c>
      <c r="JB45" s="47">
        <v>3357.3649999999998</v>
      </c>
      <c r="JC45" s="47">
        <v>3561.4450000000002</v>
      </c>
      <c r="JD45" s="47">
        <v>3813.5149999999999</v>
      </c>
      <c r="JE45" s="47">
        <v>4241.7030000000004</v>
      </c>
      <c r="JF45" s="17">
        <v>4607.47</v>
      </c>
      <c r="JG45" s="17">
        <v>4842.1549999999997</v>
      </c>
      <c r="JH45" s="17">
        <v>4919.9250000000002</v>
      </c>
      <c r="JI45" s="231">
        <f t="shared" si="167"/>
        <v>5137.4004999999997</v>
      </c>
      <c r="JJ45" s="17">
        <v>5354.8760000000002</v>
      </c>
      <c r="JK45" s="231">
        <f t="shared" si="168"/>
        <v>5681.1419999999998</v>
      </c>
      <c r="JL45" s="17">
        <v>6007.4080000000004</v>
      </c>
      <c r="JM45" s="17">
        <v>5155.8239999999996</v>
      </c>
      <c r="JN45" s="17">
        <v>5222.5519999999997</v>
      </c>
      <c r="JO45" s="32">
        <v>5569.0140000000001</v>
      </c>
      <c r="JP45" s="32">
        <v>6146.4660000000003</v>
      </c>
      <c r="JQ45" s="32">
        <v>6127.4449999999997</v>
      </c>
      <c r="JR45" s="32">
        <v>6413.7510000000002</v>
      </c>
      <c r="JS45" s="17">
        <v>6201.8959999999997</v>
      </c>
      <c r="JT45" s="450">
        <v>5931.25</v>
      </c>
    </row>
    <row r="46" spans="1:280" s="17" customFormat="1" ht="12.75" customHeight="1">
      <c r="A46" s="222" t="s">
        <v>61</v>
      </c>
      <c r="J46" s="17">
        <v>17121.764999999999</v>
      </c>
      <c r="K46" s="231">
        <f t="shared" si="122"/>
        <v>18627.518499999998</v>
      </c>
      <c r="L46" s="17">
        <v>20133.272000000001</v>
      </c>
      <c r="M46" s="16">
        <v>21692.646000000001</v>
      </c>
      <c r="N46" s="73">
        <v>22089.16</v>
      </c>
      <c r="O46" s="32">
        <v>23796.620999999999</v>
      </c>
      <c r="P46" s="32">
        <v>24715.339</v>
      </c>
      <c r="Q46" s="32">
        <v>25115.859</v>
      </c>
      <c r="R46" s="32">
        <v>27019.261999999999</v>
      </c>
      <c r="S46" s="32">
        <v>28160.092000000001</v>
      </c>
      <c r="T46" s="32">
        <v>31166.331999999999</v>
      </c>
      <c r="U46" s="231">
        <f t="shared" si="123"/>
        <v>33049.695</v>
      </c>
      <c r="V46" s="32">
        <v>34933.057999999997</v>
      </c>
      <c r="W46" s="231">
        <f t="shared" si="124"/>
        <v>35785.244999999995</v>
      </c>
      <c r="X46" s="32">
        <v>36637.432000000001</v>
      </c>
      <c r="Y46" s="32">
        <v>38008.771000000001</v>
      </c>
      <c r="Z46" s="32">
        <v>38511.517</v>
      </c>
      <c r="AA46" s="32">
        <v>40931.713000000003</v>
      </c>
      <c r="AB46" s="32">
        <v>44063.91</v>
      </c>
      <c r="AC46" s="32">
        <v>46400.705999999998</v>
      </c>
      <c r="AD46" s="32">
        <v>46988.902999999998</v>
      </c>
      <c r="AE46" s="32">
        <v>47241.1</v>
      </c>
      <c r="AF46" s="440">
        <v>48666.357000000004</v>
      </c>
      <c r="AG46" s="184"/>
      <c r="AO46" s="17">
        <f>5768.597+80.595</f>
        <v>5849.192</v>
      </c>
      <c r="AP46" s="231">
        <f t="shared" si="125"/>
        <v>6323.5905000000002</v>
      </c>
      <c r="AQ46" s="30">
        <v>6797.9889999999996</v>
      </c>
      <c r="AR46" s="32">
        <v>7296.5079999999998</v>
      </c>
      <c r="AS46" s="32">
        <v>7541.9750000000004</v>
      </c>
      <c r="AT46" s="32">
        <v>8268.7999999999993</v>
      </c>
      <c r="AU46" s="32">
        <v>8381.8449999999993</v>
      </c>
      <c r="AV46" s="32">
        <v>8752.3829999999998</v>
      </c>
      <c r="AW46" s="32">
        <v>9181.9809999999998</v>
      </c>
      <c r="AX46" s="32">
        <v>9898.1890000000003</v>
      </c>
      <c r="AY46" s="32">
        <v>10432.704</v>
      </c>
      <c r="AZ46" s="231">
        <f t="shared" si="126"/>
        <v>10933.996500000001</v>
      </c>
      <c r="BA46" s="32">
        <v>11435.289000000001</v>
      </c>
      <c r="BB46" s="231">
        <f t="shared" si="127"/>
        <v>11785.697</v>
      </c>
      <c r="BC46" s="32">
        <v>12136.105</v>
      </c>
      <c r="BD46" s="32">
        <v>12347.772999999999</v>
      </c>
      <c r="BE46" s="32">
        <v>13357.673000000001</v>
      </c>
      <c r="BF46" s="32">
        <v>14134.664000000001</v>
      </c>
      <c r="BG46" s="32">
        <v>15027.668</v>
      </c>
      <c r="BH46" s="32">
        <v>16212.004000000001</v>
      </c>
      <c r="BI46" s="32">
        <v>15548.481</v>
      </c>
      <c r="BJ46" s="32">
        <v>15621.192999999999</v>
      </c>
      <c r="BK46" s="440">
        <v>15680.844999999999</v>
      </c>
      <c r="BL46" s="84"/>
      <c r="BM46" s="75"/>
      <c r="BN46" s="75"/>
      <c r="BO46" s="75"/>
      <c r="BP46" s="75"/>
      <c r="BQ46" s="75"/>
      <c r="BR46" s="75"/>
      <c r="BS46" s="217"/>
      <c r="BT46" s="75">
        <v>4016.0369999999998</v>
      </c>
      <c r="BU46" s="231">
        <f t="shared" si="128"/>
        <v>4384.3239999999996</v>
      </c>
      <c r="BV46" s="75">
        <v>4752.6109999999999</v>
      </c>
      <c r="BW46" s="73">
        <v>5064.5659999999998</v>
      </c>
      <c r="BX46" s="32">
        <v>5279.8459999999995</v>
      </c>
      <c r="BY46" s="32">
        <v>5913.4570000000003</v>
      </c>
      <c r="BZ46" s="32">
        <v>6032.2049999999999</v>
      </c>
      <c r="CA46" s="32">
        <v>6225.875</v>
      </c>
      <c r="CB46" s="32">
        <v>6317.585</v>
      </c>
      <c r="CC46" s="32">
        <v>6835.6679999999997</v>
      </c>
      <c r="CD46" s="32">
        <v>7163.6859999999997</v>
      </c>
      <c r="CE46" s="231">
        <f t="shared" si="129"/>
        <v>7466.8914999999997</v>
      </c>
      <c r="CF46" s="32">
        <v>7770.0969999999998</v>
      </c>
      <c r="CG46" s="231">
        <f t="shared" si="130"/>
        <v>8014.4354999999996</v>
      </c>
      <c r="CH46" s="32">
        <v>8258.7739999999994</v>
      </c>
      <c r="CI46" s="32">
        <v>8381.4830000000002</v>
      </c>
      <c r="CJ46" s="32">
        <v>8898.6830000000009</v>
      </c>
      <c r="CK46" s="32">
        <v>9260.4150000000009</v>
      </c>
      <c r="CL46" s="32">
        <v>9714.1679999999997</v>
      </c>
      <c r="CM46" s="32">
        <v>10520.514999999999</v>
      </c>
      <c r="CN46" s="32">
        <v>9919.56</v>
      </c>
      <c r="CO46" s="32">
        <v>9984.7890000000007</v>
      </c>
      <c r="CP46" s="440">
        <v>10088.934999999999</v>
      </c>
      <c r="CQ46" s="84"/>
      <c r="CR46" s="75"/>
      <c r="CS46" s="75"/>
      <c r="CT46" s="75"/>
      <c r="CU46" s="75"/>
      <c r="CV46" s="75"/>
      <c r="CW46" s="75"/>
      <c r="CX46" s="217"/>
      <c r="CY46" s="75">
        <v>1507.153</v>
      </c>
      <c r="CZ46" s="231">
        <f t="shared" si="131"/>
        <v>1585.4904999999999</v>
      </c>
      <c r="DA46" s="75">
        <f>1663828/1000</f>
        <v>1663.828</v>
      </c>
      <c r="DB46" s="73">
        <v>1818.056</v>
      </c>
      <c r="DC46" s="32">
        <v>1821.451</v>
      </c>
      <c r="DD46" s="32">
        <v>1891.7670000000001</v>
      </c>
      <c r="DE46" s="32">
        <v>1881.1079999999999</v>
      </c>
      <c r="DF46" s="32">
        <v>2022.356</v>
      </c>
      <c r="DG46" s="32">
        <v>2307.748</v>
      </c>
      <c r="DH46" s="32">
        <v>2444.8159999999998</v>
      </c>
      <c r="DI46" s="32">
        <v>2613.3620000000001</v>
      </c>
      <c r="DJ46" s="231">
        <f t="shared" si="132"/>
        <v>2780.0344999999998</v>
      </c>
      <c r="DK46" s="32">
        <v>2946.7069999999999</v>
      </c>
      <c r="DL46" s="231">
        <f t="shared" si="133"/>
        <v>2978.1565000000001</v>
      </c>
      <c r="DM46" s="32">
        <v>3009.6060000000002</v>
      </c>
      <c r="DN46" s="32">
        <v>3117.7979999999998</v>
      </c>
      <c r="DO46" s="32">
        <v>3402.4119999999998</v>
      </c>
      <c r="DP46" s="32">
        <v>3666.828</v>
      </c>
      <c r="DQ46" s="32">
        <v>4146.53</v>
      </c>
      <c r="DR46" s="32">
        <v>4460.5460000000003</v>
      </c>
      <c r="DS46" s="32">
        <v>4374.7610000000004</v>
      </c>
      <c r="DT46" s="32">
        <v>4405.616</v>
      </c>
      <c r="DU46" s="440">
        <v>4391.3389999999999</v>
      </c>
      <c r="DV46" s="85"/>
      <c r="DW46" s="219"/>
      <c r="DX46" s="219"/>
      <c r="DY46" s="219"/>
      <c r="DZ46" s="219"/>
      <c r="EA46" s="219"/>
      <c r="EB46" s="219"/>
      <c r="EC46" s="219"/>
      <c r="ED46" s="40">
        <f t="shared" si="134"/>
        <v>326.00200000000018</v>
      </c>
      <c r="EE46" s="40">
        <f t="shared" si="135"/>
        <v>353.77600000000075</v>
      </c>
      <c r="EF46" s="40">
        <f t="shared" si="136"/>
        <v>381.54999999999973</v>
      </c>
      <c r="EG46" s="40">
        <f t="shared" si="137"/>
        <v>413.88599999999997</v>
      </c>
      <c r="EH46" s="40">
        <f t="shared" si="138"/>
        <v>440.67800000000079</v>
      </c>
      <c r="EI46" s="40">
        <f t="shared" si="139"/>
        <v>463.57599999999888</v>
      </c>
      <c r="EJ46" s="40">
        <f t="shared" si="140"/>
        <v>468.53199999999947</v>
      </c>
      <c r="EK46" s="40">
        <f t="shared" si="141"/>
        <v>504.15199999999982</v>
      </c>
      <c r="EL46" s="40">
        <f t="shared" si="142"/>
        <v>556.64799999999968</v>
      </c>
      <c r="EM46" s="40">
        <f t="shared" si="143"/>
        <v>617.70500000000084</v>
      </c>
      <c r="EN46" s="40">
        <f t="shared" si="144"/>
        <v>655.65599999999995</v>
      </c>
      <c r="EO46" s="40">
        <f t="shared" si="145"/>
        <v>687.07050000000163</v>
      </c>
      <c r="EP46" s="40">
        <f t="shared" si="146"/>
        <v>718.48500000000104</v>
      </c>
      <c r="EQ46" s="40">
        <f t="shared" si="147"/>
        <v>793.10500000000047</v>
      </c>
      <c r="ER46" s="40">
        <f t="shared" si="148"/>
        <v>867.72499999999991</v>
      </c>
      <c r="ES46" s="40">
        <f t="shared" si="149"/>
        <v>848.49199999999928</v>
      </c>
      <c r="ET46" s="40">
        <f t="shared" si="150"/>
        <v>1056.578</v>
      </c>
      <c r="EU46" s="40">
        <f t="shared" si="151"/>
        <v>1207.4209999999998</v>
      </c>
      <c r="EV46" s="40">
        <f t="shared" si="152"/>
        <v>1166.9700000000003</v>
      </c>
      <c r="EW46" s="40">
        <f t="shared" si="153"/>
        <v>1230.9430000000011</v>
      </c>
      <c r="EX46" s="40">
        <f t="shared" si="154"/>
        <v>1254.1599999999999</v>
      </c>
      <c r="EY46" s="40">
        <f t="shared" si="155"/>
        <v>1230.7879999999986</v>
      </c>
      <c r="EZ46" s="40">
        <f t="shared" si="156"/>
        <v>1200.5709999999999</v>
      </c>
      <c r="FA46" s="180"/>
      <c r="FB46" s="75"/>
      <c r="FC46" s="75"/>
      <c r="FD46" s="75"/>
      <c r="FE46" s="75"/>
      <c r="FF46" s="75"/>
      <c r="FG46" s="75"/>
      <c r="FH46" s="217"/>
      <c r="FI46" s="75">
        <f>2561.154+1088.291+414.633+84.861+3.103</f>
        <v>4152.0419999999995</v>
      </c>
      <c r="FJ46" s="231">
        <f t="shared" si="157"/>
        <v>4865.7179999999998</v>
      </c>
      <c r="FK46" s="75">
        <v>5579.3940000000002</v>
      </c>
      <c r="FL46" s="73">
        <v>5888.0420000000004</v>
      </c>
      <c r="FM46" s="32">
        <v>6390.4189999999999</v>
      </c>
      <c r="FN46" s="32">
        <v>6741.1189999999997</v>
      </c>
      <c r="FO46" s="32">
        <v>7047.826</v>
      </c>
      <c r="FP46" s="32">
        <v>6697.9750000000004</v>
      </c>
      <c r="FQ46" s="32">
        <v>7038.4269999999997</v>
      </c>
      <c r="FR46" s="32">
        <v>7341.0860000000002</v>
      </c>
      <c r="FS46" s="32">
        <v>7916.0990000000002</v>
      </c>
      <c r="FT46" s="231">
        <f t="shared" si="158"/>
        <v>8744.5465000000004</v>
      </c>
      <c r="FU46" s="32">
        <v>9572.9940000000006</v>
      </c>
      <c r="FV46" s="231">
        <f t="shared" si="159"/>
        <v>10319.591</v>
      </c>
      <c r="FW46" s="32">
        <v>11066.188</v>
      </c>
      <c r="FX46" s="32">
        <v>12148.467000000001</v>
      </c>
      <c r="FY46" s="32">
        <v>11403.317999999999</v>
      </c>
      <c r="FZ46" s="32">
        <v>12192.66</v>
      </c>
      <c r="GA46" s="32">
        <v>13048.056</v>
      </c>
      <c r="GB46" s="32">
        <v>14077.566999999999</v>
      </c>
      <c r="GC46" s="32">
        <v>14826.004999999999</v>
      </c>
      <c r="GD46" s="32">
        <v>15051.424000000001</v>
      </c>
      <c r="GE46" s="440">
        <v>16372.428</v>
      </c>
      <c r="GF46" s="84"/>
      <c r="GG46" s="75"/>
      <c r="GH46" s="75"/>
      <c r="GI46" s="75"/>
      <c r="GJ46" s="75"/>
      <c r="GK46" s="75"/>
      <c r="GL46" s="75"/>
      <c r="GM46" s="217"/>
      <c r="GN46" s="75">
        <f>1642.659+133.409+18.725+1.435+2.638+449.893+154.456+239.391+91.843+291.609+418.859+352.326+352.417+137.549</f>
        <v>4287.2089999999998</v>
      </c>
      <c r="GO46" s="231">
        <f t="shared" si="160"/>
        <v>4484.07</v>
      </c>
      <c r="GP46" s="75">
        <v>4680.9309999999996</v>
      </c>
      <c r="GQ46" s="73">
        <v>5311.7359999999999</v>
      </c>
      <c r="GR46" s="32">
        <v>4937.7809999999999</v>
      </c>
      <c r="GS46" s="32">
        <v>5466.6480000000001</v>
      </c>
      <c r="GT46" s="32">
        <v>5722.3140000000003</v>
      </c>
      <c r="GU46" s="32">
        <v>5966.09</v>
      </c>
      <c r="GV46" s="32">
        <v>6927.5479999999998</v>
      </c>
      <c r="GW46" s="32">
        <v>6777.5749999999998</v>
      </c>
      <c r="GX46" s="32">
        <v>7571.357</v>
      </c>
      <c r="GY46" s="231">
        <f t="shared" si="161"/>
        <v>8016.7650000000003</v>
      </c>
      <c r="GZ46" s="32">
        <v>8462.1730000000007</v>
      </c>
      <c r="HA46" s="231">
        <f t="shared" si="162"/>
        <v>8495.6165000000001</v>
      </c>
      <c r="HB46" s="32">
        <v>8529.06</v>
      </c>
      <c r="HC46" s="32">
        <v>8636.6589999999997</v>
      </c>
      <c r="HD46" s="32">
        <v>9082.0879999999997</v>
      </c>
      <c r="HE46" s="32">
        <v>9644.6059999999998</v>
      </c>
      <c r="HF46" s="32">
        <v>10655.504999999999</v>
      </c>
      <c r="HG46" s="32">
        <v>10686.72</v>
      </c>
      <c r="HH46" s="32">
        <v>11073.319</v>
      </c>
      <c r="HI46" s="32">
        <v>10970.415000000001</v>
      </c>
      <c r="HJ46" s="440">
        <v>10969.380999999999</v>
      </c>
      <c r="HK46" s="84"/>
      <c r="HL46" s="75"/>
      <c r="HM46" s="75"/>
      <c r="HN46" s="75"/>
      <c r="HO46" s="75"/>
      <c r="HP46" s="75"/>
      <c r="HQ46" s="75"/>
      <c r="HR46" s="217"/>
      <c r="HS46" s="75">
        <f>319.439+229.471+123.517+207.109</f>
        <v>879.53600000000017</v>
      </c>
      <c r="HT46" s="231">
        <f t="shared" si="163"/>
        <v>934.67000000000007</v>
      </c>
      <c r="HU46" s="75">
        <v>989.80399999999997</v>
      </c>
      <c r="HV46" s="73">
        <v>1050.672</v>
      </c>
      <c r="HW46" s="32">
        <v>1105.9870000000001</v>
      </c>
      <c r="HX46" s="32">
        <v>1156.807</v>
      </c>
      <c r="HY46" s="32">
        <v>1265.73</v>
      </c>
      <c r="HZ46" s="32">
        <v>1288.778</v>
      </c>
      <c r="IA46" s="32">
        <v>1491.4349999999999</v>
      </c>
      <c r="IB46" s="32">
        <v>1586.3309999999999</v>
      </c>
      <c r="IC46" s="32">
        <v>1572.0709999999999</v>
      </c>
      <c r="ID46" s="231">
        <f t="shared" si="164"/>
        <v>1657.9434999999999</v>
      </c>
      <c r="IE46" s="32">
        <v>1743.816</v>
      </c>
      <c r="IF46" s="231">
        <f t="shared" si="165"/>
        <v>1773.8944999999999</v>
      </c>
      <c r="IG46" s="32">
        <v>1803.973</v>
      </c>
      <c r="IH46" s="32">
        <v>2001.8989999999999</v>
      </c>
      <c r="II46" s="32">
        <v>1901.7249999999999</v>
      </c>
      <c r="IJ46" s="32">
        <v>1988.559</v>
      </c>
      <c r="IK46" s="32">
        <v>2088.6640000000002</v>
      </c>
      <c r="IL46" s="32">
        <v>2212.7379999999998</v>
      </c>
      <c r="IM46" s="32">
        <v>2221.5790000000002</v>
      </c>
      <c r="IN46" s="32">
        <v>2257.5630000000001</v>
      </c>
      <c r="IO46" s="445">
        <v>2089.3809999999999</v>
      </c>
      <c r="IP46" s="84"/>
      <c r="IQ46" s="75"/>
      <c r="IR46" s="75"/>
      <c r="IS46" s="75"/>
      <c r="IT46" s="75"/>
      <c r="IU46" s="75"/>
      <c r="IV46" s="75"/>
      <c r="IW46" s="217"/>
      <c r="IX46" s="75">
        <f>1087.024+0.043+866.719</f>
        <v>1953.7859999999998</v>
      </c>
      <c r="IY46" s="231">
        <f t="shared" si="166"/>
        <v>2019.4699999999998</v>
      </c>
      <c r="IZ46" s="75">
        <v>2085.154</v>
      </c>
      <c r="JA46" s="73">
        <v>2145.6880000000001</v>
      </c>
      <c r="JB46" s="47">
        <v>2112.998</v>
      </c>
      <c r="JC46" s="47">
        <v>2163.2469999999998</v>
      </c>
      <c r="JD46" s="47">
        <v>2297.6239999999998</v>
      </c>
      <c r="JE46" s="47">
        <v>2410.6329999999998</v>
      </c>
      <c r="JF46" s="17">
        <v>2379.8710000000001</v>
      </c>
      <c r="JG46" s="17">
        <v>2556.9110000000001</v>
      </c>
      <c r="JH46" s="17">
        <v>3674.1010000000001</v>
      </c>
      <c r="JI46" s="231">
        <f t="shared" si="167"/>
        <v>3696.4435000000003</v>
      </c>
      <c r="JJ46" s="17">
        <v>3718.7860000000001</v>
      </c>
      <c r="JK46" s="231">
        <f t="shared" si="168"/>
        <v>3410.4459999999999</v>
      </c>
      <c r="JL46" s="17">
        <v>3102.1060000000002</v>
      </c>
      <c r="JM46" s="17">
        <v>2873.973</v>
      </c>
      <c r="JN46" s="17">
        <v>2766.7130000000002</v>
      </c>
      <c r="JO46" s="32">
        <v>2971.2240000000002</v>
      </c>
      <c r="JP46" s="32">
        <v>3244.0169999999998</v>
      </c>
      <c r="JQ46" s="32">
        <v>3211.6770000000001</v>
      </c>
      <c r="JR46" s="32">
        <v>3319.518</v>
      </c>
      <c r="JS46" s="17">
        <v>3340.5050000000001</v>
      </c>
      <c r="JT46" s="450">
        <v>3554.3220000000001</v>
      </c>
    </row>
    <row r="47" spans="1:280" s="17" customFormat="1" ht="12.75" customHeight="1">
      <c r="A47" s="222" t="s">
        <v>62</v>
      </c>
      <c r="B47" s="96"/>
      <c r="C47" s="16"/>
      <c r="D47" s="16"/>
      <c r="E47" s="237"/>
      <c r="F47" s="16"/>
      <c r="G47" s="16"/>
      <c r="H47" s="16"/>
      <c r="I47" s="25"/>
      <c r="J47" s="16">
        <v>12489.423000000001</v>
      </c>
      <c r="K47" s="231">
        <f t="shared" si="122"/>
        <v>13732.859</v>
      </c>
      <c r="L47" s="16">
        <v>14976.295</v>
      </c>
      <c r="M47" s="16">
        <v>15230.038</v>
      </c>
      <c r="N47" s="73">
        <v>16132.065000000001</v>
      </c>
      <c r="O47" s="32">
        <v>17765.331999999999</v>
      </c>
      <c r="P47" s="32">
        <v>19176.217000000001</v>
      </c>
      <c r="Q47" s="32">
        <v>20452.394</v>
      </c>
      <c r="R47" s="32">
        <v>21918.168000000001</v>
      </c>
      <c r="S47" s="32">
        <v>23880.563999999998</v>
      </c>
      <c r="T47" s="32">
        <v>24820.544000000002</v>
      </c>
      <c r="U47" s="231">
        <f t="shared" si="123"/>
        <v>26934.410000000003</v>
      </c>
      <c r="V47" s="32">
        <v>29048.276000000002</v>
      </c>
      <c r="W47" s="231">
        <f t="shared" si="124"/>
        <v>30036.166499999999</v>
      </c>
      <c r="X47" s="32">
        <v>31024.057000000001</v>
      </c>
      <c r="Y47" s="32">
        <v>32618.432000000001</v>
      </c>
      <c r="Z47" s="32">
        <v>36647.451999999997</v>
      </c>
      <c r="AA47" s="32">
        <v>36645.156999999999</v>
      </c>
      <c r="AB47" s="32">
        <v>39260.434000000001</v>
      </c>
      <c r="AC47" s="32">
        <v>40688.51</v>
      </c>
      <c r="AD47" s="32">
        <v>41912.663</v>
      </c>
      <c r="AE47" s="32">
        <v>41565.415999999997</v>
      </c>
      <c r="AF47" s="440">
        <v>42901.571000000004</v>
      </c>
      <c r="AG47" s="380"/>
      <c r="AH47" s="16"/>
      <c r="AI47" s="16"/>
      <c r="AJ47" s="16"/>
      <c r="AK47" s="16"/>
      <c r="AL47" s="16"/>
      <c r="AM47" s="16"/>
      <c r="AN47" s="25"/>
      <c r="AO47" s="16">
        <f>4957.733+64.398</f>
        <v>5022.1310000000003</v>
      </c>
      <c r="AP47" s="231">
        <f t="shared" si="125"/>
        <v>5312.348</v>
      </c>
      <c r="AQ47" s="30">
        <v>5602.5649999999996</v>
      </c>
      <c r="AR47" s="73">
        <v>5584.4709999999995</v>
      </c>
      <c r="AS47" s="32">
        <v>5952.74</v>
      </c>
      <c r="AT47" s="32">
        <v>6707.6909999999998</v>
      </c>
      <c r="AU47" s="32">
        <v>7219.6509999999998</v>
      </c>
      <c r="AV47" s="32">
        <v>7619.9449999999997</v>
      </c>
      <c r="AW47" s="32">
        <v>8158.9740000000002</v>
      </c>
      <c r="AX47" s="32">
        <v>8714.0669999999991</v>
      </c>
      <c r="AY47" s="32">
        <v>9342.893</v>
      </c>
      <c r="AZ47" s="231">
        <f t="shared" si="126"/>
        <v>10031.497500000001</v>
      </c>
      <c r="BA47" s="32">
        <v>10720.102000000001</v>
      </c>
      <c r="BB47" s="231">
        <f t="shared" si="127"/>
        <v>10880.085999999999</v>
      </c>
      <c r="BC47" s="32">
        <v>11040.07</v>
      </c>
      <c r="BD47" s="32">
        <v>11562.299000000001</v>
      </c>
      <c r="BE47" s="32">
        <v>13003.869000000001</v>
      </c>
      <c r="BF47" s="32">
        <v>13003.441000000001</v>
      </c>
      <c r="BG47" s="32">
        <v>14219.648999999999</v>
      </c>
      <c r="BH47" s="32">
        <v>14550.968000000001</v>
      </c>
      <c r="BI47" s="32">
        <v>14664.395</v>
      </c>
      <c r="BJ47" s="32">
        <v>14012.947</v>
      </c>
      <c r="BK47" s="440">
        <v>14771.137000000001</v>
      </c>
      <c r="BL47" s="84"/>
      <c r="BM47" s="73"/>
      <c r="BN47" s="73"/>
      <c r="BO47" s="73"/>
      <c r="BP47" s="73"/>
      <c r="BQ47" s="73"/>
      <c r="BR47" s="73"/>
      <c r="BS47" s="89"/>
      <c r="BT47" s="73">
        <v>3658.078</v>
      </c>
      <c r="BU47" s="231">
        <f t="shared" si="128"/>
        <v>3859.1750000000002</v>
      </c>
      <c r="BV47" s="73">
        <v>4060.2719999999999</v>
      </c>
      <c r="BW47" s="73">
        <v>4103.9709999999995</v>
      </c>
      <c r="BX47" s="32">
        <v>4366.1170000000002</v>
      </c>
      <c r="BY47" s="32">
        <v>4815.8100000000004</v>
      </c>
      <c r="BZ47" s="32">
        <v>5180.4989999999998</v>
      </c>
      <c r="CA47" s="32">
        <v>5337.2079999999996</v>
      </c>
      <c r="CB47" s="32">
        <v>5632.9380000000001</v>
      </c>
      <c r="CC47" s="32">
        <v>6017.3540000000003</v>
      </c>
      <c r="CD47" s="32">
        <v>6474.9459999999999</v>
      </c>
      <c r="CE47" s="231">
        <f t="shared" si="129"/>
        <v>6931.5280000000002</v>
      </c>
      <c r="CF47" s="32">
        <v>7388.11</v>
      </c>
      <c r="CG47" s="231">
        <f t="shared" si="130"/>
        <v>7498.2855</v>
      </c>
      <c r="CH47" s="32">
        <v>7608.4610000000002</v>
      </c>
      <c r="CI47" s="32">
        <v>7843.6419999999998</v>
      </c>
      <c r="CJ47" s="32">
        <v>8930.5560000000005</v>
      </c>
      <c r="CK47" s="32">
        <v>8930.1280000000006</v>
      </c>
      <c r="CL47" s="32">
        <v>9536.5650000000005</v>
      </c>
      <c r="CM47" s="32">
        <v>9889.7999999999993</v>
      </c>
      <c r="CN47" s="32">
        <v>9757.0310000000009</v>
      </c>
      <c r="CO47" s="32">
        <v>9425.857</v>
      </c>
      <c r="CP47" s="440">
        <v>9503.4750000000004</v>
      </c>
      <c r="CQ47" s="84"/>
      <c r="CR47" s="73"/>
      <c r="CS47" s="73"/>
      <c r="CT47" s="73"/>
      <c r="CU47" s="73"/>
      <c r="CV47" s="73"/>
      <c r="CW47" s="73"/>
      <c r="CX47" s="89"/>
      <c r="CY47" s="73">
        <v>1142.829</v>
      </c>
      <c r="CZ47" s="231">
        <f t="shared" si="131"/>
        <v>1216.1469999999999</v>
      </c>
      <c r="DA47" s="73">
        <f>1289465/1000</f>
        <v>1289.4649999999999</v>
      </c>
      <c r="DB47" s="73">
        <v>1204.749</v>
      </c>
      <c r="DC47" s="32">
        <v>1283.5609999999999</v>
      </c>
      <c r="DD47" s="32">
        <v>1561.1210000000001</v>
      </c>
      <c r="DE47" s="32">
        <v>1683.001</v>
      </c>
      <c r="DF47" s="32">
        <v>1863.1969999999999</v>
      </c>
      <c r="DG47" s="32">
        <v>2020.163</v>
      </c>
      <c r="DH47" s="32">
        <v>2150.8649999999998</v>
      </c>
      <c r="DI47" s="32">
        <v>2281.94</v>
      </c>
      <c r="DJ47" s="231">
        <f t="shared" si="132"/>
        <v>2463.5934999999999</v>
      </c>
      <c r="DK47" s="32">
        <v>2645.2469999999998</v>
      </c>
      <c r="DL47" s="231">
        <f t="shared" si="133"/>
        <v>2684.4865</v>
      </c>
      <c r="DM47" s="32">
        <v>2723.7260000000001</v>
      </c>
      <c r="DN47" s="32">
        <v>2897.3490000000002</v>
      </c>
      <c r="DO47" s="32">
        <v>3322.7220000000002</v>
      </c>
      <c r="DP47" s="32">
        <v>3322.7220000000002</v>
      </c>
      <c r="DQ47" s="32">
        <v>3780.498</v>
      </c>
      <c r="DR47" s="32">
        <v>3755.3380000000002</v>
      </c>
      <c r="DS47" s="32">
        <v>3691.2249999999999</v>
      </c>
      <c r="DT47" s="32">
        <v>3616.9270000000001</v>
      </c>
      <c r="DU47" s="440">
        <v>4291.7969999999996</v>
      </c>
      <c r="DV47" s="85"/>
      <c r="DW47" s="90"/>
      <c r="DX47" s="90"/>
      <c r="DY47" s="90"/>
      <c r="DZ47" s="90"/>
      <c r="EA47" s="90"/>
      <c r="EB47" s="90"/>
      <c r="EC47" s="90"/>
      <c r="ED47" s="40">
        <f t="shared" si="134"/>
        <v>221.22400000000039</v>
      </c>
      <c r="EE47" s="40">
        <f t="shared" si="135"/>
        <v>237.02599999999984</v>
      </c>
      <c r="EF47" s="40">
        <f t="shared" si="136"/>
        <v>252.82799999999975</v>
      </c>
      <c r="EG47" s="40">
        <f t="shared" si="137"/>
        <v>275.75099999999998</v>
      </c>
      <c r="EH47" s="40">
        <f t="shared" si="138"/>
        <v>303.06199999999967</v>
      </c>
      <c r="EI47" s="40">
        <f t="shared" si="139"/>
        <v>330.75999999999931</v>
      </c>
      <c r="EJ47" s="40">
        <f t="shared" si="140"/>
        <v>356.15100000000007</v>
      </c>
      <c r="EK47" s="40">
        <f t="shared" si="141"/>
        <v>419.54000000000019</v>
      </c>
      <c r="EL47" s="40">
        <f t="shared" si="142"/>
        <v>505.87300000000005</v>
      </c>
      <c r="EM47" s="40">
        <f t="shared" si="143"/>
        <v>545.84799999999905</v>
      </c>
      <c r="EN47" s="40">
        <f t="shared" si="144"/>
        <v>586.00700000000006</v>
      </c>
      <c r="EO47" s="40">
        <f t="shared" si="145"/>
        <v>636.37600000000111</v>
      </c>
      <c r="EP47" s="40">
        <f t="shared" si="146"/>
        <v>686.74500000000126</v>
      </c>
      <c r="EQ47" s="40">
        <f t="shared" si="147"/>
        <v>697.3139999999994</v>
      </c>
      <c r="ER47" s="40">
        <f t="shared" si="148"/>
        <v>707.88299999999936</v>
      </c>
      <c r="ES47" s="40">
        <f t="shared" si="149"/>
        <v>821.3080000000009</v>
      </c>
      <c r="ET47" s="40">
        <f t="shared" si="150"/>
        <v>750.59099999999989</v>
      </c>
      <c r="EU47" s="40">
        <f t="shared" si="151"/>
        <v>750.59099999999989</v>
      </c>
      <c r="EV47" s="40">
        <f t="shared" si="152"/>
        <v>902.58599999999888</v>
      </c>
      <c r="EW47" s="40">
        <f t="shared" si="153"/>
        <v>905.83000000000129</v>
      </c>
      <c r="EX47" s="40">
        <f t="shared" si="154"/>
        <v>1216.1389999999997</v>
      </c>
      <c r="EY47" s="40">
        <f t="shared" si="155"/>
        <v>970.16300000000001</v>
      </c>
      <c r="EZ47" s="40">
        <f t="shared" si="156"/>
        <v>975.86500000000069</v>
      </c>
      <c r="FA47" s="180"/>
      <c r="FB47" s="73"/>
      <c r="FC47" s="73"/>
      <c r="FD47" s="73"/>
      <c r="FE47" s="73"/>
      <c r="FF47" s="73"/>
      <c r="FG47" s="73"/>
      <c r="FH47" s="89"/>
      <c r="FI47" s="73">
        <f>1438.744+774.103+406.765+62.742+1.59</f>
        <v>2683.944</v>
      </c>
      <c r="FJ47" s="231">
        <f t="shared" si="157"/>
        <v>3279.9355</v>
      </c>
      <c r="FK47" s="73">
        <v>3875.9270000000001</v>
      </c>
      <c r="FL47" s="73">
        <v>4026.5279999999998</v>
      </c>
      <c r="FM47" s="32">
        <v>4250.5230000000001</v>
      </c>
      <c r="FN47" s="32">
        <v>4542.616</v>
      </c>
      <c r="FO47" s="32">
        <v>4763.0709999999999</v>
      </c>
      <c r="FP47" s="32">
        <v>4986.3429999999998</v>
      </c>
      <c r="FQ47" s="32">
        <v>5385.3059999999996</v>
      </c>
      <c r="FR47" s="32">
        <v>6004.0519999999997</v>
      </c>
      <c r="FS47" s="32">
        <v>6303.1390000000001</v>
      </c>
      <c r="FT47" s="231">
        <f t="shared" si="158"/>
        <v>7143.0059999999994</v>
      </c>
      <c r="FU47" s="32">
        <v>7982.8729999999996</v>
      </c>
      <c r="FV47" s="231">
        <f t="shared" si="159"/>
        <v>8373.0564999999988</v>
      </c>
      <c r="FW47" s="32">
        <v>8763.24</v>
      </c>
      <c r="FX47" s="32">
        <v>9601.2369999999992</v>
      </c>
      <c r="FY47" s="32">
        <v>9749.4069999999992</v>
      </c>
      <c r="FZ47" s="32">
        <v>9749.357</v>
      </c>
      <c r="GA47" s="32">
        <v>10560.222</v>
      </c>
      <c r="GB47" s="32">
        <v>11442.34</v>
      </c>
      <c r="GC47" s="32">
        <v>12008.584000000001</v>
      </c>
      <c r="GD47" s="32">
        <v>12403.414000000001</v>
      </c>
      <c r="GE47" s="440">
        <v>13535.547</v>
      </c>
      <c r="GF47" s="84"/>
      <c r="GG47" s="73"/>
      <c r="GH47" s="73"/>
      <c r="GI47" s="73"/>
      <c r="GJ47" s="73"/>
      <c r="GK47" s="73"/>
      <c r="GL47" s="73"/>
      <c r="GM47" s="89"/>
      <c r="GN47" s="73">
        <f>1086.307+135.572+6.85+2.003+4.287+494.27+200.782+264.819+62.222+191.224+242.191+144.785+279.533+60.268</f>
        <v>3175.1129999999998</v>
      </c>
      <c r="GO47" s="231">
        <f t="shared" si="160"/>
        <v>3443.5834999999997</v>
      </c>
      <c r="GP47" s="73">
        <v>3712.0540000000001</v>
      </c>
      <c r="GQ47" s="73">
        <v>3568.915</v>
      </c>
      <c r="GR47" s="32">
        <v>4017.0459999999998</v>
      </c>
      <c r="GS47" s="32">
        <v>4422.7060000000001</v>
      </c>
      <c r="GT47" s="32">
        <v>4816.9080000000004</v>
      </c>
      <c r="GU47" s="32">
        <v>5147.6030000000001</v>
      </c>
      <c r="GV47" s="32">
        <v>5371.0839999999998</v>
      </c>
      <c r="GW47" s="32">
        <v>5875.8280000000004</v>
      </c>
      <c r="GX47" s="32">
        <v>6118.6379999999999</v>
      </c>
      <c r="GY47" s="231">
        <f t="shared" si="161"/>
        <v>6658.0475000000006</v>
      </c>
      <c r="GZ47" s="32">
        <v>7197.4570000000003</v>
      </c>
      <c r="HA47" s="231">
        <f t="shared" si="162"/>
        <v>7406.4055000000008</v>
      </c>
      <c r="HB47" s="32">
        <v>7615.3540000000003</v>
      </c>
      <c r="HC47" s="32">
        <v>7604.7139999999999</v>
      </c>
      <c r="HD47" s="32">
        <v>8630.2180000000008</v>
      </c>
      <c r="HE47" s="32">
        <v>8630.2279999999992</v>
      </c>
      <c r="HF47" s="32">
        <v>8946.3420000000006</v>
      </c>
      <c r="HG47" s="32">
        <v>9436.2489999999998</v>
      </c>
      <c r="HH47" s="32">
        <v>9993.134</v>
      </c>
      <c r="HI47" s="32">
        <v>9788.2720000000008</v>
      </c>
      <c r="HJ47" s="440">
        <v>9406.4940000000006</v>
      </c>
      <c r="HK47" s="84"/>
      <c r="HL47" s="73"/>
      <c r="HM47" s="73"/>
      <c r="HN47" s="73"/>
      <c r="HO47" s="73"/>
      <c r="HP47" s="73"/>
      <c r="HQ47" s="73"/>
      <c r="HR47" s="89"/>
      <c r="HS47" s="73">
        <f>234.456+171.437+89.299+133.489</f>
        <v>628.68100000000004</v>
      </c>
      <c r="HT47" s="231">
        <f t="shared" si="163"/>
        <v>662.44</v>
      </c>
      <c r="HU47" s="73">
        <v>696.19899999999996</v>
      </c>
      <c r="HV47" s="73">
        <v>875.79399999999998</v>
      </c>
      <c r="HW47" s="32">
        <v>751.351</v>
      </c>
      <c r="HX47" s="32">
        <v>856.11400000000003</v>
      </c>
      <c r="HY47" s="32">
        <v>1002.07</v>
      </c>
      <c r="HZ47" s="32">
        <v>1216.6890000000001</v>
      </c>
      <c r="IA47" s="32">
        <v>1110.7329999999999</v>
      </c>
      <c r="IB47" s="32">
        <v>1283.0650000000001</v>
      </c>
      <c r="IC47" s="32">
        <v>1149.001</v>
      </c>
      <c r="ID47" s="231">
        <f t="shared" si="164"/>
        <v>1225.7635</v>
      </c>
      <c r="IE47" s="32">
        <v>1302.5260000000001</v>
      </c>
      <c r="IF47" s="231">
        <f t="shared" si="165"/>
        <v>1401.4765</v>
      </c>
      <c r="IG47" s="32">
        <v>1500.4269999999999</v>
      </c>
      <c r="IH47" s="32">
        <v>1513.529</v>
      </c>
      <c r="II47" s="32">
        <v>1690.231</v>
      </c>
      <c r="IJ47" s="32">
        <v>1466.346</v>
      </c>
      <c r="IK47" s="32">
        <v>1487.0070000000001</v>
      </c>
      <c r="IL47" s="32">
        <v>1535.508</v>
      </c>
      <c r="IM47" s="32">
        <v>1532.4469999999999</v>
      </c>
      <c r="IN47" s="32">
        <v>1448.9949999999999</v>
      </c>
      <c r="IO47" s="445">
        <v>1501.288</v>
      </c>
      <c r="IP47" s="84"/>
      <c r="IQ47" s="73"/>
      <c r="IR47" s="73"/>
      <c r="IS47" s="73"/>
      <c r="IT47" s="73"/>
      <c r="IU47" s="73"/>
      <c r="IV47" s="73"/>
      <c r="IW47" s="89"/>
      <c r="IX47" s="73">
        <f>657.005+1.986+320.833</f>
        <v>979.82400000000007</v>
      </c>
      <c r="IY47" s="231">
        <f t="shared" si="166"/>
        <v>1034.6869999999999</v>
      </c>
      <c r="IZ47" s="73">
        <v>1089.55</v>
      </c>
      <c r="JA47" s="73">
        <v>1174.33</v>
      </c>
      <c r="JB47" s="47">
        <v>1160.405</v>
      </c>
      <c r="JC47" s="47">
        <v>1236.2049999999999</v>
      </c>
      <c r="JD47" s="47">
        <v>1374.5170000000001</v>
      </c>
      <c r="JE47" s="47">
        <v>1481.8140000000001</v>
      </c>
      <c r="JF47" s="17">
        <v>1892.0709999999999</v>
      </c>
      <c r="JG47" s="17">
        <v>2003.5519999999999</v>
      </c>
      <c r="JH47" s="17">
        <v>1906.873</v>
      </c>
      <c r="JI47" s="231">
        <f t="shared" si="167"/>
        <v>1876.0954999999999</v>
      </c>
      <c r="JJ47" s="17">
        <v>1845.318</v>
      </c>
      <c r="JK47" s="231">
        <f t="shared" si="168"/>
        <v>1975.1419999999998</v>
      </c>
      <c r="JL47" s="17">
        <v>2104.9659999999999</v>
      </c>
      <c r="JM47" s="17">
        <v>2336.6529999999998</v>
      </c>
      <c r="JN47" s="17">
        <v>3573.7269999999999</v>
      </c>
      <c r="JO47" s="32">
        <v>3795.7849999999999</v>
      </c>
      <c r="JP47" s="32">
        <v>4047.2139999999999</v>
      </c>
      <c r="JQ47" s="32">
        <v>3723.4479999999999</v>
      </c>
      <c r="JR47" s="32">
        <v>3714.1010000000001</v>
      </c>
      <c r="JS47" s="17">
        <v>3911.788</v>
      </c>
      <c r="JT47" s="450">
        <v>3687.105</v>
      </c>
    </row>
    <row r="48" spans="1:280" s="17" customFormat="1" ht="12.75" customHeight="1">
      <c r="A48" s="222" t="s">
        <v>64</v>
      </c>
      <c r="B48" s="16"/>
      <c r="C48" s="16"/>
      <c r="D48" s="16"/>
      <c r="E48" s="16"/>
      <c r="F48" s="16"/>
      <c r="G48" s="16"/>
      <c r="H48" s="16"/>
      <c r="I48" s="25"/>
      <c r="J48" s="16">
        <v>4817.6469999999999</v>
      </c>
      <c r="K48" s="231">
        <f t="shared" si="122"/>
        <v>5175.6399999999994</v>
      </c>
      <c r="L48" s="16">
        <v>5533.6329999999998</v>
      </c>
      <c r="M48" s="16">
        <v>5809.4189999999999</v>
      </c>
      <c r="N48" s="73">
        <v>6242.777</v>
      </c>
      <c r="O48" s="32">
        <v>6651.8789999999999</v>
      </c>
      <c r="P48" s="32">
        <v>6949.8180000000002</v>
      </c>
      <c r="Q48" s="32">
        <v>7435.4040000000005</v>
      </c>
      <c r="R48" s="32">
        <v>7419.09</v>
      </c>
      <c r="S48" s="32">
        <v>7725.6530000000002</v>
      </c>
      <c r="T48" s="32">
        <v>8417.2790000000005</v>
      </c>
      <c r="U48" s="231">
        <f t="shared" si="123"/>
        <v>9088.3549999999996</v>
      </c>
      <c r="V48" s="32">
        <v>9759.4310000000005</v>
      </c>
      <c r="W48" s="231">
        <f t="shared" si="124"/>
        <v>10276.5545</v>
      </c>
      <c r="X48" s="32">
        <v>10793.678</v>
      </c>
      <c r="Y48" s="32">
        <v>10985.987999999999</v>
      </c>
      <c r="Z48" s="32">
        <v>12551.129000000001</v>
      </c>
      <c r="AA48" s="32">
        <v>12537.339</v>
      </c>
      <c r="AB48" s="32">
        <v>13746.565000000001</v>
      </c>
      <c r="AC48" s="32">
        <v>13890.159</v>
      </c>
      <c r="AD48" s="32">
        <v>14660.424000000001</v>
      </c>
      <c r="AE48" s="32">
        <v>14570.731</v>
      </c>
      <c r="AF48" s="440">
        <v>14910.593000000001</v>
      </c>
      <c r="AG48" s="185"/>
      <c r="AH48" s="216"/>
      <c r="AI48" s="216"/>
      <c r="AJ48" s="216"/>
      <c r="AK48" s="216"/>
      <c r="AL48" s="216"/>
      <c r="AM48" s="216"/>
      <c r="AN48" s="235"/>
      <c r="AO48" s="216">
        <f>1961.214+19.865</f>
        <v>1981.079</v>
      </c>
      <c r="AP48" s="231">
        <f t="shared" si="125"/>
        <v>2127.1044999999999</v>
      </c>
      <c r="AQ48" s="30">
        <v>2273.13</v>
      </c>
      <c r="AR48" s="73">
        <v>2388.6979999999999</v>
      </c>
      <c r="AS48" s="32">
        <v>2562.895</v>
      </c>
      <c r="AT48" s="32">
        <v>2730.0830000000001</v>
      </c>
      <c r="AU48" s="32">
        <v>2857.614</v>
      </c>
      <c r="AV48" s="32">
        <v>2885.672</v>
      </c>
      <c r="AW48" s="32">
        <v>2998.6329999999998</v>
      </c>
      <c r="AX48" s="32">
        <v>3164.8589999999999</v>
      </c>
      <c r="AY48" s="32">
        <v>3299.51</v>
      </c>
      <c r="AZ48" s="231">
        <f t="shared" si="126"/>
        <v>3561.7669999999998</v>
      </c>
      <c r="BA48" s="32">
        <v>3824.0239999999999</v>
      </c>
      <c r="BB48" s="231">
        <f t="shared" si="127"/>
        <v>3946.23</v>
      </c>
      <c r="BC48" s="32">
        <v>4068.4360000000001</v>
      </c>
      <c r="BD48" s="32">
        <v>4166.0680000000002</v>
      </c>
      <c r="BE48" s="32">
        <v>4757.6480000000001</v>
      </c>
      <c r="BF48" s="32">
        <v>4757.2979999999998</v>
      </c>
      <c r="BG48" s="32">
        <v>5128.3280000000004</v>
      </c>
      <c r="BH48" s="32">
        <v>5528.2610000000004</v>
      </c>
      <c r="BI48" s="32">
        <v>5781.9489999999996</v>
      </c>
      <c r="BJ48" s="32">
        <v>5764.2759999999998</v>
      </c>
      <c r="BK48" s="440">
        <v>5998.0649999999996</v>
      </c>
      <c r="BL48" s="86"/>
      <c r="BM48" s="228"/>
      <c r="BN48" s="228"/>
      <c r="BO48" s="228"/>
      <c r="BP48" s="228"/>
      <c r="BQ48" s="228"/>
      <c r="BR48" s="228"/>
      <c r="BS48" s="236"/>
      <c r="BT48" s="228">
        <v>1277.797</v>
      </c>
      <c r="BU48" s="231">
        <f t="shared" si="128"/>
        <v>1381.28</v>
      </c>
      <c r="BV48" s="228">
        <v>1484.7629999999999</v>
      </c>
      <c r="BW48" s="73">
        <v>1605.6990000000001</v>
      </c>
      <c r="BX48" s="32">
        <v>1733.982</v>
      </c>
      <c r="BY48" s="32">
        <v>1837.6479999999999</v>
      </c>
      <c r="BZ48" s="32">
        <v>1930.498</v>
      </c>
      <c r="CA48" s="32">
        <v>1879.5260000000001</v>
      </c>
      <c r="CB48" s="32">
        <v>1908.3489999999999</v>
      </c>
      <c r="CC48" s="32">
        <v>1968.3330000000001</v>
      </c>
      <c r="CD48" s="32">
        <v>2068.2840000000001</v>
      </c>
      <c r="CE48" s="231">
        <f t="shared" si="129"/>
        <v>2273.8815</v>
      </c>
      <c r="CF48" s="32">
        <v>2479.4789999999998</v>
      </c>
      <c r="CG48" s="231">
        <f t="shared" si="130"/>
        <v>2535.3964999999998</v>
      </c>
      <c r="CH48" s="32">
        <v>2591.3139999999999</v>
      </c>
      <c r="CI48" s="32">
        <v>2603.1039999999998</v>
      </c>
      <c r="CJ48" s="32">
        <v>3030.085</v>
      </c>
      <c r="CK48" s="32">
        <v>3030.085</v>
      </c>
      <c r="CL48" s="32">
        <v>3208.9569999999999</v>
      </c>
      <c r="CM48" s="32">
        <v>3426.6669999999999</v>
      </c>
      <c r="CN48" s="32">
        <v>3629.0630000000001</v>
      </c>
      <c r="CO48" s="32">
        <v>3580.2139999999999</v>
      </c>
      <c r="CP48" s="440">
        <v>3773.0030000000002</v>
      </c>
      <c r="CQ48" s="87"/>
      <c r="CR48" s="73"/>
      <c r="CS48" s="73"/>
      <c r="CT48" s="73"/>
      <c r="CU48" s="73"/>
      <c r="CV48" s="73"/>
      <c r="CW48" s="73"/>
      <c r="CX48" s="89"/>
      <c r="CY48" s="73">
        <v>612.74699999999996</v>
      </c>
      <c r="CZ48" s="231">
        <f t="shared" si="131"/>
        <v>651.84749999999997</v>
      </c>
      <c r="DA48" s="73">
        <f>690948/1000</f>
        <v>690.94799999999998</v>
      </c>
      <c r="DB48" s="73">
        <v>686.47500000000002</v>
      </c>
      <c r="DC48" s="32">
        <v>730.41099999999994</v>
      </c>
      <c r="DD48" s="32">
        <v>788.62</v>
      </c>
      <c r="DE48" s="32">
        <v>804.85299999999995</v>
      </c>
      <c r="DF48" s="32">
        <v>887.49099999999999</v>
      </c>
      <c r="DG48" s="32">
        <v>966.70899999999995</v>
      </c>
      <c r="DH48" s="32">
        <v>1052.1980000000001</v>
      </c>
      <c r="DI48" s="32">
        <v>1081.5440000000001</v>
      </c>
      <c r="DJ48" s="231">
        <f t="shared" si="132"/>
        <v>1136.7975000000001</v>
      </c>
      <c r="DK48" s="32">
        <v>1192.0509999999999</v>
      </c>
      <c r="DL48" s="231">
        <f t="shared" si="133"/>
        <v>1249.3135</v>
      </c>
      <c r="DM48" s="32">
        <v>1306.576</v>
      </c>
      <c r="DN48" s="32">
        <v>1378.85</v>
      </c>
      <c r="DO48" s="32">
        <v>1493.5450000000001</v>
      </c>
      <c r="DP48" s="32">
        <v>1493.5450000000001</v>
      </c>
      <c r="DQ48" s="32">
        <v>1661.241</v>
      </c>
      <c r="DR48" s="32">
        <v>1822.846</v>
      </c>
      <c r="DS48" s="32">
        <v>1847.452</v>
      </c>
      <c r="DT48" s="32">
        <v>1859.1310000000001</v>
      </c>
      <c r="DU48" s="440">
        <v>1901.546</v>
      </c>
      <c r="DV48" s="88"/>
      <c r="DW48" s="90"/>
      <c r="DX48" s="90"/>
      <c r="DY48" s="90"/>
      <c r="DZ48" s="90"/>
      <c r="EA48" s="90"/>
      <c r="EB48" s="90"/>
      <c r="EC48" s="90"/>
      <c r="ED48" s="40">
        <f t="shared" si="134"/>
        <v>90.534999999999968</v>
      </c>
      <c r="EE48" s="40">
        <f t="shared" si="135"/>
        <v>93.976999999999975</v>
      </c>
      <c r="EF48" s="40">
        <f t="shared" si="136"/>
        <v>97.41900000000021</v>
      </c>
      <c r="EG48" s="40">
        <f t="shared" si="137"/>
        <v>96.523999999999774</v>
      </c>
      <c r="EH48" s="40">
        <f t="shared" si="138"/>
        <v>98.502000000000066</v>
      </c>
      <c r="EI48" s="40">
        <f t="shared" si="139"/>
        <v>103.81500000000017</v>
      </c>
      <c r="EJ48" s="40">
        <f t="shared" si="140"/>
        <v>122.26300000000003</v>
      </c>
      <c r="EK48" s="40">
        <f t="shared" si="141"/>
        <v>118.65499999999997</v>
      </c>
      <c r="EL48" s="40">
        <f t="shared" si="142"/>
        <v>123.57499999999993</v>
      </c>
      <c r="EM48" s="40">
        <f t="shared" si="143"/>
        <v>144.32799999999975</v>
      </c>
      <c r="EN48" s="40">
        <f t="shared" si="144"/>
        <v>149.68200000000002</v>
      </c>
      <c r="EO48" s="40">
        <f t="shared" si="145"/>
        <v>151.08799999999974</v>
      </c>
      <c r="EP48" s="40">
        <f t="shared" si="146"/>
        <v>152.49400000000014</v>
      </c>
      <c r="EQ48" s="40">
        <f t="shared" si="147"/>
        <v>161.52000000000021</v>
      </c>
      <c r="ER48" s="40">
        <f t="shared" si="148"/>
        <v>170.54600000000028</v>
      </c>
      <c r="ES48" s="40">
        <f t="shared" si="149"/>
        <v>184.11400000000049</v>
      </c>
      <c r="ET48" s="40">
        <f t="shared" si="150"/>
        <v>234.01800000000003</v>
      </c>
      <c r="EU48" s="40">
        <f t="shared" si="151"/>
        <v>233.66799999999967</v>
      </c>
      <c r="EV48" s="40">
        <f t="shared" si="152"/>
        <v>258.13000000000056</v>
      </c>
      <c r="EW48" s="40">
        <f t="shared" si="153"/>
        <v>278.7480000000005</v>
      </c>
      <c r="EX48" s="40">
        <f t="shared" si="154"/>
        <v>305.43399999999951</v>
      </c>
      <c r="EY48" s="40">
        <f t="shared" si="155"/>
        <v>324.93099999999981</v>
      </c>
      <c r="EZ48" s="40">
        <f t="shared" si="156"/>
        <v>323.51599999999939</v>
      </c>
      <c r="FA48" s="181"/>
      <c r="FB48" s="73"/>
      <c r="FC48" s="73"/>
      <c r="FD48" s="73"/>
      <c r="FE48" s="73"/>
      <c r="FF48" s="73"/>
      <c r="FG48" s="73"/>
      <c r="FH48" s="89"/>
      <c r="FI48" s="73">
        <f>530.403+433.892+60.396+21.859+1.305</f>
        <v>1047.855</v>
      </c>
      <c r="FJ48" s="231">
        <f t="shared" si="157"/>
        <v>1152.0014999999999</v>
      </c>
      <c r="FK48" s="73">
        <v>1256.1479999999999</v>
      </c>
      <c r="FL48" s="73">
        <v>1387.0250000000001</v>
      </c>
      <c r="FM48" s="32">
        <v>1485.4380000000001</v>
      </c>
      <c r="FN48" s="32">
        <v>1549.92</v>
      </c>
      <c r="FO48" s="32">
        <v>1664.3789999999999</v>
      </c>
      <c r="FP48" s="32">
        <v>1799.05</v>
      </c>
      <c r="FQ48" s="32">
        <v>1715.345</v>
      </c>
      <c r="FR48" s="32">
        <v>1706.3679999999999</v>
      </c>
      <c r="FS48" s="32">
        <v>1978.865</v>
      </c>
      <c r="FT48" s="231">
        <f t="shared" si="158"/>
        <v>2169.2584999999999</v>
      </c>
      <c r="FU48" s="32">
        <v>2359.652</v>
      </c>
      <c r="FV48" s="231">
        <f t="shared" si="159"/>
        <v>2541.6755000000003</v>
      </c>
      <c r="FW48" s="32">
        <v>2723.6990000000001</v>
      </c>
      <c r="FX48" s="32">
        <v>2836.1729999999998</v>
      </c>
      <c r="FY48" s="32">
        <v>3344.5659999999998</v>
      </c>
      <c r="FZ48" s="32">
        <v>3340.5619999999999</v>
      </c>
      <c r="GA48" s="32">
        <v>3478.1570000000002</v>
      </c>
      <c r="GB48" s="32">
        <v>3391.1529999999998</v>
      </c>
      <c r="GC48" s="32">
        <v>3622.9369999999999</v>
      </c>
      <c r="GD48" s="32">
        <v>3575.3850000000002</v>
      </c>
      <c r="GE48" s="440">
        <v>3762.3449999999998</v>
      </c>
      <c r="GF48" s="87"/>
      <c r="GG48" s="73"/>
      <c r="GH48" s="73"/>
      <c r="GI48" s="73"/>
      <c r="GJ48" s="73"/>
      <c r="GK48" s="73"/>
      <c r="GL48" s="73"/>
      <c r="GM48" s="89"/>
      <c r="GN48" s="238">
        <f>523.578+24.425+0.835+0.038+127.663+57.331+83.076+29.916+141.675+65.394+69.193+60.059+23.148</f>
        <v>1206.3309999999999</v>
      </c>
      <c r="GO48" s="231">
        <f t="shared" si="160"/>
        <v>1279.5139999999999</v>
      </c>
      <c r="GP48" s="238">
        <v>1352.6969999999999</v>
      </c>
      <c r="GQ48" s="73">
        <v>1375.8589999999999</v>
      </c>
      <c r="GR48" s="32">
        <v>1478.904</v>
      </c>
      <c r="GS48" s="32">
        <v>1618.4580000000001</v>
      </c>
      <c r="GT48" s="32">
        <v>1674.9680000000001</v>
      </c>
      <c r="GU48" s="32">
        <v>1873.5340000000001</v>
      </c>
      <c r="GV48" s="32">
        <v>1863.8130000000001</v>
      </c>
      <c r="GW48" s="32">
        <v>1992.5509999999999</v>
      </c>
      <c r="GX48" s="32">
        <v>2243.5039999999999</v>
      </c>
      <c r="GY48" s="231">
        <f t="shared" si="161"/>
        <v>2308.7510000000002</v>
      </c>
      <c r="GZ48" s="32">
        <v>2373.998</v>
      </c>
      <c r="HA48" s="231">
        <f t="shared" si="162"/>
        <v>2560.9544999999998</v>
      </c>
      <c r="HB48" s="32">
        <v>2747.9110000000001</v>
      </c>
      <c r="HC48" s="32">
        <v>2790.8159999999998</v>
      </c>
      <c r="HD48" s="32">
        <v>2973.8670000000002</v>
      </c>
      <c r="HE48" s="32">
        <v>2967.308</v>
      </c>
      <c r="HF48" s="32">
        <v>3430.8220000000001</v>
      </c>
      <c r="HG48" s="32">
        <v>3234.4450000000002</v>
      </c>
      <c r="HH48" s="32">
        <v>3553.049</v>
      </c>
      <c r="HI48" s="32">
        <v>3434.2</v>
      </c>
      <c r="HJ48" s="440">
        <v>3449.0680000000002</v>
      </c>
      <c r="HK48" s="87"/>
      <c r="HL48" s="73"/>
      <c r="HM48" s="73"/>
      <c r="HN48" s="73"/>
      <c r="HO48" s="73"/>
      <c r="HP48" s="73"/>
      <c r="HQ48" s="73"/>
      <c r="HR48" s="89"/>
      <c r="HS48" s="73">
        <f>101.626+53.831+14.857+41.915</f>
        <v>212.22899999999998</v>
      </c>
      <c r="HT48" s="231">
        <f t="shared" si="163"/>
        <v>224.93849999999998</v>
      </c>
      <c r="HU48" s="73">
        <v>237.648</v>
      </c>
      <c r="HV48" s="73">
        <v>251.05</v>
      </c>
      <c r="HW48" s="32">
        <v>275.3</v>
      </c>
      <c r="HX48" s="32">
        <v>300.04300000000001</v>
      </c>
      <c r="HY48" s="32">
        <v>299.98700000000002</v>
      </c>
      <c r="HZ48" s="32">
        <v>330.99299999999999</v>
      </c>
      <c r="IA48" s="32">
        <v>339.47899999999998</v>
      </c>
      <c r="IB48" s="32">
        <v>357.96300000000002</v>
      </c>
      <c r="IC48" s="32">
        <v>351.25</v>
      </c>
      <c r="ID48" s="231">
        <f t="shared" si="164"/>
        <v>393.09199999999998</v>
      </c>
      <c r="IE48" s="32">
        <v>434.93400000000003</v>
      </c>
      <c r="IF48" s="231">
        <f t="shared" si="165"/>
        <v>457.05849999999998</v>
      </c>
      <c r="IG48" s="32">
        <v>479.18299999999999</v>
      </c>
      <c r="IH48" s="32">
        <v>494.00799999999998</v>
      </c>
      <c r="II48" s="32">
        <v>521.995</v>
      </c>
      <c r="IJ48" s="32">
        <v>521.10699999999997</v>
      </c>
      <c r="IK48" s="32">
        <v>618.755</v>
      </c>
      <c r="IL48" s="32">
        <v>598.38699999999994</v>
      </c>
      <c r="IM48" s="32">
        <v>608.55700000000002</v>
      </c>
      <c r="IN48" s="32">
        <v>601.16200000000003</v>
      </c>
      <c r="IO48" s="445">
        <v>576.88199999999995</v>
      </c>
      <c r="IP48" s="36"/>
      <c r="IQ48" s="75"/>
      <c r="IR48" s="75"/>
      <c r="IS48" s="75"/>
      <c r="IT48" s="75"/>
      <c r="IU48" s="75"/>
      <c r="IV48" s="75"/>
      <c r="IW48" s="217"/>
      <c r="IX48" s="75">
        <f>207.534+162.619</f>
        <v>370.15300000000002</v>
      </c>
      <c r="IY48" s="231">
        <f t="shared" si="166"/>
        <v>392.08150000000001</v>
      </c>
      <c r="IZ48" s="75">
        <v>414.01</v>
      </c>
      <c r="JA48" s="73">
        <v>406.78699999999998</v>
      </c>
      <c r="JB48" s="47">
        <v>440.24</v>
      </c>
      <c r="JC48" s="47">
        <v>453.375</v>
      </c>
      <c r="JD48" s="47">
        <v>452.87</v>
      </c>
      <c r="JE48" s="47">
        <v>546.15499999999997</v>
      </c>
      <c r="JF48" s="17">
        <v>501.82</v>
      </c>
      <c r="JG48" s="17">
        <v>503.91199999999998</v>
      </c>
      <c r="JH48" s="17">
        <v>544.15</v>
      </c>
      <c r="JI48" s="231">
        <f t="shared" si="167"/>
        <v>655.48649999999998</v>
      </c>
      <c r="JJ48" s="17">
        <v>766.82299999999998</v>
      </c>
      <c r="JK48" s="231">
        <f t="shared" si="168"/>
        <v>770.63599999999997</v>
      </c>
      <c r="JL48" s="17">
        <v>774.44899999999996</v>
      </c>
      <c r="JM48" s="17">
        <v>698.923</v>
      </c>
      <c r="JN48" s="17">
        <v>953.053</v>
      </c>
      <c r="JO48" s="32">
        <v>951.06399999999996</v>
      </c>
      <c r="JP48" s="32">
        <v>1090.5029999999999</v>
      </c>
      <c r="JQ48" s="32">
        <v>1137.914</v>
      </c>
      <c r="JR48" s="32">
        <v>1093.933</v>
      </c>
      <c r="JS48" s="17">
        <v>1195.7080000000001</v>
      </c>
      <c r="JT48" s="450">
        <v>1124.2329999999999</v>
      </c>
    </row>
    <row r="49" spans="1:280" s="17" customFormat="1" ht="12.75" customHeight="1">
      <c r="A49" s="222" t="s">
        <v>70</v>
      </c>
      <c r="B49" s="16"/>
      <c r="C49" s="16"/>
      <c r="D49" s="16"/>
      <c r="E49" s="16"/>
      <c r="F49" s="16"/>
      <c r="G49" s="16"/>
      <c r="H49" s="16"/>
      <c r="I49" s="25"/>
      <c r="J49" s="16">
        <v>2169.7330000000002</v>
      </c>
      <c r="K49" s="231">
        <f t="shared" si="122"/>
        <v>2324.3985000000002</v>
      </c>
      <c r="L49" s="16">
        <v>2479.0639999999999</v>
      </c>
      <c r="M49" s="16">
        <v>2556.7869999999998</v>
      </c>
      <c r="N49" s="73">
        <v>2585.1210000000001</v>
      </c>
      <c r="O49" s="32">
        <v>2765.1970000000001</v>
      </c>
      <c r="P49" s="32">
        <v>2662.0439999999999</v>
      </c>
      <c r="Q49" s="32">
        <v>3001.5450000000001</v>
      </c>
      <c r="R49" s="32">
        <v>3266.357</v>
      </c>
      <c r="S49" s="32">
        <v>3486.846</v>
      </c>
      <c r="T49" s="32">
        <v>3673.683</v>
      </c>
      <c r="U49" s="231">
        <f t="shared" si="123"/>
        <v>3779.9189999999999</v>
      </c>
      <c r="V49" s="32">
        <v>3886.1550000000002</v>
      </c>
      <c r="W49" s="231">
        <f t="shared" si="124"/>
        <v>4021.7129999999997</v>
      </c>
      <c r="X49" s="32">
        <v>4157.2709999999997</v>
      </c>
      <c r="Y49" s="32">
        <v>4349.4449999999997</v>
      </c>
      <c r="Z49" s="32">
        <v>4738.6729999999998</v>
      </c>
      <c r="AA49" s="32">
        <v>4737.3940000000002</v>
      </c>
      <c r="AB49" s="32">
        <v>5119.0569999999998</v>
      </c>
      <c r="AC49" s="32">
        <v>5407.058</v>
      </c>
      <c r="AD49" s="32">
        <v>6004.1469999999999</v>
      </c>
      <c r="AE49" s="32">
        <v>6426.326</v>
      </c>
      <c r="AF49" s="440">
        <v>7209.7830000000004</v>
      </c>
      <c r="AG49" s="169"/>
      <c r="AH49" s="16"/>
      <c r="AI49" s="16"/>
      <c r="AJ49" s="16"/>
      <c r="AK49" s="16"/>
      <c r="AL49" s="16"/>
      <c r="AM49" s="16"/>
      <c r="AN49" s="25"/>
      <c r="AO49" s="16">
        <f>849.462+6.377</f>
        <v>855.83899999999994</v>
      </c>
      <c r="AP49" s="231">
        <f t="shared" si="125"/>
        <v>902.71100000000001</v>
      </c>
      <c r="AQ49" s="30">
        <v>949.58299999999997</v>
      </c>
      <c r="AR49" s="73">
        <v>969.64499999999998</v>
      </c>
      <c r="AS49" s="32">
        <v>1007.116</v>
      </c>
      <c r="AT49" s="32">
        <v>1015.232</v>
      </c>
      <c r="AU49" s="32">
        <v>1027.69</v>
      </c>
      <c r="AV49" s="32">
        <v>1063.511</v>
      </c>
      <c r="AW49" s="32">
        <v>1144.4069999999999</v>
      </c>
      <c r="AX49" s="32">
        <v>1203.797</v>
      </c>
      <c r="AY49" s="32">
        <v>1263.4259999999999</v>
      </c>
      <c r="AZ49" s="231">
        <f t="shared" si="126"/>
        <v>1292.6999999999998</v>
      </c>
      <c r="BA49" s="32">
        <v>1321.9739999999999</v>
      </c>
      <c r="BB49" s="231">
        <f t="shared" si="127"/>
        <v>1428.9670000000001</v>
      </c>
      <c r="BC49" s="32">
        <v>1535.96</v>
      </c>
      <c r="BD49" s="32">
        <v>1609.9580000000001</v>
      </c>
      <c r="BE49" s="32">
        <v>1757.509</v>
      </c>
      <c r="BF49" s="32">
        <v>1757.432</v>
      </c>
      <c r="BG49" s="32">
        <v>1864.2539999999999</v>
      </c>
      <c r="BH49" s="32">
        <v>1922.0730000000001</v>
      </c>
      <c r="BI49" s="32">
        <v>2175.0259999999998</v>
      </c>
      <c r="BJ49" s="32">
        <v>2243.377</v>
      </c>
      <c r="BK49" s="440">
        <v>2367.0859999999998</v>
      </c>
      <c r="BL49" s="87"/>
      <c r="BM49" s="73"/>
      <c r="BN49" s="73"/>
      <c r="BO49" s="73"/>
      <c r="BP49" s="73"/>
      <c r="BQ49" s="73"/>
      <c r="BR49" s="73"/>
      <c r="BS49" s="89"/>
      <c r="BT49" s="73">
        <v>503.80900000000003</v>
      </c>
      <c r="BU49" s="231">
        <f t="shared" si="128"/>
        <v>516.61350000000004</v>
      </c>
      <c r="BV49" s="73">
        <v>529.41800000000001</v>
      </c>
      <c r="BW49" s="73">
        <v>547.54</v>
      </c>
      <c r="BX49" s="32">
        <v>558.44500000000005</v>
      </c>
      <c r="BY49" s="32">
        <v>563.89099999999996</v>
      </c>
      <c r="BZ49" s="32">
        <v>602.38400000000001</v>
      </c>
      <c r="CA49" s="32">
        <v>606.31399999999996</v>
      </c>
      <c r="CB49" s="32">
        <v>665.601</v>
      </c>
      <c r="CC49" s="32">
        <v>702.52800000000002</v>
      </c>
      <c r="CD49" s="32">
        <v>742.40800000000002</v>
      </c>
      <c r="CE49" s="231">
        <f t="shared" si="129"/>
        <v>745.54700000000003</v>
      </c>
      <c r="CF49" s="32">
        <v>748.68600000000004</v>
      </c>
      <c r="CG49" s="231">
        <f t="shared" si="130"/>
        <v>819.75099999999998</v>
      </c>
      <c r="CH49" s="32">
        <v>890.81600000000003</v>
      </c>
      <c r="CI49" s="32">
        <v>915.22500000000002</v>
      </c>
      <c r="CJ49" s="32">
        <v>971.78399999999999</v>
      </c>
      <c r="CK49" s="32">
        <v>971.71</v>
      </c>
      <c r="CL49" s="32">
        <v>1021.318</v>
      </c>
      <c r="CM49" s="32">
        <v>1071.086</v>
      </c>
      <c r="CN49" s="32">
        <v>1193.114</v>
      </c>
      <c r="CO49" s="32">
        <v>1233.5229999999999</v>
      </c>
      <c r="CP49" s="440">
        <v>1309.5050000000001</v>
      </c>
      <c r="CQ49" s="87"/>
      <c r="CR49" s="73"/>
      <c r="CS49" s="73"/>
      <c r="CT49" s="73"/>
      <c r="CU49" s="73"/>
      <c r="CV49" s="73"/>
      <c r="CW49" s="73"/>
      <c r="CX49" s="89"/>
      <c r="CY49" s="73">
        <v>309.96699999999998</v>
      </c>
      <c r="CZ49" s="231">
        <f t="shared" si="131"/>
        <v>340.10950000000003</v>
      </c>
      <c r="DA49" s="73">
        <f>370252/1000</f>
        <v>370.25200000000001</v>
      </c>
      <c r="DB49" s="73">
        <v>365.91399999999999</v>
      </c>
      <c r="DC49" s="32">
        <v>385.99799999999999</v>
      </c>
      <c r="DD49" s="32">
        <v>393.8</v>
      </c>
      <c r="DE49" s="32">
        <v>373.19200000000001</v>
      </c>
      <c r="DF49" s="32">
        <v>393.58300000000003</v>
      </c>
      <c r="DG49" s="32">
        <v>418.197</v>
      </c>
      <c r="DH49" s="32">
        <v>436.31400000000002</v>
      </c>
      <c r="DI49" s="32">
        <v>461.05200000000002</v>
      </c>
      <c r="DJ49" s="231">
        <f t="shared" si="132"/>
        <v>485.661</v>
      </c>
      <c r="DK49" s="32">
        <v>510.27</v>
      </c>
      <c r="DL49" s="231">
        <f t="shared" si="133"/>
        <v>540.10699999999997</v>
      </c>
      <c r="DM49" s="32">
        <v>569.94399999999996</v>
      </c>
      <c r="DN49" s="32">
        <v>633.91800000000001</v>
      </c>
      <c r="DO49" s="32">
        <v>713.97900000000004</v>
      </c>
      <c r="DP49" s="32">
        <v>713.97900000000004</v>
      </c>
      <c r="DQ49" s="32">
        <v>763.46</v>
      </c>
      <c r="DR49" s="32">
        <v>771.697</v>
      </c>
      <c r="DS49" s="32">
        <v>867.21</v>
      </c>
      <c r="DT49" s="32">
        <v>884.24800000000005</v>
      </c>
      <c r="DU49" s="440">
        <v>936.01300000000003</v>
      </c>
      <c r="DV49" s="88"/>
      <c r="DW49" s="90"/>
      <c r="DX49" s="90"/>
      <c r="DY49" s="90"/>
      <c r="DZ49" s="90"/>
      <c r="EA49" s="90"/>
      <c r="EB49" s="90"/>
      <c r="EC49" s="90"/>
      <c r="ED49" s="40">
        <f t="shared" si="134"/>
        <v>42.062999999999931</v>
      </c>
      <c r="EE49" s="40">
        <f t="shared" si="135"/>
        <v>45.987999999999943</v>
      </c>
      <c r="EF49" s="40">
        <f t="shared" si="136"/>
        <v>49.912999999999954</v>
      </c>
      <c r="EG49" s="40">
        <f t="shared" si="137"/>
        <v>56.191000000000031</v>
      </c>
      <c r="EH49" s="40">
        <f t="shared" si="138"/>
        <v>62.672999999999945</v>
      </c>
      <c r="EI49" s="40">
        <f t="shared" si="139"/>
        <v>57.540999999999997</v>
      </c>
      <c r="EJ49" s="40">
        <f t="shared" si="140"/>
        <v>52.114000000000033</v>
      </c>
      <c r="EK49" s="40">
        <f t="shared" si="141"/>
        <v>63.613999999999976</v>
      </c>
      <c r="EL49" s="40">
        <f t="shared" si="142"/>
        <v>60.608999999999924</v>
      </c>
      <c r="EM49" s="40">
        <f t="shared" si="143"/>
        <v>64.954999999999984</v>
      </c>
      <c r="EN49" s="40">
        <f t="shared" si="144"/>
        <v>59.965999999999894</v>
      </c>
      <c r="EO49" s="40">
        <f t="shared" si="145"/>
        <v>61.491999999999791</v>
      </c>
      <c r="EP49" s="40">
        <f t="shared" si="146"/>
        <v>63.017999999999915</v>
      </c>
      <c r="EQ49" s="40">
        <f t="shared" si="147"/>
        <v>69.109000000000151</v>
      </c>
      <c r="ER49" s="40">
        <f t="shared" si="148"/>
        <v>75.200000000000045</v>
      </c>
      <c r="ES49" s="40">
        <f t="shared" si="149"/>
        <v>60.815000000000055</v>
      </c>
      <c r="ET49" s="40">
        <f t="shared" si="150"/>
        <v>71.745999999999981</v>
      </c>
      <c r="EU49" s="40">
        <f t="shared" si="151"/>
        <v>71.742999999999938</v>
      </c>
      <c r="EV49" s="40">
        <f t="shared" si="152"/>
        <v>79.475999999999885</v>
      </c>
      <c r="EW49" s="40">
        <f t="shared" si="153"/>
        <v>79.290000000000077</v>
      </c>
      <c r="EX49" s="40">
        <f t="shared" si="154"/>
        <v>114.70199999999977</v>
      </c>
      <c r="EY49" s="40">
        <f t="shared" si="155"/>
        <v>125.60599999999999</v>
      </c>
      <c r="EZ49" s="40">
        <f t="shared" si="156"/>
        <v>121.56799999999964</v>
      </c>
      <c r="FA49" s="181"/>
      <c r="FB49" s="73"/>
      <c r="FC49" s="73"/>
      <c r="FD49" s="73"/>
      <c r="FE49" s="73"/>
      <c r="FF49" s="73"/>
      <c r="FG49" s="73"/>
      <c r="FH49" s="89"/>
      <c r="FI49" s="73">
        <f>250.176+61.468+24.775+3.75+0.402</f>
        <v>340.57099999999997</v>
      </c>
      <c r="FJ49" s="231">
        <f t="shared" si="157"/>
        <v>399.03</v>
      </c>
      <c r="FK49" s="73">
        <v>457.48899999999998</v>
      </c>
      <c r="FL49" s="73">
        <v>539.04499999999996</v>
      </c>
      <c r="FM49" s="32">
        <v>489.34100000000001</v>
      </c>
      <c r="FN49" s="32">
        <v>568.38699999999994</v>
      </c>
      <c r="FO49" s="32">
        <v>480.07499999999999</v>
      </c>
      <c r="FP49" s="32">
        <v>590.32799999999997</v>
      </c>
      <c r="FQ49" s="32">
        <v>595.54200000000003</v>
      </c>
      <c r="FR49" s="32">
        <v>680.84900000000005</v>
      </c>
      <c r="FS49" s="32">
        <v>678.59100000000001</v>
      </c>
      <c r="FT49" s="231">
        <f t="shared" si="158"/>
        <v>725.90800000000002</v>
      </c>
      <c r="FU49" s="32">
        <v>773.22500000000002</v>
      </c>
      <c r="FV49" s="231">
        <f t="shared" si="159"/>
        <v>806.55400000000009</v>
      </c>
      <c r="FW49" s="32">
        <v>839.88300000000004</v>
      </c>
      <c r="FX49" s="32">
        <v>818.62699999999995</v>
      </c>
      <c r="FY49" s="32">
        <v>852.28200000000004</v>
      </c>
      <c r="FZ49" s="32">
        <v>852.096</v>
      </c>
      <c r="GA49" s="32">
        <v>928.73500000000001</v>
      </c>
      <c r="GB49" s="32">
        <v>975.64400000000001</v>
      </c>
      <c r="GC49" s="32">
        <v>1091.124</v>
      </c>
      <c r="GD49" s="32">
        <v>1169.4649999999999</v>
      </c>
      <c r="GE49" s="440">
        <v>1185.9749999999999</v>
      </c>
      <c r="GF49" s="87"/>
      <c r="GG49" s="73"/>
      <c r="GH49" s="73"/>
      <c r="GI49" s="73"/>
      <c r="GJ49" s="73"/>
      <c r="GK49" s="73"/>
      <c r="GL49" s="73"/>
      <c r="GM49" s="89"/>
      <c r="GN49" s="73">
        <f>249.769+12.241+0.914+1.309+39.504+13.925+20.593+12.265+83.469+29.439+37.93+18.575+13.208</f>
        <v>533.14100000000008</v>
      </c>
      <c r="GO49" s="231">
        <f t="shared" si="160"/>
        <v>579.25900000000001</v>
      </c>
      <c r="GP49" s="73">
        <v>625.37699999999995</v>
      </c>
      <c r="GQ49" s="73">
        <v>615.173</v>
      </c>
      <c r="GR49" s="32">
        <v>662.41600000000005</v>
      </c>
      <c r="GS49" s="32">
        <v>720.46699999999998</v>
      </c>
      <c r="GT49" s="32">
        <v>670.08299999999997</v>
      </c>
      <c r="GU49" s="32">
        <v>793.81500000000005</v>
      </c>
      <c r="GV49" s="32">
        <v>929.59299999999996</v>
      </c>
      <c r="GW49" s="32">
        <v>996.85400000000004</v>
      </c>
      <c r="GX49" s="32">
        <v>1030.3720000000001</v>
      </c>
      <c r="GY49" s="231">
        <f t="shared" si="161"/>
        <v>1046.2625</v>
      </c>
      <c r="GZ49" s="32">
        <v>1062.153</v>
      </c>
      <c r="HA49" s="231">
        <f t="shared" si="162"/>
        <v>1085.2175</v>
      </c>
      <c r="HB49" s="32">
        <v>1108.2819999999999</v>
      </c>
      <c r="HC49" s="32">
        <v>1223.7149999999999</v>
      </c>
      <c r="HD49" s="32">
        <v>1359.89</v>
      </c>
      <c r="HE49" s="32">
        <v>1359.3420000000001</v>
      </c>
      <c r="HF49" s="32">
        <v>1401.6010000000001</v>
      </c>
      <c r="HG49" s="32">
        <v>1499.6949999999999</v>
      </c>
      <c r="HH49" s="32">
        <v>1806.914</v>
      </c>
      <c r="HI49" s="32">
        <v>1923.14</v>
      </c>
      <c r="HJ49" s="440">
        <v>2525.0369999999998</v>
      </c>
      <c r="HK49" s="87"/>
      <c r="HL49" s="73"/>
      <c r="HM49" s="73"/>
      <c r="HN49" s="73"/>
      <c r="HO49" s="73"/>
      <c r="HP49" s="73"/>
      <c r="HQ49" s="73"/>
      <c r="HR49" s="89"/>
      <c r="HS49" s="73">
        <f>37.626+26.623+16.817+13.625</f>
        <v>94.691000000000003</v>
      </c>
      <c r="HT49" s="231">
        <f t="shared" si="163"/>
        <v>95.771000000000001</v>
      </c>
      <c r="HU49" s="73">
        <v>96.850999999999999</v>
      </c>
      <c r="HV49" s="73">
        <v>101.298</v>
      </c>
      <c r="HW49" s="32">
        <v>97.441999999999993</v>
      </c>
      <c r="HX49" s="32">
        <v>123.13800000000001</v>
      </c>
      <c r="HY49" s="32">
        <v>112.68300000000001</v>
      </c>
      <c r="HZ49" s="32">
        <v>140.691</v>
      </c>
      <c r="IA49" s="32">
        <v>135.209</v>
      </c>
      <c r="IB49" s="32">
        <v>160.25</v>
      </c>
      <c r="IC49" s="32">
        <v>171.041</v>
      </c>
      <c r="ID49" s="231">
        <f t="shared" si="164"/>
        <v>175.435</v>
      </c>
      <c r="IE49" s="32">
        <v>179.82900000000001</v>
      </c>
      <c r="IF49" s="231">
        <f t="shared" si="165"/>
        <v>197.02199999999999</v>
      </c>
      <c r="IG49" s="32">
        <v>214.215</v>
      </c>
      <c r="IH49" s="32">
        <v>210.191</v>
      </c>
      <c r="II49" s="32">
        <v>235.066</v>
      </c>
      <c r="IJ49" s="32">
        <v>234.715</v>
      </c>
      <c r="IK49" s="32">
        <v>230.41</v>
      </c>
      <c r="IL49" s="32">
        <v>256.76299999999998</v>
      </c>
      <c r="IM49" s="32">
        <v>274.25299999999999</v>
      </c>
      <c r="IN49" s="32">
        <v>236.78800000000001</v>
      </c>
      <c r="IO49" s="445">
        <v>286.78100000000001</v>
      </c>
      <c r="IP49" s="37"/>
      <c r="IQ49" s="32"/>
      <c r="IR49" s="32"/>
      <c r="IS49" s="32"/>
      <c r="IT49" s="32"/>
      <c r="IU49" s="32"/>
      <c r="IV49" s="32"/>
      <c r="IW49" s="33"/>
      <c r="IX49" s="32">
        <f>140.29+121.655+83.546</f>
        <v>345.49099999999999</v>
      </c>
      <c r="IY49" s="231">
        <f t="shared" si="166"/>
        <v>347.6275</v>
      </c>
      <c r="IZ49" s="32">
        <v>349.76400000000001</v>
      </c>
      <c r="JA49" s="73">
        <v>331.62599999999998</v>
      </c>
      <c r="JB49" s="47">
        <v>328.80599999999998</v>
      </c>
      <c r="JC49" s="47">
        <v>337.97300000000001</v>
      </c>
      <c r="JD49" s="47">
        <v>371.51299999999998</v>
      </c>
      <c r="JE49" s="47">
        <v>413.2</v>
      </c>
      <c r="JF49" s="17">
        <v>461.60599999999999</v>
      </c>
      <c r="JG49" s="17">
        <v>445.096</v>
      </c>
      <c r="JH49" s="17">
        <v>530.25300000000004</v>
      </c>
      <c r="JI49" s="231">
        <f t="shared" si="167"/>
        <v>539.61350000000004</v>
      </c>
      <c r="JJ49" s="17">
        <v>548.97400000000005</v>
      </c>
      <c r="JK49" s="231">
        <f t="shared" si="168"/>
        <v>503.95249999999999</v>
      </c>
      <c r="JL49" s="17">
        <v>458.93099999999998</v>
      </c>
      <c r="JM49" s="17">
        <v>486.95400000000001</v>
      </c>
      <c r="JN49" s="17">
        <v>533.92600000000004</v>
      </c>
      <c r="JO49" s="32">
        <v>533.80899999999997</v>
      </c>
      <c r="JP49" s="32">
        <v>694.05700000000002</v>
      </c>
      <c r="JQ49" s="32">
        <v>752.88199999999995</v>
      </c>
      <c r="JR49" s="32">
        <v>656.83100000000002</v>
      </c>
      <c r="JS49" s="17">
        <v>853.55600000000004</v>
      </c>
      <c r="JT49" s="450">
        <v>844.904</v>
      </c>
    </row>
    <row r="50" spans="1:280" s="17" customFormat="1" ht="12.75" customHeight="1">
      <c r="A50" s="222" t="s">
        <v>71</v>
      </c>
      <c r="B50" s="16"/>
      <c r="C50" s="16"/>
      <c r="D50" s="16"/>
      <c r="E50" s="16"/>
      <c r="F50" s="16"/>
      <c r="G50" s="16"/>
      <c r="H50" s="16"/>
      <c r="I50" s="25"/>
      <c r="J50" s="16">
        <v>32045.501</v>
      </c>
      <c r="K50" s="231">
        <f t="shared" si="122"/>
        <v>34667.834999999999</v>
      </c>
      <c r="L50" s="16">
        <v>37290.169000000002</v>
      </c>
      <c r="M50" s="16">
        <v>39442.976000000002</v>
      </c>
      <c r="N50" s="73">
        <v>42040.661999999997</v>
      </c>
      <c r="O50" s="32">
        <v>44034.618999999999</v>
      </c>
      <c r="P50" s="32">
        <v>45857.222999999998</v>
      </c>
      <c r="Q50" s="32">
        <v>48108.182000000001</v>
      </c>
      <c r="R50" s="32">
        <v>50576.292000000001</v>
      </c>
      <c r="S50" s="32">
        <v>53155.28</v>
      </c>
      <c r="T50" s="32">
        <v>57649.864000000001</v>
      </c>
      <c r="U50" s="231">
        <f t="shared" si="123"/>
        <v>62350.052499999998</v>
      </c>
      <c r="V50" s="32">
        <v>67050.240999999995</v>
      </c>
      <c r="W50" s="231">
        <f t="shared" si="124"/>
        <v>70748.01999999999</v>
      </c>
      <c r="X50" s="32">
        <v>74445.798999999999</v>
      </c>
      <c r="Y50" s="32">
        <v>77933.463000000003</v>
      </c>
      <c r="Z50" s="32">
        <v>84794.146999999997</v>
      </c>
      <c r="AA50" s="32">
        <v>84718.05</v>
      </c>
      <c r="AB50" s="32">
        <v>86449.197</v>
      </c>
      <c r="AC50" s="32">
        <v>88432.506999999998</v>
      </c>
      <c r="AD50" s="32">
        <v>90557.088000000003</v>
      </c>
      <c r="AE50" s="32">
        <v>94293.585000000006</v>
      </c>
      <c r="AF50" s="440">
        <v>91435.606</v>
      </c>
      <c r="AG50" s="169"/>
      <c r="AH50" s="16"/>
      <c r="AI50" s="16"/>
      <c r="AJ50" s="16"/>
      <c r="AK50" s="16"/>
      <c r="AL50" s="16"/>
      <c r="AM50" s="16"/>
      <c r="AN50" s="25"/>
      <c r="AO50" s="16">
        <f>11876.877+173.171</f>
        <v>12050.048000000001</v>
      </c>
      <c r="AP50" s="231">
        <f t="shared" si="125"/>
        <v>12641.23</v>
      </c>
      <c r="AQ50" s="30">
        <v>13232.412</v>
      </c>
      <c r="AR50" s="73">
        <v>14153.57</v>
      </c>
      <c r="AS50" s="32">
        <v>14865.375</v>
      </c>
      <c r="AT50" s="32">
        <v>15770.38</v>
      </c>
      <c r="AU50" s="32">
        <v>16926.671999999999</v>
      </c>
      <c r="AV50" s="32">
        <v>17645.422999999999</v>
      </c>
      <c r="AW50" s="32">
        <v>18617.313999999998</v>
      </c>
      <c r="AX50" s="32">
        <v>19496.762999999999</v>
      </c>
      <c r="AY50" s="32">
        <v>20994.059000000001</v>
      </c>
      <c r="AZ50" s="231">
        <f t="shared" si="126"/>
        <v>22513.75</v>
      </c>
      <c r="BA50" s="32">
        <v>24033.440999999999</v>
      </c>
      <c r="BB50" s="231">
        <f t="shared" si="127"/>
        <v>25498.885000000002</v>
      </c>
      <c r="BC50" s="32">
        <v>26964.329000000002</v>
      </c>
      <c r="BD50" s="32">
        <v>27958.708999999999</v>
      </c>
      <c r="BE50" s="32">
        <v>30414.739000000001</v>
      </c>
      <c r="BF50" s="32">
        <v>30420.489000000001</v>
      </c>
      <c r="BG50" s="32">
        <v>31355.951000000001</v>
      </c>
      <c r="BH50" s="32">
        <v>31904.236000000001</v>
      </c>
      <c r="BI50" s="32">
        <v>33275.379999999997</v>
      </c>
      <c r="BJ50" s="32">
        <v>33818.68</v>
      </c>
      <c r="BK50" s="440">
        <v>32983.002</v>
      </c>
      <c r="BL50" s="87"/>
      <c r="BM50" s="73"/>
      <c r="BN50" s="73"/>
      <c r="BO50" s="73"/>
      <c r="BP50" s="73"/>
      <c r="BQ50" s="73"/>
      <c r="BR50" s="73"/>
      <c r="BS50" s="89"/>
      <c r="BT50" s="73">
        <v>8324.8269999999993</v>
      </c>
      <c r="BU50" s="231">
        <f t="shared" si="128"/>
        <v>8643.8209999999999</v>
      </c>
      <c r="BV50" s="73">
        <v>8962.8150000000005</v>
      </c>
      <c r="BW50" s="73">
        <v>9841.8539999999994</v>
      </c>
      <c r="BX50" s="32">
        <v>10271.322</v>
      </c>
      <c r="BY50" s="32">
        <v>10929.96</v>
      </c>
      <c r="BZ50" s="32">
        <v>11896.191000000001</v>
      </c>
      <c r="CA50" s="32">
        <v>11841.308000000001</v>
      </c>
      <c r="CB50" s="32">
        <v>12782.884</v>
      </c>
      <c r="CC50" s="32">
        <v>13555.517</v>
      </c>
      <c r="CD50" s="32">
        <v>14494.833000000001</v>
      </c>
      <c r="CE50" s="231">
        <f t="shared" si="129"/>
        <v>15494.7225</v>
      </c>
      <c r="CF50" s="32">
        <v>16494.612000000001</v>
      </c>
      <c r="CG50" s="231">
        <f t="shared" si="130"/>
        <v>17618.484</v>
      </c>
      <c r="CH50" s="32">
        <v>18742.356</v>
      </c>
      <c r="CI50" s="32">
        <v>19104.649000000001</v>
      </c>
      <c r="CJ50" s="32">
        <v>20623.682000000001</v>
      </c>
      <c r="CK50" s="32">
        <v>20623.682000000001</v>
      </c>
      <c r="CL50" s="32">
        <v>21135.710999999999</v>
      </c>
      <c r="CM50" s="32">
        <v>21574.024000000001</v>
      </c>
      <c r="CN50" s="32">
        <v>21830.091</v>
      </c>
      <c r="CO50" s="32">
        <v>22089.312000000002</v>
      </c>
      <c r="CP50" s="440">
        <v>22424.598000000002</v>
      </c>
      <c r="CQ50" s="87"/>
      <c r="CR50" s="73"/>
      <c r="CS50" s="73"/>
      <c r="CT50" s="73"/>
      <c r="CU50" s="73"/>
      <c r="CV50" s="73"/>
      <c r="CW50" s="73"/>
      <c r="CX50" s="89"/>
      <c r="CY50" s="73">
        <v>3038.11</v>
      </c>
      <c r="CZ50" s="231">
        <f t="shared" si="131"/>
        <v>3297.0075000000002</v>
      </c>
      <c r="DA50" s="73">
        <f>3555905/1000</f>
        <v>3555.9050000000002</v>
      </c>
      <c r="DB50" s="73">
        <v>3497.1039999999998</v>
      </c>
      <c r="DC50" s="32">
        <v>3692.8110000000001</v>
      </c>
      <c r="DD50" s="32">
        <v>3874.0250000000001</v>
      </c>
      <c r="DE50" s="32">
        <v>3990.2289999999998</v>
      </c>
      <c r="DF50" s="32">
        <v>4550.7470000000003</v>
      </c>
      <c r="DG50" s="32">
        <v>4496.7449999999999</v>
      </c>
      <c r="DH50" s="32">
        <v>4672.125</v>
      </c>
      <c r="DI50" s="32">
        <v>5076.5659999999998</v>
      </c>
      <c r="DJ50" s="231">
        <f t="shared" si="132"/>
        <v>5455.1864999999998</v>
      </c>
      <c r="DK50" s="32">
        <v>5833.8069999999998</v>
      </c>
      <c r="DL50" s="231">
        <f t="shared" si="133"/>
        <v>6082.3705</v>
      </c>
      <c r="DM50" s="32">
        <v>6330.9340000000002</v>
      </c>
      <c r="DN50" s="32">
        <v>6744.6660000000002</v>
      </c>
      <c r="DO50" s="32">
        <v>7483.4610000000002</v>
      </c>
      <c r="DP50" s="32">
        <v>7483.4610000000002</v>
      </c>
      <c r="DQ50" s="32">
        <v>7811.2950000000001</v>
      </c>
      <c r="DR50" s="32">
        <v>7969.8509999999997</v>
      </c>
      <c r="DS50" s="32">
        <v>8215.0290000000005</v>
      </c>
      <c r="DT50" s="32">
        <v>8590.4150000000009</v>
      </c>
      <c r="DU50" s="440">
        <v>8699.9189999999999</v>
      </c>
      <c r="DV50" s="88"/>
      <c r="DW50" s="90"/>
      <c r="DX50" s="90"/>
      <c r="DY50" s="90"/>
      <c r="DZ50" s="90"/>
      <c r="EA50" s="90"/>
      <c r="EB50" s="90"/>
      <c r="EC50" s="90"/>
      <c r="ED50" s="40">
        <f t="shared" si="134"/>
        <v>687.11100000000124</v>
      </c>
      <c r="EE50" s="40">
        <f t="shared" si="135"/>
        <v>700.40149999999949</v>
      </c>
      <c r="EF50" s="40">
        <f t="shared" si="136"/>
        <v>713.69199999999955</v>
      </c>
      <c r="EG50" s="40">
        <f t="shared" si="137"/>
        <v>814.61200000000053</v>
      </c>
      <c r="EH50" s="40">
        <f t="shared" si="138"/>
        <v>901.24199999999973</v>
      </c>
      <c r="EI50" s="40">
        <f t="shared" si="139"/>
        <v>966.39499999999998</v>
      </c>
      <c r="EJ50" s="40">
        <f t="shared" si="140"/>
        <v>1040.2519999999981</v>
      </c>
      <c r="EK50" s="40">
        <f t="shared" si="141"/>
        <v>1253.3679999999977</v>
      </c>
      <c r="EL50" s="40">
        <f t="shared" si="142"/>
        <v>1337.6849999999986</v>
      </c>
      <c r="EM50" s="40">
        <f t="shared" si="143"/>
        <v>1269.1209999999992</v>
      </c>
      <c r="EN50" s="40">
        <f t="shared" si="144"/>
        <v>1422.6600000000008</v>
      </c>
      <c r="EO50" s="40">
        <f t="shared" si="145"/>
        <v>1563.8410000000003</v>
      </c>
      <c r="EP50" s="40">
        <f t="shared" si="146"/>
        <v>1705.0219999999981</v>
      </c>
      <c r="EQ50" s="40">
        <f t="shared" si="147"/>
        <v>1798.0305000000017</v>
      </c>
      <c r="ER50" s="40">
        <f t="shared" si="148"/>
        <v>1891.0390000000016</v>
      </c>
      <c r="ES50" s="40">
        <f t="shared" si="149"/>
        <v>2109.3939999999975</v>
      </c>
      <c r="ET50" s="40">
        <f t="shared" si="150"/>
        <v>2307.5960000000005</v>
      </c>
      <c r="EU50" s="40">
        <f t="shared" si="151"/>
        <v>2313.3460000000005</v>
      </c>
      <c r="EV50" s="40">
        <f t="shared" si="152"/>
        <v>2408.9450000000015</v>
      </c>
      <c r="EW50" s="40">
        <f t="shared" si="153"/>
        <v>2360.3609999999999</v>
      </c>
      <c r="EX50" s="40">
        <f t="shared" si="154"/>
        <v>3230.2599999999966</v>
      </c>
      <c r="EY50" s="40">
        <f t="shared" si="155"/>
        <v>3138.9529999999977</v>
      </c>
      <c r="EZ50" s="40">
        <f t="shared" si="156"/>
        <v>1858.4849999999988</v>
      </c>
      <c r="FA50" s="181"/>
      <c r="FB50" s="73"/>
      <c r="FC50" s="73"/>
      <c r="FD50" s="73"/>
      <c r="FE50" s="73"/>
      <c r="FF50" s="73"/>
      <c r="FG50" s="73"/>
      <c r="FH50" s="89"/>
      <c r="FI50" s="73">
        <f>5362.469+1522.308+1138.26+141.12+0.588</f>
        <v>8164.7449999999999</v>
      </c>
      <c r="FJ50" s="231">
        <f t="shared" si="157"/>
        <v>9255.2180000000008</v>
      </c>
      <c r="FK50" s="73">
        <v>10345.691000000001</v>
      </c>
      <c r="FL50" s="73">
        <v>11163.271000000001</v>
      </c>
      <c r="FM50" s="32">
        <v>12302.329</v>
      </c>
      <c r="FN50" s="32">
        <v>12111.346</v>
      </c>
      <c r="FO50" s="32">
        <v>11868.624</v>
      </c>
      <c r="FP50" s="32">
        <v>12614.424999999999</v>
      </c>
      <c r="FQ50" s="32">
        <v>13015.620999999999</v>
      </c>
      <c r="FR50" s="32">
        <v>13537.851000000001</v>
      </c>
      <c r="FS50" s="32">
        <v>14752.463</v>
      </c>
      <c r="FT50" s="231">
        <f t="shared" si="158"/>
        <v>16360.641</v>
      </c>
      <c r="FU50" s="32">
        <v>17968.819</v>
      </c>
      <c r="FV50" s="231">
        <f t="shared" si="159"/>
        <v>19511.318500000001</v>
      </c>
      <c r="FW50" s="32">
        <v>21053.817999999999</v>
      </c>
      <c r="FX50" s="32">
        <v>22598.754000000001</v>
      </c>
      <c r="FY50" s="32">
        <v>24745.919999999998</v>
      </c>
      <c r="FZ50" s="32">
        <v>24745.918000000001</v>
      </c>
      <c r="GA50" s="32">
        <v>24531.861000000001</v>
      </c>
      <c r="GB50" s="32">
        <v>25727.778999999999</v>
      </c>
      <c r="GC50" s="32">
        <v>26591.008999999998</v>
      </c>
      <c r="GD50" s="32">
        <v>28740.627</v>
      </c>
      <c r="GE50" s="440">
        <v>28471.331999999999</v>
      </c>
      <c r="GF50" s="87"/>
      <c r="GG50" s="73"/>
      <c r="GH50" s="73"/>
      <c r="GI50" s="73"/>
      <c r="GJ50" s="73"/>
      <c r="GK50" s="73"/>
      <c r="GL50" s="73"/>
      <c r="GM50" s="89"/>
      <c r="GN50" s="73">
        <f>2138.42+102.804+21.373+4.691+1118.397+576.061+760.991+166.894+253.737+421.889+587.246+869.876+267.655</f>
        <v>7290.0340000000006</v>
      </c>
      <c r="GO50" s="231">
        <f t="shared" si="160"/>
        <v>7939.7924999999996</v>
      </c>
      <c r="GP50" s="73">
        <v>8589.5509999999995</v>
      </c>
      <c r="GQ50" s="73">
        <v>8856.6630000000005</v>
      </c>
      <c r="GR50" s="32">
        <v>9480.25</v>
      </c>
      <c r="GS50" s="32">
        <v>10278.291999999999</v>
      </c>
      <c r="GT50" s="32">
        <v>10884.653</v>
      </c>
      <c r="GU50" s="32">
        <v>11315.413</v>
      </c>
      <c r="GV50" s="32">
        <v>12282.911</v>
      </c>
      <c r="GW50" s="32">
        <v>12951.073</v>
      </c>
      <c r="GX50" s="32">
        <v>14080.279</v>
      </c>
      <c r="GY50" s="231">
        <f t="shared" si="161"/>
        <v>14594.781999999999</v>
      </c>
      <c r="GZ50" s="32">
        <v>15109.285</v>
      </c>
      <c r="HA50" s="231">
        <f t="shared" si="162"/>
        <v>15611.626</v>
      </c>
      <c r="HB50" s="32">
        <v>16113.967000000001</v>
      </c>
      <c r="HC50" s="32">
        <v>17049.782999999999</v>
      </c>
      <c r="HD50" s="32">
        <v>18202.091</v>
      </c>
      <c r="HE50" s="32">
        <v>18195.195</v>
      </c>
      <c r="HF50" s="32">
        <v>19067.536</v>
      </c>
      <c r="HG50" s="32">
        <v>19324.940999999999</v>
      </c>
      <c r="HH50" s="32">
        <v>19379.593000000001</v>
      </c>
      <c r="HI50" s="32">
        <v>20078.366999999998</v>
      </c>
      <c r="HJ50" s="440">
        <v>19386.644</v>
      </c>
      <c r="HK50" s="87"/>
      <c r="HL50" s="73"/>
      <c r="HM50" s="73"/>
      <c r="HN50" s="73"/>
      <c r="HO50" s="73"/>
      <c r="HP50" s="73"/>
      <c r="HQ50" s="73"/>
      <c r="HR50" s="89"/>
      <c r="HS50" s="73">
        <f>749.558+556.584+316.111+262.424</f>
        <v>1884.6769999999997</v>
      </c>
      <c r="HT50" s="231">
        <f t="shared" si="163"/>
        <v>2032.1214999999997</v>
      </c>
      <c r="HU50" s="73">
        <v>2179.5659999999998</v>
      </c>
      <c r="HV50" s="73">
        <v>2263.866</v>
      </c>
      <c r="HW50" s="32">
        <v>2408.9319999999998</v>
      </c>
      <c r="HX50" s="32">
        <v>2754.5410000000002</v>
      </c>
      <c r="HY50" s="32">
        <v>2855.9810000000002</v>
      </c>
      <c r="HZ50" s="32">
        <v>3000.4929999999999</v>
      </c>
      <c r="IA50" s="32">
        <v>2989.1350000000002</v>
      </c>
      <c r="IB50" s="32">
        <v>3290.8330000000001</v>
      </c>
      <c r="IC50" s="32">
        <v>3574.498</v>
      </c>
      <c r="ID50" s="231">
        <f t="shared" si="164"/>
        <v>4112.8455000000004</v>
      </c>
      <c r="IE50" s="32">
        <v>4651.1930000000002</v>
      </c>
      <c r="IF50" s="231">
        <f t="shared" si="165"/>
        <v>4669.692</v>
      </c>
      <c r="IG50" s="32">
        <v>4688.1909999999998</v>
      </c>
      <c r="IH50" s="32">
        <v>4663.5659999999998</v>
      </c>
      <c r="II50" s="32">
        <v>4955.3280000000004</v>
      </c>
      <c r="IJ50" s="32">
        <v>4955.1139999999996</v>
      </c>
      <c r="IK50" s="32">
        <v>5146.5140000000001</v>
      </c>
      <c r="IL50" s="32">
        <v>4840.5219999999999</v>
      </c>
      <c r="IM50" s="32">
        <v>5024.4480000000003</v>
      </c>
      <c r="IN50" s="32">
        <v>5238.0429999999997</v>
      </c>
      <c r="IO50" s="445">
        <v>4989.1809999999996</v>
      </c>
      <c r="IP50" s="87"/>
      <c r="IQ50" s="73"/>
      <c r="IR50" s="73"/>
      <c r="IS50" s="73"/>
      <c r="IT50" s="73"/>
      <c r="IU50" s="73"/>
      <c r="IV50" s="73"/>
      <c r="IW50" s="89"/>
      <c r="IX50" s="73">
        <f>1481.853+5.76+1167.941</f>
        <v>2655.5540000000001</v>
      </c>
      <c r="IY50" s="231">
        <f t="shared" si="166"/>
        <v>2799.2515000000003</v>
      </c>
      <c r="IZ50" s="73">
        <v>2942.9490000000001</v>
      </c>
      <c r="JA50" s="73">
        <v>3005.6060000000002</v>
      </c>
      <c r="JB50" s="47">
        <v>2983.7759999999998</v>
      </c>
      <c r="JC50" s="47">
        <v>3120.06</v>
      </c>
      <c r="JD50" s="47">
        <v>3321.2930000000001</v>
      </c>
      <c r="JE50" s="47">
        <v>3532.4279999999999</v>
      </c>
      <c r="JF50" s="17">
        <v>3671.3110000000001</v>
      </c>
      <c r="JG50" s="17">
        <v>3878.76</v>
      </c>
      <c r="JH50" s="17">
        <v>4248.5649999999996</v>
      </c>
      <c r="JI50" s="231">
        <f t="shared" si="167"/>
        <v>4768.0339999999997</v>
      </c>
      <c r="JJ50" s="17">
        <v>5287.5029999999997</v>
      </c>
      <c r="JK50" s="231">
        <f t="shared" si="168"/>
        <v>5456.4984999999997</v>
      </c>
      <c r="JL50" s="17">
        <v>5625.4939999999997</v>
      </c>
      <c r="JM50" s="17">
        <v>5662.6509999999998</v>
      </c>
      <c r="JN50" s="17">
        <v>6476.0690000000004</v>
      </c>
      <c r="JO50" s="32">
        <v>6401.3339999999998</v>
      </c>
      <c r="JP50" s="32">
        <v>6347.335</v>
      </c>
      <c r="JQ50" s="32">
        <v>6635.027</v>
      </c>
      <c r="JR50" s="32">
        <v>6286.6559999999999</v>
      </c>
      <c r="JS50" s="17">
        <v>6417.8680000000004</v>
      </c>
      <c r="JT50" s="450">
        <v>5605.4470000000001</v>
      </c>
    </row>
    <row r="51" spans="1:280" s="17" customFormat="1" ht="12.75" customHeight="1">
      <c r="A51" s="222" t="s">
        <v>75</v>
      </c>
      <c r="B51" s="16"/>
      <c r="C51" s="16"/>
      <c r="D51" s="16"/>
      <c r="E51" s="16"/>
      <c r="F51" s="16"/>
      <c r="G51" s="16"/>
      <c r="H51" s="16"/>
      <c r="I51" s="25"/>
      <c r="J51" s="16">
        <v>1947.79</v>
      </c>
      <c r="K51" s="231">
        <f t="shared" si="122"/>
        <v>2103.9390000000003</v>
      </c>
      <c r="L51" s="16">
        <v>2260.0880000000002</v>
      </c>
      <c r="M51" s="16">
        <v>2430.4270000000001</v>
      </c>
      <c r="N51" s="73">
        <v>2661.8330000000001</v>
      </c>
      <c r="O51" s="32">
        <v>2817.152</v>
      </c>
      <c r="P51" s="32">
        <v>2833.306</v>
      </c>
      <c r="Q51" s="32">
        <v>2912.0340000000001</v>
      </c>
      <c r="R51" s="32">
        <v>3133.2779999999998</v>
      </c>
      <c r="S51" s="32">
        <v>3245.4360000000001</v>
      </c>
      <c r="T51" s="32">
        <v>3443.5320000000002</v>
      </c>
      <c r="U51" s="231">
        <f t="shared" si="123"/>
        <v>3664.1040000000003</v>
      </c>
      <c r="V51" s="32">
        <v>3884.6759999999999</v>
      </c>
      <c r="W51" s="231">
        <f t="shared" si="124"/>
        <v>4008.4934999999996</v>
      </c>
      <c r="X51" s="32">
        <v>4132.3109999999997</v>
      </c>
      <c r="Y51" s="32">
        <v>4445.9660000000003</v>
      </c>
      <c r="Z51" s="32">
        <v>4991.5200000000004</v>
      </c>
      <c r="AA51" s="32">
        <v>4957.6480000000001</v>
      </c>
      <c r="AB51" s="32">
        <v>5222.91</v>
      </c>
      <c r="AC51" s="32">
        <v>5710.2420000000002</v>
      </c>
      <c r="AD51" s="32">
        <v>6027.05</v>
      </c>
      <c r="AE51" s="32">
        <v>6165.4179999999997</v>
      </c>
      <c r="AF51" s="440">
        <v>6101.0420000000004</v>
      </c>
      <c r="AG51" s="169"/>
      <c r="AH51" s="16"/>
      <c r="AI51" s="16"/>
      <c r="AJ51" s="16"/>
      <c r="AK51" s="16"/>
      <c r="AL51" s="16"/>
      <c r="AM51" s="16"/>
      <c r="AN51" s="25"/>
      <c r="AO51" s="16">
        <f>692.921+10.31</f>
        <v>703.23099999999999</v>
      </c>
      <c r="AP51" s="231">
        <f t="shared" si="125"/>
        <v>758.39300000000003</v>
      </c>
      <c r="AQ51" s="77">
        <v>813.55499999999995</v>
      </c>
      <c r="AR51" s="73">
        <v>879.96799999999996</v>
      </c>
      <c r="AS51" s="32">
        <v>948.72400000000005</v>
      </c>
      <c r="AT51" s="32">
        <v>955.11599999999999</v>
      </c>
      <c r="AU51" s="32">
        <v>964.10199999999998</v>
      </c>
      <c r="AV51" s="32">
        <v>989.88699999999994</v>
      </c>
      <c r="AW51" s="32">
        <v>1062.268</v>
      </c>
      <c r="AX51" s="32">
        <v>1152.6489999999999</v>
      </c>
      <c r="AY51" s="32">
        <v>1232.298</v>
      </c>
      <c r="AZ51" s="231">
        <f t="shared" si="126"/>
        <v>1304.5194999999999</v>
      </c>
      <c r="BA51" s="32">
        <v>1376.741</v>
      </c>
      <c r="BB51" s="231">
        <f t="shared" si="127"/>
        <v>1408.7440000000001</v>
      </c>
      <c r="BC51" s="32">
        <v>1440.7470000000001</v>
      </c>
      <c r="BD51" s="32">
        <v>1540.231</v>
      </c>
      <c r="BE51" s="32">
        <v>1637.2449999999999</v>
      </c>
      <c r="BF51" s="32">
        <v>1634.6289999999999</v>
      </c>
      <c r="BG51" s="32">
        <v>1776.645</v>
      </c>
      <c r="BH51" s="32">
        <v>1955.7380000000001</v>
      </c>
      <c r="BI51" s="32">
        <v>2055.98</v>
      </c>
      <c r="BJ51" s="32">
        <v>2112.672</v>
      </c>
      <c r="BK51" s="440">
        <v>2026.4480000000001</v>
      </c>
      <c r="BL51" s="87"/>
      <c r="BM51" s="73"/>
      <c r="BN51" s="73"/>
      <c r="BO51" s="73"/>
      <c r="BP51" s="73"/>
      <c r="BQ51" s="73"/>
      <c r="BR51" s="73"/>
      <c r="BS51" s="89"/>
      <c r="BT51" s="73">
        <v>500.221</v>
      </c>
      <c r="BU51" s="231">
        <f t="shared" si="128"/>
        <v>541.29449999999997</v>
      </c>
      <c r="BV51" s="73">
        <v>582.36800000000005</v>
      </c>
      <c r="BW51" s="73">
        <v>612.99800000000005</v>
      </c>
      <c r="BX51" s="32">
        <v>648.72500000000002</v>
      </c>
      <c r="BY51" s="32">
        <v>677.72299999999996</v>
      </c>
      <c r="BZ51" s="32">
        <v>672.83500000000004</v>
      </c>
      <c r="CA51" s="32">
        <v>693.63199999999995</v>
      </c>
      <c r="CB51" s="32">
        <v>756.69</v>
      </c>
      <c r="CC51" s="32">
        <v>808.33699999999999</v>
      </c>
      <c r="CD51" s="32">
        <v>862.17200000000003</v>
      </c>
      <c r="CE51" s="231">
        <f t="shared" si="129"/>
        <v>901.71699999999998</v>
      </c>
      <c r="CF51" s="32">
        <v>941.26199999999994</v>
      </c>
      <c r="CG51" s="231">
        <f t="shared" si="130"/>
        <v>952.73450000000003</v>
      </c>
      <c r="CH51" s="32">
        <v>964.20699999999999</v>
      </c>
      <c r="CI51" s="32">
        <v>1018.7089999999999</v>
      </c>
      <c r="CJ51" s="32">
        <v>1063.9259999999999</v>
      </c>
      <c r="CK51" s="32">
        <v>1061.31</v>
      </c>
      <c r="CL51" s="32">
        <v>1129.7809999999999</v>
      </c>
      <c r="CM51" s="32">
        <v>1208.463</v>
      </c>
      <c r="CN51" s="32">
        <v>1238.0129999999999</v>
      </c>
      <c r="CO51" s="32">
        <v>1304.3019999999999</v>
      </c>
      <c r="CP51" s="440">
        <v>1257.357</v>
      </c>
      <c r="CQ51" s="87"/>
      <c r="CR51" s="73"/>
      <c r="CS51" s="73"/>
      <c r="CT51" s="73"/>
      <c r="CU51" s="73"/>
      <c r="CV51" s="73"/>
      <c r="CW51" s="73"/>
      <c r="CX51" s="89"/>
      <c r="CY51" s="73">
        <v>162.71899999999999</v>
      </c>
      <c r="CZ51" s="231">
        <f t="shared" si="131"/>
        <v>173.2</v>
      </c>
      <c r="DA51" s="73">
        <f>183681/1000</f>
        <v>183.68100000000001</v>
      </c>
      <c r="DB51" s="73">
        <v>210.63900000000001</v>
      </c>
      <c r="DC51" s="32">
        <v>237.26499999999999</v>
      </c>
      <c r="DD51" s="32">
        <v>221.99799999999999</v>
      </c>
      <c r="DE51" s="32">
        <v>235.22</v>
      </c>
      <c r="DF51" s="32">
        <v>242.398</v>
      </c>
      <c r="DG51" s="32">
        <v>248.339</v>
      </c>
      <c r="DH51" s="32">
        <v>289.339</v>
      </c>
      <c r="DI51" s="32">
        <v>305.03399999999999</v>
      </c>
      <c r="DJ51" s="231">
        <f t="shared" si="132"/>
        <v>333.54200000000003</v>
      </c>
      <c r="DK51" s="32">
        <v>362.05</v>
      </c>
      <c r="DL51" s="231">
        <f t="shared" si="133"/>
        <v>376.38850000000002</v>
      </c>
      <c r="DM51" s="32">
        <v>390.72699999999998</v>
      </c>
      <c r="DN51" s="32">
        <v>423.875</v>
      </c>
      <c r="DO51" s="32">
        <v>465.80599999999998</v>
      </c>
      <c r="DP51" s="32">
        <v>465.80599999999998</v>
      </c>
      <c r="DQ51" s="32">
        <v>519.36800000000005</v>
      </c>
      <c r="DR51" s="32">
        <v>596.96</v>
      </c>
      <c r="DS51" s="32">
        <v>681.07100000000003</v>
      </c>
      <c r="DT51" s="32">
        <v>672.37099999999998</v>
      </c>
      <c r="DU51" s="440">
        <v>640.91600000000005</v>
      </c>
      <c r="DV51" s="88"/>
      <c r="DW51" s="90"/>
      <c r="DX51" s="90"/>
      <c r="DY51" s="90"/>
      <c r="DZ51" s="90"/>
      <c r="EA51" s="90"/>
      <c r="EB51" s="90"/>
      <c r="EC51" s="90"/>
      <c r="ED51" s="40">
        <f t="shared" si="134"/>
        <v>40.290999999999997</v>
      </c>
      <c r="EE51" s="40">
        <f t="shared" si="135"/>
        <v>43.89850000000007</v>
      </c>
      <c r="EF51" s="40">
        <f t="shared" si="136"/>
        <v>47.505999999999887</v>
      </c>
      <c r="EG51" s="40">
        <f t="shared" si="137"/>
        <v>56.330999999999904</v>
      </c>
      <c r="EH51" s="40">
        <f t="shared" si="138"/>
        <v>62.734000000000037</v>
      </c>
      <c r="EI51" s="40">
        <f t="shared" si="139"/>
        <v>55.395000000000039</v>
      </c>
      <c r="EJ51" s="40">
        <f t="shared" si="140"/>
        <v>56.04699999999994</v>
      </c>
      <c r="EK51" s="40">
        <f t="shared" si="141"/>
        <v>53.856999999999999</v>
      </c>
      <c r="EL51" s="40">
        <f t="shared" si="142"/>
        <v>57.238999999999976</v>
      </c>
      <c r="EM51" s="40">
        <f t="shared" si="143"/>
        <v>54.9729999999999</v>
      </c>
      <c r="EN51" s="40">
        <f t="shared" si="144"/>
        <v>65.091999999999985</v>
      </c>
      <c r="EO51" s="40">
        <f t="shared" si="145"/>
        <v>69.260499999999865</v>
      </c>
      <c r="EP51" s="40">
        <f t="shared" si="146"/>
        <v>73.42900000000003</v>
      </c>
      <c r="EQ51" s="40">
        <f t="shared" si="147"/>
        <v>79.621000000000095</v>
      </c>
      <c r="ER51" s="40">
        <f t="shared" si="148"/>
        <v>85.813000000000102</v>
      </c>
      <c r="ES51" s="40">
        <f t="shared" si="149"/>
        <v>97.647000000000048</v>
      </c>
      <c r="ET51" s="40">
        <f t="shared" si="150"/>
        <v>107.51299999999998</v>
      </c>
      <c r="EU51" s="40">
        <f t="shared" si="151"/>
        <v>107.51299999999998</v>
      </c>
      <c r="EV51" s="40">
        <f t="shared" si="152"/>
        <v>127.49599999999998</v>
      </c>
      <c r="EW51" s="40">
        <f t="shared" si="153"/>
        <v>150.31500000000005</v>
      </c>
      <c r="EX51" s="40">
        <f t="shared" si="154"/>
        <v>136.89600000000007</v>
      </c>
      <c r="EY51" s="40">
        <f t="shared" si="155"/>
        <v>135.99900000000014</v>
      </c>
      <c r="EZ51" s="40">
        <f t="shared" si="156"/>
        <v>128.17500000000007</v>
      </c>
      <c r="FA51" s="181"/>
      <c r="FB51" s="73"/>
      <c r="FC51" s="73"/>
      <c r="FD51" s="73"/>
      <c r="FE51" s="73"/>
      <c r="FF51" s="73"/>
      <c r="FG51" s="73"/>
      <c r="FH51" s="89"/>
      <c r="FI51" s="73">
        <f>196.33+50.298+61.521+11.555+0.569</f>
        <v>320.27300000000002</v>
      </c>
      <c r="FJ51" s="231">
        <f t="shared" si="157"/>
        <v>375.82799999999997</v>
      </c>
      <c r="FK51" s="73">
        <v>431.38299999999998</v>
      </c>
      <c r="FL51" s="73">
        <v>482.16699999999997</v>
      </c>
      <c r="FM51" s="32">
        <v>523.48400000000004</v>
      </c>
      <c r="FN51" s="32">
        <v>550.28</v>
      </c>
      <c r="FO51" s="32">
        <v>568.83199999999999</v>
      </c>
      <c r="FP51" s="32">
        <v>552.697</v>
      </c>
      <c r="FQ51" s="32">
        <v>581.19500000000005</v>
      </c>
      <c r="FR51" s="32">
        <v>615.66300000000001</v>
      </c>
      <c r="FS51" s="32">
        <v>656.48199999999997</v>
      </c>
      <c r="FT51" s="231">
        <f t="shared" si="158"/>
        <v>725.39099999999996</v>
      </c>
      <c r="FU51" s="32">
        <v>794.3</v>
      </c>
      <c r="FV51" s="231">
        <f t="shared" si="159"/>
        <v>853.63249999999994</v>
      </c>
      <c r="FW51" s="32">
        <v>912.96500000000003</v>
      </c>
      <c r="FX51" s="32">
        <v>977.42700000000002</v>
      </c>
      <c r="FY51" s="32">
        <v>1029.54</v>
      </c>
      <c r="FZ51" s="32">
        <v>1029.4770000000001</v>
      </c>
      <c r="GA51" s="32">
        <v>1098.44</v>
      </c>
      <c r="GB51" s="32">
        <v>1194.5889999999999</v>
      </c>
      <c r="GC51" s="32">
        <v>1281.317</v>
      </c>
      <c r="GD51" s="32">
        <v>1282.1110000000001</v>
      </c>
      <c r="GE51" s="440">
        <v>1245.5820000000001</v>
      </c>
      <c r="GF51" s="87"/>
      <c r="GG51" s="73"/>
      <c r="GH51" s="73"/>
      <c r="GI51" s="73"/>
      <c r="GJ51" s="73"/>
      <c r="GK51" s="73"/>
      <c r="GL51" s="73"/>
      <c r="GM51" s="89"/>
      <c r="GN51" s="73">
        <f>275.4+8.186+1.203+1.903+52.195+16.43+30.526+12.209+57.133+32.477+23.802+23.569+8.099</f>
        <v>543.13199999999995</v>
      </c>
      <c r="GO51" s="231">
        <f t="shared" si="160"/>
        <v>581.66300000000001</v>
      </c>
      <c r="GP51" s="73">
        <v>620.19399999999996</v>
      </c>
      <c r="GQ51" s="73">
        <v>660.04200000000003</v>
      </c>
      <c r="GR51" s="32">
        <v>766.38699999999994</v>
      </c>
      <c r="GS51" s="32">
        <v>862.43200000000002</v>
      </c>
      <c r="GT51" s="32">
        <v>827.52599999999995</v>
      </c>
      <c r="GU51" s="32">
        <v>896.43</v>
      </c>
      <c r="GV51" s="32">
        <v>990.53499999999997</v>
      </c>
      <c r="GW51" s="32">
        <v>962.56799999999998</v>
      </c>
      <c r="GX51" s="32">
        <v>1047.287</v>
      </c>
      <c r="GY51" s="231">
        <f t="shared" si="161"/>
        <v>1113.355</v>
      </c>
      <c r="GZ51" s="32">
        <v>1179.423</v>
      </c>
      <c r="HA51" s="231">
        <f t="shared" si="162"/>
        <v>1213.6354999999999</v>
      </c>
      <c r="HB51" s="32">
        <v>1247.848</v>
      </c>
      <c r="HC51" s="32">
        <v>1340.867</v>
      </c>
      <c r="HD51" s="32">
        <v>1645.26</v>
      </c>
      <c r="HE51" s="32">
        <v>1615.4849999999999</v>
      </c>
      <c r="HF51" s="32">
        <v>1613.922</v>
      </c>
      <c r="HG51" s="32">
        <v>1690.3440000000001</v>
      </c>
      <c r="HH51" s="32">
        <v>1831.6279999999999</v>
      </c>
      <c r="HI51" s="32">
        <v>1950.588</v>
      </c>
      <c r="HJ51" s="440">
        <v>2027.7860000000001</v>
      </c>
      <c r="HK51" s="87"/>
      <c r="HL51" s="73"/>
      <c r="HM51" s="73"/>
      <c r="HN51" s="73"/>
      <c r="HO51" s="73"/>
      <c r="HP51" s="73"/>
      <c r="HQ51" s="73"/>
      <c r="HR51" s="89"/>
      <c r="HS51" s="73">
        <f>52.8+21.761+11.016+19.984</f>
        <v>105.56100000000001</v>
      </c>
      <c r="HT51" s="231">
        <f t="shared" si="163"/>
        <v>114.20699999999999</v>
      </c>
      <c r="HU51" s="73">
        <v>122.85299999999999</v>
      </c>
      <c r="HV51" s="73">
        <v>135.22499999999999</v>
      </c>
      <c r="HW51" s="32">
        <v>144.82400000000001</v>
      </c>
      <c r="HX51" s="32">
        <v>160.35900000000001</v>
      </c>
      <c r="HY51" s="32">
        <v>170.399</v>
      </c>
      <c r="HZ51" s="32">
        <v>163.77000000000001</v>
      </c>
      <c r="IA51" s="32">
        <v>176.64099999999999</v>
      </c>
      <c r="IB51" s="32">
        <v>188.67099999999999</v>
      </c>
      <c r="IC51" s="32">
        <v>186.28399999999999</v>
      </c>
      <c r="ID51" s="231">
        <f t="shared" si="164"/>
        <v>192.75900000000001</v>
      </c>
      <c r="IE51" s="32">
        <v>199.23400000000001</v>
      </c>
      <c r="IF51" s="231">
        <f t="shared" si="165"/>
        <v>208.88200000000001</v>
      </c>
      <c r="IG51" s="32">
        <v>218.53</v>
      </c>
      <c r="IH51" s="32">
        <v>248.43799999999999</v>
      </c>
      <c r="II51" s="32">
        <v>283.983</v>
      </c>
      <c r="IJ51" s="32">
        <v>283.91800000000001</v>
      </c>
      <c r="IK51" s="32">
        <v>304.70299999999997</v>
      </c>
      <c r="IL51" s="32">
        <v>364.88099999999997</v>
      </c>
      <c r="IM51" s="32">
        <v>377.15499999999997</v>
      </c>
      <c r="IN51" s="32">
        <v>329.303</v>
      </c>
      <c r="IO51" s="445">
        <v>344.12</v>
      </c>
      <c r="IP51" s="87"/>
      <c r="IQ51" s="73"/>
      <c r="IR51" s="73"/>
      <c r="IS51" s="73"/>
      <c r="IT51" s="73"/>
      <c r="IU51" s="73"/>
      <c r="IV51" s="73"/>
      <c r="IW51" s="89"/>
      <c r="IX51" s="73">
        <f>169.897+26.578+79.118</f>
        <v>275.59299999999996</v>
      </c>
      <c r="IY51" s="231">
        <f t="shared" si="166"/>
        <v>273.84799999999996</v>
      </c>
      <c r="IZ51" s="73">
        <v>272.10300000000001</v>
      </c>
      <c r="JA51" s="73">
        <v>273.02499999999998</v>
      </c>
      <c r="JB51" s="47">
        <v>278.41399999999999</v>
      </c>
      <c r="JC51" s="47">
        <v>288.96499999999997</v>
      </c>
      <c r="JD51" s="47">
        <v>302.447</v>
      </c>
      <c r="JE51" s="47">
        <v>309.25</v>
      </c>
      <c r="JF51" s="17">
        <v>322.63900000000001</v>
      </c>
      <c r="JG51" s="17">
        <v>325.88499999999999</v>
      </c>
      <c r="JH51" s="17">
        <v>321.18099999999998</v>
      </c>
      <c r="JI51" s="231">
        <f t="shared" si="167"/>
        <v>328.0795</v>
      </c>
      <c r="JJ51" s="17">
        <v>334.97800000000001</v>
      </c>
      <c r="JK51" s="231">
        <f t="shared" si="168"/>
        <v>323.59950000000003</v>
      </c>
      <c r="JL51" s="17">
        <v>312.221</v>
      </c>
      <c r="JM51" s="17">
        <v>339.00299999999999</v>
      </c>
      <c r="JN51" s="17">
        <v>395.49200000000002</v>
      </c>
      <c r="JO51" s="32">
        <v>394.13900000000001</v>
      </c>
      <c r="JP51" s="32">
        <v>429.2</v>
      </c>
      <c r="JQ51" s="32">
        <v>504.69</v>
      </c>
      <c r="JR51" s="32">
        <v>480.97</v>
      </c>
      <c r="JS51" s="17">
        <v>490.74400000000003</v>
      </c>
      <c r="JT51" s="450">
        <v>457.10599999999999</v>
      </c>
    </row>
    <row r="52" spans="1:280" s="17" customFormat="1" ht="12.75" customHeight="1">
      <c r="A52" s="247" t="s">
        <v>79</v>
      </c>
      <c r="B52" s="50"/>
      <c r="C52" s="50"/>
      <c r="D52" s="50"/>
      <c r="E52" s="50"/>
      <c r="F52" s="50"/>
      <c r="G52" s="50"/>
      <c r="H52" s="50"/>
      <c r="I52" s="213"/>
      <c r="J52" s="50">
        <v>16719.526999999998</v>
      </c>
      <c r="K52" s="158">
        <f t="shared" si="122"/>
        <v>18338.268499999998</v>
      </c>
      <c r="L52" s="50">
        <v>19957.009999999998</v>
      </c>
      <c r="M52" s="50">
        <v>21488.642</v>
      </c>
      <c r="N52" s="112">
        <v>22060.738000000001</v>
      </c>
      <c r="O52" s="49">
        <v>23201.899000000001</v>
      </c>
      <c r="P52" s="49">
        <v>23994.264999999999</v>
      </c>
      <c r="Q52" s="49">
        <v>25290.37</v>
      </c>
      <c r="R52" s="49">
        <v>26279.434000000001</v>
      </c>
      <c r="S52" s="49">
        <v>28216.062000000002</v>
      </c>
      <c r="T52" s="49">
        <v>30863.526999999998</v>
      </c>
      <c r="U52" s="158">
        <f t="shared" si="123"/>
        <v>32433.464999999997</v>
      </c>
      <c r="V52" s="49">
        <v>34003.402999999998</v>
      </c>
      <c r="W52" s="158">
        <f t="shared" si="124"/>
        <v>35358.620999999999</v>
      </c>
      <c r="X52" s="49">
        <v>36713.839</v>
      </c>
      <c r="Y52" s="49">
        <v>37723.732000000004</v>
      </c>
      <c r="Z52" s="49">
        <v>40406.999000000003</v>
      </c>
      <c r="AA52" s="49">
        <v>40489.139000000003</v>
      </c>
      <c r="AB52" s="49">
        <v>42439.72</v>
      </c>
      <c r="AC52" s="49">
        <v>45023.46</v>
      </c>
      <c r="AD52" s="49">
        <v>46049.124000000003</v>
      </c>
      <c r="AE52" s="49">
        <v>47713.578000000001</v>
      </c>
      <c r="AF52" s="439">
        <v>47264.904999999999</v>
      </c>
      <c r="AG52" s="220"/>
      <c r="AH52" s="50"/>
      <c r="AI52" s="50"/>
      <c r="AJ52" s="50"/>
      <c r="AK52" s="50"/>
      <c r="AL52" s="50"/>
      <c r="AM52" s="50"/>
      <c r="AN52" s="213"/>
      <c r="AO52" s="50">
        <f>6442.144+105.318</f>
        <v>6547.4620000000004</v>
      </c>
      <c r="AP52" s="158">
        <f t="shared" si="125"/>
        <v>7090.5040000000008</v>
      </c>
      <c r="AQ52" s="78">
        <v>7633.5460000000003</v>
      </c>
      <c r="AR52" s="112">
        <v>8137.0460000000003</v>
      </c>
      <c r="AS52" s="49">
        <v>8371.9120000000003</v>
      </c>
      <c r="AT52" s="49">
        <v>8761.9629999999997</v>
      </c>
      <c r="AU52" s="49">
        <v>9308.2960000000003</v>
      </c>
      <c r="AV52" s="49">
        <v>9880.4159999999993</v>
      </c>
      <c r="AW52" s="49">
        <v>10568.099</v>
      </c>
      <c r="AX52" s="49">
        <v>11065.858</v>
      </c>
      <c r="AY52" s="49">
        <v>11620.316999999999</v>
      </c>
      <c r="AZ52" s="158">
        <f t="shared" si="126"/>
        <v>12201.156999999999</v>
      </c>
      <c r="BA52" s="49">
        <v>12781.996999999999</v>
      </c>
      <c r="BB52" s="158">
        <f t="shared" si="127"/>
        <v>13194.1145</v>
      </c>
      <c r="BC52" s="49">
        <v>13606.232</v>
      </c>
      <c r="BD52" s="49">
        <v>14034.243</v>
      </c>
      <c r="BE52" s="49">
        <v>15113.101000000001</v>
      </c>
      <c r="BF52" s="49">
        <v>15113.101000000001</v>
      </c>
      <c r="BG52" s="49">
        <v>15836.388999999999</v>
      </c>
      <c r="BH52" s="49">
        <v>16427.144</v>
      </c>
      <c r="BI52" s="49">
        <v>17066.434000000001</v>
      </c>
      <c r="BJ52" s="49">
        <v>17622.376</v>
      </c>
      <c r="BK52" s="439">
        <v>17275.401000000002</v>
      </c>
      <c r="BL52" s="248"/>
      <c r="BM52" s="112"/>
      <c r="BN52" s="112"/>
      <c r="BO52" s="112"/>
      <c r="BP52" s="112"/>
      <c r="BQ52" s="112"/>
      <c r="BR52" s="112"/>
      <c r="BS52" s="249"/>
      <c r="BT52" s="112">
        <v>4281.1760000000004</v>
      </c>
      <c r="BU52" s="158">
        <f t="shared" si="128"/>
        <v>4684.0550000000003</v>
      </c>
      <c r="BV52" s="112">
        <v>5086.9340000000002</v>
      </c>
      <c r="BW52" s="112">
        <v>5431.0630000000001</v>
      </c>
      <c r="BX52" s="49">
        <v>5571.3329999999996</v>
      </c>
      <c r="BY52" s="49">
        <v>5824.8620000000001</v>
      </c>
      <c r="BZ52" s="49">
        <v>6302.7030000000004</v>
      </c>
      <c r="CA52" s="49">
        <v>6739.8410000000003</v>
      </c>
      <c r="CB52" s="49">
        <v>7245.5349999999999</v>
      </c>
      <c r="CC52" s="49">
        <v>7566.5690000000004</v>
      </c>
      <c r="CD52" s="49">
        <v>7792.6239999999998</v>
      </c>
      <c r="CE52" s="158">
        <f t="shared" si="129"/>
        <v>8128.7849999999999</v>
      </c>
      <c r="CF52" s="49">
        <v>8464.9459999999999</v>
      </c>
      <c r="CG52" s="158">
        <f t="shared" si="130"/>
        <v>8593.5820000000003</v>
      </c>
      <c r="CH52" s="49">
        <v>8722.2180000000008</v>
      </c>
      <c r="CI52" s="49">
        <v>8961.0059999999994</v>
      </c>
      <c r="CJ52" s="49">
        <v>9546.6020000000008</v>
      </c>
      <c r="CK52" s="49">
        <v>9546.6020000000008</v>
      </c>
      <c r="CL52" s="49">
        <v>10091.254999999999</v>
      </c>
      <c r="CM52" s="49">
        <v>10424.138999999999</v>
      </c>
      <c r="CN52" s="49">
        <v>10591.035</v>
      </c>
      <c r="CO52" s="49">
        <v>10862.164000000001</v>
      </c>
      <c r="CP52" s="439">
        <v>10130.645</v>
      </c>
      <c r="CQ52" s="248"/>
      <c r="CR52" s="112"/>
      <c r="CS52" s="112"/>
      <c r="CT52" s="112"/>
      <c r="CU52" s="112"/>
      <c r="CV52" s="112"/>
      <c r="CW52" s="112"/>
      <c r="CX52" s="249"/>
      <c r="CY52" s="112">
        <v>1920.5260000000001</v>
      </c>
      <c r="CZ52" s="158">
        <f t="shared" si="131"/>
        <v>2028.9180000000001</v>
      </c>
      <c r="DA52" s="112">
        <f>2137310/1000</f>
        <v>2137.31</v>
      </c>
      <c r="DB52" s="112">
        <v>2268.3760000000002</v>
      </c>
      <c r="DC52" s="49">
        <v>2362.7460000000001</v>
      </c>
      <c r="DD52" s="49">
        <v>2461.0079999999998</v>
      </c>
      <c r="DE52" s="49">
        <v>2525.4430000000002</v>
      </c>
      <c r="DF52" s="49">
        <v>2641.317</v>
      </c>
      <c r="DG52" s="49">
        <v>2792.3620000000001</v>
      </c>
      <c r="DH52" s="49">
        <v>2949.373</v>
      </c>
      <c r="DI52" s="49">
        <v>3227.67</v>
      </c>
      <c r="DJ52" s="158">
        <f t="shared" si="132"/>
        <v>3468.893</v>
      </c>
      <c r="DK52" s="49">
        <v>3710.116</v>
      </c>
      <c r="DL52" s="158">
        <f t="shared" si="133"/>
        <v>3966.3009999999999</v>
      </c>
      <c r="DM52" s="49">
        <v>4222.4859999999999</v>
      </c>
      <c r="DN52" s="49">
        <v>4375.8360000000002</v>
      </c>
      <c r="DO52" s="49">
        <v>4824.3770000000004</v>
      </c>
      <c r="DP52" s="49">
        <v>4824.3770000000004</v>
      </c>
      <c r="DQ52" s="49">
        <v>4966.9309999999996</v>
      </c>
      <c r="DR52" s="49">
        <v>5180.5169999999998</v>
      </c>
      <c r="DS52" s="49">
        <v>5640.9939999999997</v>
      </c>
      <c r="DT52" s="49">
        <v>5869.3850000000002</v>
      </c>
      <c r="DU52" s="439">
        <v>6212.3980000000001</v>
      </c>
      <c r="DV52" s="250"/>
      <c r="DW52" s="251"/>
      <c r="DX52" s="251"/>
      <c r="DY52" s="251"/>
      <c r="DZ52" s="251"/>
      <c r="EA52" s="251"/>
      <c r="EB52" s="251"/>
      <c r="EC52" s="251"/>
      <c r="ED52" s="68">
        <f t="shared" si="134"/>
        <v>345.76</v>
      </c>
      <c r="EE52" s="68">
        <f t="shared" si="135"/>
        <v>377.5310000000004</v>
      </c>
      <c r="EF52" s="68">
        <f t="shared" si="136"/>
        <v>409.30200000000013</v>
      </c>
      <c r="EG52" s="68">
        <f t="shared" si="137"/>
        <v>437.60699999999997</v>
      </c>
      <c r="EH52" s="68">
        <f t="shared" si="138"/>
        <v>437.83300000000054</v>
      </c>
      <c r="EI52" s="68">
        <f t="shared" si="139"/>
        <v>476.09299999999985</v>
      </c>
      <c r="EJ52" s="68">
        <f t="shared" si="140"/>
        <v>480.14999999999964</v>
      </c>
      <c r="EK52" s="68">
        <f t="shared" si="141"/>
        <v>499.2579999999989</v>
      </c>
      <c r="EL52" s="68">
        <f t="shared" si="142"/>
        <v>530.20200000000023</v>
      </c>
      <c r="EM52" s="68">
        <f t="shared" si="143"/>
        <v>549.91599999999971</v>
      </c>
      <c r="EN52" s="68">
        <f t="shared" si="144"/>
        <v>600.02299999999923</v>
      </c>
      <c r="EO52" s="68">
        <f t="shared" si="145"/>
        <v>603.47899999999936</v>
      </c>
      <c r="EP52" s="68">
        <f t="shared" si="146"/>
        <v>606.93499999999949</v>
      </c>
      <c r="EQ52" s="68">
        <f t="shared" si="147"/>
        <v>634.23149999999941</v>
      </c>
      <c r="ER52" s="68">
        <f t="shared" si="148"/>
        <v>661.52799999999934</v>
      </c>
      <c r="ES52" s="68">
        <f t="shared" si="149"/>
        <v>697.40100000000075</v>
      </c>
      <c r="ET52" s="68">
        <f t="shared" si="150"/>
        <v>742.12199999999939</v>
      </c>
      <c r="EU52" s="68">
        <f t="shared" si="151"/>
        <v>742.12199999999939</v>
      </c>
      <c r="EV52" s="68">
        <f t="shared" si="152"/>
        <v>778.20300000000043</v>
      </c>
      <c r="EW52" s="68">
        <f t="shared" si="153"/>
        <v>822.48800000000119</v>
      </c>
      <c r="EX52" s="68">
        <f t="shared" si="154"/>
        <v>834.40500000000156</v>
      </c>
      <c r="EY52" s="68">
        <f t="shared" si="155"/>
        <v>890.82699999999932</v>
      </c>
      <c r="EZ52" s="68">
        <f t="shared" si="156"/>
        <v>932.35800000000108</v>
      </c>
      <c r="FA52" s="252"/>
      <c r="FB52" s="112"/>
      <c r="FC52" s="112"/>
      <c r="FD52" s="112"/>
      <c r="FE52" s="112"/>
      <c r="FF52" s="112"/>
      <c r="FG52" s="112"/>
      <c r="FH52" s="249"/>
      <c r="FI52" s="112">
        <f>2695.366+611.427+449.935+61.59+5.472</f>
        <v>3823.7900000000004</v>
      </c>
      <c r="FJ52" s="158">
        <f t="shared" si="157"/>
        <v>4229.3850000000002</v>
      </c>
      <c r="FK52" s="112">
        <v>4634.9799999999996</v>
      </c>
      <c r="FL52" s="112">
        <v>5001.7439999999997</v>
      </c>
      <c r="FM52" s="49">
        <v>5253.8059999999996</v>
      </c>
      <c r="FN52" s="49">
        <v>5309.3869999999997</v>
      </c>
      <c r="FO52" s="49">
        <v>5460.1959999999999</v>
      </c>
      <c r="FP52" s="49">
        <v>5523.2250000000004</v>
      </c>
      <c r="FQ52" s="49">
        <v>5389.2079999999996</v>
      </c>
      <c r="FR52" s="49">
        <v>5835.3530000000001</v>
      </c>
      <c r="FS52" s="49">
        <v>6417.6289999999999</v>
      </c>
      <c r="FT52" s="158">
        <f t="shared" si="158"/>
        <v>7094.5694999999996</v>
      </c>
      <c r="FU52" s="49">
        <v>7771.51</v>
      </c>
      <c r="FV52" s="158">
        <f t="shared" si="159"/>
        <v>8525.2484999999997</v>
      </c>
      <c r="FW52" s="49">
        <v>9278.9869999999992</v>
      </c>
      <c r="FX52" s="49">
        <v>9509.2800000000007</v>
      </c>
      <c r="FY52" s="49">
        <v>10247.548000000001</v>
      </c>
      <c r="FZ52" s="49">
        <v>10247.548000000001</v>
      </c>
      <c r="GA52" s="49">
        <v>10693.624</v>
      </c>
      <c r="GB52" s="49">
        <v>11895.321</v>
      </c>
      <c r="GC52" s="49">
        <v>12665.948</v>
      </c>
      <c r="GD52" s="49">
        <v>13160.528</v>
      </c>
      <c r="GE52" s="439">
        <v>13152.946</v>
      </c>
      <c r="GF52" s="248"/>
      <c r="GG52" s="112"/>
      <c r="GH52" s="112"/>
      <c r="GI52" s="112"/>
      <c r="GJ52" s="112"/>
      <c r="GK52" s="112"/>
      <c r="GL52" s="112"/>
      <c r="GM52" s="249"/>
      <c r="GN52" s="253">
        <f>1357.76+83.194+18.297+5.36+601.638+277.631+348.578+81.356+254.408+277.951+169.098+540.923+185.716</f>
        <v>4201.91</v>
      </c>
      <c r="GO52" s="158">
        <f t="shared" si="160"/>
        <v>4627.1669999999995</v>
      </c>
      <c r="GP52" s="253">
        <v>5052.424</v>
      </c>
      <c r="GQ52" s="112">
        <v>5466.3670000000002</v>
      </c>
      <c r="GR52" s="49">
        <v>5472.375</v>
      </c>
      <c r="GS52" s="49">
        <v>6001.777</v>
      </c>
      <c r="GT52" s="49">
        <v>6075.9840000000004</v>
      </c>
      <c r="GU52" s="49">
        <v>6540.1270000000004</v>
      </c>
      <c r="GV52" s="49">
        <v>6855.2079999999996</v>
      </c>
      <c r="GW52" s="49">
        <v>7331.5020000000004</v>
      </c>
      <c r="GX52" s="49">
        <v>7906.3450000000003</v>
      </c>
      <c r="GY52" s="158">
        <f t="shared" si="161"/>
        <v>8454.9539999999997</v>
      </c>
      <c r="GZ52" s="49">
        <v>9003.5630000000001</v>
      </c>
      <c r="HA52" s="158">
        <f t="shared" si="162"/>
        <v>9112.3909999999996</v>
      </c>
      <c r="HB52" s="49">
        <v>9221.2189999999991</v>
      </c>
      <c r="HC52" s="49">
        <v>9462.2440000000006</v>
      </c>
      <c r="HD52" s="49">
        <v>9961.7710000000006</v>
      </c>
      <c r="HE52" s="49">
        <v>9940.4249999999993</v>
      </c>
      <c r="HF52" s="49">
        <v>10416.550999999999</v>
      </c>
      <c r="HG52" s="49">
        <v>10942.252</v>
      </c>
      <c r="HH52" s="49">
        <v>10872.365</v>
      </c>
      <c r="HI52" s="49">
        <v>11197.89</v>
      </c>
      <c r="HJ52" s="439">
        <v>11248.269</v>
      </c>
      <c r="HK52" s="252"/>
      <c r="HL52" s="112"/>
      <c r="HM52" s="112"/>
      <c r="HN52" s="112"/>
      <c r="HO52" s="112"/>
      <c r="HP52" s="112"/>
      <c r="HQ52" s="112"/>
      <c r="HR52" s="249"/>
      <c r="HS52" s="112">
        <f>227.096+243.868+107.125+181.053</f>
        <v>759.14199999999994</v>
      </c>
      <c r="HT52" s="158">
        <f t="shared" si="163"/>
        <v>816.32849999999996</v>
      </c>
      <c r="HU52" s="112">
        <v>873.51499999999999</v>
      </c>
      <c r="HV52" s="112">
        <v>964.56600000000003</v>
      </c>
      <c r="HW52" s="49">
        <v>1018.216</v>
      </c>
      <c r="HX52" s="49">
        <v>1103.9169999999999</v>
      </c>
      <c r="HY52" s="49">
        <v>1153.412</v>
      </c>
      <c r="HZ52" s="49">
        <v>1190.462</v>
      </c>
      <c r="IA52" s="49">
        <v>1210.3910000000001</v>
      </c>
      <c r="IB52" s="49">
        <v>1397.9390000000001</v>
      </c>
      <c r="IC52" s="49">
        <v>1478.9680000000001</v>
      </c>
      <c r="ID52" s="158">
        <f t="shared" si="164"/>
        <v>1514.8355000000001</v>
      </c>
      <c r="IE52" s="49">
        <v>1550.703</v>
      </c>
      <c r="IF52" s="158">
        <f t="shared" si="165"/>
        <v>1560.6385</v>
      </c>
      <c r="IG52" s="49">
        <v>1570.5740000000001</v>
      </c>
      <c r="IH52" s="49">
        <v>1593.114</v>
      </c>
      <c r="II52" s="49">
        <v>1737.7470000000001</v>
      </c>
      <c r="IJ52" s="49">
        <v>1737.7470000000001</v>
      </c>
      <c r="IK52" s="49">
        <v>1765.43</v>
      </c>
      <c r="IL52" s="49">
        <v>1786.075</v>
      </c>
      <c r="IM52" s="49">
        <v>1738.3889999999999</v>
      </c>
      <c r="IN52" s="49">
        <v>1758.4069999999999</v>
      </c>
      <c r="IO52" s="446">
        <v>1895.1220000000001</v>
      </c>
      <c r="IP52" s="248"/>
      <c r="IQ52" s="112"/>
      <c r="IR52" s="112"/>
      <c r="IS52" s="112"/>
      <c r="IT52" s="112"/>
      <c r="IU52" s="112"/>
      <c r="IV52" s="112"/>
      <c r="IW52" s="249"/>
      <c r="IX52" s="112">
        <f>814.684+5.373+567.166</f>
        <v>1387.223</v>
      </c>
      <c r="IY52" s="158">
        <f t="shared" si="166"/>
        <v>1574.884</v>
      </c>
      <c r="IZ52" s="112">
        <v>1762.5450000000001</v>
      </c>
      <c r="JA52" s="112">
        <v>1918.9190000000001</v>
      </c>
      <c r="JB52" s="48">
        <v>1944.4290000000001</v>
      </c>
      <c r="JC52" s="48">
        <v>2024.855</v>
      </c>
      <c r="JD52" s="48">
        <v>1996.377</v>
      </c>
      <c r="JE52" s="48">
        <v>2156.14</v>
      </c>
      <c r="JF52" s="74">
        <v>2256.5279999999998</v>
      </c>
      <c r="JG52" s="74">
        <v>2585.41</v>
      </c>
      <c r="JH52" s="74">
        <v>3440.268</v>
      </c>
      <c r="JI52" s="158">
        <f t="shared" si="167"/>
        <v>3167.9490000000001</v>
      </c>
      <c r="JJ52" s="74">
        <v>2895.63</v>
      </c>
      <c r="JK52" s="158">
        <f t="shared" si="168"/>
        <v>2966.2285000000002</v>
      </c>
      <c r="JL52" s="74">
        <v>3036.8270000000002</v>
      </c>
      <c r="JM52" s="74">
        <v>3124.8510000000001</v>
      </c>
      <c r="JN52" s="74">
        <v>3346.8319999999999</v>
      </c>
      <c r="JO52" s="49">
        <v>3450.3180000000002</v>
      </c>
      <c r="JP52" s="49">
        <v>3727.7260000000001</v>
      </c>
      <c r="JQ52" s="49">
        <v>3972.6689999999999</v>
      </c>
      <c r="JR52" s="49">
        <v>3705.989</v>
      </c>
      <c r="JS52" s="17">
        <v>3974.377</v>
      </c>
      <c r="JT52" s="450">
        <v>3693.1669999999999</v>
      </c>
    </row>
    <row r="53" spans="1:280" s="17" customFormat="1" ht="12.75" customHeight="1">
      <c r="A53" s="223" t="s">
        <v>138</v>
      </c>
      <c r="B53" s="283">
        <f>SUM(B55:B63)</f>
        <v>0</v>
      </c>
      <c r="C53" s="283">
        <f t="shared" ref="C53:BV53" si="169">SUM(C55:C63)</f>
        <v>0</v>
      </c>
      <c r="D53" s="283">
        <f t="shared" si="169"/>
        <v>0</v>
      </c>
      <c r="E53" s="283">
        <f t="shared" si="169"/>
        <v>0</v>
      </c>
      <c r="F53" s="283">
        <f t="shared" si="169"/>
        <v>0</v>
      </c>
      <c r="G53" s="283">
        <f t="shared" si="169"/>
        <v>0</v>
      </c>
      <c r="H53" s="283">
        <f t="shared" si="169"/>
        <v>0</v>
      </c>
      <c r="I53" s="283">
        <f t="shared" si="169"/>
        <v>0</v>
      </c>
      <c r="J53" s="283">
        <f t="shared" si="169"/>
        <v>205675.617</v>
      </c>
      <c r="K53" s="283">
        <f t="shared" si="169"/>
        <v>222806.06100000002</v>
      </c>
      <c r="L53" s="283">
        <f t="shared" si="169"/>
        <v>239936.50499999998</v>
      </c>
      <c r="M53" s="283">
        <f t="shared" si="169"/>
        <v>248202.872</v>
      </c>
      <c r="N53" s="284">
        <f t="shared" si="169"/>
        <v>260555.09599999999</v>
      </c>
      <c r="O53" s="285">
        <f t="shared" si="169"/>
        <v>276351.83400000003</v>
      </c>
      <c r="P53" s="285">
        <f t="shared" si="169"/>
        <v>280408.28500000003</v>
      </c>
      <c r="Q53" s="285">
        <f t="shared" si="169"/>
        <v>288228.93900000007</v>
      </c>
      <c r="R53" s="285">
        <f t="shared" si="169"/>
        <v>302162.85200000001</v>
      </c>
      <c r="S53" s="285">
        <f t="shared" si="169"/>
        <v>315094.51399999997</v>
      </c>
      <c r="T53" s="285">
        <f t="shared" si="169"/>
        <v>335023.69499999995</v>
      </c>
      <c r="U53" s="283">
        <f t="shared" si="169"/>
        <v>358276.43099999998</v>
      </c>
      <c r="V53" s="285">
        <f t="shared" si="169"/>
        <v>381529.16699999996</v>
      </c>
      <c r="W53" s="283">
        <f t="shared" si="169"/>
        <v>401160.77650000004</v>
      </c>
      <c r="X53" s="285">
        <f t="shared" si="169"/>
        <v>420792.386</v>
      </c>
      <c r="Y53" s="285">
        <f t="shared" si="169"/>
        <v>443593.82199999999</v>
      </c>
      <c r="Z53" s="285">
        <f t="shared" si="169"/>
        <v>484598.56700000004</v>
      </c>
      <c r="AA53" s="285">
        <f t="shared" si="169"/>
        <v>486671.14200000005</v>
      </c>
      <c r="AB53" s="285">
        <f t="shared" si="169"/>
        <v>507628.69400000002</v>
      </c>
      <c r="AC53" s="285">
        <f t="shared" si="169"/>
        <v>525302.47399999993</v>
      </c>
      <c r="AD53" s="285">
        <f t="shared" si="169"/>
        <v>548263.82799999998</v>
      </c>
      <c r="AE53" s="285">
        <f t="shared" si="169"/>
        <v>558527.478</v>
      </c>
      <c r="AF53" s="442">
        <f t="shared" si="169"/>
        <v>563504.00800000003</v>
      </c>
      <c r="AG53" s="286">
        <f t="shared" si="169"/>
        <v>0</v>
      </c>
      <c r="AH53" s="283">
        <f t="shared" si="169"/>
        <v>0</v>
      </c>
      <c r="AI53" s="283">
        <f t="shared" si="169"/>
        <v>0</v>
      </c>
      <c r="AJ53" s="283">
        <f t="shared" si="169"/>
        <v>0</v>
      </c>
      <c r="AK53" s="283">
        <f t="shared" si="169"/>
        <v>0</v>
      </c>
      <c r="AL53" s="283">
        <f t="shared" si="169"/>
        <v>0</v>
      </c>
      <c r="AM53" s="283">
        <f t="shared" si="169"/>
        <v>0</v>
      </c>
      <c r="AN53" s="283">
        <f t="shared" si="169"/>
        <v>0</v>
      </c>
      <c r="AO53" s="283">
        <f t="shared" si="169"/>
        <v>64550.743999999999</v>
      </c>
      <c r="AP53" s="283">
        <f t="shared" si="169"/>
        <v>69185.936999999991</v>
      </c>
      <c r="AQ53" s="275">
        <f t="shared" si="169"/>
        <v>73821.12999999999</v>
      </c>
      <c r="AR53" s="285">
        <f t="shared" si="169"/>
        <v>77465.961999999985</v>
      </c>
      <c r="AS53" s="285">
        <f t="shared" si="169"/>
        <v>79752.311000000002</v>
      </c>
      <c r="AT53" s="285">
        <f t="shared" si="169"/>
        <v>83792.292999999991</v>
      </c>
      <c r="AU53" s="285">
        <f t="shared" si="169"/>
        <v>86204.972999999998</v>
      </c>
      <c r="AV53" s="285">
        <f t="shared" si="169"/>
        <v>89683.551999999996</v>
      </c>
      <c r="AW53" s="285">
        <f t="shared" si="169"/>
        <v>96377.406000000003</v>
      </c>
      <c r="AX53" s="285">
        <f t="shared" si="169"/>
        <v>101942.518</v>
      </c>
      <c r="AY53" s="285">
        <f t="shared" si="169"/>
        <v>109911.678</v>
      </c>
      <c r="AZ53" s="283">
        <f t="shared" si="169"/>
        <v>116994.12399999998</v>
      </c>
      <c r="BA53" s="285">
        <f t="shared" si="169"/>
        <v>124076.57</v>
      </c>
      <c r="BB53" s="283">
        <f t="shared" si="169"/>
        <v>132094.03399999999</v>
      </c>
      <c r="BC53" s="285">
        <f t="shared" si="169"/>
        <v>140111.49799999999</v>
      </c>
      <c r="BD53" s="285">
        <f t="shared" si="169"/>
        <v>148210.67299999998</v>
      </c>
      <c r="BE53" s="285">
        <f t="shared" si="169"/>
        <v>162806.09699999998</v>
      </c>
      <c r="BF53" s="285">
        <f t="shared" si="169"/>
        <v>162897.99499999997</v>
      </c>
      <c r="BG53" s="285">
        <f t="shared" si="169"/>
        <v>170646.867</v>
      </c>
      <c r="BH53" s="285">
        <f t="shared" si="169"/>
        <v>178268.49599999998</v>
      </c>
      <c r="BI53" s="285">
        <f t="shared" si="169"/>
        <v>182055.06299999997</v>
      </c>
      <c r="BJ53" s="285">
        <f t="shared" si="169"/>
        <v>183112.93</v>
      </c>
      <c r="BK53" s="442">
        <f t="shared" si="169"/>
        <v>185206.25</v>
      </c>
      <c r="BL53" s="287">
        <f t="shared" si="169"/>
        <v>0</v>
      </c>
      <c r="BM53" s="288">
        <f t="shared" si="169"/>
        <v>0</v>
      </c>
      <c r="BN53" s="288">
        <f t="shared" si="169"/>
        <v>0</v>
      </c>
      <c r="BO53" s="288">
        <f t="shared" si="169"/>
        <v>0</v>
      </c>
      <c r="BP53" s="288">
        <f t="shared" si="169"/>
        <v>0</v>
      </c>
      <c r="BQ53" s="288">
        <f t="shared" si="169"/>
        <v>0</v>
      </c>
      <c r="BR53" s="288">
        <f t="shared" si="169"/>
        <v>0</v>
      </c>
      <c r="BS53" s="288">
        <f t="shared" si="169"/>
        <v>0</v>
      </c>
      <c r="BT53" s="288">
        <f t="shared" si="169"/>
        <v>48237.179999999993</v>
      </c>
      <c r="BU53" s="283">
        <f t="shared" si="169"/>
        <v>51721.753500000006</v>
      </c>
      <c r="BV53" s="288">
        <f t="shared" si="169"/>
        <v>55206.326999999997</v>
      </c>
      <c r="BW53" s="285">
        <f t="shared" ref="BW53:EP53" si="170">SUM(BW55:BW63)</f>
        <v>58369.045000000013</v>
      </c>
      <c r="BX53" s="285">
        <f t="shared" si="170"/>
        <v>59555.478999999999</v>
      </c>
      <c r="BY53" s="285">
        <f t="shared" si="170"/>
        <v>62433.324000000001</v>
      </c>
      <c r="BZ53" s="285">
        <f t="shared" si="170"/>
        <v>64626.939000000006</v>
      </c>
      <c r="CA53" s="285">
        <f t="shared" si="170"/>
        <v>67655.394</v>
      </c>
      <c r="CB53" s="285">
        <f t="shared" si="170"/>
        <v>73090.42</v>
      </c>
      <c r="CC53" s="285">
        <f t="shared" si="170"/>
        <v>77839.121999999988</v>
      </c>
      <c r="CD53" s="285">
        <f t="shared" si="170"/>
        <v>83807.909</v>
      </c>
      <c r="CE53" s="283">
        <f t="shared" si="170"/>
        <v>88448.380499999999</v>
      </c>
      <c r="CF53" s="285">
        <f t="shared" si="170"/>
        <v>93088.852000000014</v>
      </c>
      <c r="CG53" s="283">
        <f t="shared" si="170"/>
        <v>98798.660500000013</v>
      </c>
      <c r="CH53" s="285">
        <f t="shared" si="170"/>
        <v>104508.469</v>
      </c>
      <c r="CI53" s="285">
        <f t="shared" si="170"/>
        <v>109155.90000000001</v>
      </c>
      <c r="CJ53" s="285">
        <f t="shared" si="170"/>
        <v>121357.10800000001</v>
      </c>
      <c r="CK53" s="285">
        <f t="shared" si="170"/>
        <v>122528.875</v>
      </c>
      <c r="CL53" s="285">
        <f t="shared" si="170"/>
        <v>127911.06</v>
      </c>
      <c r="CM53" s="285">
        <f t="shared" si="170"/>
        <v>132151.666</v>
      </c>
      <c r="CN53" s="285">
        <f t="shared" si="170"/>
        <v>135126.94200000001</v>
      </c>
      <c r="CO53" s="285">
        <f t="shared" si="170"/>
        <v>133972.39299999998</v>
      </c>
      <c r="CP53" s="442">
        <f t="shared" si="170"/>
        <v>134928.73800000001</v>
      </c>
      <c r="CQ53" s="386">
        <f t="shared" si="170"/>
        <v>0</v>
      </c>
      <c r="CR53" s="288">
        <f t="shared" si="170"/>
        <v>0</v>
      </c>
      <c r="CS53" s="288">
        <f t="shared" si="170"/>
        <v>0</v>
      </c>
      <c r="CT53" s="288">
        <f t="shared" si="170"/>
        <v>0</v>
      </c>
      <c r="CU53" s="288">
        <f t="shared" si="170"/>
        <v>0</v>
      </c>
      <c r="CV53" s="288">
        <f t="shared" si="170"/>
        <v>0</v>
      </c>
      <c r="CW53" s="288">
        <f t="shared" si="170"/>
        <v>0</v>
      </c>
      <c r="CX53" s="288">
        <f t="shared" si="170"/>
        <v>0</v>
      </c>
      <c r="CY53" s="288">
        <f t="shared" si="170"/>
        <v>11470.442999999999</v>
      </c>
      <c r="CZ53" s="283">
        <f t="shared" si="170"/>
        <v>12986.6805</v>
      </c>
      <c r="DA53" s="288">
        <f t="shared" si="170"/>
        <v>14502.918000000001</v>
      </c>
      <c r="DB53" s="285">
        <f t="shared" si="170"/>
        <v>14697.490000000002</v>
      </c>
      <c r="DC53" s="285">
        <f t="shared" si="170"/>
        <v>15522.585999999999</v>
      </c>
      <c r="DD53" s="285">
        <f t="shared" si="170"/>
        <v>16225.920999999998</v>
      </c>
      <c r="DE53" s="285">
        <f t="shared" si="170"/>
        <v>15951.663999999999</v>
      </c>
      <c r="DF53" s="285">
        <f t="shared" si="170"/>
        <v>16440.018999999997</v>
      </c>
      <c r="DG53" s="285">
        <f t="shared" si="170"/>
        <v>17454.88</v>
      </c>
      <c r="DH53" s="285">
        <f t="shared" si="170"/>
        <v>18124.933000000001</v>
      </c>
      <c r="DI53" s="285">
        <f t="shared" si="170"/>
        <v>19685.117999999999</v>
      </c>
      <c r="DJ53" s="283">
        <f t="shared" si="170"/>
        <v>21783.2075</v>
      </c>
      <c r="DK53" s="285">
        <f t="shared" si="170"/>
        <v>23881.297000000002</v>
      </c>
      <c r="DL53" s="283">
        <f t="shared" si="170"/>
        <v>25142.386999999999</v>
      </c>
      <c r="DM53" s="285">
        <f t="shared" si="170"/>
        <v>26403.477000000003</v>
      </c>
      <c r="DN53" s="285">
        <f t="shared" si="170"/>
        <v>28334.323</v>
      </c>
      <c r="DO53" s="285">
        <f t="shared" si="170"/>
        <v>30905.106</v>
      </c>
      <c r="DP53" s="285">
        <f t="shared" si="170"/>
        <v>31125.531999999999</v>
      </c>
      <c r="DQ53" s="285">
        <f t="shared" si="170"/>
        <v>33314.85</v>
      </c>
      <c r="DR53" s="285">
        <f t="shared" si="170"/>
        <v>36490.643000000004</v>
      </c>
      <c r="DS53" s="285">
        <f t="shared" si="170"/>
        <v>36481.898000000001</v>
      </c>
      <c r="DT53" s="285">
        <f t="shared" si="170"/>
        <v>39041.703999999991</v>
      </c>
      <c r="DU53" s="442">
        <f t="shared" si="170"/>
        <v>39863.771000000001</v>
      </c>
      <c r="DV53" s="386">
        <f t="shared" si="170"/>
        <v>0</v>
      </c>
      <c r="DW53" s="288">
        <f t="shared" si="170"/>
        <v>0</v>
      </c>
      <c r="DX53" s="288">
        <f t="shared" si="170"/>
        <v>0</v>
      </c>
      <c r="DY53" s="288">
        <f t="shared" si="170"/>
        <v>0</v>
      </c>
      <c r="DZ53" s="288">
        <f t="shared" si="170"/>
        <v>0</v>
      </c>
      <c r="EA53" s="288">
        <f t="shared" si="170"/>
        <v>0</v>
      </c>
      <c r="EB53" s="288">
        <f t="shared" si="170"/>
        <v>0</v>
      </c>
      <c r="EC53" s="288">
        <f t="shared" si="170"/>
        <v>0</v>
      </c>
      <c r="ED53" s="285">
        <f t="shared" si="170"/>
        <v>4843.121000000001</v>
      </c>
      <c r="EE53" s="285">
        <f t="shared" si="170"/>
        <v>4477.5029999999961</v>
      </c>
      <c r="EF53" s="285">
        <f t="shared" si="170"/>
        <v>4111.8849999999984</v>
      </c>
      <c r="EG53" s="285">
        <f t="shared" si="170"/>
        <v>4399.426999999997</v>
      </c>
      <c r="EH53" s="285">
        <f t="shared" si="170"/>
        <v>4674.2460000000001</v>
      </c>
      <c r="EI53" s="285">
        <f t="shared" si="170"/>
        <v>5133.0479999999998</v>
      </c>
      <c r="EJ53" s="285">
        <f t="shared" si="170"/>
        <v>5626.3700000000026</v>
      </c>
      <c r="EK53" s="285">
        <f t="shared" si="170"/>
        <v>5588.139000000001</v>
      </c>
      <c r="EL53" s="285">
        <f t="shared" si="170"/>
        <v>5832.1059999999961</v>
      </c>
      <c r="EM53" s="285">
        <f t="shared" si="170"/>
        <v>5978.4629999999952</v>
      </c>
      <c r="EN53" s="285">
        <f t="shared" si="170"/>
        <v>6418.650999999998</v>
      </c>
      <c r="EO53" s="285">
        <f t="shared" si="170"/>
        <v>6762.5359999999928</v>
      </c>
      <c r="EP53" s="285">
        <f t="shared" si="170"/>
        <v>7106.4210000000039</v>
      </c>
      <c r="EQ53" s="285">
        <f t="shared" ref="EQ53:HN53" si="171">SUM(EQ55:EQ63)</f>
        <v>8152.9864999999945</v>
      </c>
      <c r="ER53" s="285">
        <f t="shared" si="171"/>
        <v>9199.5520000000051</v>
      </c>
      <c r="ES53" s="285">
        <f t="shared" si="171"/>
        <v>10720.450000000006</v>
      </c>
      <c r="ET53" s="285">
        <f t="shared" si="171"/>
        <v>10543.883000000005</v>
      </c>
      <c r="EU53" s="285">
        <f t="shared" si="171"/>
        <v>9243.5880000000034</v>
      </c>
      <c r="EV53" s="285">
        <f t="shared" si="171"/>
        <v>9420.9569999999967</v>
      </c>
      <c r="EW53" s="285">
        <f t="shared" ref="EW53:EY53" si="172">SUM(EW55:EW63)</f>
        <v>9626.1869999999944</v>
      </c>
      <c r="EX53" s="285">
        <f t="shared" si="172"/>
        <v>10446.223</v>
      </c>
      <c r="EY53" s="285">
        <f t="shared" si="172"/>
        <v>10098.832999999991</v>
      </c>
      <c r="EZ53" s="285">
        <f t="shared" ref="EZ53" si="173">SUM(EZ55:EZ63)</f>
        <v>10413.741000000005</v>
      </c>
      <c r="FA53" s="289">
        <f t="shared" si="171"/>
        <v>0</v>
      </c>
      <c r="FB53" s="288">
        <f t="shared" si="171"/>
        <v>0</v>
      </c>
      <c r="FC53" s="288">
        <f t="shared" si="171"/>
        <v>0</v>
      </c>
      <c r="FD53" s="288">
        <f t="shared" si="171"/>
        <v>0</v>
      </c>
      <c r="FE53" s="288">
        <f t="shared" si="171"/>
        <v>0</v>
      </c>
      <c r="FF53" s="288">
        <f t="shared" si="171"/>
        <v>0</v>
      </c>
      <c r="FG53" s="288">
        <f t="shared" si="171"/>
        <v>0</v>
      </c>
      <c r="FH53" s="288">
        <f t="shared" si="171"/>
        <v>0</v>
      </c>
      <c r="FI53" s="288">
        <f t="shared" si="171"/>
        <v>50541.192999999999</v>
      </c>
      <c r="FJ53" s="283">
        <f t="shared" si="171"/>
        <v>58163.943999999996</v>
      </c>
      <c r="FK53" s="288">
        <f t="shared" si="171"/>
        <v>65786.695000000007</v>
      </c>
      <c r="FL53" s="285">
        <f t="shared" si="171"/>
        <v>68025.561000000002</v>
      </c>
      <c r="FM53" s="285">
        <f t="shared" si="171"/>
        <v>72993.729000000007</v>
      </c>
      <c r="FN53" s="285">
        <f t="shared" si="171"/>
        <v>78707.418000000005</v>
      </c>
      <c r="FO53" s="285">
        <f t="shared" si="171"/>
        <v>77769.384999999995</v>
      </c>
      <c r="FP53" s="285">
        <f t="shared" si="171"/>
        <v>75018.739000000001</v>
      </c>
      <c r="FQ53" s="285">
        <f t="shared" si="171"/>
        <v>78380.303000000014</v>
      </c>
      <c r="FR53" s="285">
        <f t="shared" si="171"/>
        <v>80026.885999999984</v>
      </c>
      <c r="FS53" s="285">
        <f t="shared" si="171"/>
        <v>85779.649000000005</v>
      </c>
      <c r="FT53" s="283">
        <f t="shared" si="171"/>
        <v>91105.940999999977</v>
      </c>
      <c r="FU53" s="285">
        <f t="shared" si="171"/>
        <v>96432.232999999993</v>
      </c>
      <c r="FV53" s="283">
        <f t="shared" si="171"/>
        <v>106049.95800000001</v>
      </c>
      <c r="FW53" s="285">
        <f t="shared" si="171"/>
        <v>115667.683</v>
      </c>
      <c r="FX53" s="285">
        <f t="shared" si="171"/>
        <v>123868.85700000002</v>
      </c>
      <c r="FY53" s="285">
        <f t="shared" si="171"/>
        <v>133550.45200000002</v>
      </c>
      <c r="FZ53" s="285">
        <f t="shared" si="171"/>
        <v>134766.50399999999</v>
      </c>
      <c r="GA53" s="285">
        <f t="shared" si="171"/>
        <v>137835.60999999999</v>
      </c>
      <c r="GB53" s="285">
        <f t="shared" si="171"/>
        <v>145883.13</v>
      </c>
      <c r="GC53" s="285">
        <f t="shared" si="171"/>
        <v>155338.60200000001</v>
      </c>
      <c r="GD53" s="285">
        <f t="shared" si="171"/>
        <v>161279.54300000001</v>
      </c>
      <c r="GE53" s="442">
        <f t="shared" si="171"/>
        <v>162154.889</v>
      </c>
      <c r="GF53" s="287">
        <f t="shared" si="171"/>
        <v>0</v>
      </c>
      <c r="GG53" s="288">
        <f t="shared" si="171"/>
        <v>0</v>
      </c>
      <c r="GH53" s="288">
        <f t="shared" si="171"/>
        <v>0</v>
      </c>
      <c r="GI53" s="288">
        <f t="shared" si="171"/>
        <v>0</v>
      </c>
      <c r="GJ53" s="288">
        <f t="shared" si="171"/>
        <v>0</v>
      </c>
      <c r="GK53" s="288">
        <f t="shared" si="171"/>
        <v>0</v>
      </c>
      <c r="GL53" s="288">
        <f t="shared" si="171"/>
        <v>0</v>
      </c>
      <c r="GM53" s="288">
        <f t="shared" si="171"/>
        <v>0</v>
      </c>
      <c r="GN53" s="288">
        <f t="shared" si="171"/>
        <v>50029.633000000002</v>
      </c>
      <c r="GO53" s="283">
        <f t="shared" si="171"/>
        <v>51873.7575</v>
      </c>
      <c r="GP53" s="288">
        <f t="shared" si="171"/>
        <v>53717.881999999998</v>
      </c>
      <c r="GQ53" s="285">
        <f t="shared" si="171"/>
        <v>55337.921000000002</v>
      </c>
      <c r="GR53" s="285">
        <f t="shared" si="171"/>
        <v>57992.866000000002</v>
      </c>
      <c r="GS53" s="285">
        <f t="shared" si="171"/>
        <v>61523.947999999997</v>
      </c>
      <c r="GT53" s="285">
        <f t="shared" si="171"/>
        <v>63103.845999999998</v>
      </c>
      <c r="GU53" s="285">
        <f t="shared" si="171"/>
        <v>65938.334999999992</v>
      </c>
      <c r="GV53" s="285">
        <f t="shared" si="171"/>
        <v>68249.822999999989</v>
      </c>
      <c r="GW53" s="285">
        <f t="shared" si="171"/>
        <v>70973.254000000001</v>
      </c>
      <c r="GX53" s="285">
        <f t="shared" si="171"/>
        <v>74775.59</v>
      </c>
      <c r="GY53" s="283">
        <f t="shared" si="171"/>
        <v>79926.199500000002</v>
      </c>
      <c r="GZ53" s="285">
        <f t="shared" si="171"/>
        <v>85076.809000000008</v>
      </c>
      <c r="HA53" s="283">
        <f t="shared" si="171"/>
        <v>87547.497000000003</v>
      </c>
      <c r="HB53" s="285">
        <f t="shared" si="171"/>
        <v>90018.185000000012</v>
      </c>
      <c r="HC53" s="285">
        <f t="shared" si="171"/>
        <v>93683.885999999999</v>
      </c>
      <c r="HD53" s="285">
        <f t="shared" si="171"/>
        <v>101197.13099999999</v>
      </c>
      <c r="HE53" s="285">
        <f t="shared" si="171"/>
        <v>102029.08900000001</v>
      </c>
      <c r="HF53" s="285">
        <f t="shared" si="171"/>
        <v>107343.4</v>
      </c>
      <c r="HG53" s="285">
        <f t="shared" si="171"/>
        <v>109222.04100000001</v>
      </c>
      <c r="HH53" s="285">
        <f t="shared" si="171"/>
        <v>116420.59000000001</v>
      </c>
      <c r="HI53" s="285">
        <f t="shared" si="171"/>
        <v>118405.34500000002</v>
      </c>
      <c r="HJ53" s="442">
        <f t="shared" si="171"/>
        <v>117265.784</v>
      </c>
      <c r="HK53" s="289">
        <f t="shared" si="171"/>
        <v>0</v>
      </c>
      <c r="HL53" s="288">
        <f t="shared" si="171"/>
        <v>0</v>
      </c>
      <c r="HM53" s="288">
        <f t="shared" si="171"/>
        <v>0</v>
      </c>
      <c r="HN53" s="288">
        <f t="shared" si="171"/>
        <v>0</v>
      </c>
      <c r="HO53" s="288">
        <f t="shared" ref="HO53:JT53" si="174">SUM(HO55:HO63)</f>
        <v>0</v>
      </c>
      <c r="HP53" s="288">
        <f t="shared" si="174"/>
        <v>0</v>
      </c>
      <c r="HQ53" s="288">
        <f t="shared" si="174"/>
        <v>0</v>
      </c>
      <c r="HR53" s="288">
        <f t="shared" si="174"/>
        <v>0</v>
      </c>
      <c r="HS53" s="288">
        <f t="shared" si="174"/>
        <v>10565.203</v>
      </c>
      <c r="HT53" s="283">
        <f t="shared" si="174"/>
        <v>10892.9655</v>
      </c>
      <c r="HU53" s="288">
        <f t="shared" si="174"/>
        <v>11220.727999999999</v>
      </c>
      <c r="HV53" s="285">
        <f t="shared" si="174"/>
        <v>11486.094999999999</v>
      </c>
      <c r="HW53" s="285">
        <f t="shared" si="174"/>
        <v>12375.084999999999</v>
      </c>
      <c r="HX53" s="285">
        <f t="shared" si="174"/>
        <v>13397.946</v>
      </c>
      <c r="HY53" s="285">
        <f t="shared" si="174"/>
        <v>13478.146000000001</v>
      </c>
      <c r="HZ53" s="285">
        <f t="shared" si="174"/>
        <v>14535.271999999999</v>
      </c>
      <c r="IA53" s="285">
        <f t="shared" si="174"/>
        <v>15179.721000000001</v>
      </c>
      <c r="IB53" s="285">
        <f t="shared" si="174"/>
        <v>15785.184000000003</v>
      </c>
      <c r="IC53" s="285">
        <f t="shared" si="174"/>
        <v>16465.212000000003</v>
      </c>
      <c r="ID53" s="283">
        <f t="shared" si="174"/>
        <v>17490.914000000001</v>
      </c>
      <c r="IE53" s="285">
        <f t="shared" si="174"/>
        <v>18516.615999999998</v>
      </c>
      <c r="IF53" s="283">
        <f t="shared" si="174"/>
        <v>19227.951000000001</v>
      </c>
      <c r="IG53" s="285">
        <f t="shared" si="174"/>
        <v>19939.286</v>
      </c>
      <c r="IH53" s="285">
        <f t="shared" si="174"/>
        <v>21528.149999999998</v>
      </c>
      <c r="II53" s="285">
        <f t="shared" si="174"/>
        <v>23464.743000000002</v>
      </c>
      <c r="IJ53" s="285">
        <f t="shared" si="174"/>
        <v>23934.893</v>
      </c>
      <c r="IK53" s="285">
        <f t="shared" si="174"/>
        <v>26071.519</v>
      </c>
      <c r="IL53" s="285">
        <f t="shared" si="174"/>
        <v>26134.019000000004</v>
      </c>
      <c r="IM53" s="285">
        <f t="shared" si="174"/>
        <v>26444.873000000003</v>
      </c>
      <c r="IN53" s="285">
        <f t="shared" si="174"/>
        <v>25479.155999999999</v>
      </c>
      <c r="IO53" s="442">
        <f t="shared" si="174"/>
        <v>25708.494000000002</v>
      </c>
      <c r="IP53" s="287">
        <f t="shared" si="174"/>
        <v>0</v>
      </c>
      <c r="IQ53" s="288">
        <f t="shared" si="174"/>
        <v>0</v>
      </c>
      <c r="IR53" s="288">
        <f t="shared" si="174"/>
        <v>0</v>
      </c>
      <c r="IS53" s="288">
        <f t="shared" si="174"/>
        <v>0</v>
      </c>
      <c r="IT53" s="288">
        <f t="shared" si="174"/>
        <v>0</v>
      </c>
      <c r="IU53" s="288">
        <f t="shared" si="174"/>
        <v>0</v>
      </c>
      <c r="IV53" s="288">
        <f t="shared" si="174"/>
        <v>0</v>
      </c>
      <c r="IW53" s="288">
        <f t="shared" si="174"/>
        <v>0</v>
      </c>
      <c r="IX53" s="288">
        <f t="shared" si="174"/>
        <v>29988.937999999998</v>
      </c>
      <c r="IY53" s="283">
        <f t="shared" si="174"/>
        <v>32689.504000000001</v>
      </c>
      <c r="IZ53" s="288">
        <f t="shared" si="174"/>
        <v>35390.07</v>
      </c>
      <c r="JA53" s="285">
        <f t="shared" si="174"/>
        <v>35887.333000000006</v>
      </c>
      <c r="JB53" s="290">
        <f t="shared" si="174"/>
        <v>37441.105000000003</v>
      </c>
      <c r="JC53" s="290">
        <f t="shared" si="174"/>
        <v>38930.228999999999</v>
      </c>
      <c r="JD53" s="290">
        <f t="shared" si="174"/>
        <v>39851.935000000005</v>
      </c>
      <c r="JE53" s="290">
        <f t="shared" si="174"/>
        <v>43053.040999999997</v>
      </c>
      <c r="JF53" s="283">
        <f t="shared" si="174"/>
        <v>43975.599000000002</v>
      </c>
      <c r="JG53" s="283">
        <f t="shared" si="174"/>
        <v>46366.672000000006</v>
      </c>
      <c r="JH53" s="283">
        <f t="shared" si="174"/>
        <v>48091.565999999999</v>
      </c>
      <c r="JI53" s="283">
        <f t="shared" si="174"/>
        <v>52759.252500000002</v>
      </c>
      <c r="JJ53" s="283">
        <f t="shared" si="174"/>
        <v>57426.938999999998</v>
      </c>
      <c r="JK53" s="283">
        <f t="shared" si="174"/>
        <v>56241.336500000005</v>
      </c>
      <c r="JL53" s="283">
        <f t="shared" si="174"/>
        <v>55055.734000000011</v>
      </c>
      <c r="JM53" s="283">
        <f t="shared" si="174"/>
        <v>56302.256000000008</v>
      </c>
      <c r="JN53" s="283">
        <f t="shared" si="174"/>
        <v>63580.143999999993</v>
      </c>
      <c r="JO53" s="285">
        <f t="shared" si="174"/>
        <v>63042.661</v>
      </c>
      <c r="JP53" s="285">
        <f t="shared" si="174"/>
        <v>65731.297999999995</v>
      </c>
      <c r="JQ53" s="285">
        <f t="shared" si="174"/>
        <v>65794.793000000005</v>
      </c>
      <c r="JR53" s="285">
        <f t="shared" si="174"/>
        <v>68004.701000000015</v>
      </c>
      <c r="JS53" s="416">
        <f t="shared" si="174"/>
        <v>70250.504000000001</v>
      </c>
      <c r="JT53" s="452">
        <f t="shared" si="174"/>
        <v>73168.591</v>
      </c>
    </row>
    <row r="54" spans="1:280" s="17" customFormat="1" ht="12.75" customHeight="1">
      <c r="A54" s="223" t="s">
        <v>135</v>
      </c>
      <c r="B54" s="26"/>
      <c r="C54" s="26"/>
      <c r="D54" s="26"/>
      <c r="E54" s="26"/>
      <c r="F54" s="26"/>
      <c r="G54" s="26"/>
      <c r="H54" s="26"/>
      <c r="I54" s="26"/>
      <c r="J54" s="26"/>
      <c r="K54" s="233"/>
      <c r="L54" s="26"/>
      <c r="M54" s="26"/>
      <c r="N54" s="234"/>
      <c r="O54" s="33"/>
      <c r="P54" s="33"/>
      <c r="Q54" s="33"/>
      <c r="R54" s="33"/>
      <c r="S54" s="33"/>
      <c r="T54" s="33"/>
      <c r="U54" s="233"/>
      <c r="V54" s="33"/>
      <c r="W54" s="233"/>
      <c r="X54" s="33"/>
      <c r="Y54" s="33"/>
      <c r="Z54" s="33"/>
      <c r="AA54" s="33"/>
      <c r="AB54" s="33"/>
      <c r="AC54" s="33"/>
      <c r="AD54" s="33"/>
      <c r="AE54" s="33"/>
      <c r="AF54" s="440"/>
      <c r="AG54" s="226"/>
      <c r="AH54" s="26"/>
      <c r="AI54" s="26"/>
      <c r="AJ54" s="26"/>
      <c r="AK54" s="26"/>
      <c r="AL54" s="26"/>
      <c r="AM54" s="26"/>
      <c r="AN54" s="26"/>
      <c r="AO54" s="26"/>
      <c r="AP54" s="233"/>
      <c r="AQ54" s="77"/>
      <c r="AR54" s="33"/>
      <c r="AS54" s="33"/>
      <c r="AT54" s="33"/>
      <c r="AU54" s="33"/>
      <c r="AV54" s="33"/>
      <c r="AW54" s="33"/>
      <c r="AX54" s="33"/>
      <c r="AY54" s="33"/>
      <c r="AZ54" s="233"/>
      <c r="BA54" s="33"/>
      <c r="BB54" s="233"/>
      <c r="BC54" s="33"/>
      <c r="BD54" s="33"/>
      <c r="BE54" s="33"/>
      <c r="BF54" s="33"/>
      <c r="BG54" s="33"/>
      <c r="BH54" s="33"/>
      <c r="BI54" s="33"/>
      <c r="BJ54" s="33"/>
      <c r="BK54" s="440"/>
      <c r="BL54" s="46"/>
      <c r="BM54" s="217"/>
      <c r="BN54" s="217"/>
      <c r="BO54" s="217"/>
      <c r="BP54" s="217"/>
      <c r="BQ54" s="217"/>
      <c r="BR54" s="217"/>
      <c r="BS54" s="217"/>
      <c r="BT54" s="217"/>
      <c r="BU54" s="233"/>
      <c r="BV54" s="217"/>
      <c r="BW54" s="33"/>
      <c r="BX54" s="33"/>
      <c r="BY54" s="33"/>
      <c r="BZ54" s="33"/>
      <c r="CA54" s="33"/>
      <c r="CB54" s="33"/>
      <c r="CC54" s="33"/>
      <c r="CD54" s="33"/>
      <c r="CE54" s="233"/>
      <c r="CF54" s="33"/>
      <c r="CG54" s="233"/>
      <c r="CH54" s="33"/>
      <c r="CI54" s="33"/>
      <c r="CJ54" s="33"/>
      <c r="CK54" s="33"/>
      <c r="CL54" s="33"/>
      <c r="CM54" s="33"/>
      <c r="CN54" s="33"/>
      <c r="CO54" s="33"/>
      <c r="CP54" s="440"/>
      <c r="CQ54" s="177"/>
      <c r="CR54" s="217"/>
      <c r="CS54" s="217"/>
      <c r="CT54" s="217"/>
      <c r="CU54" s="217"/>
      <c r="CV54" s="217"/>
      <c r="CW54" s="217"/>
      <c r="CX54" s="217"/>
      <c r="CY54" s="217"/>
      <c r="CZ54" s="233"/>
      <c r="DA54" s="217"/>
      <c r="DB54" s="33"/>
      <c r="DC54" s="33"/>
      <c r="DD54" s="33"/>
      <c r="DE54" s="33"/>
      <c r="DF54" s="33"/>
      <c r="DG54" s="33"/>
      <c r="DH54" s="33"/>
      <c r="DI54" s="33"/>
      <c r="DJ54" s="233"/>
      <c r="DK54" s="33"/>
      <c r="DL54" s="233"/>
      <c r="DM54" s="33"/>
      <c r="DN54" s="33"/>
      <c r="DO54" s="33"/>
      <c r="DP54" s="33"/>
      <c r="DQ54" s="33"/>
      <c r="DR54" s="33"/>
      <c r="DS54" s="33"/>
      <c r="DT54" s="33"/>
      <c r="DU54" s="440"/>
      <c r="DV54" s="177"/>
      <c r="DW54" s="217"/>
      <c r="DX54" s="217"/>
      <c r="DY54" s="217"/>
      <c r="DZ54" s="217"/>
      <c r="EA54" s="217"/>
      <c r="EB54" s="217"/>
      <c r="EC54" s="217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177"/>
      <c r="FB54" s="217"/>
      <c r="FC54" s="217"/>
      <c r="FD54" s="217"/>
      <c r="FE54" s="217"/>
      <c r="FF54" s="217"/>
      <c r="FG54" s="217"/>
      <c r="FH54" s="217"/>
      <c r="FI54" s="217"/>
      <c r="FJ54" s="233"/>
      <c r="FK54" s="217"/>
      <c r="FL54" s="33"/>
      <c r="FM54" s="33"/>
      <c r="FN54" s="33"/>
      <c r="FO54" s="33"/>
      <c r="FP54" s="33"/>
      <c r="FQ54" s="33"/>
      <c r="FR54" s="33"/>
      <c r="FS54" s="33"/>
      <c r="FT54" s="233"/>
      <c r="FU54" s="33"/>
      <c r="FV54" s="233"/>
      <c r="FW54" s="33"/>
      <c r="FX54" s="33"/>
      <c r="FY54" s="33"/>
      <c r="FZ54" s="33"/>
      <c r="GA54" s="33"/>
      <c r="GB54" s="33"/>
      <c r="GC54" s="33"/>
      <c r="GD54" s="33"/>
      <c r="GE54" s="440"/>
      <c r="GF54" s="46"/>
      <c r="GG54" s="217"/>
      <c r="GH54" s="217"/>
      <c r="GI54" s="217"/>
      <c r="GJ54" s="217"/>
      <c r="GK54" s="217"/>
      <c r="GL54" s="217"/>
      <c r="GM54" s="217"/>
      <c r="GN54" s="217"/>
      <c r="GO54" s="233"/>
      <c r="GP54" s="217"/>
      <c r="GQ54" s="33"/>
      <c r="GR54" s="33"/>
      <c r="GS54" s="33"/>
      <c r="GT54" s="33"/>
      <c r="GU54" s="33"/>
      <c r="GV54" s="33"/>
      <c r="GW54" s="33"/>
      <c r="GX54" s="33"/>
      <c r="GY54" s="233"/>
      <c r="GZ54" s="33"/>
      <c r="HA54" s="233"/>
      <c r="HB54" s="33"/>
      <c r="HC54" s="33"/>
      <c r="HD54" s="33"/>
      <c r="HE54" s="33"/>
      <c r="HF54" s="33"/>
      <c r="HG54" s="33"/>
      <c r="HH54" s="33"/>
      <c r="HI54" s="33"/>
      <c r="HJ54" s="440"/>
      <c r="HK54" s="177"/>
      <c r="HL54" s="217"/>
      <c r="HM54" s="217"/>
      <c r="HN54" s="217"/>
      <c r="HO54" s="217"/>
      <c r="HP54" s="217"/>
      <c r="HQ54" s="217"/>
      <c r="HR54" s="217"/>
      <c r="HS54" s="217"/>
      <c r="HT54" s="233"/>
      <c r="HU54" s="217"/>
      <c r="HV54" s="33"/>
      <c r="HW54" s="33"/>
      <c r="HX54" s="33"/>
      <c r="HY54" s="33"/>
      <c r="HZ54" s="33"/>
      <c r="IA54" s="33"/>
      <c r="IB54" s="33"/>
      <c r="IC54" s="33"/>
      <c r="ID54" s="233"/>
      <c r="IE54" s="33"/>
      <c r="IF54" s="233"/>
      <c r="IG54" s="33"/>
      <c r="IH54" s="33"/>
      <c r="II54" s="33"/>
      <c r="IJ54" s="33"/>
      <c r="IK54" s="33"/>
      <c r="IL54" s="33"/>
      <c r="IM54" s="33"/>
      <c r="IN54" s="33"/>
      <c r="IO54" s="440"/>
      <c r="IP54" s="46"/>
      <c r="IQ54" s="217"/>
      <c r="IR54" s="217"/>
      <c r="IS54" s="217"/>
      <c r="IT54" s="217"/>
      <c r="IU54" s="217"/>
      <c r="IV54" s="217"/>
      <c r="IW54" s="217"/>
      <c r="IX54" s="217"/>
      <c r="IY54" s="233"/>
      <c r="IZ54" s="217"/>
      <c r="JA54" s="33"/>
      <c r="JB54" s="42"/>
      <c r="JC54" s="42"/>
      <c r="JD54" s="42"/>
      <c r="JE54" s="42"/>
      <c r="JF54" s="26"/>
      <c r="JG54" s="26"/>
      <c r="JH54" s="26"/>
      <c r="JI54" s="233"/>
      <c r="JJ54" s="26"/>
      <c r="JK54" s="233"/>
      <c r="JL54" s="26"/>
      <c r="JM54" s="26"/>
      <c r="JN54" s="26"/>
      <c r="JO54" s="33"/>
      <c r="JP54" s="33"/>
      <c r="JQ54" s="33"/>
      <c r="JR54" s="33"/>
      <c r="JT54" s="450"/>
    </row>
    <row r="55" spans="1:280" s="17" customFormat="1" ht="12.75" customHeight="1">
      <c r="A55" s="222" t="s">
        <v>51</v>
      </c>
      <c r="J55" s="17">
        <v>13421.297</v>
      </c>
      <c r="K55" s="231">
        <f t="shared" ref="K55:K64" si="175">((L55-J55)/2)+J55</f>
        <v>14242.8465</v>
      </c>
      <c r="L55" s="17">
        <v>15064.396000000001</v>
      </c>
      <c r="M55" s="17">
        <v>15770.928</v>
      </c>
      <c r="N55" s="214">
        <v>16656.102999999999</v>
      </c>
      <c r="O55" s="32">
        <v>16997.257000000001</v>
      </c>
      <c r="P55" s="32">
        <v>17478.207999999999</v>
      </c>
      <c r="Q55" s="32">
        <v>17780.082999999999</v>
      </c>
      <c r="R55" s="32">
        <v>18299.932000000001</v>
      </c>
      <c r="S55" s="32">
        <v>19688.154999999999</v>
      </c>
      <c r="T55" s="32">
        <v>21419.545999999998</v>
      </c>
      <c r="U55" s="231">
        <f t="shared" ref="U55:U64" si="176">((V55-T55)/2)+T55</f>
        <v>22809.249</v>
      </c>
      <c r="V55" s="32">
        <v>24198.952000000001</v>
      </c>
      <c r="W55" s="231">
        <f t="shared" ref="W55:W64" si="177">((X55-V55)/2)+V55</f>
        <v>24608.6185</v>
      </c>
      <c r="X55" s="32">
        <v>25018.285</v>
      </c>
      <c r="Y55" s="32">
        <v>26211.817999999999</v>
      </c>
      <c r="Z55" s="32">
        <v>27504.251</v>
      </c>
      <c r="AA55" s="32">
        <v>28389.5</v>
      </c>
      <c r="AB55" s="32">
        <v>30414.805</v>
      </c>
      <c r="AC55" s="32">
        <v>31905.145</v>
      </c>
      <c r="AD55" s="32">
        <v>31878.993999999999</v>
      </c>
      <c r="AE55" s="32">
        <v>33366.550000000003</v>
      </c>
      <c r="AF55" s="440">
        <v>34372.315999999999</v>
      </c>
      <c r="AG55" s="184"/>
      <c r="AO55" s="17">
        <f>4070.818+92.381</f>
        <v>4163.1990000000005</v>
      </c>
      <c r="AP55" s="231">
        <f t="shared" ref="AP55:AP64" si="178">((AQ55-AO55)/2)+AO55</f>
        <v>4438.2764999999999</v>
      </c>
      <c r="AQ55" s="30">
        <v>4713.3540000000003</v>
      </c>
      <c r="AR55" s="32">
        <v>4829.4049999999997</v>
      </c>
      <c r="AS55" s="32">
        <v>4994.6180000000004</v>
      </c>
      <c r="AT55" s="32">
        <v>5154.2740000000003</v>
      </c>
      <c r="AU55" s="32">
        <v>5431.9989999999998</v>
      </c>
      <c r="AV55" s="32">
        <v>5512.4290000000001</v>
      </c>
      <c r="AW55" s="32">
        <v>5563.9750000000004</v>
      </c>
      <c r="AX55" s="32">
        <v>6320.6809999999996</v>
      </c>
      <c r="AY55" s="32">
        <v>6832.95</v>
      </c>
      <c r="AZ55" s="231">
        <f t="shared" ref="AZ55:AZ64" si="179">((BA55-AY55)/2)+AY55</f>
        <v>7410.4125000000004</v>
      </c>
      <c r="BA55" s="32">
        <v>7987.875</v>
      </c>
      <c r="BB55" s="231">
        <f t="shared" ref="BB55:BB64" si="180">((BC55-BA55)/2)+BA55</f>
        <v>8433.9279999999999</v>
      </c>
      <c r="BC55" s="32">
        <v>8879.9809999999998</v>
      </c>
      <c r="BD55" s="32">
        <v>9261.4069999999992</v>
      </c>
      <c r="BE55" s="32">
        <v>10083.447</v>
      </c>
      <c r="BF55" s="32">
        <v>10831.873</v>
      </c>
      <c r="BG55" s="32">
        <v>11296.737999999999</v>
      </c>
      <c r="BH55" s="32">
        <v>11687.977999999999</v>
      </c>
      <c r="BI55" s="32">
        <v>11459.918</v>
      </c>
      <c r="BJ55" s="32">
        <v>11957.531999999999</v>
      </c>
      <c r="BK55" s="440">
        <v>12414.724</v>
      </c>
      <c r="BL55" s="176"/>
      <c r="BM55" s="75"/>
      <c r="BN55" s="75"/>
      <c r="BO55" s="75"/>
      <c r="BP55" s="75"/>
      <c r="BQ55" s="75"/>
      <c r="BR55" s="75"/>
      <c r="BS55" s="217"/>
      <c r="BT55" s="75">
        <v>3232.7779999999998</v>
      </c>
      <c r="BU55" s="231">
        <f t="shared" ref="BU55:BU64" si="181">((BV55-BT55)/2)+BT55</f>
        <v>3460.7959999999998</v>
      </c>
      <c r="BV55" s="75">
        <v>3688.8139999999999</v>
      </c>
      <c r="BW55" s="32">
        <v>3776.4540000000002</v>
      </c>
      <c r="BX55" s="32">
        <v>3867.5259999999998</v>
      </c>
      <c r="BY55" s="32">
        <v>3946.393</v>
      </c>
      <c r="BZ55" s="32">
        <v>4205.5169999999998</v>
      </c>
      <c r="CA55" s="32">
        <v>4272.902</v>
      </c>
      <c r="CB55" s="32">
        <v>4193.0810000000001</v>
      </c>
      <c r="CC55" s="32">
        <v>4813.9040000000005</v>
      </c>
      <c r="CD55" s="32">
        <v>5218.085</v>
      </c>
      <c r="CE55" s="231">
        <f t="shared" ref="CE55:CE64" si="182">((CF55-CD55)/2)+CD55</f>
        <v>5588.9560000000001</v>
      </c>
      <c r="CF55" s="32">
        <v>5959.8270000000002</v>
      </c>
      <c r="CG55" s="231">
        <f t="shared" ref="CG55:CG64" si="183">((CH55-CF55)/2)+CF55</f>
        <v>6273.384</v>
      </c>
      <c r="CH55" s="32">
        <v>6586.9409999999998</v>
      </c>
      <c r="CI55" s="32">
        <v>6780.8450000000003</v>
      </c>
      <c r="CJ55" s="32">
        <v>7309.027</v>
      </c>
      <c r="CK55" s="32">
        <v>7957.1130000000003</v>
      </c>
      <c r="CL55" s="32">
        <v>8178.9030000000002</v>
      </c>
      <c r="CM55" s="32">
        <v>8389.6779999999999</v>
      </c>
      <c r="CN55" s="32">
        <v>8316.2479999999996</v>
      </c>
      <c r="CO55" s="32">
        <v>8535.5280000000002</v>
      </c>
      <c r="CP55" s="440">
        <v>8990.8050000000003</v>
      </c>
      <c r="CQ55" s="176"/>
      <c r="CR55" s="75"/>
      <c r="CS55" s="75"/>
      <c r="CT55" s="75"/>
      <c r="CU55" s="75"/>
      <c r="CV55" s="75"/>
      <c r="CW55" s="75"/>
      <c r="CX55" s="217"/>
      <c r="CY55" s="75">
        <v>652.52800000000002</v>
      </c>
      <c r="CZ55" s="231">
        <f t="shared" ref="CZ55:CZ64" si="184">((DA55-CY55)/2)+CY55</f>
        <v>709.10950000000003</v>
      </c>
      <c r="DA55" s="75">
        <f>765691/1000</f>
        <v>765.69100000000003</v>
      </c>
      <c r="DB55" s="32">
        <v>777.73900000000003</v>
      </c>
      <c r="DC55" s="32">
        <v>830.56299999999999</v>
      </c>
      <c r="DD55" s="32">
        <v>898.87300000000005</v>
      </c>
      <c r="DE55" s="32">
        <v>892.26199999999994</v>
      </c>
      <c r="DF55" s="32">
        <v>909.57500000000005</v>
      </c>
      <c r="DG55" s="32">
        <v>1010.379</v>
      </c>
      <c r="DH55" s="32">
        <v>1112.559</v>
      </c>
      <c r="DI55" s="32">
        <v>1195.7170000000001</v>
      </c>
      <c r="DJ55" s="231">
        <f t="shared" ref="DJ55:DJ64" si="185">((DK55-DI55)/2)+DI55</f>
        <v>1375.3445000000002</v>
      </c>
      <c r="DK55" s="32">
        <v>1554.972</v>
      </c>
      <c r="DL55" s="231">
        <f t="shared" ref="DL55:DL64" si="186">((DM55-DK55)/2)+DK55</f>
        <v>1695.5785000000001</v>
      </c>
      <c r="DM55" s="32">
        <v>1836.1849999999999</v>
      </c>
      <c r="DN55" s="32">
        <v>1955.136</v>
      </c>
      <c r="DO55" s="32">
        <v>2118.3960000000002</v>
      </c>
      <c r="DP55" s="32">
        <v>2109.8820000000001</v>
      </c>
      <c r="DQ55" s="32">
        <v>2295.1410000000001</v>
      </c>
      <c r="DR55" s="32">
        <v>2501.6309999999999</v>
      </c>
      <c r="DS55" s="32">
        <v>2417.9490000000001</v>
      </c>
      <c r="DT55" s="32">
        <v>2634.1790000000001</v>
      </c>
      <c r="DU55" s="440">
        <v>2604.6819999999998</v>
      </c>
      <c r="DV55" s="387"/>
      <c r="DW55" s="219"/>
      <c r="DX55" s="219"/>
      <c r="DY55" s="219"/>
      <c r="DZ55" s="219"/>
      <c r="EA55" s="219"/>
      <c r="EB55" s="219"/>
      <c r="EC55" s="219"/>
      <c r="ED55" s="40">
        <f t="shared" ref="ED55:ED64" si="187">AO55-BT55-CY55</f>
        <v>277.89300000000071</v>
      </c>
      <c r="EE55" s="40">
        <f t="shared" ref="EE55:EE64" si="188">AP55-BU55-CZ55</f>
        <v>268.37100000000009</v>
      </c>
      <c r="EF55" s="40">
        <f t="shared" ref="EF55:EF64" si="189">AQ55-BV55-DA55</f>
        <v>258.84900000000039</v>
      </c>
      <c r="EG55" s="40">
        <f t="shared" ref="EG55:EG64" si="190">(AR55-BW55)-DB55</f>
        <v>275.21199999999953</v>
      </c>
      <c r="EH55" s="40">
        <f t="shared" ref="EH55:EH64" si="191">(AS55-BX55)-DC55</f>
        <v>296.52900000000056</v>
      </c>
      <c r="EI55" s="40">
        <f t="shared" ref="EI55:EI64" si="192">(AT55-BY55)-DD55</f>
        <v>309.00800000000027</v>
      </c>
      <c r="EJ55" s="40">
        <f t="shared" ref="EJ55:EJ64" si="193">(AU55-BZ55)-DE55</f>
        <v>334.22</v>
      </c>
      <c r="EK55" s="40">
        <f t="shared" ref="EK55:EK64" si="194">(AV55-CA55)-DF55</f>
        <v>329.952</v>
      </c>
      <c r="EL55" s="40">
        <f t="shared" ref="EL55:EL64" si="195">(AW55-CB55)-DG55</f>
        <v>360.51500000000021</v>
      </c>
      <c r="EM55" s="40">
        <f t="shared" ref="EM55:EM64" si="196">(AX55-CC55)-DH55</f>
        <v>394.21799999999917</v>
      </c>
      <c r="EN55" s="40">
        <f t="shared" ref="EN55:EN64" si="197">(AY55-CD55)-DI55</f>
        <v>419.14799999999968</v>
      </c>
      <c r="EO55" s="40">
        <f t="shared" ref="EO55:EO64" si="198">(AZ55-CE55)-DJ55</f>
        <v>446.11200000000008</v>
      </c>
      <c r="EP55" s="40">
        <f t="shared" ref="EP55:EP64" si="199">(BA55-CF55)-DK55</f>
        <v>473.07599999999979</v>
      </c>
      <c r="EQ55" s="40">
        <f t="shared" ref="EQ55:EQ64" si="200">(BB55-CG55)-DL55</f>
        <v>464.96549999999979</v>
      </c>
      <c r="ER55" s="40">
        <f t="shared" ref="ER55:ER64" si="201">(BC55-CH55)-DM55</f>
        <v>456.85500000000002</v>
      </c>
      <c r="ES55" s="40">
        <f t="shared" ref="ES55:ES64" si="202">(BD55-CI55)-DN55</f>
        <v>525.42599999999902</v>
      </c>
      <c r="ET55" s="40">
        <f t="shared" ref="ET55:ET64" si="203">(BE55-CJ55)-DO55</f>
        <v>656.02399999999989</v>
      </c>
      <c r="EU55" s="40">
        <f t="shared" ref="EU55:EU64" si="204">+BF55-CK55-DP55</f>
        <v>764.87799999999925</v>
      </c>
      <c r="EV55" s="40">
        <f t="shared" ref="EV55:EV64" si="205">+BG55-CL55-DQ55</f>
        <v>822.69399999999905</v>
      </c>
      <c r="EW55" s="40">
        <f t="shared" ref="EW55:EW64" si="206">+BH55-CM55-DR55</f>
        <v>796.66899999999941</v>
      </c>
      <c r="EX55" s="40">
        <f t="shared" ref="EX55:EX64" si="207">+BI55-CN55-DS55</f>
        <v>725.721</v>
      </c>
      <c r="EY55" s="40">
        <f t="shared" ref="EY55:EY64" si="208">+BJ55-CO55-DT55</f>
        <v>787.82499999999891</v>
      </c>
      <c r="EZ55" s="40">
        <f t="shared" ref="EZ55:EZ64" si="209">+BK55-CP55-DU55</f>
        <v>819.23700000000008</v>
      </c>
      <c r="FA55" s="176"/>
      <c r="FB55" s="75"/>
      <c r="FC55" s="75"/>
      <c r="FD55" s="75"/>
      <c r="FE55" s="75"/>
      <c r="FF55" s="75"/>
      <c r="FG55" s="75"/>
      <c r="FH55" s="217"/>
      <c r="FI55" s="75">
        <f>1791.941+664.971+352.244+55.567</f>
        <v>2864.7230000000004</v>
      </c>
      <c r="FJ55" s="231">
        <f t="shared" ref="FJ55:FJ64" si="210">((FK55-FI55)/2)+FI55</f>
        <v>3278.9110000000001</v>
      </c>
      <c r="FK55" s="75">
        <v>3693.0990000000002</v>
      </c>
      <c r="FL55" s="32">
        <v>4078.4989999999998</v>
      </c>
      <c r="FM55" s="32">
        <v>4360.5860000000002</v>
      </c>
      <c r="FN55" s="32">
        <v>4298.0110000000004</v>
      </c>
      <c r="FO55" s="32">
        <v>4246.9859999999999</v>
      </c>
      <c r="FP55" s="32">
        <v>4323.9780000000001</v>
      </c>
      <c r="FQ55" s="32">
        <v>4584.9110000000001</v>
      </c>
      <c r="FR55" s="32">
        <v>4558.4949999999999</v>
      </c>
      <c r="FS55" s="32">
        <v>4806.6149999999998</v>
      </c>
      <c r="FT55" s="231">
        <f t="shared" ref="FT55:FT64" si="211">((FU55-FS55)/2)+FS55</f>
        <v>5135.9089999999997</v>
      </c>
      <c r="FU55" s="32">
        <v>5465.2030000000004</v>
      </c>
      <c r="FV55" s="231">
        <f t="shared" ref="FV55:FV64" si="212">((FW55-FU55)/2)+FU55</f>
        <v>5734.7345000000005</v>
      </c>
      <c r="FW55" s="32">
        <v>6004.2659999999996</v>
      </c>
      <c r="FX55" s="32">
        <v>6179.3029999999999</v>
      </c>
      <c r="FY55" s="32">
        <v>6579.7449999999999</v>
      </c>
      <c r="FZ55" s="32">
        <v>6817.6130000000003</v>
      </c>
      <c r="GA55" s="32">
        <v>7423.8810000000003</v>
      </c>
      <c r="GB55" s="32">
        <v>8032.1509999999998</v>
      </c>
      <c r="GC55" s="32">
        <v>7884.0020000000004</v>
      </c>
      <c r="GD55" s="32">
        <v>8528.8819999999996</v>
      </c>
      <c r="GE55" s="440">
        <v>8648.223</v>
      </c>
      <c r="GF55" s="176"/>
      <c r="GG55" s="75"/>
      <c r="GH55" s="75"/>
      <c r="GI55" s="75"/>
      <c r="GJ55" s="75"/>
      <c r="GK55" s="75"/>
      <c r="GL55" s="75"/>
      <c r="GM55" s="217"/>
      <c r="GN55" s="75">
        <f>1248.535+29.145+20.411+0.603+59.102+457.735+255.535+323.302+74.176+71.203+176.316+314.067+239.535+309.9</f>
        <v>3579.5650000000001</v>
      </c>
      <c r="GO55" s="231">
        <f t="shared" ref="GO55:GO64" si="213">((GP55-GN55)/2)+GN55</f>
        <v>3568.3495000000003</v>
      </c>
      <c r="GP55" s="75">
        <v>3557.134</v>
      </c>
      <c r="GQ55" s="32">
        <v>3560.3040000000001</v>
      </c>
      <c r="GR55" s="32">
        <v>3826.8850000000002</v>
      </c>
      <c r="GS55" s="32">
        <v>3923.6770000000001</v>
      </c>
      <c r="GT55" s="32">
        <v>3858.527</v>
      </c>
      <c r="GU55" s="32">
        <v>3872.3159999999998</v>
      </c>
      <c r="GV55" s="32">
        <v>3847.6010000000001</v>
      </c>
      <c r="GW55" s="32">
        <v>4124.576</v>
      </c>
      <c r="GX55" s="32">
        <v>4499.4549999999999</v>
      </c>
      <c r="GY55" s="231">
        <f t="shared" ref="GY55:GY64" si="214">((GZ55-GX55)/2)+GX55</f>
        <v>4688.4870000000001</v>
      </c>
      <c r="GZ55" s="32">
        <v>4877.5190000000002</v>
      </c>
      <c r="HA55" s="231">
        <f t="shared" ref="HA55:HA64" si="215">((HB55-GZ55)/2)+GZ55</f>
        <v>4925.6030000000001</v>
      </c>
      <c r="HB55" s="32">
        <v>4973.6869999999999</v>
      </c>
      <c r="HC55" s="32">
        <v>5100.598</v>
      </c>
      <c r="HD55" s="32">
        <v>5166.0119999999997</v>
      </c>
      <c r="HE55" s="32">
        <v>5243.5519999999997</v>
      </c>
      <c r="HF55" s="32">
        <v>5638.1719999999996</v>
      </c>
      <c r="HG55" s="32">
        <v>5863.3270000000002</v>
      </c>
      <c r="HH55" s="32">
        <v>6026.2120000000004</v>
      </c>
      <c r="HI55" s="32">
        <v>6296.3239999999996</v>
      </c>
      <c r="HJ55" s="440">
        <v>6613.9530000000004</v>
      </c>
      <c r="HK55" s="176"/>
      <c r="HL55" s="75"/>
      <c r="HM55" s="75"/>
      <c r="HN55" s="75"/>
      <c r="HO55" s="75"/>
      <c r="HP55" s="75"/>
      <c r="HQ55" s="75"/>
      <c r="HR55" s="217"/>
      <c r="HS55" s="75">
        <f>264.897+196.265+88.811+145.234</f>
        <v>695.20699999999999</v>
      </c>
      <c r="HT55" s="231">
        <f t="shared" ref="HT55:HT64" si="216">((HU55-HS55)/2)+HS55</f>
        <v>713.01049999999998</v>
      </c>
      <c r="HU55" s="75">
        <v>730.81399999999996</v>
      </c>
      <c r="HV55" s="32">
        <v>788.29200000000003</v>
      </c>
      <c r="HW55" s="32">
        <v>818.09100000000001</v>
      </c>
      <c r="HX55" s="32">
        <v>898.32100000000003</v>
      </c>
      <c r="HY55" s="32">
        <v>877.51800000000003</v>
      </c>
      <c r="HZ55" s="32">
        <v>948.84400000000005</v>
      </c>
      <c r="IA55" s="32">
        <v>1063.981</v>
      </c>
      <c r="IB55" s="32">
        <v>1274.579</v>
      </c>
      <c r="IC55" s="32">
        <v>1352.1869999999999</v>
      </c>
      <c r="ID55" s="231">
        <f t="shared" ref="ID55:ID64" si="217">((IE55-IC55)/2)+IC55</f>
        <v>1355.165</v>
      </c>
      <c r="IE55" s="32">
        <v>1358.143</v>
      </c>
      <c r="IF55" s="231">
        <f t="shared" ref="IF55:IF64" si="218">((IG55-IE55)/2)+IE55</f>
        <v>1397.6835000000001</v>
      </c>
      <c r="IG55" s="32">
        <v>1437.2239999999999</v>
      </c>
      <c r="IH55" s="32">
        <v>1516.1110000000001</v>
      </c>
      <c r="II55" s="32">
        <v>1511.9449999999999</v>
      </c>
      <c r="IJ55" s="32">
        <v>1678.348</v>
      </c>
      <c r="IK55" s="32">
        <v>1761.943</v>
      </c>
      <c r="IL55" s="32">
        <v>1779.7860000000001</v>
      </c>
      <c r="IM55" s="32">
        <v>1723.2239999999999</v>
      </c>
      <c r="IN55" s="32">
        <v>1768.72</v>
      </c>
      <c r="IO55" s="440">
        <v>1787.64</v>
      </c>
      <c r="IP55" s="37"/>
      <c r="IQ55" s="75"/>
      <c r="IR55" s="75"/>
      <c r="IS55" s="75"/>
      <c r="IT55" s="75"/>
      <c r="IU55" s="75"/>
      <c r="IV55" s="75"/>
      <c r="IW55" s="217"/>
      <c r="IX55" s="75">
        <f>883.56+0.914+1234.129</f>
        <v>2118.6030000000001</v>
      </c>
      <c r="IY55" s="231">
        <f t="shared" ref="IY55:IY64" si="219">((IZ55-IX55)/2)+IX55</f>
        <v>2244.299</v>
      </c>
      <c r="IZ55" s="75">
        <v>2369.9949999999999</v>
      </c>
      <c r="JA55" s="32">
        <v>2514.4279999999999</v>
      </c>
      <c r="JB55" s="47">
        <v>2655.9229999999998</v>
      </c>
      <c r="JC55" s="47">
        <v>2722.9740000000002</v>
      </c>
      <c r="JD55" s="47">
        <v>3063.1779999999999</v>
      </c>
      <c r="JE55" s="47">
        <v>3122.5160000000001</v>
      </c>
      <c r="JF55" s="17">
        <v>3239.4639999999999</v>
      </c>
      <c r="JG55" s="17">
        <v>3409.8240000000001</v>
      </c>
      <c r="JH55" s="17">
        <v>3928.3389999999999</v>
      </c>
      <c r="JI55" s="231">
        <f t="shared" ref="JI55:JI64" si="220">((JJ55-JH55)/2)+JH55</f>
        <v>4219.2754999999997</v>
      </c>
      <c r="JJ55" s="17">
        <v>4510.2120000000004</v>
      </c>
      <c r="JK55" s="231">
        <f t="shared" ref="JK55:JK64" si="221">((JL55-JJ55)/2)+JJ55</f>
        <v>4116.6695</v>
      </c>
      <c r="JL55" s="17">
        <v>3723.127</v>
      </c>
      <c r="JM55" s="17">
        <v>4154.3990000000003</v>
      </c>
      <c r="JN55" s="17">
        <v>4163.1019999999999</v>
      </c>
      <c r="JO55" s="32">
        <v>3818.114</v>
      </c>
      <c r="JP55" s="32">
        <v>4294.0709999999999</v>
      </c>
      <c r="JQ55" s="32">
        <v>4541.902</v>
      </c>
      <c r="JR55" s="32">
        <v>4785.6369999999997</v>
      </c>
      <c r="JS55" s="17">
        <v>4815.0919999999996</v>
      </c>
      <c r="JT55" s="450">
        <v>4907.7759999999998</v>
      </c>
    </row>
    <row r="56" spans="1:280" s="17" customFormat="1" ht="12.75" customHeight="1">
      <c r="A56" s="222" t="s">
        <v>58</v>
      </c>
      <c r="J56" s="17">
        <v>4016.9110000000001</v>
      </c>
      <c r="K56" s="231">
        <f t="shared" si="175"/>
        <v>4335.2080000000005</v>
      </c>
      <c r="L56" s="17">
        <v>4653.5050000000001</v>
      </c>
      <c r="M56" s="16">
        <v>4797.4170000000004</v>
      </c>
      <c r="N56" s="73">
        <v>4932.8860000000004</v>
      </c>
      <c r="O56" s="32">
        <v>5205.0209999999997</v>
      </c>
      <c r="P56" s="32">
        <v>5408.8540000000003</v>
      </c>
      <c r="Q56" s="32">
        <v>5782.06</v>
      </c>
      <c r="R56" s="32">
        <v>6138.4030000000002</v>
      </c>
      <c r="S56" s="32">
        <v>6396.5460000000003</v>
      </c>
      <c r="T56" s="32">
        <v>6963.6369999999997</v>
      </c>
      <c r="U56" s="231">
        <f t="shared" si="176"/>
        <v>7473.9984999999997</v>
      </c>
      <c r="V56" s="32">
        <v>7984.36</v>
      </c>
      <c r="W56" s="231">
        <f t="shared" si="177"/>
        <v>8634.7345000000005</v>
      </c>
      <c r="X56" s="32">
        <v>9285.1090000000004</v>
      </c>
      <c r="Y56" s="32">
        <v>9524.5640000000003</v>
      </c>
      <c r="Z56" s="32">
        <v>9988.5879999999997</v>
      </c>
      <c r="AA56" s="32">
        <v>10058.602000000001</v>
      </c>
      <c r="AB56" s="32">
        <v>10322.369000000001</v>
      </c>
      <c r="AC56" s="32">
        <v>10825.328</v>
      </c>
      <c r="AD56" s="32">
        <v>11059.929</v>
      </c>
      <c r="AE56" s="32">
        <v>11359.276</v>
      </c>
      <c r="AF56" s="440">
        <v>11276.96</v>
      </c>
      <c r="AG56" s="184"/>
      <c r="AO56" s="17">
        <f>1462.56+14.977</f>
        <v>1477.537</v>
      </c>
      <c r="AP56" s="231">
        <f t="shared" si="178"/>
        <v>1547.1615000000002</v>
      </c>
      <c r="AQ56" s="30">
        <v>1616.7860000000001</v>
      </c>
      <c r="AR56" s="32">
        <v>1631.732</v>
      </c>
      <c r="AS56" s="32">
        <v>1660.0429999999999</v>
      </c>
      <c r="AT56" s="32">
        <v>1686.2819999999999</v>
      </c>
      <c r="AU56" s="32">
        <v>1805.998</v>
      </c>
      <c r="AV56" s="32">
        <v>1948.6769999999999</v>
      </c>
      <c r="AW56" s="32">
        <v>2049.84</v>
      </c>
      <c r="AX56" s="32">
        <v>2091.3330000000001</v>
      </c>
      <c r="AY56" s="32">
        <v>2254.5320000000002</v>
      </c>
      <c r="AZ56" s="231">
        <f t="shared" si="179"/>
        <v>2385.5230000000001</v>
      </c>
      <c r="BA56" s="32">
        <v>2516.5140000000001</v>
      </c>
      <c r="BB56" s="231">
        <f t="shared" si="180"/>
        <v>2704.1115</v>
      </c>
      <c r="BC56" s="32">
        <v>2891.7089999999998</v>
      </c>
      <c r="BD56" s="32">
        <v>2896.5859999999998</v>
      </c>
      <c r="BE56" s="32">
        <v>3031.357</v>
      </c>
      <c r="BF56" s="32">
        <v>3123.654</v>
      </c>
      <c r="BG56" s="32">
        <v>3224.58</v>
      </c>
      <c r="BH56" s="32">
        <v>3292.9169999999999</v>
      </c>
      <c r="BI56" s="32">
        <v>3465.5509999999999</v>
      </c>
      <c r="BJ56" s="32">
        <v>3500.28</v>
      </c>
      <c r="BK56" s="440">
        <v>3397.1559999999999</v>
      </c>
      <c r="BL56" s="176"/>
      <c r="BM56" s="75"/>
      <c r="BN56" s="75"/>
      <c r="BO56" s="75"/>
      <c r="BP56" s="75"/>
      <c r="BQ56" s="75"/>
      <c r="BR56" s="75"/>
      <c r="BS56" s="217"/>
      <c r="BT56" s="75">
        <v>1071.605</v>
      </c>
      <c r="BU56" s="231">
        <f t="shared" si="181"/>
        <v>1130.2860000000001</v>
      </c>
      <c r="BV56" s="75">
        <v>1188.9670000000001</v>
      </c>
      <c r="BW56" s="73">
        <v>1186.547</v>
      </c>
      <c r="BX56" s="32">
        <v>1201.663</v>
      </c>
      <c r="BY56" s="32">
        <v>1221.0340000000001</v>
      </c>
      <c r="BZ56" s="32">
        <v>1302.934</v>
      </c>
      <c r="CA56" s="32">
        <v>1428.364</v>
      </c>
      <c r="CB56" s="32">
        <v>1537.2570000000001</v>
      </c>
      <c r="CC56" s="32">
        <v>1528.585</v>
      </c>
      <c r="CD56" s="32">
        <v>1670.848</v>
      </c>
      <c r="CE56" s="231">
        <f t="shared" si="182"/>
        <v>1736.837</v>
      </c>
      <c r="CF56" s="32">
        <v>1802.826</v>
      </c>
      <c r="CG56" s="231">
        <f t="shared" si="183"/>
        <v>1939.5425</v>
      </c>
      <c r="CH56" s="32">
        <v>2076.259</v>
      </c>
      <c r="CI56" s="32">
        <v>2054.4110000000001</v>
      </c>
      <c r="CJ56" s="32">
        <v>2129.7719999999999</v>
      </c>
      <c r="CK56" s="32">
        <v>2188.1179999999999</v>
      </c>
      <c r="CL56" s="32">
        <v>2277.6149999999998</v>
      </c>
      <c r="CM56" s="32">
        <v>2315.2539999999999</v>
      </c>
      <c r="CN56" s="32">
        <v>2458.076</v>
      </c>
      <c r="CO56" s="32">
        <v>2443.3119999999999</v>
      </c>
      <c r="CP56" s="440">
        <v>2342.23</v>
      </c>
      <c r="CQ56" s="176"/>
      <c r="CR56" s="75"/>
      <c r="CS56" s="75"/>
      <c r="CT56" s="75"/>
      <c r="CU56" s="75"/>
      <c r="CV56" s="75"/>
      <c r="CW56" s="75"/>
      <c r="CX56" s="217"/>
      <c r="CY56" s="75">
        <v>331.25400000000002</v>
      </c>
      <c r="CZ56" s="231">
        <f t="shared" si="184"/>
        <v>343.87149999999997</v>
      </c>
      <c r="DA56" s="75">
        <f>356489/1000</f>
        <v>356.48899999999998</v>
      </c>
      <c r="DB56" s="73">
        <v>368.59800000000001</v>
      </c>
      <c r="DC56" s="32">
        <v>371.02100000000002</v>
      </c>
      <c r="DD56" s="32">
        <v>372.00200000000001</v>
      </c>
      <c r="DE56" s="32">
        <v>391.82799999999997</v>
      </c>
      <c r="DF56" s="32">
        <v>404.82600000000002</v>
      </c>
      <c r="DG56" s="32">
        <v>413.22300000000001</v>
      </c>
      <c r="DH56" s="32">
        <v>446.452</v>
      </c>
      <c r="DI56" s="32">
        <v>462.76600000000002</v>
      </c>
      <c r="DJ56" s="231">
        <f t="shared" si="185"/>
        <v>511.03650000000005</v>
      </c>
      <c r="DK56" s="32">
        <v>559.30700000000002</v>
      </c>
      <c r="DL56" s="231">
        <f t="shared" si="186"/>
        <v>607.93399999999997</v>
      </c>
      <c r="DM56" s="32">
        <v>656.56100000000004</v>
      </c>
      <c r="DN56" s="32">
        <v>669.10199999999998</v>
      </c>
      <c r="DO56" s="32">
        <v>715.16300000000001</v>
      </c>
      <c r="DP56" s="32">
        <v>752.10400000000004</v>
      </c>
      <c r="DQ56" s="32">
        <v>761.42</v>
      </c>
      <c r="DR56" s="32">
        <v>768.44299999999998</v>
      </c>
      <c r="DS56" s="32">
        <v>747.73500000000001</v>
      </c>
      <c r="DT56" s="32">
        <v>794.851</v>
      </c>
      <c r="DU56" s="440">
        <v>798.63800000000003</v>
      </c>
      <c r="DV56" s="387"/>
      <c r="DW56" s="219"/>
      <c r="DX56" s="219"/>
      <c r="DY56" s="219"/>
      <c r="DZ56" s="219"/>
      <c r="EA56" s="219"/>
      <c r="EB56" s="219"/>
      <c r="EC56" s="219"/>
      <c r="ED56" s="40">
        <f t="shared" si="187"/>
        <v>74.677999999999997</v>
      </c>
      <c r="EE56" s="40">
        <f t="shared" si="188"/>
        <v>73.004000000000133</v>
      </c>
      <c r="EF56" s="40">
        <f t="shared" si="189"/>
        <v>71.329999999999984</v>
      </c>
      <c r="EG56" s="40">
        <f t="shared" si="190"/>
        <v>76.586999999999932</v>
      </c>
      <c r="EH56" s="40">
        <f t="shared" si="191"/>
        <v>87.358999999999867</v>
      </c>
      <c r="EI56" s="40">
        <f t="shared" si="192"/>
        <v>93.24599999999981</v>
      </c>
      <c r="EJ56" s="40">
        <f t="shared" si="193"/>
        <v>111.2360000000001</v>
      </c>
      <c r="EK56" s="40">
        <f t="shared" si="194"/>
        <v>115.48699999999985</v>
      </c>
      <c r="EL56" s="40">
        <f t="shared" si="195"/>
        <v>99.36000000000007</v>
      </c>
      <c r="EM56" s="40">
        <f t="shared" si="196"/>
        <v>116.29600000000005</v>
      </c>
      <c r="EN56" s="40">
        <f t="shared" si="197"/>
        <v>120.91800000000018</v>
      </c>
      <c r="EO56" s="40">
        <f t="shared" si="198"/>
        <v>137.6495000000001</v>
      </c>
      <c r="EP56" s="40">
        <f t="shared" si="199"/>
        <v>154.38100000000009</v>
      </c>
      <c r="EQ56" s="40">
        <f t="shared" si="200"/>
        <v>156.63499999999999</v>
      </c>
      <c r="ER56" s="40">
        <f t="shared" si="201"/>
        <v>158.88899999999978</v>
      </c>
      <c r="ES56" s="40">
        <f t="shared" si="202"/>
        <v>173.07299999999975</v>
      </c>
      <c r="ET56" s="40">
        <f t="shared" si="203"/>
        <v>186.42200000000003</v>
      </c>
      <c r="EU56" s="40">
        <f t="shared" si="204"/>
        <v>183.43200000000002</v>
      </c>
      <c r="EV56" s="40">
        <f t="shared" si="205"/>
        <v>185.54500000000019</v>
      </c>
      <c r="EW56" s="40">
        <f t="shared" si="206"/>
        <v>209.22000000000003</v>
      </c>
      <c r="EX56" s="40">
        <f t="shared" si="207"/>
        <v>259.7399999999999</v>
      </c>
      <c r="EY56" s="40">
        <f t="shared" si="208"/>
        <v>262.1170000000003</v>
      </c>
      <c r="EZ56" s="40">
        <f t="shared" si="209"/>
        <v>256.2879999999999</v>
      </c>
      <c r="FA56" s="176"/>
      <c r="FB56" s="75"/>
      <c r="FC56" s="75"/>
      <c r="FD56" s="75"/>
      <c r="FE56" s="75"/>
      <c r="FF56" s="75"/>
      <c r="FG56" s="75"/>
      <c r="FH56" s="217"/>
      <c r="FI56" s="75">
        <f>696.518+101.621+96.473+18.822+2.119</f>
        <v>915.553</v>
      </c>
      <c r="FJ56" s="231">
        <f t="shared" si="210"/>
        <v>1078.1434999999999</v>
      </c>
      <c r="FK56" s="75">
        <v>1240.7339999999999</v>
      </c>
      <c r="FL56" s="73">
        <v>1371.3440000000001</v>
      </c>
      <c r="FM56" s="32">
        <v>1446.2760000000001</v>
      </c>
      <c r="FN56" s="32">
        <v>1568.91</v>
      </c>
      <c r="FO56" s="32">
        <v>1593.431</v>
      </c>
      <c r="FP56" s="32">
        <v>1708.2639999999999</v>
      </c>
      <c r="FQ56" s="32">
        <v>1826.432</v>
      </c>
      <c r="FR56" s="32">
        <v>1845.527</v>
      </c>
      <c r="FS56" s="32">
        <v>2011.6179999999999</v>
      </c>
      <c r="FT56" s="231">
        <f t="shared" si="211"/>
        <v>2164.2719999999999</v>
      </c>
      <c r="FU56" s="32">
        <v>2316.9259999999999</v>
      </c>
      <c r="FV56" s="231">
        <f t="shared" si="212"/>
        <v>2619.1170000000002</v>
      </c>
      <c r="FW56" s="32">
        <v>2921.308</v>
      </c>
      <c r="FX56" s="32">
        <v>2990.52</v>
      </c>
      <c r="FY56" s="32">
        <v>3131.2739999999999</v>
      </c>
      <c r="FZ56" s="32">
        <v>3097.768</v>
      </c>
      <c r="GA56" s="32">
        <v>3160.0819999999999</v>
      </c>
      <c r="GB56" s="32">
        <v>3592.6770000000001</v>
      </c>
      <c r="GC56" s="32">
        <v>3593.6109999999999</v>
      </c>
      <c r="GD56" s="32">
        <v>3564.569</v>
      </c>
      <c r="GE56" s="440">
        <v>3711.4009999999998</v>
      </c>
      <c r="GF56" s="176"/>
      <c r="GG56" s="75"/>
      <c r="GH56" s="75"/>
      <c r="GI56" s="75"/>
      <c r="GJ56" s="75"/>
      <c r="GK56" s="75"/>
      <c r="GL56" s="75"/>
      <c r="GM56" s="217"/>
      <c r="GN56" s="75">
        <f>364.914+17.178+2.53+5.295+0.104+93.467+54.328+79.657+26.146+74.046+33.787+67.971+89.323+52.451</f>
        <v>961.197</v>
      </c>
      <c r="GO56" s="231">
        <f t="shared" si="213"/>
        <v>1022.4285</v>
      </c>
      <c r="GP56" s="75">
        <v>1083.6600000000001</v>
      </c>
      <c r="GQ56" s="73">
        <v>1083.0920000000001</v>
      </c>
      <c r="GR56" s="32">
        <v>1090.55</v>
      </c>
      <c r="GS56" s="32">
        <v>1188.1189999999999</v>
      </c>
      <c r="GT56" s="32">
        <v>1241.9749999999999</v>
      </c>
      <c r="GU56" s="32">
        <v>1299.9349999999999</v>
      </c>
      <c r="GV56" s="32">
        <v>1348.087</v>
      </c>
      <c r="GW56" s="32">
        <v>1424.2349999999999</v>
      </c>
      <c r="GX56" s="32">
        <v>1531.1220000000001</v>
      </c>
      <c r="GY56" s="231">
        <f t="shared" si="214"/>
        <v>1611.1399999999999</v>
      </c>
      <c r="GZ56" s="32">
        <v>1691.1579999999999</v>
      </c>
      <c r="HA56" s="231">
        <f t="shared" si="215"/>
        <v>1827.8579999999999</v>
      </c>
      <c r="HB56" s="32">
        <v>1964.558</v>
      </c>
      <c r="HC56" s="32">
        <v>2022.9960000000001</v>
      </c>
      <c r="HD56" s="32">
        <v>2161.6489999999999</v>
      </c>
      <c r="HE56" s="32">
        <v>2189.4140000000002</v>
      </c>
      <c r="HF56" s="32">
        <v>2191.4929999999999</v>
      </c>
      <c r="HG56" s="32">
        <v>2291.6509999999998</v>
      </c>
      <c r="HH56" s="32">
        <v>2373.529</v>
      </c>
      <c r="HI56" s="32">
        <v>2614.5720000000001</v>
      </c>
      <c r="HJ56" s="440">
        <v>2562.9209999999998</v>
      </c>
      <c r="HK56" s="176"/>
      <c r="HL56" s="75"/>
      <c r="HM56" s="75"/>
      <c r="HN56" s="75"/>
      <c r="HO56" s="75"/>
      <c r="HP56" s="75"/>
      <c r="HQ56" s="75"/>
      <c r="HR56" s="217"/>
      <c r="HS56" s="75">
        <f>88.044+40.541+30.156+41.104</f>
        <v>199.84499999999997</v>
      </c>
      <c r="HT56" s="231">
        <f t="shared" si="216"/>
        <v>206.81149999999997</v>
      </c>
      <c r="HU56" s="75">
        <v>213.77799999999999</v>
      </c>
      <c r="HV56" s="73">
        <v>207.738</v>
      </c>
      <c r="HW56" s="32">
        <v>236.488</v>
      </c>
      <c r="HX56" s="32">
        <v>250.20699999999999</v>
      </c>
      <c r="HY56" s="32">
        <v>254.154</v>
      </c>
      <c r="HZ56" s="32">
        <v>288.69</v>
      </c>
      <c r="IA56" s="32">
        <v>316.863</v>
      </c>
      <c r="IB56" s="32">
        <v>339.31400000000002</v>
      </c>
      <c r="IC56" s="32">
        <v>354.55099999999999</v>
      </c>
      <c r="ID56" s="231">
        <f t="shared" si="217"/>
        <v>389.11750000000001</v>
      </c>
      <c r="IE56" s="32">
        <v>423.68400000000003</v>
      </c>
      <c r="IF56" s="231">
        <f t="shared" si="218"/>
        <v>428.79399999999998</v>
      </c>
      <c r="IG56" s="32">
        <v>433.904</v>
      </c>
      <c r="IH56" s="32">
        <v>460.13600000000002</v>
      </c>
      <c r="II56" s="32">
        <v>470.71100000000001</v>
      </c>
      <c r="IJ56" s="32">
        <v>509.44499999999999</v>
      </c>
      <c r="IK56" s="32">
        <v>511.30200000000002</v>
      </c>
      <c r="IL56" s="32">
        <v>502.02600000000001</v>
      </c>
      <c r="IM56" s="32">
        <v>510.75700000000001</v>
      </c>
      <c r="IN56" s="32">
        <v>490.81</v>
      </c>
      <c r="IO56" s="440">
        <v>499.64</v>
      </c>
      <c r="IP56" s="176"/>
      <c r="IQ56" s="75"/>
      <c r="IR56" s="75"/>
      <c r="IS56" s="75"/>
      <c r="IT56" s="75"/>
      <c r="IU56" s="75"/>
      <c r="IV56" s="75"/>
      <c r="IW56" s="217"/>
      <c r="IX56" s="75">
        <f>231.072+231.707</f>
        <v>462.779</v>
      </c>
      <c r="IY56" s="231">
        <f t="shared" si="219"/>
        <v>480.66300000000001</v>
      </c>
      <c r="IZ56" s="75">
        <v>498.54700000000003</v>
      </c>
      <c r="JA56" s="73">
        <v>503.51100000000002</v>
      </c>
      <c r="JB56" s="47">
        <v>499.529</v>
      </c>
      <c r="JC56" s="47">
        <v>511.50299999999999</v>
      </c>
      <c r="JD56" s="47">
        <v>513.29600000000005</v>
      </c>
      <c r="JE56" s="47">
        <v>536.49400000000003</v>
      </c>
      <c r="JF56" s="17">
        <v>597.18100000000004</v>
      </c>
      <c r="JG56" s="17">
        <v>696.13699999999994</v>
      </c>
      <c r="JH56" s="17">
        <v>811.81399999999996</v>
      </c>
      <c r="JI56" s="231">
        <f t="shared" si="220"/>
        <v>923.94599999999991</v>
      </c>
      <c r="JJ56" s="17">
        <v>1036.078</v>
      </c>
      <c r="JK56" s="231">
        <f t="shared" si="221"/>
        <v>1054.854</v>
      </c>
      <c r="JL56" s="17">
        <v>1073.6300000000001</v>
      </c>
      <c r="JM56" s="17">
        <v>1154.326</v>
      </c>
      <c r="JN56" s="17">
        <v>1193.597</v>
      </c>
      <c r="JO56" s="32">
        <v>1138.3209999999999</v>
      </c>
      <c r="JP56" s="32">
        <v>1234.912</v>
      </c>
      <c r="JQ56" s="32">
        <v>1146.06</v>
      </c>
      <c r="JR56" s="32">
        <v>1116.481</v>
      </c>
      <c r="JS56" s="17">
        <v>1189.0450000000001</v>
      </c>
      <c r="JT56" s="450">
        <v>1105.8420000000001</v>
      </c>
    </row>
    <row r="57" spans="1:280" s="17" customFormat="1" ht="12.75" customHeight="1">
      <c r="A57" s="222" t="s">
        <v>59</v>
      </c>
      <c r="B57" s="143"/>
      <c r="J57" s="17">
        <v>23263.764999999999</v>
      </c>
      <c r="K57" s="231">
        <f t="shared" si="175"/>
        <v>24053.377500000002</v>
      </c>
      <c r="L57" s="17">
        <v>24842.99</v>
      </c>
      <c r="M57" s="16">
        <v>25986.366999999998</v>
      </c>
      <c r="N57" s="73">
        <v>28313.081999999999</v>
      </c>
      <c r="O57" s="32">
        <v>30038.399000000001</v>
      </c>
      <c r="P57" s="32">
        <v>30916.868999999999</v>
      </c>
      <c r="Q57" s="32">
        <v>31783.557000000001</v>
      </c>
      <c r="R57" s="32">
        <v>34082.851999999999</v>
      </c>
      <c r="S57" s="32">
        <v>35177.372000000003</v>
      </c>
      <c r="T57" s="32">
        <v>37950.923000000003</v>
      </c>
      <c r="U57" s="231">
        <f t="shared" si="176"/>
        <v>40239.188999999998</v>
      </c>
      <c r="V57" s="32">
        <v>42527.455000000002</v>
      </c>
      <c r="W57" s="231">
        <f t="shared" si="177"/>
        <v>45576.967000000004</v>
      </c>
      <c r="X57" s="32">
        <v>48626.478999999999</v>
      </c>
      <c r="Y57" s="32">
        <v>49918.881999999998</v>
      </c>
      <c r="Z57" s="32">
        <v>51522.33</v>
      </c>
      <c r="AA57" s="32">
        <v>54614.756000000001</v>
      </c>
      <c r="AB57" s="32">
        <v>56801.669000000002</v>
      </c>
      <c r="AC57" s="32">
        <v>58227.629000000001</v>
      </c>
      <c r="AD57" s="32">
        <v>59717.627999999997</v>
      </c>
      <c r="AE57" s="32">
        <v>61760.565999999999</v>
      </c>
      <c r="AF57" s="440">
        <v>63612.658000000003</v>
      </c>
      <c r="AG57" s="184"/>
      <c r="AO57" s="17">
        <f>6144.183+142.647</f>
        <v>6286.83</v>
      </c>
      <c r="AP57" s="231">
        <f t="shared" si="178"/>
        <v>6421.6869999999999</v>
      </c>
      <c r="AQ57" s="30">
        <v>6556.5439999999999</v>
      </c>
      <c r="AR57" s="32">
        <v>6798.6790000000001</v>
      </c>
      <c r="AS57" s="32">
        <v>7522.3490000000002</v>
      </c>
      <c r="AT57" s="32">
        <v>8094.924</v>
      </c>
      <c r="AU57" s="32">
        <v>8219.26</v>
      </c>
      <c r="AV57" s="32">
        <v>9030.3220000000001</v>
      </c>
      <c r="AW57" s="32">
        <v>10032.007</v>
      </c>
      <c r="AX57" s="32">
        <v>10681.939</v>
      </c>
      <c r="AY57" s="32">
        <v>11673.129000000001</v>
      </c>
      <c r="AZ57" s="231">
        <f t="shared" si="179"/>
        <v>12672.9385</v>
      </c>
      <c r="BA57" s="32">
        <v>13672.748</v>
      </c>
      <c r="BB57" s="231">
        <f t="shared" si="180"/>
        <v>14277.922999999999</v>
      </c>
      <c r="BC57" s="32">
        <v>14883.098</v>
      </c>
      <c r="BD57" s="32">
        <v>16330.614</v>
      </c>
      <c r="BE57" s="32">
        <v>16397.822</v>
      </c>
      <c r="BF57" s="32">
        <v>17054.262999999999</v>
      </c>
      <c r="BG57" s="32">
        <v>17568.190999999999</v>
      </c>
      <c r="BH57" s="32">
        <v>18235.689999999999</v>
      </c>
      <c r="BI57" s="32">
        <v>18394.922999999999</v>
      </c>
      <c r="BJ57" s="32">
        <v>19035.420999999998</v>
      </c>
      <c r="BK57" s="440">
        <v>19916.03</v>
      </c>
      <c r="BL57" s="176"/>
      <c r="BM57" s="75"/>
      <c r="BN57" s="75"/>
      <c r="BO57" s="75"/>
      <c r="BP57" s="75"/>
      <c r="BQ57" s="75"/>
      <c r="BR57" s="75"/>
      <c r="BS57" s="217"/>
      <c r="BT57" s="75">
        <v>4678.3419999999996</v>
      </c>
      <c r="BU57" s="231">
        <f t="shared" si="181"/>
        <v>4774.2924999999996</v>
      </c>
      <c r="BV57" s="75">
        <v>4870.2430000000004</v>
      </c>
      <c r="BW57" s="73">
        <v>4971.884</v>
      </c>
      <c r="BX57" s="32">
        <v>5655.5680000000002</v>
      </c>
      <c r="BY57" s="32">
        <v>6095.1760000000004</v>
      </c>
      <c r="BZ57" s="32">
        <v>6066.1040000000003</v>
      </c>
      <c r="CA57" s="32">
        <v>6659.8019999999997</v>
      </c>
      <c r="CB57" s="32">
        <v>7457.2470000000003</v>
      </c>
      <c r="CC57" s="32">
        <v>7968.6580000000004</v>
      </c>
      <c r="CD57" s="32">
        <v>8710.1779999999999</v>
      </c>
      <c r="CE57" s="231">
        <f t="shared" si="182"/>
        <v>9485.5360000000001</v>
      </c>
      <c r="CF57" s="32">
        <v>10260.894</v>
      </c>
      <c r="CG57" s="231">
        <f t="shared" si="183"/>
        <v>10300.953000000001</v>
      </c>
      <c r="CH57" s="32">
        <v>10341.012000000001</v>
      </c>
      <c r="CI57" s="32">
        <v>11006.602999999999</v>
      </c>
      <c r="CJ57" s="32">
        <v>11608.055</v>
      </c>
      <c r="CK57" s="32">
        <v>12073.218000000001</v>
      </c>
      <c r="CL57" s="32">
        <v>12489.924999999999</v>
      </c>
      <c r="CM57" s="32">
        <v>12800.876</v>
      </c>
      <c r="CN57" s="32">
        <v>12919.673000000001</v>
      </c>
      <c r="CO57" s="32">
        <v>13019.88</v>
      </c>
      <c r="CP57" s="440">
        <v>13581.099</v>
      </c>
      <c r="CQ57" s="176"/>
      <c r="CR57" s="75"/>
      <c r="CS57" s="75"/>
      <c r="CT57" s="75"/>
      <c r="CU57" s="75"/>
      <c r="CV57" s="75"/>
      <c r="CW57" s="75"/>
      <c r="CX57" s="217"/>
      <c r="CY57" s="75">
        <v>1172.7860000000001</v>
      </c>
      <c r="CZ57" s="231">
        <f t="shared" si="184"/>
        <v>1234.9340000000002</v>
      </c>
      <c r="DA57" s="75">
        <f>1297082/1000</f>
        <v>1297.0820000000001</v>
      </c>
      <c r="DB57" s="73">
        <v>1330.6079999999999</v>
      </c>
      <c r="DC57" s="32">
        <v>1365.183</v>
      </c>
      <c r="DD57" s="32">
        <v>1420.6790000000001</v>
      </c>
      <c r="DE57" s="32">
        <v>1510.6769999999999</v>
      </c>
      <c r="DF57" s="32">
        <v>1680.2919999999999</v>
      </c>
      <c r="DG57" s="32">
        <v>1832.3130000000001</v>
      </c>
      <c r="DH57" s="32">
        <v>1946.99</v>
      </c>
      <c r="DI57" s="32">
        <v>2104.0129999999999</v>
      </c>
      <c r="DJ57" s="231">
        <f t="shared" si="185"/>
        <v>2310.4790000000003</v>
      </c>
      <c r="DK57" s="32">
        <v>2516.9450000000002</v>
      </c>
      <c r="DL57" s="231">
        <f t="shared" si="186"/>
        <v>2612.1885000000002</v>
      </c>
      <c r="DM57" s="32">
        <v>2707.4319999999998</v>
      </c>
      <c r="DN57" s="32">
        <v>3175.645</v>
      </c>
      <c r="DO57" s="32">
        <v>3511.748</v>
      </c>
      <c r="DP57" s="32">
        <v>3703.7469999999998</v>
      </c>
      <c r="DQ57" s="32">
        <v>3775.6610000000001</v>
      </c>
      <c r="DR57" s="32">
        <v>4103.3789999999999</v>
      </c>
      <c r="DS57" s="32">
        <v>4165.8919999999998</v>
      </c>
      <c r="DT57" s="32">
        <v>4666.7579999999998</v>
      </c>
      <c r="DU57" s="440">
        <v>5061.7560000000003</v>
      </c>
      <c r="DV57" s="387"/>
      <c r="DW57" s="219"/>
      <c r="DX57" s="219"/>
      <c r="DY57" s="219"/>
      <c r="DZ57" s="219"/>
      <c r="EA57" s="219"/>
      <c r="EB57" s="219"/>
      <c r="EC57" s="219"/>
      <c r="ED57" s="40">
        <f t="shared" si="187"/>
        <v>435.70200000000023</v>
      </c>
      <c r="EE57" s="40">
        <f t="shared" si="188"/>
        <v>412.46050000000014</v>
      </c>
      <c r="EF57" s="40">
        <f t="shared" si="189"/>
        <v>389.21899999999937</v>
      </c>
      <c r="EG57" s="40">
        <f t="shared" si="190"/>
        <v>496.18700000000013</v>
      </c>
      <c r="EH57" s="40">
        <f t="shared" si="191"/>
        <v>501.59799999999996</v>
      </c>
      <c r="EI57" s="40">
        <f t="shared" si="192"/>
        <v>579.06899999999951</v>
      </c>
      <c r="EJ57" s="40">
        <f t="shared" si="193"/>
        <v>642.47900000000004</v>
      </c>
      <c r="EK57" s="40">
        <f t="shared" si="194"/>
        <v>690.22800000000052</v>
      </c>
      <c r="EL57" s="40">
        <f t="shared" si="195"/>
        <v>742.44699999999921</v>
      </c>
      <c r="EM57" s="40">
        <f t="shared" si="196"/>
        <v>766.29099999999994</v>
      </c>
      <c r="EN57" s="40">
        <f t="shared" si="197"/>
        <v>858.93800000000101</v>
      </c>
      <c r="EO57" s="40">
        <f t="shared" si="198"/>
        <v>876.92349999999988</v>
      </c>
      <c r="EP57" s="40">
        <f t="shared" si="199"/>
        <v>894.9089999999992</v>
      </c>
      <c r="EQ57" s="40">
        <f t="shared" si="200"/>
        <v>1364.7814999999973</v>
      </c>
      <c r="ER57" s="40">
        <f t="shared" si="201"/>
        <v>1834.6539999999995</v>
      </c>
      <c r="ES57" s="40">
        <f t="shared" si="202"/>
        <v>2148.3660000000004</v>
      </c>
      <c r="ET57" s="40">
        <f t="shared" si="203"/>
        <v>1278.0189999999998</v>
      </c>
      <c r="EU57" s="40">
        <f t="shared" si="204"/>
        <v>1277.2979999999984</v>
      </c>
      <c r="EV57" s="40">
        <f t="shared" si="205"/>
        <v>1302.6049999999996</v>
      </c>
      <c r="EW57" s="40">
        <f t="shared" si="206"/>
        <v>1331.4349999999986</v>
      </c>
      <c r="EX57" s="40">
        <f t="shared" si="207"/>
        <v>1309.3579999999984</v>
      </c>
      <c r="EY57" s="40">
        <f t="shared" si="208"/>
        <v>1348.7829999999994</v>
      </c>
      <c r="EZ57" s="40">
        <f t="shared" si="209"/>
        <v>1273.1749999999984</v>
      </c>
      <c r="FA57" s="176"/>
      <c r="FB57" s="75"/>
      <c r="FC57" s="75"/>
      <c r="FD57" s="75"/>
      <c r="FE57" s="75"/>
      <c r="FF57" s="75"/>
      <c r="FG57" s="75"/>
      <c r="FH57" s="217"/>
      <c r="FI57" s="75">
        <f>4562.816+1379.146+853.179+89.735+2.802</f>
        <v>6887.677999999999</v>
      </c>
      <c r="FJ57" s="231">
        <f t="shared" si="210"/>
        <v>7102.6454999999996</v>
      </c>
      <c r="FK57" s="75">
        <v>7317.6130000000003</v>
      </c>
      <c r="FL57" s="73">
        <v>7620.6310000000003</v>
      </c>
      <c r="FM57" s="32">
        <v>8247.61</v>
      </c>
      <c r="FN57" s="32">
        <v>8641.7479999999996</v>
      </c>
      <c r="FO57" s="32">
        <v>8660.2019999999993</v>
      </c>
      <c r="FP57" s="32">
        <v>8270.491</v>
      </c>
      <c r="FQ57" s="32">
        <v>8275.0740000000005</v>
      </c>
      <c r="FR57" s="32">
        <v>8103.8829999999998</v>
      </c>
      <c r="FS57" s="32">
        <v>8630.6650000000009</v>
      </c>
      <c r="FT57" s="231">
        <f t="shared" si="211"/>
        <v>8831.6615000000002</v>
      </c>
      <c r="FU57" s="32">
        <v>9032.6579999999994</v>
      </c>
      <c r="FV57" s="231">
        <f t="shared" si="212"/>
        <v>10691.933999999999</v>
      </c>
      <c r="FW57" s="32">
        <v>12351.21</v>
      </c>
      <c r="FX57" s="32">
        <v>12928.968000000001</v>
      </c>
      <c r="FY57" s="32">
        <v>13429.755999999999</v>
      </c>
      <c r="FZ57" s="32">
        <v>14819.415000000001</v>
      </c>
      <c r="GA57" s="32">
        <v>15421.041999999999</v>
      </c>
      <c r="GB57" s="32">
        <v>16090.623</v>
      </c>
      <c r="GC57" s="32">
        <v>16684.273000000001</v>
      </c>
      <c r="GD57" s="32">
        <v>17913.447</v>
      </c>
      <c r="GE57" s="440">
        <v>17892.795999999998</v>
      </c>
      <c r="GF57" s="176"/>
      <c r="GG57" s="75"/>
      <c r="GH57" s="75"/>
      <c r="GI57" s="75"/>
      <c r="GJ57" s="75"/>
      <c r="GK57" s="75"/>
      <c r="GL57" s="75"/>
      <c r="GM57" s="217"/>
      <c r="GN57" s="75">
        <f>986.728+146.903+17.282+68.843+809.202+549.989+694.292+93.343+131.488+243.545+797.929+620.883+250.713</f>
        <v>5411.1399999999994</v>
      </c>
      <c r="GO57" s="231">
        <f t="shared" si="213"/>
        <v>5644.2644999999993</v>
      </c>
      <c r="GP57" s="75">
        <v>5877.3890000000001</v>
      </c>
      <c r="GQ57" s="73">
        <v>6264.674</v>
      </c>
      <c r="GR57" s="32">
        <v>7095.2619999999997</v>
      </c>
      <c r="GS57" s="32">
        <v>7528.9359999999997</v>
      </c>
      <c r="GT57" s="32">
        <v>8120.8509999999997</v>
      </c>
      <c r="GU57" s="32">
        <v>8042.7039999999997</v>
      </c>
      <c r="GV57" s="32">
        <v>8932.93</v>
      </c>
      <c r="GW57" s="32">
        <v>9279.2510000000002</v>
      </c>
      <c r="GX57" s="32">
        <v>9850.1450000000004</v>
      </c>
      <c r="GY57" s="231">
        <f t="shared" si="214"/>
        <v>10104.212500000001</v>
      </c>
      <c r="GZ57" s="32">
        <v>10358.280000000001</v>
      </c>
      <c r="HA57" s="231">
        <f t="shared" si="215"/>
        <v>10933.6855</v>
      </c>
      <c r="HB57" s="32">
        <v>11509.091</v>
      </c>
      <c r="HC57" s="32">
        <v>10067.619000000001</v>
      </c>
      <c r="HD57" s="32">
        <v>10356.244000000001</v>
      </c>
      <c r="HE57" s="32">
        <v>11109.17</v>
      </c>
      <c r="HF57" s="32">
        <v>11944.019</v>
      </c>
      <c r="HG57" s="32">
        <v>11757.936</v>
      </c>
      <c r="HH57" s="32">
        <v>12396.656000000001</v>
      </c>
      <c r="HI57" s="32">
        <v>12441.393</v>
      </c>
      <c r="HJ57" s="440">
        <v>12986.067999999999</v>
      </c>
      <c r="HK57" s="176"/>
      <c r="HL57" s="75"/>
      <c r="HM57" s="75"/>
      <c r="HN57" s="75"/>
      <c r="HO57" s="75"/>
      <c r="HP57" s="75"/>
      <c r="HQ57" s="75"/>
      <c r="HR57" s="217"/>
      <c r="HS57" s="75">
        <f>525.364+352.685+174.778+199.648</f>
        <v>1252.4749999999999</v>
      </c>
      <c r="HT57" s="231">
        <f t="shared" si="216"/>
        <v>1240.9175</v>
      </c>
      <c r="HU57" s="75">
        <v>1229.3599999999999</v>
      </c>
      <c r="HV57" s="73">
        <v>1272.357</v>
      </c>
      <c r="HW57" s="32">
        <v>1361.7760000000001</v>
      </c>
      <c r="HX57" s="32">
        <v>1542.059</v>
      </c>
      <c r="HY57" s="32">
        <v>1441.6289999999999</v>
      </c>
      <c r="HZ57" s="32">
        <v>1519.8789999999999</v>
      </c>
      <c r="IA57" s="32">
        <v>1629.2360000000001</v>
      </c>
      <c r="IB57" s="32">
        <v>1647.44</v>
      </c>
      <c r="IC57" s="32">
        <v>1710.5170000000001</v>
      </c>
      <c r="ID57" s="231">
        <f t="shared" si="217"/>
        <v>1881.9059999999999</v>
      </c>
      <c r="IE57" s="32">
        <v>2053.2950000000001</v>
      </c>
      <c r="IF57" s="231">
        <f t="shared" si="218"/>
        <v>2135.8510000000001</v>
      </c>
      <c r="IG57" s="32">
        <v>2218.4070000000002</v>
      </c>
      <c r="IH57" s="32">
        <v>2289.4250000000002</v>
      </c>
      <c r="II57" s="32">
        <v>2286.5390000000002</v>
      </c>
      <c r="IJ57" s="32">
        <v>2548.3119999999999</v>
      </c>
      <c r="IK57" s="32">
        <v>2638.2840000000001</v>
      </c>
      <c r="IL57" s="32">
        <v>2750.569</v>
      </c>
      <c r="IM57" s="32">
        <v>2555.8229999999999</v>
      </c>
      <c r="IN57" s="32">
        <v>2569.5239999999999</v>
      </c>
      <c r="IO57" s="440">
        <v>2554.585</v>
      </c>
      <c r="IP57" s="37"/>
      <c r="IQ57" s="75"/>
      <c r="IR57" s="75"/>
      <c r="IS57" s="75"/>
      <c r="IT57" s="75"/>
      <c r="IU57" s="75"/>
      <c r="IV57" s="75"/>
      <c r="IW57" s="217"/>
      <c r="IX57" s="75">
        <f>1512.611+2.487+1910.635</f>
        <v>3425.7330000000002</v>
      </c>
      <c r="IY57" s="231">
        <f t="shared" si="219"/>
        <v>3643.9085</v>
      </c>
      <c r="IZ57" s="75">
        <v>3862.0839999999998</v>
      </c>
      <c r="JA57" s="73">
        <v>4030.0259999999998</v>
      </c>
      <c r="JB57" s="47">
        <v>4086.085</v>
      </c>
      <c r="JC57" s="47">
        <v>4230.732</v>
      </c>
      <c r="JD57" s="47">
        <v>4474.9269999999997</v>
      </c>
      <c r="JE57" s="47">
        <v>4920.1610000000001</v>
      </c>
      <c r="JF57" s="17">
        <v>5213.6049999999996</v>
      </c>
      <c r="JG57" s="17">
        <v>5464.8590000000004</v>
      </c>
      <c r="JH57" s="17">
        <v>6086.4669999999996</v>
      </c>
      <c r="JI57" s="231">
        <f t="shared" si="220"/>
        <v>6748.4704999999994</v>
      </c>
      <c r="JJ57" s="17">
        <v>7410.4740000000002</v>
      </c>
      <c r="JK57" s="231">
        <f t="shared" si="221"/>
        <v>7537.5735000000004</v>
      </c>
      <c r="JL57" s="17">
        <v>7664.6729999999998</v>
      </c>
      <c r="JM57" s="17">
        <v>8302.2559999999994</v>
      </c>
      <c r="JN57" s="17">
        <v>9051.9689999999991</v>
      </c>
      <c r="JO57" s="32">
        <v>9083.5959999999995</v>
      </c>
      <c r="JP57" s="32">
        <v>9230.1329999999998</v>
      </c>
      <c r="JQ57" s="32">
        <v>9392.8130000000001</v>
      </c>
      <c r="JR57" s="32">
        <v>9685.9549999999999</v>
      </c>
      <c r="JS57" s="17">
        <v>9800.7810000000009</v>
      </c>
      <c r="JT57" s="450">
        <v>10263.179</v>
      </c>
    </row>
    <row r="58" spans="1:280" s="26" customFormat="1" ht="12.75" customHeight="1">
      <c r="A58" s="222" t="s">
        <v>66</v>
      </c>
      <c r="B58" s="16"/>
      <c r="C58" s="16"/>
      <c r="D58" s="16"/>
      <c r="E58" s="16"/>
      <c r="F58" s="16"/>
      <c r="G58" s="16"/>
      <c r="H58" s="16"/>
      <c r="I58" s="25"/>
      <c r="J58" s="16">
        <v>3286.2849999999999</v>
      </c>
      <c r="K58" s="231">
        <f t="shared" si="175"/>
        <v>3685.7415000000001</v>
      </c>
      <c r="L58" s="16">
        <v>4085.1979999999999</v>
      </c>
      <c r="M58" s="16">
        <v>4257.9229999999998</v>
      </c>
      <c r="N58" s="73">
        <v>4442.3230000000003</v>
      </c>
      <c r="O58" s="32">
        <v>4509.0600000000004</v>
      </c>
      <c r="P58" s="32">
        <v>4724.076</v>
      </c>
      <c r="Q58" s="32">
        <v>4932.4539999999997</v>
      </c>
      <c r="R58" s="32">
        <v>5091.5690000000004</v>
      </c>
      <c r="S58" s="32">
        <v>5328.9070000000002</v>
      </c>
      <c r="T58" s="32">
        <v>5663.8180000000002</v>
      </c>
      <c r="U58" s="231">
        <f t="shared" si="176"/>
        <v>6003.4165000000003</v>
      </c>
      <c r="V58" s="32">
        <v>6343.0150000000003</v>
      </c>
      <c r="W58" s="231">
        <f t="shared" si="177"/>
        <v>6945.7715000000007</v>
      </c>
      <c r="X58" s="32">
        <v>7548.5280000000002</v>
      </c>
      <c r="Y58" s="32">
        <v>7833.884</v>
      </c>
      <c r="Z58" s="32">
        <v>8469.5810000000001</v>
      </c>
      <c r="AA58" s="32">
        <v>8469.0630000000001</v>
      </c>
      <c r="AB58" s="32">
        <v>8927.3240000000005</v>
      </c>
      <c r="AC58" s="32">
        <v>9352.0419999999995</v>
      </c>
      <c r="AD58" s="32">
        <v>9915.5949999999993</v>
      </c>
      <c r="AE58" s="32">
        <v>10237.502</v>
      </c>
      <c r="AF58" s="440">
        <v>10034.076999999999</v>
      </c>
      <c r="AG58" s="185"/>
      <c r="AH58" s="216"/>
      <c r="AI58" s="216"/>
      <c r="AJ58" s="216"/>
      <c r="AK58" s="216"/>
      <c r="AL58" s="216"/>
      <c r="AM58" s="216"/>
      <c r="AN58" s="235"/>
      <c r="AO58" s="216">
        <f>1219.068+18.267</f>
        <v>1237.335</v>
      </c>
      <c r="AP58" s="231">
        <f t="shared" si="178"/>
        <v>1280.9369999999999</v>
      </c>
      <c r="AQ58" s="30">
        <v>1324.539</v>
      </c>
      <c r="AR58" s="73">
        <v>1398.635</v>
      </c>
      <c r="AS58" s="32">
        <v>1436.36</v>
      </c>
      <c r="AT58" s="32">
        <v>1548.972</v>
      </c>
      <c r="AU58" s="32">
        <v>1647.748</v>
      </c>
      <c r="AV58" s="32">
        <v>1787.749</v>
      </c>
      <c r="AW58" s="32">
        <v>1824.1410000000001</v>
      </c>
      <c r="AX58" s="32">
        <v>1868.703</v>
      </c>
      <c r="AY58" s="32">
        <v>2082.9259999999999</v>
      </c>
      <c r="AZ58" s="231">
        <f t="shared" si="179"/>
        <v>2273.5254999999997</v>
      </c>
      <c r="BA58" s="32">
        <v>2464.125</v>
      </c>
      <c r="BB58" s="231">
        <f t="shared" si="180"/>
        <v>2623.2235000000001</v>
      </c>
      <c r="BC58" s="32">
        <v>2782.3220000000001</v>
      </c>
      <c r="BD58" s="32">
        <v>2924.335</v>
      </c>
      <c r="BE58" s="32">
        <v>3295.17</v>
      </c>
      <c r="BF58" s="32">
        <v>3295.17</v>
      </c>
      <c r="BG58" s="32">
        <v>3455.261</v>
      </c>
      <c r="BH58" s="32">
        <v>3522.39</v>
      </c>
      <c r="BI58" s="32">
        <v>3614.1729999999998</v>
      </c>
      <c r="BJ58" s="32">
        <v>3811.6660000000002</v>
      </c>
      <c r="BK58" s="440">
        <v>3890.1779999999999</v>
      </c>
      <c r="BL58" s="384"/>
      <c r="BM58" s="228"/>
      <c r="BN58" s="228"/>
      <c r="BO58" s="228"/>
      <c r="BP58" s="228"/>
      <c r="BQ58" s="228"/>
      <c r="BR58" s="228"/>
      <c r="BS58" s="236"/>
      <c r="BT58" s="228">
        <v>931.87199999999996</v>
      </c>
      <c r="BU58" s="231">
        <f t="shared" si="181"/>
        <v>960.09050000000002</v>
      </c>
      <c r="BV58" s="228">
        <v>988.30899999999997</v>
      </c>
      <c r="BW58" s="73">
        <v>1015.614</v>
      </c>
      <c r="BX58" s="32">
        <v>1035.1210000000001</v>
      </c>
      <c r="BY58" s="32">
        <v>1131.981</v>
      </c>
      <c r="BZ58" s="32">
        <v>1212.521</v>
      </c>
      <c r="CA58" s="32">
        <v>1331.472</v>
      </c>
      <c r="CB58" s="32">
        <v>1335.588</v>
      </c>
      <c r="CC58" s="32">
        <v>1370.684</v>
      </c>
      <c r="CD58" s="32">
        <v>1528.0309999999999</v>
      </c>
      <c r="CE58" s="231">
        <f t="shared" si="182"/>
        <v>1668.538</v>
      </c>
      <c r="CF58" s="32">
        <v>1809.0450000000001</v>
      </c>
      <c r="CG58" s="231">
        <f t="shared" si="183"/>
        <v>1934.0585000000001</v>
      </c>
      <c r="CH58" s="32">
        <v>2059.0720000000001</v>
      </c>
      <c r="CI58" s="32">
        <v>2133.346</v>
      </c>
      <c r="CJ58" s="32">
        <v>2395.607</v>
      </c>
      <c r="CK58" s="32">
        <v>2395.607</v>
      </c>
      <c r="CL58" s="32">
        <v>2493.623</v>
      </c>
      <c r="CM58" s="32">
        <v>2532.1930000000002</v>
      </c>
      <c r="CN58" s="32">
        <v>2621.6460000000002</v>
      </c>
      <c r="CO58" s="32">
        <v>2768.3960000000002</v>
      </c>
      <c r="CP58" s="440">
        <v>2759.19</v>
      </c>
      <c r="CQ58" s="181"/>
      <c r="CR58" s="73"/>
      <c r="CS58" s="73"/>
      <c r="CT58" s="73"/>
      <c r="CU58" s="73"/>
      <c r="CV58" s="73"/>
      <c r="CW58" s="73"/>
      <c r="CX58" s="89"/>
      <c r="CY58" s="73">
        <v>239.874</v>
      </c>
      <c r="CZ58" s="231">
        <f t="shared" si="184"/>
        <v>256.99349999999998</v>
      </c>
      <c r="DA58" s="73">
        <f>274113/1000</f>
        <v>274.113</v>
      </c>
      <c r="DB58" s="73">
        <v>319.16399999999999</v>
      </c>
      <c r="DC58" s="32">
        <v>333.46800000000002</v>
      </c>
      <c r="DD58" s="32">
        <v>344.92700000000002</v>
      </c>
      <c r="DE58" s="32">
        <v>360.24400000000003</v>
      </c>
      <c r="DF58" s="32">
        <v>383.71199999999999</v>
      </c>
      <c r="DG58" s="32">
        <v>412.76499999999999</v>
      </c>
      <c r="DH58" s="32">
        <v>418.26900000000001</v>
      </c>
      <c r="DI58" s="32">
        <v>464.29700000000003</v>
      </c>
      <c r="DJ58" s="231">
        <f t="shared" si="185"/>
        <v>512.58799999999997</v>
      </c>
      <c r="DK58" s="32">
        <v>560.87900000000002</v>
      </c>
      <c r="DL58" s="231">
        <f t="shared" si="186"/>
        <v>586.75800000000004</v>
      </c>
      <c r="DM58" s="32">
        <v>612.63699999999994</v>
      </c>
      <c r="DN58" s="32">
        <v>673.39099999999996</v>
      </c>
      <c r="DO58" s="32">
        <v>764.94200000000001</v>
      </c>
      <c r="DP58" s="32">
        <v>764.94200000000001</v>
      </c>
      <c r="DQ58" s="32">
        <v>816.59199999999998</v>
      </c>
      <c r="DR58" s="32">
        <v>820.22699999999998</v>
      </c>
      <c r="DS58" s="32">
        <v>807.64300000000003</v>
      </c>
      <c r="DT58" s="32">
        <v>842.66300000000001</v>
      </c>
      <c r="DU58" s="440">
        <v>927.69899999999996</v>
      </c>
      <c r="DV58" s="388"/>
      <c r="DW58" s="90"/>
      <c r="DX58" s="90"/>
      <c r="DY58" s="90"/>
      <c r="DZ58" s="90"/>
      <c r="EA58" s="90"/>
      <c r="EB58" s="90"/>
      <c r="EC58" s="90"/>
      <c r="ED58" s="40">
        <f t="shared" si="187"/>
        <v>65.589000000000084</v>
      </c>
      <c r="EE58" s="40">
        <f t="shared" si="188"/>
        <v>63.852999999999895</v>
      </c>
      <c r="EF58" s="40">
        <f t="shared" si="189"/>
        <v>62.117000000000019</v>
      </c>
      <c r="EG58" s="40">
        <f t="shared" si="190"/>
        <v>63.856999999999971</v>
      </c>
      <c r="EH58" s="40">
        <f t="shared" si="191"/>
        <v>67.770999999999788</v>
      </c>
      <c r="EI58" s="40">
        <f t="shared" si="192"/>
        <v>72.063999999999965</v>
      </c>
      <c r="EJ58" s="40">
        <f t="shared" si="193"/>
        <v>74.983000000000061</v>
      </c>
      <c r="EK58" s="40">
        <f t="shared" si="194"/>
        <v>72.565000000000055</v>
      </c>
      <c r="EL58" s="40">
        <f t="shared" si="195"/>
        <v>75.788000000000125</v>
      </c>
      <c r="EM58" s="40">
        <f t="shared" si="196"/>
        <v>79.75</v>
      </c>
      <c r="EN58" s="40">
        <f t="shared" si="197"/>
        <v>90.597999999999956</v>
      </c>
      <c r="EO58" s="40">
        <f t="shared" si="198"/>
        <v>92.399499999999762</v>
      </c>
      <c r="EP58" s="40">
        <f t="shared" si="199"/>
        <v>94.200999999999908</v>
      </c>
      <c r="EQ58" s="40">
        <f t="shared" si="200"/>
        <v>102.40699999999993</v>
      </c>
      <c r="ER58" s="40">
        <f t="shared" si="201"/>
        <v>110.61300000000006</v>
      </c>
      <c r="ES58" s="40">
        <f t="shared" si="202"/>
        <v>117.59800000000007</v>
      </c>
      <c r="ET58" s="40">
        <f t="shared" si="203"/>
        <v>134.62100000000009</v>
      </c>
      <c r="EU58" s="40">
        <f t="shared" si="204"/>
        <v>134.62100000000009</v>
      </c>
      <c r="EV58" s="40">
        <f t="shared" si="205"/>
        <v>145.04599999999994</v>
      </c>
      <c r="EW58" s="40">
        <f t="shared" si="206"/>
        <v>169.96999999999969</v>
      </c>
      <c r="EX58" s="40">
        <f t="shared" si="207"/>
        <v>184.88399999999956</v>
      </c>
      <c r="EY58" s="40">
        <f t="shared" si="208"/>
        <v>200.60699999999997</v>
      </c>
      <c r="EZ58" s="40">
        <f t="shared" si="209"/>
        <v>203.28899999999987</v>
      </c>
      <c r="FA58" s="181"/>
      <c r="FB58" s="73"/>
      <c r="FC58" s="73"/>
      <c r="FD58" s="73"/>
      <c r="FE58" s="73"/>
      <c r="FF58" s="73"/>
      <c r="FG58" s="73"/>
      <c r="FH58" s="89"/>
      <c r="FI58" s="73">
        <f>368.805+45.775+108.948+14.092+0.195</f>
        <v>537.81500000000005</v>
      </c>
      <c r="FJ58" s="231">
        <f t="shared" si="210"/>
        <v>846.25250000000005</v>
      </c>
      <c r="FK58" s="73">
        <v>1154.69</v>
      </c>
      <c r="FL58" s="73">
        <v>1150.597</v>
      </c>
      <c r="FM58" s="32">
        <v>1266.3330000000001</v>
      </c>
      <c r="FN58" s="32">
        <v>1137.771</v>
      </c>
      <c r="FO58" s="32">
        <v>1177.914</v>
      </c>
      <c r="FP58" s="32">
        <v>1118.729</v>
      </c>
      <c r="FQ58" s="32">
        <v>1161.44</v>
      </c>
      <c r="FR58" s="32">
        <v>1167.8889999999999</v>
      </c>
      <c r="FS58" s="32">
        <v>1304.963</v>
      </c>
      <c r="FT58" s="231">
        <f t="shared" si="211"/>
        <v>1270.5259999999998</v>
      </c>
      <c r="FU58" s="32">
        <v>1236.0889999999999</v>
      </c>
      <c r="FV58" s="231">
        <f t="shared" si="212"/>
        <v>1479.1869999999999</v>
      </c>
      <c r="FW58" s="32">
        <v>1722.2850000000001</v>
      </c>
      <c r="FX58" s="32">
        <v>1829.297</v>
      </c>
      <c r="FY58" s="32">
        <v>1770.45</v>
      </c>
      <c r="FZ58" s="32">
        <v>1770.4469999999999</v>
      </c>
      <c r="GA58" s="32">
        <v>1880.453</v>
      </c>
      <c r="GB58" s="32">
        <v>2138.4160000000002</v>
      </c>
      <c r="GC58" s="32">
        <v>2267.2220000000002</v>
      </c>
      <c r="GD58" s="32">
        <v>2303.0700000000002</v>
      </c>
      <c r="GE58" s="440">
        <v>2119.7809999999999</v>
      </c>
      <c r="GF58" s="181"/>
      <c r="GG58" s="73"/>
      <c r="GH58" s="73"/>
      <c r="GI58" s="73"/>
      <c r="GJ58" s="73"/>
      <c r="GK58" s="73"/>
      <c r="GL58" s="73"/>
      <c r="GM58" s="89"/>
      <c r="GN58" s="73">
        <f>325.678+7.973+6.652+5.337+1.441+118.381+65.965+78.643+22.225+36.43+35.463+43.416+85.057+60.907</f>
        <v>893.5680000000001</v>
      </c>
      <c r="GO58" s="231">
        <f t="shared" si="213"/>
        <v>855.46800000000007</v>
      </c>
      <c r="GP58" s="73">
        <v>817.36800000000005</v>
      </c>
      <c r="GQ58" s="73">
        <v>862.46600000000001</v>
      </c>
      <c r="GR58" s="32">
        <v>868.46500000000003</v>
      </c>
      <c r="GS58" s="32">
        <v>908.94200000000001</v>
      </c>
      <c r="GT58" s="32">
        <v>976.07799999999997</v>
      </c>
      <c r="GU58" s="32">
        <v>1091.1769999999999</v>
      </c>
      <c r="GV58" s="32">
        <v>1135.962</v>
      </c>
      <c r="GW58" s="32">
        <v>1294.405</v>
      </c>
      <c r="GX58" s="32">
        <v>1265.4480000000001</v>
      </c>
      <c r="GY58" s="231">
        <f t="shared" si="214"/>
        <v>1348.0170000000001</v>
      </c>
      <c r="GZ58" s="32">
        <v>1430.586</v>
      </c>
      <c r="HA58" s="231">
        <f t="shared" si="215"/>
        <v>1550.1444999999999</v>
      </c>
      <c r="HB58" s="32">
        <v>1669.703</v>
      </c>
      <c r="HC58" s="32">
        <v>1724.0440000000001</v>
      </c>
      <c r="HD58" s="32">
        <v>1984.6310000000001</v>
      </c>
      <c r="HE58" s="32">
        <v>1984.79</v>
      </c>
      <c r="HF58" s="32">
        <v>2081.1999999999998</v>
      </c>
      <c r="HG58" s="32">
        <v>2148.5529999999999</v>
      </c>
      <c r="HH58" s="32">
        <v>2190.3209999999999</v>
      </c>
      <c r="HI58" s="32">
        <v>2232.2539999999999</v>
      </c>
      <c r="HJ58" s="440">
        <v>2205.3000000000002</v>
      </c>
      <c r="HK58" s="181"/>
      <c r="HL58" s="73"/>
      <c r="HM58" s="73"/>
      <c r="HN58" s="73"/>
      <c r="HO58" s="73"/>
      <c r="HP58" s="73"/>
      <c r="HQ58" s="73"/>
      <c r="HR58" s="89"/>
      <c r="HS58" s="73">
        <f>49.829+64.591+31.353+61.136</f>
        <v>206.90899999999999</v>
      </c>
      <c r="HT58" s="231">
        <f t="shared" si="216"/>
        <v>204.42750000000001</v>
      </c>
      <c r="HU58" s="73">
        <v>201.946</v>
      </c>
      <c r="HV58" s="73">
        <v>217.76900000000001</v>
      </c>
      <c r="HW58" s="32">
        <v>223.821</v>
      </c>
      <c r="HX58" s="32">
        <v>238.45400000000001</v>
      </c>
      <c r="HY58" s="32">
        <v>252.61099999999999</v>
      </c>
      <c r="HZ58" s="32">
        <v>273.45299999999997</v>
      </c>
      <c r="IA58" s="32">
        <v>286.54300000000001</v>
      </c>
      <c r="IB58" s="32">
        <v>303.06700000000001</v>
      </c>
      <c r="IC58" s="32">
        <v>319.81799999999998</v>
      </c>
      <c r="ID58" s="231">
        <f t="shared" si="217"/>
        <v>340.19549999999998</v>
      </c>
      <c r="IE58" s="32">
        <v>360.57299999999998</v>
      </c>
      <c r="IF58" s="231">
        <f t="shared" si="218"/>
        <v>378.41300000000001</v>
      </c>
      <c r="IG58" s="32">
        <v>396.25299999999999</v>
      </c>
      <c r="IH58" s="32">
        <v>398.23099999999999</v>
      </c>
      <c r="II58" s="32">
        <v>463.04700000000003</v>
      </c>
      <c r="IJ58" s="32">
        <v>463.04700000000003</v>
      </c>
      <c r="IK58" s="32">
        <v>498.755</v>
      </c>
      <c r="IL58" s="32">
        <v>501.76100000000002</v>
      </c>
      <c r="IM58" s="32">
        <v>527.96199999999999</v>
      </c>
      <c r="IN58" s="32">
        <v>519.548</v>
      </c>
      <c r="IO58" s="440">
        <v>511.06200000000001</v>
      </c>
      <c r="IP58" s="36"/>
      <c r="IQ58" s="75"/>
      <c r="IR58" s="75"/>
      <c r="IS58" s="75"/>
      <c r="IT58" s="75"/>
      <c r="IU58" s="75"/>
      <c r="IV58" s="75"/>
      <c r="IW58" s="217"/>
      <c r="IX58" s="75">
        <f>269.399+0.055+141.204</f>
        <v>410.65800000000002</v>
      </c>
      <c r="IY58" s="231">
        <f t="shared" si="219"/>
        <v>498.65649999999999</v>
      </c>
      <c r="IZ58" s="75">
        <v>586.65499999999997</v>
      </c>
      <c r="JA58" s="73">
        <v>628.45600000000002</v>
      </c>
      <c r="JB58" s="47">
        <v>647.34400000000005</v>
      </c>
      <c r="JC58" s="47">
        <v>674.92100000000005</v>
      </c>
      <c r="JD58" s="47">
        <v>669.72500000000002</v>
      </c>
      <c r="JE58" s="47">
        <v>661.346</v>
      </c>
      <c r="JF58" s="17">
        <v>683.48299999999995</v>
      </c>
      <c r="JG58" s="17">
        <v>694.84299999999996</v>
      </c>
      <c r="JH58" s="17">
        <v>690.66300000000001</v>
      </c>
      <c r="JI58" s="231">
        <f t="shared" si="220"/>
        <v>771.15250000000003</v>
      </c>
      <c r="JJ58" s="17">
        <v>851.64200000000005</v>
      </c>
      <c r="JK58" s="231">
        <f t="shared" si="221"/>
        <v>914.80349999999999</v>
      </c>
      <c r="JL58" s="17">
        <v>977.96500000000003</v>
      </c>
      <c r="JM58" s="17">
        <v>957.97699999999998</v>
      </c>
      <c r="JN58" s="17">
        <v>956.28300000000002</v>
      </c>
      <c r="JO58" s="32">
        <v>955.60900000000004</v>
      </c>
      <c r="JP58" s="32">
        <v>1011.655</v>
      </c>
      <c r="JQ58" s="32">
        <v>1040.923</v>
      </c>
      <c r="JR58" s="32">
        <v>1315.9190000000001</v>
      </c>
      <c r="JS58" s="26">
        <v>1370.9639999999999</v>
      </c>
      <c r="JT58" s="450">
        <v>1307.7560000000001</v>
      </c>
    </row>
    <row r="59" spans="1:280" s="26" customFormat="1" ht="12.75" customHeight="1">
      <c r="A59" s="222" t="s">
        <v>67</v>
      </c>
      <c r="B59" s="16"/>
      <c r="C59" s="16"/>
      <c r="D59" s="16"/>
      <c r="E59" s="16"/>
      <c r="F59" s="16"/>
      <c r="G59" s="16"/>
      <c r="H59" s="16"/>
      <c r="I59" s="25"/>
      <c r="J59" s="16">
        <v>29937.898000000001</v>
      </c>
      <c r="K59" s="231">
        <f t="shared" si="175"/>
        <v>33291.86</v>
      </c>
      <c r="L59" s="16">
        <v>36645.822</v>
      </c>
      <c r="M59" s="16">
        <v>36502.682999999997</v>
      </c>
      <c r="N59" s="73">
        <v>38193.019</v>
      </c>
      <c r="O59" s="32">
        <v>42275.305</v>
      </c>
      <c r="P59" s="32">
        <v>42081.821000000004</v>
      </c>
      <c r="Q59" s="32">
        <v>40931.889000000003</v>
      </c>
      <c r="R59" s="32">
        <v>44573.428999999996</v>
      </c>
      <c r="S59" s="32">
        <v>44389.449000000001</v>
      </c>
      <c r="T59" s="32">
        <v>47308.917999999998</v>
      </c>
      <c r="U59" s="231">
        <f t="shared" si="176"/>
        <v>50887.713000000003</v>
      </c>
      <c r="V59" s="32">
        <v>54466.508000000002</v>
      </c>
      <c r="W59" s="231">
        <f t="shared" si="177"/>
        <v>57891.021500000003</v>
      </c>
      <c r="X59" s="32">
        <v>61315.535000000003</v>
      </c>
      <c r="Y59" s="32">
        <v>66089.773000000001</v>
      </c>
      <c r="Z59" s="32">
        <v>74976.042000000001</v>
      </c>
      <c r="AA59" s="32">
        <v>74971.926999999996</v>
      </c>
      <c r="AB59" s="32">
        <v>78874.990000000005</v>
      </c>
      <c r="AC59" s="32">
        <v>80757.745999999999</v>
      </c>
      <c r="AD59" s="32">
        <v>82713.16</v>
      </c>
      <c r="AE59" s="32">
        <v>81578.226999999999</v>
      </c>
      <c r="AF59" s="440">
        <v>83049.304000000004</v>
      </c>
      <c r="AG59" s="185"/>
      <c r="AH59" s="216"/>
      <c r="AI59" s="216"/>
      <c r="AJ59" s="216"/>
      <c r="AK59" s="216"/>
      <c r="AL59" s="216"/>
      <c r="AM59" s="216"/>
      <c r="AN59" s="235"/>
      <c r="AO59" s="216">
        <f>10022.532+162.417</f>
        <v>10184.948999999999</v>
      </c>
      <c r="AP59" s="231">
        <f t="shared" si="178"/>
        <v>11354.088499999998</v>
      </c>
      <c r="AQ59" s="30">
        <v>12523.227999999999</v>
      </c>
      <c r="AR59" s="73">
        <v>12858.865</v>
      </c>
      <c r="AS59" s="32">
        <v>13726.984</v>
      </c>
      <c r="AT59" s="32">
        <v>14408.502</v>
      </c>
      <c r="AU59" s="32">
        <v>14798.888000000001</v>
      </c>
      <c r="AV59" s="32">
        <v>15254.163</v>
      </c>
      <c r="AW59" s="32">
        <v>16408.135999999999</v>
      </c>
      <c r="AX59" s="32">
        <v>17102.878000000001</v>
      </c>
      <c r="AY59" s="32">
        <v>19036.474999999999</v>
      </c>
      <c r="AZ59" s="231">
        <f t="shared" si="179"/>
        <v>19917.784500000002</v>
      </c>
      <c r="BA59" s="32">
        <v>20799.094000000001</v>
      </c>
      <c r="BB59" s="231">
        <f t="shared" si="180"/>
        <v>22930.397499999999</v>
      </c>
      <c r="BC59" s="32">
        <v>25061.701000000001</v>
      </c>
      <c r="BD59" s="32">
        <v>26966.292000000001</v>
      </c>
      <c r="BE59" s="32">
        <v>30021.094000000001</v>
      </c>
      <c r="BF59" s="32">
        <v>30021.266</v>
      </c>
      <c r="BG59" s="32">
        <v>30925.307000000001</v>
      </c>
      <c r="BH59" s="32">
        <v>32084.153999999999</v>
      </c>
      <c r="BI59" s="32">
        <v>32229.941999999999</v>
      </c>
      <c r="BJ59" s="32">
        <v>31020.278999999999</v>
      </c>
      <c r="BK59" s="440">
        <v>31941.484</v>
      </c>
      <c r="BL59" s="384"/>
      <c r="BM59" s="228"/>
      <c r="BN59" s="228"/>
      <c r="BO59" s="228"/>
      <c r="BP59" s="228"/>
      <c r="BQ59" s="228"/>
      <c r="BR59" s="228"/>
      <c r="BS59" s="236"/>
      <c r="BT59" s="228">
        <v>7726.2179999999998</v>
      </c>
      <c r="BU59" s="231">
        <f t="shared" si="181"/>
        <v>8782.5259999999998</v>
      </c>
      <c r="BV59" s="228">
        <v>9838.8340000000007</v>
      </c>
      <c r="BW59" s="73">
        <v>10020.405000000001</v>
      </c>
      <c r="BX59" s="32">
        <v>10640.092000000001</v>
      </c>
      <c r="BY59" s="32">
        <v>11046.486000000001</v>
      </c>
      <c r="BZ59" s="32">
        <v>11369.944</v>
      </c>
      <c r="CA59" s="32">
        <v>11891.635</v>
      </c>
      <c r="CB59" s="32">
        <v>12822.058000000001</v>
      </c>
      <c r="CC59" s="32">
        <v>13378.148999999999</v>
      </c>
      <c r="CD59" s="32">
        <v>14861.725</v>
      </c>
      <c r="CE59" s="231">
        <f t="shared" si="182"/>
        <v>15435.486000000001</v>
      </c>
      <c r="CF59" s="32">
        <v>16009.246999999999</v>
      </c>
      <c r="CG59" s="231">
        <f t="shared" si="183"/>
        <v>17847.353999999999</v>
      </c>
      <c r="CH59" s="32">
        <v>19685.460999999999</v>
      </c>
      <c r="CI59" s="32">
        <v>20963.992999999999</v>
      </c>
      <c r="CJ59" s="32">
        <v>23659.539000000001</v>
      </c>
      <c r="CK59" s="32">
        <v>23659.710999999999</v>
      </c>
      <c r="CL59" s="32">
        <v>24039.648000000001</v>
      </c>
      <c r="CM59" s="32">
        <v>24622.735000000001</v>
      </c>
      <c r="CN59" s="32">
        <v>24721.297999999999</v>
      </c>
      <c r="CO59" s="32">
        <v>23429.839</v>
      </c>
      <c r="CP59" s="440">
        <v>23934.85</v>
      </c>
      <c r="CQ59" s="181"/>
      <c r="CR59" s="73"/>
      <c r="CS59" s="73"/>
      <c r="CT59" s="73"/>
      <c r="CU59" s="73"/>
      <c r="CV59" s="73"/>
      <c r="CW59" s="73"/>
      <c r="CX59" s="89"/>
      <c r="CY59" s="73">
        <v>2026.998</v>
      </c>
      <c r="CZ59" s="231">
        <f t="shared" si="184"/>
        <v>2103.0460000000003</v>
      </c>
      <c r="DA59" s="73">
        <f>2179094/1000</f>
        <v>2179.0940000000001</v>
      </c>
      <c r="DB59" s="73">
        <v>2305.0250000000001</v>
      </c>
      <c r="DC59" s="32">
        <v>2521.2840000000001</v>
      </c>
      <c r="DD59" s="32">
        <v>2623.2130000000002</v>
      </c>
      <c r="DE59" s="32">
        <v>2629.0790000000002</v>
      </c>
      <c r="DF59" s="32">
        <v>2689.5569999999998</v>
      </c>
      <c r="DG59" s="32">
        <v>2853.9070000000002</v>
      </c>
      <c r="DH59" s="32">
        <v>3088.8330000000001</v>
      </c>
      <c r="DI59" s="32">
        <v>3484.3159999999998</v>
      </c>
      <c r="DJ59" s="231">
        <f t="shared" si="185"/>
        <v>3755.9304999999999</v>
      </c>
      <c r="DK59" s="32">
        <v>4027.5450000000001</v>
      </c>
      <c r="DL59" s="231">
        <f t="shared" si="186"/>
        <v>4208.402</v>
      </c>
      <c r="DM59" s="32">
        <v>4389.259</v>
      </c>
      <c r="DN59" s="32">
        <v>4783.2160000000003</v>
      </c>
      <c r="DO59" s="32">
        <v>4761.884</v>
      </c>
      <c r="DP59" s="32">
        <v>4761.884</v>
      </c>
      <c r="DQ59" s="32">
        <v>5264.6719999999996</v>
      </c>
      <c r="DR59" s="32">
        <v>5562.3090000000002</v>
      </c>
      <c r="DS59" s="32">
        <v>5538.83</v>
      </c>
      <c r="DT59" s="32">
        <v>5702.2849999999999</v>
      </c>
      <c r="DU59" s="440">
        <v>5902.4480000000003</v>
      </c>
      <c r="DV59" s="388"/>
      <c r="DW59" s="90"/>
      <c r="DX59" s="90"/>
      <c r="DY59" s="90"/>
      <c r="DZ59" s="90"/>
      <c r="EA59" s="90"/>
      <c r="EB59" s="90"/>
      <c r="EC59" s="90"/>
      <c r="ED59" s="40">
        <f t="shared" si="187"/>
        <v>431.73299999999881</v>
      </c>
      <c r="EE59" s="40">
        <f t="shared" si="188"/>
        <v>468.5164999999979</v>
      </c>
      <c r="EF59" s="40">
        <f t="shared" si="189"/>
        <v>505.29999999999836</v>
      </c>
      <c r="EG59" s="40">
        <f t="shared" si="190"/>
        <v>533.43499999999904</v>
      </c>
      <c r="EH59" s="40">
        <f t="shared" si="191"/>
        <v>565.60799999999972</v>
      </c>
      <c r="EI59" s="40">
        <f t="shared" si="192"/>
        <v>738.80299999999943</v>
      </c>
      <c r="EJ59" s="40">
        <f t="shared" si="193"/>
        <v>799.86500000000115</v>
      </c>
      <c r="EK59" s="40">
        <f t="shared" si="194"/>
        <v>672.97100000000046</v>
      </c>
      <c r="EL59" s="40">
        <f t="shared" si="195"/>
        <v>732.17099999999755</v>
      </c>
      <c r="EM59" s="40">
        <f t="shared" si="196"/>
        <v>635.8960000000011</v>
      </c>
      <c r="EN59" s="40">
        <f t="shared" si="197"/>
        <v>690.43399999999838</v>
      </c>
      <c r="EO59" s="40">
        <f t="shared" si="198"/>
        <v>726.36800000000085</v>
      </c>
      <c r="EP59" s="40">
        <f t="shared" si="199"/>
        <v>762.3020000000015</v>
      </c>
      <c r="EQ59" s="40">
        <f t="shared" si="200"/>
        <v>874.64149999999972</v>
      </c>
      <c r="ER59" s="40">
        <f t="shared" si="201"/>
        <v>986.98100000000159</v>
      </c>
      <c r="ES59" s="40">
        <f t="shared" si="202"/>
        <v>1219.0830000000024</v>
      </c>
      <c r="ET59" s="40">
        <f t="shared" si="203"/>
        <v>1599.6710000000003</v>
      </c>
      <c r="EU59" s="40">
        <f t="shared" si="204"/>
        <v>1599.6710000000003</v>
      </c>
      <c r="EV59" s="40">
        <f t="shared" si="205"/>
        <v>1620.9870000000001</v>
      </c>
      <c r="EW59" s="40">
        <f t="shared" si="206"/>
        <v>1899.1099999999979</v>
      </c>
      <c r="EX59" s="40">
        <f t="shared" si="207"/>
        <v>1969.8140000000003</v>
      </c>
      <c r="EY59" s="40">
        <f t="shared" si="208"/>
        <v>1888.1549999999988</v>
      </c>
      <c r="EZ59" s="40">
        <f t="shared" si="209"/>
        <v>2104.1860000000015</v>
      </c>
      <c r="FA59" s="181"/>
      <c r="FB59" s="73"/>
      <c r="FC59" s="73"/>
      <c r="FD59" s="73"/>
      <c r="FE59" s="73"/>
      <c r="FF59" s="73"/>
      <c r="FG59" s="73"/>
      <c r="FH59" s="89"/>
      <c r="FI59" s="73">
        <f>3637.249+1002.094+558.492+58.744+3.697</f>
        <v>5260.2759999999998</v>
      </c>
      <c r="FJ59" s="231">
        <f t="shared" si="210"/>
        <v>6466.8969999999999</v>
      </c>
      <c r="FK59" s="73">
        <v>7673.518</v>
      </c>
      <c r="FL59" s="73">
        <v>7316.1149999999998</v>
      </c>
      <c r="FM59" s="32">
        <v>7749.0330000000004</v>
      </c>
      <c r="FN59" s="32">
        <v>9236.1170000000002</v>
      </c>
      <c r="FO59" s="32">
        <v>9223.0550000000003</v>
      </c>
      <c r="FP59" s="32">
        <v>7474.8729999999996</v>
      </c>
      <c r="FQ59" s="32">
        <v>8094.1459999999997</v>
      </c>
      <c r="FR59" s="32">
        <v>7816.875</v>
      </c>
      <c r="FS59" s="32">
        <v>8201.5380000000005</v>
      </c>
      <c r="FT59" s="231">
        <f t="shared" si="211"/>
        <v>9008.7825000000012</v>
      </c>
      <c r="FU59" s="32">
        <v>9816.027</v>
      </c>
      <c r="FV59" s="231">
        <f t="shared" si="212"/>
        <v>10624.6415</v>
      </c>
      <c r="FW59" s="32">
        <v>11433.255999999999</v>
      </c>
      <c r="FX59" s="32">
        <v>12004.522000000001</v>
      </c>
      <c r="FY59" s="32">
        <v>16036.046</v>
      </c>
      <c r="FZ59" s="32">
        <v>16036.046</v>
      </c>
      <c r="GA59" s="32">
        <v>16905.838</v>
      </c>
      <c r="GB59" s="32">
        <v>17701.490000000002</v>
      </c>
      <c r="GC59" s="32">
        <v>18531.5</v>
      </c>
      <c r="GD59" s="32">
        <v>18650.146000000001</v>
      </c>
      <c r="GE59" s="440">
        <v>19174.367999999999</v>
      </c>
      <c r="GF59" s="181"/>
      <c r="GG59" s="73"/>
      <c r="GH59" s="73"/>
      <c r="GI59" s="73"/>
      <c r="GJ59" s="73"/>
      <c r="GK59" s="73"/>
      <c r="GL59" s="73"/>
      <c r="GM59" s="89"/>
      <c r="GN59" s="73">
        <f>1995.664+10.062+25.37+11.941+1.656+1190.92+370.249+823.048+229.037+182.173+514.263+525.565+935.782+703.685</f>
        <v>7519.4150000000009</v>
      </c>
      <c r="GO59" s="231">
        <f t="shared" si="213"/>
        <v>7949.2190000000001</v>
      </c>
      <c r="GP59" s="73">
        <v>8379.0229999999992</v>
      </c>
      <c r="GQ59" s="73">
        <v>8338.3770000000004</v>
      </c>
      <c r="GR59" s="32">
        <v>8836.6839999999993</v>
      </c>
      <c r="GS59" s="32">
        <v>10159.718000000001</v>
      </c>
      <c r="GT59" s="32">
        <v>9565.3439999999991</v>
      </c>
      <c r="GU59" s="32">
        <v>9735.9740000000002</v>
      </c>
      <c r="GV59" s="32">
        <v>10803.402</v>
      </c>
      <c r="GW59" s="32">
        <v>10216.066999999999</v>
      </c>
      <c r="GX59" s="32">
        <v>10704.411</v>
      </c>
      <c r="GY59" s="231">
        <f t="shared" si="214"/>
        <v>11701.141</v>
      </c>
      <c r="GZ59" s="32">
        <v>12697.870999999999</v>
      </c>
      <c r="HA59" s="231">
        <f t="shared" si="215"/>
        <v>13032.116999999998</v>
      </c>
      <c r="HB59" s="32">
        <v>13366.362999999999</v>
      </c>
      <c r="HC59" s="32">
        <v>15087.630999999999</v>
      </c>
      <c r="HD59" s="32">
        <v>15076.603999999999</v>
      </c>
      <c r="HE59" s="32">
        <v>15072.743</v>
      </c>
      <c r="HF59" s="32">
        <v>15973.294</v>
      </c>
      <c r="HG59" s="32">
        <v>16126.540999999999</v>
      </c>
      <c r="HH59" s="32">
        <v>16636.803</v>
      </c>
      <c r="HI59" s="32">
        <v>16857.043000000001</v>
      </c>
      <c r="HJ59" s="440">
        <v>16509.937999999998</v>
      </c>
      <c r="HK59" s="181"/>
      <c r="HL59" s="73"/>
      <c r="HM59" s="73"/>
      <c r="HN59" s="73"/>
      <c r="HO59" s="73"/>
      <c r="HP59" s="73"/>
      <c r="HQ59" s="73"/>
      <c r="HR59" s="89"/>
      <c r="HS59" s="73">
        <f>541.195+536.996+297.71+267.939</f>
        <v>1643.8400000000001</v>
      </c>
      <c r="HT59" s="231">
        <f t="shared" si="216"/>
        <v>1702.2045000000001</v>
      </c>
      <c r="HU59" s="73">
        <v>1760.569</v>
      </c>
      <c r="HV59" s="73">
        <v>1783.4559999999999</v>
      </c>
      <c r="HW59" s="32">
        <v>1936.384</v>
      </c>
      <c r="HX59" s="32">
        <v>2195.4670000000001</v>
      </c>
      <c r="HY59" s="32">
        <v>2329.567</v>
      </c>
      <c r="HZ59" s="32">
        <v>2409.0309999999999</v>
      </c>
      <c r="IA59" s="32">
        <v>2583.404</v>
      </c>
      <c r="IB59" s="32">
        <v>2565.0770000000002</v>
      </c>
      <c r="IC59" s="32">
        <v>2560.5830000000001</v>
      </c>
      <c r="ID59" s="231">
        <f t="shared" si="217"/>
        <v>2681.0055000000002</v>
      </c>
      <c r="IE59" s="32">
        <v>2801.4279999999999</v>
      </c>
      <c r="IF59" s="231">
        <f t="shared" si="218"/>
        <v>2825.9645</v>
      </c>
      <c r="IG59" s="32">
        <v>2850.5010000000002</v>
      </c>
      <c r="IH59" s="32">
        <v>3185.4160000000002</v>
      </c>
      <c r="II59" s="32">
        <v>3402.4760000000001</v>
      </c>
      <c r="IJ59" s="32">
        <v>3402.4760000000001</v>
      </c>
      <c r="IK59" s="32">
        <v>3511.248</v>
      </c>
      <c r="IL59" s="32">
        <v>3607.7959999999998</v>
      </c>
      <c r="IM59" s="32">
        <v>3686.4810000000002</v>
      </c>
      <c r="IN59" s="32">
        <v>3361.308</v>
      </c>
      <c r="IO59" s="440">
        <v>3364.2130000000002</v>
      </c>
      <c r="IP59" s="36"/>
      <c r="IQ59" s="75"/>
      <c r="IR59" s="75"/>
      <c r="IS59" s="75"/>
      <c r="IT59" s="75"/>
      <c r="IU59" s="75"/>
      <c r="IV59" s="75"/>
      <c r="IW59" s="217"/>
      <c r="IX59" s="75">
        <f>2270.069+3059.349</f>
        <v>5329.4179999999997</v>
      </c>
      <c r="IY59" s="231">
        <f t="shared" si="219"/>
        <v>5819.451</v>
      </c>
      <c r="IZ59" s="75">
        <v>6309.4840000000004</v>
      </c>
      <c r="JA59" s="73">
        <v>6205.87</v>
      </c>
      <c r="JB59" s="47">
        <v>5943.9340000000002</v>
      </c>
      <c r="JC59" s="47">
        <v>6275.5010000000002</v>
      </c>
      <c r="JD59" s="47">
        <v>6164.9669999999996</v>
      </c>
      <c r="JE59" s="47">
        <v>6057.848</v>
      </c>
      <c r="JF59" s="17">
        <v>6684.3410000000003</v>
      </c>
      <c r="JG59" s="17">
        <v>6688.5519999999997</v>
      </c>
      <c r="JH59" s="17">
        <v>6805.9110000000001</v>
      </c>
      <c r="JI59" s="231">
        <f t="shared" si="220"/>
        <v>7578.9994999999999</v>
      </c>
      <c r="JJ59" s="17">
        <v>8352.0879999999997</v>
      </c>
      <c r="JK59" s="231">
        <f t="shared" si="221"/>
        <v>8477.9009999999998</v>
      </c>
      <c r="JL59" s="17">
        <v>8603.7139999999999</v>
      </c>
      <c r="JM59" s="17">
        <v>8845.9120000000003</v>
      </c>
      <c r="JN59" s="17">
        <v>10439.822</v>
      </c>
      <c r="JO59" s="32">
        <v>10439.396000000001</v>
      </c>
      <c r="JP59" s="32">
        <v>11559.303</v>
      </c>
      <c r="JQ59" s="32">
        <v>11237.761</v>
      </c>
      <c r="JR59" s="32">
        <v>11628.437</v>
      </c>
      <c r="JS59" s="26">
        <v>11689.450999999999</v>
      </c>
      <c r="JT59" s="450">
        <v>12059.300999999999</v>
      </c>
    </row>
    <row r="60" spans="1:280" s="26" customFormat="1" ht="12.75" customHeight="1">
      <c r="A60" s="222" t="s">
        <v>69</v>
      </c>
      <c r="B60" s="16"/>
      <c r="C60" s="16"/>
      <c r="D60" s="16"/>
      <c r="E60" s="16"/>
      <c r="F60" s="16"/>
      <c r="G60" s="16"/>
      <c r="H60" s="16"/>
      <c r="I60" s="25"/>
      <c r="J60" s="16">
        <v>90332.395999999993</v>
      </c>
      <c r="K60" s="231">
        <f t="shared" si="175"/>
        <v>96503.790500000003</v>
      </c>
      <c r="L60" s="16">
        <v>102675.185</v>
      </c>
      <c r="M60" s="16">
        <v>108063.58900000001</v>
      </c>
      <c r="N60" s="73">
        <v>114067.837</v>
      </c>
      <c r="O60" s="32">
        <v>119430.63499999999</v>
      </c>
      <c r="P60" s="32">
        <v>121143.53599999999</v>
      </c>
      <c r="Q60" s="32">
        <v>126294.886</v>
      </c>
      <c r="R60" s="32">
        <v>128863.573</v>
      </c>
      <c r="S60" s="32">
        <v>134390.32699999999</v>
      </c>
      <c r="T60" s="32">
        <v>140646.44500000001</v>
      </c>
      <c r="U60" s="231">
        <f t="shared" si="176"/>
        <v>151193.10149999999</v>
      </c>
      <c r="V60" s="32">
        <v>161739.758</v>
      </c>
      <c r="W60" s="231">
        <f t="shared" si="177"/>
        <v>169076.58000000002</v>
      </c>
      <c r="X60" s="32">
        <v>176413.402</v>
      </c>
      <c r="Y60" s="32">
        <v>184750.44899999999</v>
      </c>
      <c r="Z60" s="32">
        <v>204587.77900000001</v>
      </c>
      <c r="AA60" s="32">
        <v>204644.89199999999</v>
      </c>
      <c r="AB60" s="32">
        <v>213004.36900000001</v>
      </c>
      <c r="AC60" s="32">
        <v>221572.288</v>
      </c>
      <c r="AD60" s="32">
        <v>232028.796</v>
      </c>
      <c r="AE60" s="32">
        <v>235983.93400000001</v>
      </c>
      <c r="AF60" s="440">
        <v>238464.826</v>
      </c>
      <c r="AG60" s="185"/>
      <c r="AH60" s="216"/>
      <c r="AI60" s="216"/>
      <c r="AJ60" s="216"/>
      <c r="AK60" s="216"/>
      <c r="AL60" s="216"/>
      <c r="AM60" s="216"/>
      <c r="AN60" s="235"/>
      <c r="AO60" s="216">
        <f>25411.219+423.259</f>
        <v>25834.478000000003</v>
      </c>
      <c r="AP60" s="231">
        <f t="shared" si="178"/>
        <v>27327.539499999999</v>
      </c>
      <c r="AQ60" s="30">
        <v>28820.600999999999</v>
      </c>
      <c r="AR60" s="73">
        <v>30686.495999999999</v>
      </c>
      <c r="AS60" s="32">
        <v>32114.007000000001</v>
      </c>
      <c r="AT60" s="32">
        <v>33875.663</v>
      </c>
      <c r="AU60" s="32">
        <v>33577.428</v>
      </c>
      <c r="AV60" s="32">
        <v>34695.567999999999</v>
      </c>
      <c r="AW60" s="32">
        <v>36612.040999999997</v>
      </c>
      <c r="AX60" s="32">
        <v>38434.468999999997</v>
      </c>
      <c r="AY60" s="32">
        <v>41399.396000000001</v>
      </c>
      <c r="AZ60" s="231">
        <f t="shared" si="179"/>
        <v>44938.373999999996</v>
      </c>
      <c r="BA60" s="32">
        <v>48477.351999999999</v>
      </c>
      <c r="BB60" s="231">
        <f t="shared" si="180"/>
        <v>50466.791499999999</v>
      </c>
      <c r="BC60" s="32">
        <v>52456.231</v>
      </c>
      <c r="BD60" s="32">
        <v>54789.694000000003</v>
      </c>
      <c r="BE60" s="32">
        <v>61777.07</v>
      </c>
      <c r="BF60" s="32">
        <v>61776.775000000001</v>
      </c>
      <c r="BG60" s="32">
        <v>65631.366999999998</v>
      </c>
      <c r="BH60" s="32">
        <v>69828.553</v>
      </c>
      <c r="BI60" s="32">
        <v>72044.413</v>
      </c>
      <c r="BJ60" s="32">
        <v>72702.778999999995</v>
      </c>
      <c r="BK60" s="440">
        <v>72550.115000000005</v>
      </c>
      <c r="BL60" s="384"/>
      <c r="BM60" s="228"/>
      <c r="BN60" s="228"/>
      <c r="BO60" s="228"/>
      <c r="BP60" s="228"/>
      <c r="BQ60" s="228"/>
      <c r="BR60" s="228"/>
      <c r="BS60" s="236"/>
      <c r="BT60" s="228">
        <v>19732.589</v>
      </c>
      <c r="BU60" s="231">
        <f t="shared" si="181"/>
        <v>20958.647499999999</v>
      </c>
      <c r="BV60" s="228">
        <v>22184.705999999998</v>
      </c>
      <c r="BW60" s="73">
        <v>23470.703000000001</v>
      </c>
      <c r="BX60" s="32">
        <v>24530.719000000001</v>
      </c>
      <c r="BY60" s="32">
        <v>26001.26</v>
      </c>
      <c r="BZ60" s="32">
        <v>26188.162</v>
      </c>
      <c r="CA60" s="32">
        <v>27107.927</v>
      </c>
      <c r="CB60" s="32">
        <v>28670.027999999998</v>
      </c>
      <c r="CC60" s="32">
        <v>30699.882000000001</v>
      </c>
      <c r="CD60" s="32">
        <v>33237.694000000003</v>
      </c>
      <c r="CE60" s="231">
        <f t="shared" si="182"/>
        <v>35760.755000000005</v>
      </c>
      <c r="CF60" s="32">
        <v>38283.815999999999</v>
      </c>
      <c r="CG60" s="231">
        <f t="shared" si="183"/>
        <v>39636.286500000002</v>
      </c>
      <c r="CH60" s="32">
        <v>40988.756999999998</v>
      </c>
      <c r="CI60" s="32">
        <v>42402.279000000002</v>
      </c>
      <c r="CJ60" s="32">
        <v>47952.936999999998</v>
      </c>
      <c r="CK60" s="32">
        <v>47952.936999999998</v>
      </c>
      <c r="CL60" s="32">
        <v>51185.161</v>
      </c>
      <c r="CM60" s="32">
        <v>53808.913999999997</v>
      </c>
      <c r="CN60" s="32">
        <v>55807.216999999997</v>
      </c>
      <c r="CO60" s="32">
        <v>55420.281999999999</v>
      </c>
      <c r="CP60" s="440">
        <v>55473.118999999999</v>
      </c>
      <c r="CQ60" s="181"/>
      <c r="CR60" s="73"/>
      <c r="CS60" s="73"/>
      <c r="CT60" s="73"/>
      <c r="CU60" s="73"/>
      <c r="CV60" s="73"/>
      <c r="CW60" s="73"/>
      <c r="CX60" s="89"/>
      <c r="CY60" s="73">
        <v>4454.6670000000004</v>
      </c>
      <c r="CZ60" s="231">
        <f t="shared" si="184"/>
        <v>4767.7340000000004</v>
      </c>
      <c r="DA60" s="73">
        <f>5080801/1000</f>
        <v>5080.8010000000004</v>
      </c>
      <c r="DB60" s="73">
        <v>5589.1090000000004</v>
      </c>
      <c r="DC60" s="32">
        <v>5877.6959999999999</v>
      </c>
      <c r="DD60" s="32">
        <v>6039.2839999999997</v>
      </c>
      <c r="DE60" s="32">
        <v>5412.5129999999999</v>
      </c>
      <c r="DF60" s="32">
        <v>5587.7460000000001</v>
      </c>
      <c r="DG60" s="32">
        <v>5932.2889999999998</v>
      </c>
      <c r="DH60" s="32">
        <v>5735.7489999999998</v>
      </c>
      <c r="DI60" s="32">
        <v>6095.308</v>
      </c>
      <c r="DJ60" s="231">
        <f t="shared" si="185"/>
        <v>7039.1170000000002</v>
      </c>
      <c r="DK60" s="32">
        <v>7982.9260000000004</v>
      </c>
      <c r="DL60" s="231">
        <f t="shared" si="186"/>
        <v>8415.1915000000008</v>
      </c>
      <c r="DM60" s="32">
        <v>8847.4570000000003</v>
      </c>
      <c r="DN60" s="32">
        <v>9429.4290000000001</v>
      </c>
      <c r="DO60" s="32">
        <v>10922.022999999999</v>
      </c>
      <c r="DP60" s="32">
        <v>10922.022999999999</v>
      </c>
      <c r="DQ60" s="32">
        <v>11560.476000000001</v>
      </c>
      <c r="DR60" s="32">
        <v>13173.948</v>
      </c>
      <c r="DS60" s="32">
        <v>12974.563</v>
      </c>
      <c r="DT60" s="32">
        <v>14190.472</v>
      </c>
      <c r="DU60" s="440">
        <v>13986.148999999999</v>
      </c>
      <c r="DV60" s="388"/>
      <c r="DW60" s="90"/>
      <c r="DX60" s="90"/>
      <c r="DY60" s="90"/>
      <c r="DZ60" s="90"/>
      <c r="EA60" s="90"/>
      <c r="EB60" s="90"/>
      <c r="EC60" s="90"/>
      <c r="ED60" s="40">
        <f t="shared" si="187"/>
        <v>1647.2220000000025</v>
      </c>
      <c r="EE60" s="40">
        <f t="shared" si="188"/>
        <v>1601.1579999999994</v>
      </c>
      <c r="EF60" s="40">
        <f t="shared" si="189"/>
        <v>1555.0940000000001</v>
      </c>
      <c r="EG60" s="40">
        <f t="shared" si="190"/>
        <v>1626.6839999999975</v>
      </c>
      <c r="EH60" s="40">
        <f t="shared" si="191"/>
        <v>1705.5920000000006</v>
      </c>
      <c r="EI60" s="40">
        <f t="shared" si="192"/>
        <v>1835.1190000000024</v>
      </c>
      <c r="EJ60" s="40">
        <f t="shared" si="193"/>
        <v>1976.7529999999997</v>
      </c>
      <c r="EK60" s="40">
        <f t="shared" si="194"/>
        <v>1999.8949999999995</v>
      </c>
      <c r="EL60" s="40">
        <f t="shared" si="195"/>
        <v>2009.7239999999993</v>
      </c>
      <c r="EM60" s="40">
        <f t="shared" si="196"/>
        <v>1998.8379999999961</v>
      </c>
      <c r="EN60" s="40">
        <f t="shared" si="197"/>
        <v>2066.3939999999975</v>
      </c>
      <c r="EO60" s="40">
        <f t="shared" si="198"/>
        <v>2138.5019999999913</v>
      </c>
      <c r="EP60" s="40">
        <f t="shared" si="199"/>
        <v>2210.6099999999997</v>
      </c>
      <c r="EQ60" s="40">
        <f t="shared" si="200"/>
        <v>2415.3134999999966</v>
      </c>
      <c r="ER60" s="40">
        <f t="shared" si="201"/>
        <v>2620.0170000000016</v>
      </c>
      <c r="ES60" s="40">
        <f t="shared" si="202"/>
        <v>2957.9860000000008</v>
      </c>
      <c r="ET60" s="40">
        <f t="shared" si="203"/>
        <v>2902.1100000000024</v>
      </c>
      <c r="EU60" s="40">
        <f t="shared" si="204"/>
        <v>2901.8150000000041</v>
      </c>
      <c r="EV60" s="40">
        <f t="shared" si="205"/>
        <v>2885.7299999999977</v>
      </c>
      <c r="EW60" s="40">
        <f t="shared" si="206"/>
        <v>2845.6910000000025</v>
      </c>
      <c r="EX60" s="40">
        <f t="shared" si="207"/>
        <v>3262.6330000000034</v>
      </c>
      <c r="EY60" s="40">
        <f t="shared" si="208"/>
        <v>3092.024999999996</v>
      </c>
      <c r="EZ60" s="40">
        <f t="shared" si="209"/>
        <v>3090.847000000007</v>
      </c>
      <c r="FA60" s="181"/>
      <c r="FB60" s="73"/>
      <c r="FC60" s="73"/>
      <c r="FD60" s="73"/>
      <c r="FE60" s="73"/>
      <c r="FF60" s="73"/>
      <c r="FG60" s="73"/>
      <c r="FH60" s="89"/>
      <c r="FI60" s="73">
        <f>16002.105+6860.079+2393.884+318.66+14.303</f>
        <v>25589.030999999999</v>
      </c>
      <c r="FJ60" s="231">
        <f t="shared" si="210"/>
        <v>28391.519500000002</v>
      </c>
      <c r="FK60" s="73">
        <v>31194.008000000002</v>
      </c>
      <c r="FL60" s="73">
        <v>33219.879000000001</v>
      </c>
      <c r="FM60" s="32">
        <v>35564.11</v>
      </c>
      <c r="FN60" s="32">
        <v>37474.482000000004</v>
      </c>
      <c r="FO60" s="32">
        <v>37753.019999999997</v>
      </c>
      <c r="FP60" s="32">
        <v>36714.466999999997</v>
      </c>
      <c r="FQ60" s="32">
        <v>38250.915000000001</v>
      </c>
      <c r="FR60" s="32">
        <v>39431.58</v>
      </c>
      <c r="FS60" s="32">
        <v>41061.705999999998</v>
      </c>
      <c r="FT60" s="231">
        <f t="shared" si="211"/>
        <v>43460.957999999999</v>
      </c>
      <c r="FU60" s="32">
        <v>45860.21</v>
      </c>
      <c r="FV60" s="231">
        <f t="shared" si="212"/>
        <v>50311.967000000004</v>
      </c>
      <c r="FW60" s="32">
        <v>54763.724000000002</v>
      </c>
      <c r="FX60" s="32">
        <v>58060.49</v>
      </c>
      <c r="FY60" s="32">
        <v>62162.616000000002</v>
      </c>
      <c r="FZ60" s="32">
        <v>62161.51</v>
      </c>
      <c r="GA60" s="32">
        <v>62303.767999999996</v>
      </c>
      <c r="GB60" s="32">
        <v>65957.622000000003</v>
      </c>
      <c r="GC60" s="32">
        <v>70718.903000000006</v>
      </c>
      <c r="GD60" s="32">
        <v>72637.073000000004</v>
      </c>
      <c r="GE60" s="440">
        <v>73608.301999999996</v>
      </c>
      <c r="GF60" s="181"/>
      <c r="GG60" s="73"/>
      <c r="GH60" s="73"/>
      <c r="GI60" s="73"/>
      <c r="GJ60" s="73"/>
      <c r="GK60" s="73"/>
      <c r="GL60" s="73"/>
      <c r="GM60" s="89"/>
      <c r="GN60" s="73">
        <f>4796.385+716.85+55.038+241.467+97.105+3391.355+1377.941+3332.635+482.699+395.636+1322.551+2688.015+1465.481+1921.31</f>
        <v>22284.468000000001</v>
      </c>
      <c r="GO60" s="231">
        <f t="shared" si="213"/>
        <v>22914.650999999998</v>
      </c>
      <c r="GP60" s="73">
        <v>23544.833999999999</v>
      </c>
      <c r="GQ60" s="73">
        <v>24316.379000000001</v>
      </c>
      <c r="GR60" s="32">
        <v>25107.584999999999</v>
      </c>
      <c r="GS60" s="32">
        <v>25745.874</v>
      </c>
      <c r="GT60" s="32">
        <v>26583.014999999999</v>
      </c>
      <c r="GU60" s="32">
        <v>28682.26</v>
      </c>
      <c r="GV60" s="32">
        <v>28058.690999999999</v>
      </c>
      <c r="GW60" s="32">
        <v>29409.991000000002</v>
      </c>
      <c r="GX60" s="32">
        <v>30658.602999999999</v>
      </c>
      <c r="GY60" s="231">
        <f t="shared" si="214"/>
        <v>32719.264499999997</v>
      </c>
      <c r="GZ60" s="32">
        <v>34779.925999999999</v>
      </c>
      <c r="HA60" s="231">
        <f t="shared" si="215"/>
        <v>36197.313999999998</v>
      </c>
      <c r="HB60" s="32">
        <v>37614.701999999997</v>
      </c>
      <c r="HC60" s="32">
        <v>38950.896000000001</v>
      </c>
      <c r="HD60" s="32">
        <v>42870.417000000001</v>
      </c>
      <c r="HE60" s="32">
        <v>42933.39</v>
      </c>
      <c r="HF60" s="32">
        <v>44902.925999999999</v>
      </c>
      <c r="HG60" s="32">
        <v>46236.322999999997</v>
      </c>
      <c r="HH60" s="32">
        <v>49137.398999999998</v>
      </c>
      <c r="HI60" s="32">
        <v>49019.216999999997</v>
      </c>
      <c r="HJ60" s="440">
        <v>48607.118000000002</v>
      </c>
      <c r="HK60" s="181"/>
      <c r="HL60" s="73"/>
      <c r="HM60" s="73"/>
      <c r="HN60" s="73"/>
      <c r="HO60" s="73"/>
      <c r="HP60" s="73"/>
      <c r="HQ60" s="73"/>
      <c r="HR60" s="89"/>
      <c r="HS60" s="73">
        <f>1338.885+1708.393+645.68+745.821</f>
        <v>4438.7790000000005</v>
      </c>
      <c r="HT60" s="231">
        <f t="shared" si="216"/>
        <v>4524.7139999999999</v>
      </c>
      <c r="HU60" s="73">
        <v>4610.6490000000003</v>
      </c>
      <c r="HV60" s="73">
        <v>4642.8140000000003</v>
      </c>
      <c r="HW60" s="32">
        <v>4974.2579999999998</v>
      </c>
      <c r="HX60" s="32">
        <v>5293.17</v>
      </c>
      <c r="HY60" s="32">
        <v>5355.5929999999998</v>
      </c>
      <c r="HZ60" s="32">
        <v>6072.116</v>
      </c>
      <c r="IA60" s="32">
        <v>6085.6210000000001</v>
      </c>
      <c r="IB60" s="32">
        <v>6215.2089999999998</v>
      </c>
      <c r="IC60" s="32">
        <v>6466.0810000000001</v>
      </c>
      <c r="ID60" s="231">
        <f t="shared" si="217"/>
        <v>6967.8355000000001</v>
      </c>
      <c r="IE60" s="32">
        <v>7469.59</v>
      </c>
      <c r="IF60" s="231">
        <f t="shared" si="218"/>
        <v>7634.7309999999998</v>
      </c>
      <c r="IG60" s="32">
        <v>7799.8720000000003</v>
      </c>
      <c r="IH60" s="32">
        <v>8481.0400000000009</v>
      </c>
      <c r="II60" s="32">
        <v>9483.3070000000007</v>
      </c>
      <c r="IJ60" s="32">
        <v>9483.3060000000005</v>
      </c>
      <c r="IK60" s="32">
        <v>11004.508</v>
      </c>
      <c r="IL60" s="32">
        <v>10471.136</v>
      </c>
      <c r="IM60" s="32">
        <v>10596.434999999999</v>
      </c>
      <c r="IN60" s="32">
        <v>10265.932000000001</v>
      </c>
      <c r="IO60" s="440">
        <v>10178.393</v>
      </c>
      <c r="IP60" s="37"/>
      <c r="IQ60" s="32"/>
      <c r="IR60" s="32"/>
      <c r="IS60" s="32"/>
      <c r="IT60" s="32"/>
      <c r="IU60" s="32"/>
      <c r="IV60" s="32"/>
      <c r="IW60" s="33"/>
      <c r="IX60" s="32">
        <f>5621.551+46.849+6517.24</f>
        <v>12185.64</v>
      </c>
      <c r="IY60" s="231">
        <f t="shared" si="219"/>
        <v>13345.3665</v>
      </c>
      <c r="IZ60" s="32">
        <v>14505.093000000001</v>
      </c>
      <c r="JA60" s="73">
        <v>15198.021000000001</v>
      </c>
      <c r="JB60" s="47">
        <v>16307.877</v>
      </c>
      <c r="JC60" s="47">
        <v>17041.446</v>
      </c>
      <c r="JD60" s="47">
        <v>17874.48</v>
      </c>
      <c r="JE60" s="47">
        <v>20130.474999999999</v>
      </c>
      <c r="JF60" s="17">
        <v>19856.305</v>
      </c>
      <c r="JG60" s="17">
        <v>20899.078000000001</v>
      </c>
      <c r="JH60" s="17">
        <v>21060.659</v>
      </c>
      <c r="JI60" s="231">
        <f t="shared" si="220"/>
        <v>23106.6695</v>
      </c>
      <c r="JJ60" s="17">
        <v>25152.68</v>
      </c>
      <c r="JK60" s="231">
        <f t="shared" si="221"/>
        <v>24465.7765</v>
      </c>
      <c r="JL60" s="17">
        <v>23778.873</v>
      </c>
      <c r="JM60" s="17">
        <v>24468.329000000002</v>
      </c>
      <c r="JN60" s="17">
        <v>28294.368999999999</v>
      </c>
      <c r="JO60" s="32">
        <v>28289.911</v>
      </c>
      <c r="JP60" s="32">
        <v>29161.8</v>
      </c>
      <c r="JQ60" s="32">
        <v>29078.655999999999</v>
      </c>
      <c r="JR60" s="32">
        <v>29531.644</v>
      </c>
      <c r="JS60" s="26">
        <v>31358.933000000001</v>
      </c>
      <c r="JT60" s="450">
        <v>33520.898000000001</v>
      </c>
    </row>
    <row r="61" spans="1:280" s="26" customFormat="1" ht="12.75" customHeight="1">
      <c r="A61" s="222" t="s">
        <v>73</v>
      </c>
      <c r="B61" s="16"/>
      <c r="C61" s="16"/>
      <c r="D61" s="16"/>
      <c r="E61" s="16"/>
      <c r="F61" s="16"/>
      <c r="G61" s="16"/>
      <c r="H61" s="16"/>
      <c r="I61" s="25"/>
      <c r="J61" s="16">
        <v>35696.089999999997</v>
      </c>
      <c r="K61" s="231">
        <f t="shared" si="175"/>
        <v>40459.482999999993</v>
      </c>
      <c r="L61" s="16">
        <v>45222.875999999997</v>
      </c>
      <c r="M61" s="16">
        <v>46044.885999999999</v>
      </c>
      <c r="N61" s="73">
        <v>46962.745000000003</v>
      </c>
      <c r="O61" s="32">
        <v>50515.902000000002</v>
      </c>
      <c r="P61" s="32">
        <v>51216.567999999999</v>
      </c>
      <c r="Q61" s="32">
        <v>53058.775999999998</v>
      </c>
      <c r="R61" s="32">
        <v>57160.116000000002</v>
      </c>
      <c r="S61" s="32">
        <v>61378.947999999997</v>
      </c>
      <c r="T61" s="32">
        <v>66028.345000000001</v>
      </c>
      <c r="U61" s="231">
        <f t="shared" si="176"/>
        <v>69849.113500000007</v>
      </c>
      <c r="V61" s="32">
        <v>73669.881999999998</v>
      </c>
      <c r="W61" s="231">
        <f t="shared" si="177"/>
        <v>77093.614499999996</v>
      </c>
      <c r="X61" s="32">
        <v>80517.346999999994</v>
      </c>
      <c r="Y61" s="32">
        <v>86464.607999999993</v>
      </c>
      <c r="Z61" s="32">
        <v>93657.195000000007</v>
      </c>
      <c r="AA61" s="32">
        <v>91685.623999999996</v>
      </c>
      <c r="AB61" s="32">
        <v>94853.998000000007</v>
      </c>
      <c r="AC61" s="32">
        <v>98062.680999999997</v>
      </c>
      <c r="AD61" s="32">
        <v>105913.307</v>
      </c>
      <c r="AE61" s="32">
        <v>108816.79300000001</v>
      </c>
      <c r="AF61" s="440">
        <v>107146.66899999999</v>
      </c>
      <c r="AG61" s="169"/>
      <c r="AH61" s="16"/>
      <c r="AI61" s="16"/>
      <c r="AJ61" s="16"/>
      <c r="AK61" s="16"/>
      <c r="AL61" s="16"/>
      <c r="AM61" s="16"/>
      <c r="AN61" s="25"/>
      <c r="AO61" s="16">
        <f>13198.192+99.679</f>
        <v>13297.870999999999</v>
      </c>
      <c r="AP61" s="231">
        <f t="shared" si="178"/>
        <v>14656.48</v>
      </c>
      <c r="AQ61" s="30">
        <v>16015.089</v>
      </c>
      <c r="AR61" s="73">
        <v>17011.985000000001</v>
      </c>
      <c r="AS61" s="32">
        <v>15901.152</v>
      </c>
      <c r="AT61" s="32">
        <v>16548.134999999998</v>
      </c>
      <c r="AU61" s="32">
        <v>18152.221000000001</v>
      </c>
      <c r="AV61" s="32">
        <v>18724.214</v>
      </c>
      <c r="AW61" s="32">
        <v>21032.603999999999</v>
      </c>
      <c r="AX61" s="32">
        <v>22401.563999999998</v>
      </c>
      <c r="AY61" s="32">
        <v>23411.81</v>
      </c>
      <c r="AZ61" s="231">
        <f t="shared" si="179"/>
        <v>23945.354500000001</v>
      </c>
      <c r="BA61" s="32">
        <v>24478.899000000001</v>
      </c>
      <c r="BB61" s="231">
        <f t="shared" si="180"/>
        <v>26694.774000000001</v>
      </c>
      <c r="BC61" s="32">
        <v>28910.649000000001</v>
      </c>
      <c r="BD61" s="32">
        <v>30414.29</v>
      </c>
      <c r="BE61" s="32">
        <v>33189.019</v>
      </c>
      <c r="BF61" s="32">
        <v>31783.876</v>
      </c>
      <c r="BG61" s="32">
        <v>33336.47</v>
      </c>
      <c r="BH61" s="32">
        <v>34361.563999999998</v>
      </c>
      <c r="BI61" s="32">
        <v>35417.517</v>
      </c>
      <c r="BJ61" s="32">
        <v>35598.491999999998</v>
      </c>
      <c r="BK61" s="440">
        <v>35531.387999999999</v>
      </c>
      <c r="BL61" s="181"/>
      <c r="BM61" s="73"/>
      <c r="BN61" s="73"/>
      <c r="BO61" s="73"/>
      <c r="BP61" s="73"/>
      <c r="BQ61" s="73"/>
      <c r="BR61" s="73"/>
      <c r="BS61" s="89"/>
      <c r="BT61" s="73">
        <v>10050.296</v>
      </c>
      <c r="BU61" s="231">
        <f t="shared" si="181"/>
        <v>10494.808000000001</v>
      </c>
      <c r="BV61" s="73">
        <v>10939.32</v>
      </c>
      <c r="BW61" s="73">
        <v>12448.141</v>
      </c>
      <c r="BX61" s="32">
        <v>10993.592000000001</v>
      </c>
      <c r="BY61" s="32">
        <v>11334.463</v>
      </c>
      <c r="BZ61" s="32">
        <v>12548.731</v>
      </c>
      <c r="CA61" s="32">
        <v>13108.014999999999</v>
      </c>
      <c r="CB61" s="32">
        <v>15106.156999999999</v>
      </c>
      <c r="CC61" s="32">
        <v>15983.55</v>
      </c>
      <c r="CD61" s="32">
        <v>16353.407999999999</v>
      </c>
      <c r="CE61" s="231">
        <f t="shared" si="182"/>
        <v>16402.476999999999</v>
      </c>
      <c r="CF61" s="32">
        <v>16451.545999999998</v>
      </c>
      <c r="CG61" s="231">
        <f t="shared" si="183"/>
        <v>18131.502</v>
      </c>
      <c r="CH61" s="32">
        <v>19811.457999999999</v>
      </c>
      <c r="CI61" s="32">
        <v>20771.409</v>
      </c>
      <c r="CJ61" s="32">
        <v>22915.386999999999</v>
      </c>
      <c r="CK61" s="32">
        <v>22915.386999999999</v>
      </c>
      <c r="CL61" s="32">
        <v>23697.574000000001</v>
      </c>
      <c r="CM61" s="32">
        <v>24087.273000000001</v>
      </c>
      <c r="CN61" s="32">
        <v>24624.771000000001</v>
      </c>
      <c r="CO61" s="32">
        <v>24682.167000000001</v>
      </c>
      <c r="CP61" s="440">
        <v>24176.02</v>
      </c>
      <c r="CQ61" s="181"/>
      <c r="CR61" s="73"/>
      <c r="CS61" s="73"/>
      <c r="CT61" s="73"/>
      <c r="CU61" s="73"/>
      <c r="CV61" s="73"/>
      <c r="CW61" s="73"/>
      <c r="CX61" s="89"/>
      <c r="CY61" s="73">
        <v>2067.1779999999999</v>
      </c>
      <c r="CZ61" s="231">
        <f t="shared" si="184"/>
        <v>3029.9105</v>
      </c>
      <c r="DA61" s="73">
        <f>3992643/1000</f>
        <v>3992.643</v>
      </c>
      <c r="DB61" s="73">
        <v>3420.7809999999999</v>
      </c>
      <c r="DC61" s="32">
        <v>3636.442</v>
      </c>
      <c r="DD61" s="32">
        <v>3909.998</v>
      </c>
      <c r="DE61" s="32">
        <v>4120.2659999999996</v>
      </c>
      <c r="DF61" s="32">
        <v>4124.8010000000004</v>
      </c>
      <c r="DG61" s="32">
        <v>4330.567</v>
      </c>
      <c r="DH61" s="32">
        <v>4666.7809999999999</v>
      </c>
      <c r="DI61" s="32">
        <v>5106.6090000000004</v>
      </c>
      <c r="DJ61" s="231">
        <f t="shared" si="185"/>
        <v>5438.5475000000006</v>
      </c>
      <c r="DK61" s="32">
        <v>5770.4859999999999</v>
      </c>
      <c r="DL61" s="231">
        <f t="shared" si="186"/>
        <v>6055.9375</v>
      </c>
      <c r="DM61" s="32">
        <v>6341.3890000000001</v>
      </c>
      <c r="DN61" s="32">
        <v>6546.4579999999996</v>
      </c>
      <c r="DO61" s="32">
        <v>6835.2929999999997</v>
      </c>
      <c r="DP61" s="32">
        <v>6835.2929999999997</v>
      </c>
      <c r="DQ61" s="32">
        <v>7561.4110000000001</v>
      </c>
      <c r="DR61" s="32">
        <v>8287.2459999999992</v>
      </c>
      <c r="DS61" s="32">
        <v>8511.9920000000002</v>
      </c>
      <c r="DT61" s="32">
        <v>8860.1319999999996</v>
      </c>
      <c r="DU61" s="440">
        <v>9179.17</v>
      </c>
      <c r="DV61" s="388"/>
      <c r="DW61" s="90"/>
      <c r="DX61" s="90"/>
      <c r="DY61" s="90"/>
      <c r="DZ61" s="90"/>
      <c r="EA61" s="90"/>
      <c r="EB61" s="90"/>
      <c r="EC61" s="90"/>
      <c r="ED61" s="40">
        <f t="shared" si="187"/>
        <v>1180.396999999999</v>
      </c>
      <c r="EE61" s="40">
        <f t="shared" si="188"/>
        <v>1131.7614999999987</v>
      </c>
      <c r="EF61" s="40">
        <f t="shared" si="189"/>
        <v>1083.1260000000002</v>
      </c>
      <c r="EG61" s="40">
        <f t="shared" si="190"/>
        <v>1143.063000000001</v>
      </c>
      <c r="EH61" s="40">
        <f t="shared" si="191"/>
        <v>1271.1179999999995</v>
      </c>
      <c r="EI61" s="40">
        <f t="shared" si="192"/>
        <v>1303.6739999999986</v>
      </c>
      <c r="EJ61" s="40">
        <f t="shared" si="193"/>
        <v>1483.224000000002</v>
      </c>
      <c r="EK61" s="40">
        <f t="shared" si="194"/>
        <v>1491.3980000000001</v>
      </c>
      <c r="EL61" s="40">
        <f t="shared" si="195"/>
        <v>1595.88</v>
      </c>
      <c r="EM61" s="40">
        <f t="shared" si="196"/>
        <v>1751.2329999999993</v>
      </c>
      <c r="EN61" s="40">
        <f t="shared" si="197"/>
        <v>1951.7930000000015</v>
      </c>
      <c r="EO61" s="40">
        <f t="shared" si="198"/>
        <v>2104.3300000000017</v>
      </c>
      <c r="EP61" s="40">
        <f t="shared" si="199"/>
        <v>2256.8670000000029</v>
      </c>
      <c r="EQ61" s="40">
        <f t="shared" si="200"/>
        <v>2507.3345000000008</v>
      </c>
      <c r="ER61" s="40">
        <f t="shared" si="201"/>
        <v>2757.8020000000024</v>
      </c>
      <c r="ES61" s="40">
        <f t="shared" si="202"/>
        <v>3096.4230000000016</v>
      </c>
      <c r="ET61" s="40">
        <f t="shared" si="203"/>
        <v>3438.3390000000018</v>
      </c>
      <c r="EU61" s="40">
        <f t="shared" si="204"/>
        <v>2033.1960000000017</v>
      </c>
      <c r="EV61" s="40">
        <f t="shared" si="205"/>
        <v>2077.4850000000006</v>
      </c>
      <c r="EW61" s="40">
        <f t="shared" si="206"/>
        <v>1987.0449999999983</v>
      </c>
      <c r="EX61" s="40">
        <f t="shared" si="207"/>
        <v>2280.753999999999</v>
      </c>
      <c r="EY61" s="40">
        <f t="shared" si="208"/>
        <v>2056.1929999999975</v>
      </c>
      <c r="EZ61" s="40">
        <f t="shared" si="209"/>
        <v>2176.1979999999985</v>
      </c>
      <c r="FA61" s="181"/>
      <c r="FB61" s="73"/>
      <c r="FC61" s="73"/>
      <c r="FD61" s="73"/>
      <c r="FE61" s="73"/>
      <c r="FF61" s="73"/>
      <c r="FG61" s="73"/>
      <c r="FH61" s="89"/>
      <c r="FI61" s="73">
        <f>5221.992+1005.851+935.285+137.444+2.662</f>
        <v>7303.2340000000004</v>
      </c>
      <c r="FJ61" s="231">
        <f t="shared" si="210"/>
        <v>9667.9854999999989</v>
      </c>
      <c r="FK61" s="73">
        <v>12032.736999999999</v>
      </c>
      <c r="FL61" s="73">
        <v>11653.683000000001</v>
      </c>
      <c r="FM61" s="32">
        <v>12704.339</v>
      </c>
      <c r="FN61" s="32">
        <v>14516.521000000001</v>
      </c>
      <c r="FO61" s="32">
        <v>13300.717000000001</v>
      </c>
      <c r="FP61" s="32">
        <v>13603.621999999999</v>
      </c>
      <c r="FQ61" s="32">
        <v>14300.109</v>
      </c>
      <c r="FR61" s="32">
        <v>15157.82</v>
      </c>
      <c r="FS61" s="32">
        <v>17513.621999999999</v>
      </c>
      <c r="FT61" s="231">
        <f t="shared" si="211"/>
        <v>18699.440999999999</v>
      </c>
      <c r="FU61" s="32">
        <v>19885.259999999998</v>
      </c>
      <c r="FV61" s="231">
        <f t="shared" si="212"/>
        <v>21480.097000000002</v>
      </c>
      <c r="FW61" s="32">
        <v>23074.934000000001</v>
      </c>
      <c r="FX61" s="32">
        <v>26244.819</v>
      </c>
      <c r="FY61" s="32">
        <v>26684.732</v>
      </c>
      <c r="FZ61" s="32">
        <v>26362.591</v>
      </c>
      <c r="GA61" s="32">
        <v>26826.634999999998</v>
      </c>
      <c r="GB61" s="32">
        <v>28414.101999999999</v>
      </c>
      <c r="GC61" s="32">
        <v>31500.706999999999</v>
      </c>
      <c r="GD61" s="32">
        <v>33406.686000000002</v>
      </c>
      <c r="GE61" s="440">
        <v>32750.623</v>
      </c>
      <c r="GF61" s="181"/>
      <c r="GG61" s="73"/>
      <c r="GH61" s="73"/>
      <c r="GI61" s="73"/>
      <c r="GJ61" s="73"/>
      <c r="GK61" s="73"/>
      <c r="GL61" s="73"/>
      <c r="GM61" s="89"/>
      <c r="GN61" s="73">
        <f>2747.811+235.595+92.309+13.22+0.154+1059.36+293.02+770.944+147.548+331.278+316.986+659.003+824.376+497.271</f>
        <v>7988.8749999999982</v>
      </c>
      <c r="GO61" s="231">
        <f t="shared" si="213"/>
        <v>8448.0264999999999</v>
      </c>
      <c r="GP61" s="73">
        <v>8907.1779999999999</v>
      </c>
      <c r="GQ61" s="73">
        <v>9251.884</v>
      </c>
      <c r="GR61" s="32">
        <v>9476.8960000000006</v>
      </c>
      <c r="GS61" s="32">
        <v>10220.136</v>
      </c>
      <c r="GT61" s="32">
        <v>11004.592000000001</v>
      </c>
      <c r="GU61" s="32">
        <v>11456.279</v>
      </c>
      <c r="GV61" s="32">
        <v>12321.582</v>
      </c>
      <c r="GW61" s="32">
        <v>13289.334000000001</v>
      </c>
      <c r="GX61" s="32">
        <v>14202.946</v>
      </c>
      <c r="GY61" s="231">
        <f t="shared" si="214"/>
        <v>15513.663</v>
      </c>
      <c r="GZ61" s="32">
        <v>16824.38</v>
      </c>
      <c r="HA61" s="231">
        <f t="shared" si="215"/>
        <v>16566.484499999999</v>
      </c>
      <c r="HB61" s="32">
        <v>16308.589</v>
      </c>
      <c r="HC61" s="32">
        <v>17910.064999999999</v>
      </c>
      <c r="HD61" s="32">
        <v>20601.987000000001</v>
      </c>
      <c r="HE61" s="32">
        <v>20518.845000000001</v>
      </c>
      <c r="HF61" s="32">
        <v>21521.341</v>
      </c>
      <c r="HG61" s="32">
        <v>21794.304</v>
      </c>
      <c r="HH61" s="32">
        <v>24406.121999999999</v>
      </c>
      <c r="HI61" s="32">
        <v>25498.164000000001</v>
      </c>
      <c r="HJ61" s="440">
        <v>24340.512999999999</v>
      </c>
      <c r="HK61" s="181"/>
      <c r="HL61" s="73"/>
      <c r="HM61" s="73"/>
      <c r="HN61" s="73"/>
      <c r="HO61" s="73"/>
      <c r="HP61" s="73"/>
      <c r="HQ61" s="73"/>
      <c r="HR61" s="89"/>
      <c r="HS61" s="73">
        <f>516.873+582.915+240.128+443.67</f>
        <v>1783.586</v>
      </c>
      <c r="HT61" s="231">
        <f t="shared" si="216"/>
        <v>1956.4495000000002</v>
      </c>
      <c r="HU61" s="73">
        <v>2129.3130000000001</v>
      </c>
      <c r="HV61" s="73">
        <v>2213.8710000000001</v>
      </c>
      <c r="HW61" s="32">
        <v>2424.8649999999998</v>
      </c>
      <c r="HX61" s="32">
        <v>2567.9639999999999</v>
      </c>
      <c r="HY61" s="32">
        <v>2539.9850000000001</v>
      </c>
      <c r="HZ61" s="32">
        <v>2569.75</v>
      </c>
      <c r="IA61" s="32">
        <v>2752.6880000000001</v>
      </c>
      <c r="IB61" s="32">
        <v>2940.9560000000001</v>
      </c>
      <c r="IC61" s="32">
        <v>3173.5889999999999</v>
      </c>
      <c r="ID61" s="231">
        <f t="shared" si="217"/>
        <v>3298.433</v>
      </c>
      <c r="IE61" s="32">
        <v>3423.277</v>
      </c>
      <c r="IF61" s="231">
        <f t="shared" si="218"/>
        <v>3796.3905</v>
      </c>
      <c r="IG61" s="32">
        <v>4169.5039999999999</v>
      </c>
      <c r="IH61" s="32">
        <v>4499.9610000000002</v>
      </c>
      <c r="II61" s="32">
        <v>5013.9719999999998</v>
      </c>
      <c r="IJ61" s="32">
        <v>5017.5889999999999</v>
      </c>
      <c r="IK61" s="32">
        <v>5353.799</v>
      </c>
      <c r="IL61" s="32">
        <v>5682.2049999999999</v>
      </c>
      <c r="IM61" s="32">
        <v>6114.3789999999999</v>
      </c>
      <c r="IN61" s="32">
        <v>5769.2640000000001</v>
      </c>
      <c r="IO61" s="440">
        <v>6073.5780000000004</v>
      </c>
      <c r="IP61" s="87"/>
      <c r="IQ61" s="73"/>
      <c r="IR61" s="73"/>
      <c r="IS61" s="73"/>
      <c r="IT61" s="73"/>
      <c r="IU61" s="73"/>
      <c r="IV61" s="73"/>
      <c r="IW61" s="89"/>
      <c r="IX61" s="73">
        <f>2858.151+0.102+2464.271</f>
        <v>5322.5239999999994</v>
      </c>
      <c r="IY61" s="231">
        <f t="shared" si="219"/>
        <v>5730.5414999999994</v>
      </c>
      <c r="IZ61" s="73">
        <v>6138.5590000000002</v>
      </c>
      <c r="JA61" s="73">
        <v>5913.4629999999997</v>
      </c>
      <c r="JB61" s="47">
        <v>6455.4930000000004</v>
      </c>
      <c r="JC61" s="47">
        <v>6663.1459999999997</v>
      </c>
      <c r="JD61" s="47">
        <v>6219.0529999999999</v>
      </c>
      <c r="JE61" s="47">
        <v>6704.9110000000001</v>
      </c>
      <c r="JF61" s="17">
        <v>6753.1329999999998</v>
      </c>
      <c r="JG61" s="17">
        <v>7589.2740000000003</v>
      </c>
      <c r="JH61" s="17">
        <v>7726.3779999999997</v>
      </c>
      <c r="JI61" s="231">
        <f t="shared" si="220"/>
        <v>8392.2219999999998</v>
      </c>
      <c r="JJ61" s="17">
        <v>9058.0660000000007</v>
      </c>
      <c r="JK61" s="231">
        <f t="shared" si="221"/>
        <v>8555.8685000000005</v>
      </c>
      <c r="JL61" s="17">
        <v>8053.6710000000003</v>
      </c>
      <c r="JM61" s="17">
        <v>7395.473</v>
      </c>
      <c r="JN61" s="17">
        <v>8167.4849999999997</v>
      </c>
      <c r="JO61" s="32">
        <v>8002.723</v>
      </c>
      <c r="JP61" s="32">
        <v>7815.7529999999997</v>
      </c>
      <c r="JQ61" s="32">
        <v>7810.5079999999998</v>
      </c>
      <c r="JR61" s="32">
        <v>8474.5810000000001</v>
      </c>
      <c r="JS61" s="26">
        <v>8544.1869999999999</v>
      </c>
      <c r="JT61" s="450">
        <v>8450.5669999999991</v>
      </c>
    </row>
    <row r="62" spans="1:280" s="26" customFormat="1" ht="12.75" customHeight="1">
      <c r="A62" s="222" t="s">
        <v>74</v>
      </c>
      <c r="B62" s="16"/>
      <c r="C62" s="16"/>
      <c r="D62" s="16"/>
      <c r="E62" s="16"/>
      <c r="F62" s="16"/>
      <c r="G62" s="16"/>
      <c r="H62" s="16"/>
      <c r="I62" s="25"/>
      <c r="J62" s="16">
        <v>3685.3449999999998</v>
      </c>
      <c r="K62" s="231">
        <f t="shared" si="175"/>
        <v>4048.6795000000002</v>
      </c>
      <c r="L62" s="16">
        <v>4412.0140000000001</v>
      </c>
      <c r="M62" s="16">
        <v>4510.3789999999999</v>
      </c>
      <c r="N62" s="73">
        <v>4551.0870000000004</v>
      </c>
      <c r="O62" s="32">
        <v>4867.1909999999998</v>
      </c>
      <c r="P62" s="32">
        <v>4799.3900000000003</v>
      </c>
      <c r="Q62" s="32">
        <v>4884.3289999999997</v>
      </c>
      <c r="R62" s="32">
        <v>4933.1469999999999</v>
      </c>
      <c r="S62" s="32">
        <v>5305.0029999999997</v>
      </c>
      <c r="T62" s="32">
        <v>5586.0829999999996</v>
      </c>
      <c r="U62" s="231">
        <f t="shared" si="176"/>
        <v>6185.2184999999999</v>
      </c>
      <c r="V62" s="32">
        <v>6784.3540000000003</v>
      </c>
      <c r="W62" s="231">
        <f t="shared" si="177"/>
        <v>7226.9539999999997</v>
      </c>
      <c r="X62" s="32">
        <v>7669.5540000000001</v>
      </c>
      <c r="Y62" s="32">
        <v>8070.598</v>
      </c>
      <c r="Z62" s="32">
        <v>8617.4989999999998</v>
      </c>
      <c r="AA62" s="32">
        <v>8564.4760000000006</v>
      </c>
      <c r="AB62" s="32">
        <v>8993.0560000000005</v>
      </c>
      <c r="AC62" s="32">
        <v>8942.6479999999992</v>
      </c>
      <c r="AD62" s="32">
        <v>9150.7369999999992</v>
      </c>
      <c r="AE62" s="32">
        <v>9250.9969999999994</v>
      </c>
      <c r="AF62" s="440">
        <v>9310.0969999999998</v>
      </c>
      <c r="AG62" s="169"/>
      <c r="AH62" s="16"/>
      <c r="AI62" s="16"/>
      <c r="AJ62" s="16"/>
      <c r="AK62" s="16"/>
      <c r="AL62" s="16"/>
      <c r="AM62" s="16"/>
      <c r="AN62" s="25"/>
      <c r="AO62" s="16">
        <f>1195.24+15.697</f>
        <v>1210.9369999999999</v>
      </c>
      <c r="AP62" s="231">
        <f t="shared" si="178"/>
        <v>1244.962</v>
      </c>
      <c r="AQ62" s="30">
        <v>1278.9870000000001</v>
      </c>
      <c r="AR62" s="73">
        <v>1355.635</v>
      </c>
      <c r="AS62" s="32">
        <v>1439.146</v>
      </c>
      <c r="AT62" s="32">
        <v>1482.7529999999999</v>
      </c>
      <c r="AU62" s="32">
        <v>1519.087</v>
      </c>
      <c r="AV62" s="32">
        <v>1601.155</v>
      </c>
      <c r="AW62" s="32">
        <v>1673.5830000000001</v>
      </c>
      <c r="AX62" s="32">
        <v>1797.6020000000001</v>
      </c>
      <c r="AY62" s="32">
        <v>1879.2429999999999</v>
      </c>
      <c r="AZ62" s="231">
        <f t="shared" si="179"/>
        <v>2042.43</v>
      </c>
      <c r="BA62" s="32">
        <v>2205.6170000000002</v>
      </c>
      <c r="BB62" s="231">
        <f t="shared" si="180"/>
        <v>2338.0005000000001</v>
      </c>
      <c r="BC62" s="32">
        <v>2470.384</v>
      </c>
      <c r="BD62" s="32">
        <v>2707.4270000000001</v>
      </c>
      <c r="BE62" s="32">
        <v>2840.33</v>
      </c>
      <c r="BF62" s="32">
        <v>2840.33</v>
      </c>
      <c r="BG62" s="32">
        <v>2976.9279999999999</v>
      </c>
      <c r="BH62" s="32">
        <v>2964.5520000000001</v>
      </c>
      <c r="BI62" s="32">
        <v>3064.527</v>
      </c>
      <c r="BJ62" s="32">
        <v>3089.2829999999999</v>
      </c>
      <c r="BK62" s="440">
        <v>3169.7179999999998</v>
      </c>
      <c r="BL62" s="181"/>
      <c r="BM62" s="73"/>
      <c r="BN62" s="73"/>
      <c r="BO62" s="73"/>
      <c r="BP62" s="73"/>
      <c r="BQ62" s="73"/>
      <c r="BR62" s="73"/>
      <c r="BS62" s="89"/>
      <c r="BT62" s="73">
        <v>270.40300000000002</v>
      </c>
      <c r="BU62" s="231">
        <f t="shared" si="181"/>
        <v>569.52700000000004</v>
      </c>
      <c r="BV62" s="73">
        <v>868.65099999999995</v>
      </c>
      <c r="BW62" s="73">
        <v>928.97799999999995</v>
      </c>
      <c r="BX62" s="32">
        <v>1016.814</v>
      </c>
      <c r="BY62" s="32">
        <v>1037.931</v>
      </c>
      <c r="BZ62" s="32">
        <v>1071.675</v>
      </c>
      <c r="CA62" s="32">
        <v>1127.279</v>
      </c>
      <c r="CB62" s="32">
        <v>1196.144</v>
      </c>
      <c r="CC62" s="32">
        <v>1273.771</v>
      </c>
      <c r="CD62" s="32">
        <v>1346.4010000000001</v>
      </c>
      <c r="CE62" s="231">
        <f t="shared" si="182"/>
        <v>1460.6880000000001</v>
      </c>
      <c r="CF62" s="32">
        <v>1574.9749999999999</v>
      </c>
      <c r="CG62" s="231">
        <f t="shared" si="183"/>
        <v>1689.8989999999999</v>
      </c>
      <c r="CH62" s="32">
        <v>1804.8230000000001</v>
      </c>
      <c r="CI62" s="32">
        <v>1839.307</v>
      </c>
      <c r="CJ62" s="32">
        <v>2072.9490000000001</v>
      </c>
      <c r="CK62" s="32">
        <v>2072.9490000000001</v>
      </c>
      <c r="CL62" s="32">
        <v>2165.46</v>
      </c>
      <c r="CM62" s="32">
        <v>2168.19</v>
      </c>
      <c r="CN62" s="32">
        <v>2185.0540000000001</v>
      </c>
      <c r="CO62" s="32">
        <v>2201.66</v>
      </c>
      <c r="CP62" s="440">
        <v>2194.2170000000001</v>
      </c>
      <c r="CQ62" s="181"/>
      <c r="CR62" s="73"/>
      <c r="CS62" s="73"/>
      <c r="CT62" s="73"/>
      <c r="CU62" s="73"/>
      <c r="CV62" s="73"/>
      <c r="CW62" s="73"/>
      <c r="CX62" s="89"/>
      <c r="CY62" s="73">
        <v>270.40300000000002</v>
      </c>
      <c r="CZ62" s="231">
        <f t="shared" si="184"/>
        <v>279.39999999999998</v>
      </c>
      <c r="DA62" s="73">
        <f>288397/1000</f>
        <v>288.39699999999999</v>
      </c>
      <c r="DB62" s="73">
        <v>308.87900000000002</v>
      </c>
      <c r="DC62" s="32">
        <v>307.89</v>
      </c>
      <c r="DD62" s="32">
        <v>318.83800000000002</v>
      </c>
      <c r="DE62" s="32">
        <v>322.93599999999998</v>
      </c>
      <c r="DF62" s="32">
        <v>339.83800000000002</v>
      </c>
      <c r="DG62" s="32">
        <v>348.596</v>
      </c>
      <c r="DH62" s="32">
        <v>368.93</v>
      </c>
      <c r="DI62" s="32">
        <v>400.86599999999999</v>
      </c>
      <c r="DJ62" s="231">
        <f t="shared" si="185"/>
        <v>440.29250000000002</v>
      </c>
      <c r="DK62" s="32">
        <v>479.71899999999999</v>
      </c>
      <c r="DL62" s="231">
        <f t="shared" si="186"/>
        <v>486.77800000000002</v>
      </c>
      <c r="DM62" s="32">
        <v>493.83699999999999</v>
      </c>
      <c r="DN62" s="32">
        <v>516.05399999999997</v>
      </c>
      <c r="DO62" s="32">
        <v>564.38599999999997</v>
      </c>
      <c r="DP62" s="32">
        <v>564.38599999999997</v>
      </c>
      <c r="DQ62" s="32">
        <v>584.36400000000003</v>
      </c>
      <c r="DR62" s="32">
        <v>576.55100000000004</v>
      </c>
      <c r="DS62" s="32">
        <v>604.29</v>
      </c>
      <c r="DT62" s="32">
        <v>615.84199999999998</v>
      </c>
      <c r="DU62" s="440">
        <v>674.85799999999995</v>
      </c>
      <c r="DV62" s="388"/>
      <c r="DW62" s="90"/>
      <c r="DX62" s="90"/>
      <c r="DY62" s="90"/>
      <c r="DZ62" s="90"/>
      <c r="EA62" s="90"/>
      <c r="EB62" s="90"/>
      <c r="EC62" s="90"/>
      <c r="ED62" s="40">
        <f t="shared" si="187"/>
        <v>670.13099999999986</v>
      </c>
      <c r="EE62" s="40">
        <f t="shared" si="188"/>
        <v>396.03499999999997</v>
      </c>
      <c r="EF62" s="40">
        <f t="shared" si="189"/>
        <v>121.93900000000014</v>
      </c>
      <c r="EG62" s="40">
        <f t="shared" si="190"/>
        <v>117.77800000000002</v>
      </c>
      <c r="EH62" s="40">
        <f t="shared" si="191"/>
        <v>114.44200000000001</v>
      </c>
      <c r="EI62" s="40">
        <f t="shared" si="192"/>
        <v>125.98399999999987</v>
      </c>
      <c r="EJ62" s="40">
        <f t="shared" si="193"/>
        <v>124.47600000000006</v>
      </c>
      <c r="EK62" s="40">
        <f t="shared" si="194"/>
        <v>134.03799999999995</v>
      </c>
      <c r="EL62" s="40">
        <f t="shared" si="195"/>
        <v>128.84300000000007</v>
      </c>
      <c r="EM62" s="40">
        <f t="shared" si="196"/>
        <v>154.90100000000012</v>
      </c>
      <c r="EN62" s="40">
        <f t="shared" si="197"/>
        <v>131.97599999999989</v>
      </c>
      <c r="EO62" s="40">
        <f t="shared" si="198"/>
        <v>141.44949999999994</v>
      </c>
      <c r="EP62" s="40">
        <f t="shared" si="199"/>
        <v>150.92300000000029</v>
      </c>
      <c r="EQ62" s="40">
        <f t="shared" si="200"/>
        <v>161.32350000000019</v>
      </c>
      <c r="ER62" s="40">
        <f t="shared" si="201"/>
        <v>171.72399999999993</v>
      </c>
      <c r="ES62" s="40">
        <f t="shared" si="202"/>
        <v>352.06600000000014</v>
      </c>
      <c r="ET62" s="40">
        <f t="shared" si="203"/>
        <v>202.99499999999989</v>
      </c>
      <c r="EU62" s="40">
        <f t="shared" si="204"/>
        <v>202.99499999999989</v>
      </c>
      <c r="EV62" s="40">
        <f t="shared" si="205"/>
        <v>227.10399999999981</v>
      </c>
      <c r="EW62" s="40">
        <f t="shared" si="206"/>
        <v>219.81100000000004</v>
      </c>
      <c r="EX62" s="40">
        <f t="shared" si="207"/>
        <v>275.18299999999999</v>
      </c>
      <c r="EY62" s="40">
        <f t="shared" si="208"/>
        <v>271.78100000000006</v>
      </c>
      <c r="EZ62" s="40">
        <f t="shared" si="209"/>
        <v>300.6429999999998</v>
      </c>
      <c r="FA62" s="181"/>
      <c r="FB62" s="73"/>
      <c r="FC62" s="73"/>
      <c r="FD62" s="73"/>
      <c r="FE62" s="73"/>
      <c r="FF62" s="73"/>
      <c r="FG62" s="73"/>
      <c r="FH62" s="89"/>
      <c r="FI62" s="73">
        <f>549.889+121.364+136.917+22.865</f>
        <v>831.03500000000008</v>
      </c>
      <c r="FJ62" s="231">
        <f t="shared" si="210"/>
        <v>932.11500000000001</v>
      </c>
      <c r="FK62" s="73">
        <v>1033.1949999999999</v>
      </c>
      <c r="FL62" s="73">
        <v>1149.807</v>
      </c>
      <c r="FM62" s="32">
        <v>1132.8150000000001</v>
      </c>
      <c r="FN62" s="32">
        <v>1262.7470000000001</v>
      </c>
      <c r="FO62" s="32">
        <v>1236.2660000000001</v>
      </c>
      <c r="FP62" s="32">
        <v>1220.3779999999999</v>
      </c>
      <c r="FQ62" s="32">
        <v>1250.0129999999999</v>
      </c>
      <c r="FR62" s="32">
        <v>1325.2460000000001</v>
      </c>
      <c r="FS62" s="32">
        <v>1464.883</v>
      </c>
      <c r="FT62" s="231">
        <f t="shared" si="211"/>
        <v>1718.8715</v>
      </c>
      <c r="FU62" s="32">
        <v>1972.86</v>
      </c>
      <c r="FV62" s="231">
        <f t="shared" si="212"/>
        <v>2119.9715000000001</v>
      </c>
      <c r="FW62" s="32">
        <v>2267.0830000000001</v>
      </c>
      <c r="FX62" s="32">
        <v>2351.4450000000002</v>
      </c>
      <c r="FY62" s="32">
        <v>2359.7139999999999</v>
      </c>
      <c r="FZ62" s="32">
        <v>2305.9589999999998</v>
      </c>
      <c r="GA62" s="32">
        <v>2447.4969999999998</v>
      </c>
      <c r="GB62" s="32">
        <v>2384.2280000000001</v>
      </c>
      <c r="GC62" s="32">
        <v>2542.6109999999999</v>
      </c>
      <c r="GD62" s="32">
        <v>2594.895</v>
      </c>
      <c r="GE62" s="440">
        <v>2525.9609999999998</v>
      </c>
      <c r="GF62" s="181"/>
      <c r="GG62" s="73"/>
      <c r="GH62" s="73"/>
      <c r="GI62" s="73"/>
      <c r="GJ62" s="73"/>
      <c r="GK62" s="73"/>
      <c r="GL62" s="73"/>
      <c r="GM62" s="89"/>
      <c r="GN62" s="73">
        <f>251.619+13.586+0.067+3.526+16.987+122.008+96.007+80.165+25.368+21.476+72.6+88.492+96.262+28.884</f>
        <v>917.04700000000003</v>
      </c>
      <c r="GO62" s="231">
        <f t="shared" si="213"/>
        <v>967.3175</v>
      </c>
      <c r="GP62" s="73">
        <v>1017.588</v>
      </c>
      <c r="GQ62" s="73">
        <v>1099.307</v>
      </c>
      <c r="GR62" s="32">
        <v>1103.6410000000001</v>
      </c>
      <c r="GS62" s="32">
        <v>1285.145</v>
      </c>
      <c r="GT62" s="32">
        <v>1145.8720000000001</v>
      </c>
      <c r="GU62" s="32">
        <v>1120.5239999999999</v>
      </c>
      <c r="GV62" s="32">
        <v>1111.96</v>
      </c>
      <c r="GW62" s="32">
        <v>1251.0429999999999</v>
      </c>
      <c r="GX62" s="32">
        <v>1275.9390000000001</v>
      </c>
      <c r="GY62" s="231">
        <f t="shared" si="214"/>
        <v>1407.54</v>
      </c>
      <c r="GZ62" s="32">
        <v>1539.1410000000001</v>
      </c>
      <c r="HA62" s="231">
        <f t="shared" si="215"/>
        <v>1612.63</v>
      </c>
      <c r="HB62" s="32">
        <v>1686.1189999999999</v>
      </c>
      <c r="HC62" s="32">
        <v>1790.8579999999999</v>
      </c>
      <c r="HD62" s="32">
        <v>1851.722</v>
      </c>
      <c r="HE62" s="32">
        <v>1851.722</v>
      </c>
      <c r="HF62" s="32">
        <v>1958.998</v>
      </c>
      <c r="HG62" s="32">
        <v>1820.943</v>
      </c>
      <c r="HH62" s="32">
        <v>1959.8720000000001</v>
      </c>
      <c r="HI62" s="32">
        <v>1989.058</v>
      </c>
      <c r="HJ62" s="440">
        <v>1947.653</v>
      </c>
      <c r="HK62" s="181"/>
      <c r="HL62" s="73"/>
      <c r="HM62" s="73"/>
      <c r="HN62" s="73"/>
      <c r="HO62" s="73"/>
      <c r="HP62" s="73"/>
      <c r="HQ62" s="73"/>
      <c r="HR62" s="89"/>
      <c r="HS62" s="73">
        <f>70.59+65.562+29.246+46.459</f>
        <v>211.857</v>
      </c>
      <c r="HT62" s="231">
        <f t="shared" si="216"/>
        <v>212.744</v>
      </c>
      <c r="HU62" s="73">
        <v>213.631</v>
      </c>
      <c r="HV62" s="73">
        <v>232.887</v>
      </c>
      <c r="HW62" s="32">
        <v>244.56700000000001</v>
      </c>
      <c r="HX62" s="32">
        <v>257.00200000000001</v>
      </c>
      <c r="HY62" s="32">
        <v>272.15499999999997</v>
      </c>
      <c r="HZ62" s="32">
        <v>291.62299999999999</v>
      </c>
      <c r="IA62" s="32">
        <v>268.31599999999997</v>
      </c>
      <c r="IB62" s="32">
        <v>305.68200000000002</v>
      </c>
      <c r="IC62" s="32">
        <v>339.68099999999998</v>
      </c>
      <c r="ID62" s="231">
        <f t="shared" si="217"/>
        <v>355.86950000000002</v>
      </c>
      <c r="IE62" s="32">
        <v>372.05799999999999</v>
      </c>
      <c r="IF62" s="231">
        <f t="shared" si="218"/>
        <v>401.15100000000001</v>
      </c>
      <c r="IG62" s="32">
        <v>430.24400000000003</v>
      </c>
      <c r="IH62" s="32">
        <v>477.392</v>
      </c>
      <c r="II62" s="32">
        <v>591.22299999999996</v>
      </c>
      <c r="IJ62" s="32">
        <v>590.72299999999996</v>
      </c>
      <c r="IK62" s="32">
        <v>545.54</v>
      </c>
      <c r="IL62" s="32">
        <v>585.50300000000004</v>
      </c>
      <c r="IM62" s="32">
        <v>511.52</v>
      </c>
      <c r="IN62" s="32">
        <v>500.80399999999997</v>
      </c>
      <c r="IO62" s="440">
        <v>503.00900000000001</v>
      </c>
      <c r="IP62" s="87"/>
      <c r="IQ62" s="73"/>
      <c r="IR62" s="73"/>
      <c r="IS62" s="73"/>
      <c r="IT62" s="73"/>
      <c r="IU62" s="73"/>
      <c r="IV62" s="73"/>
      <c r="IW62" s="89"/>
      <c r="IX62" s="73">
        <f>305.055+2.463+206.951</f>
        <v>514.46900000000005</v>
      </c>
      <c r="IY62" s="231">
        <f t="shared" si="219"/>
        <v>691.54100000000005</v>
      </c>
      <c r="IZ62" s="73">
        <v>868.61300000000006</v>
      </c>
      <c r="JA62" s="73">
        <v>672.74300000000005</v>
      </c>
      <c r="JB62" s="47">
        <v>630.91800000000001</v>
      </c>
      <c r="JC62" s="47">
        <v>579.54399999999998</v>
      </c>
      <c r="JD62" s="47">
        <v>626.01</v>
      </c>
      <c r="JE62" s="47">
        <v>650.649</v>
      </c>
      <c r="JF62" s="17">
        <v>629.27499999999998</v>
      </c>
      <c r="JG62" s="17">
        <v>625.42999999999995</v>
      </c>
      <c r="JH62" s="17">
        <v>626.33699999999999</v>
      </c>
      <c r="JI62" s="231">
        <f t="shared" si="220"/>
        <v>660.50749999999994</v>
      </c>
      <c r="JJ62" s="17">
        <v>694.678</v>
      </c>
      <c r="JK62" s="231">
        <f t="shared" si="221"/>
        <v>755.20100000000002</v>
      </c>
      <c r="JL62" s="17">
        <v>815.72400000000005</v>
      </c>
      <c r="JM62" s="17">
        <v>743.476</v>
      </c>
      <c r="JN62" s="17">
        <v>974.51</v>
      </c>
      <c r="JO62" s="32">
        <v>975.74199999999996</v>
      </c>
      <c r="JP62" s="32">
        <v>1064.0930000000001</v>
      </c>
      <c r="JQ62" s="32">
        <v>1187.423</v>
      </c>
      <c r="JR62" s="32">
        <v>1072.2080000000001</v>
      </c>
      <c r="JS62" s="26">
        <v>1076.9570000000001</v>
      </c>
      <c r="JT62" s="450">
        <v>1163.7560000000001</v>
      </c>
    </row>
    <row r="63" spans="1:280" s="26" customFormat="1" ht="12.75" customHeight="1">
      <c r="A63" s="247" t="s">
        <v>77</v>
      </c>
      <c r="B63" s="50"/>
      <c r="C63" s="50"/>
      <c r="D63" s="50"/>
      <c r="E63" s="50"/>
      <c r="F63" s="50"/>
      <c r="G63" s="50"/>
      <c r="H63" s="50"/>
      <c r="I63" s="213"/>
      <c r="J63" s="50">
        <v>2035.63</v>
      </c>
      <c r="K63" s="158">
        <f t="shared" si="175"/>
        <v>2185.0744999999997</v>
      </c>
      <c r="L63" s="50">
        <v>2334.5189999999998</v>
      </c>
      <c r="M63" s="50">
        <v>2268.6999999999998</v>
      </c>
      <c r="N63" s="112">
        <v>2436.0140000000001</v>
      </c>
      <c r="O63" s="49">
        <v>2513.0639999999999</v>
      </c>
      <c r="P63" s="49">
        <v>2638.9630000000002</v>
      </c>
      <c r="Q63" s="49">
        <v>2780.9050000000002</v>
      </c>
      <c r="R63" s="49">
        <v>3019.8310000000001</v>
      </c>
      <c r="S63" s="49">
        <v>3039.8069999999998</v>
      </c>
      <c r="T63" s="49">
        <v>3455.98</v>
      </c>
      <c r="U63" s="158">
        <f t="shared" si="176"/>
        <v>3635.4314999999997</v>
      </c>
      <c r="V63" s="49">
        <v>3814.8829999999998</v>
      </c>
      <c r="W63" s="158">
        <f t="shared" si="177"/>
        <v>4106.5149999999994</v>
      </c>
      <c r="X63" s="49">
        <v>4398.1469999999999</v>
      </c>
      <c r="Y63" s="49">
        <v>4729.2460000000001</v>
      </c>
      <c r="Z63" s="49">
        <v>5275.3019999999997</v>
      </c>
      <c r="AA63" s="49">
        <v>5272.3019999999997</v>
      </c>
      <c r="AB63" s="49">
        <v>5436.1139999999996</v>
      </c>
      <c r="AC63" s="49">
        <v>5656.9669999999996</v>
      </c>
      <c r="AD63" s="49">
        <v>5885.6819999999998</v>
      </c>
      <c r="AE63" s="49">
        <v>6173.6329999999998</v>
      </c>
      <c r="AF63" s="439">
        <v>6237.1009999999997</v>
      </c>
      <c r="AG63" s="220"/>
      <c r="AH63" s="50"/>
      <c r="AI63" s="50"/>
      <c r="AJ63" s="50"/>
      <c r="AK63" s="50"/>
      <c r="AL63" s="50"/>
      <c r="AM63" s="50"/>
      <c r="AN63" s="213"/>
      <c r="AO63" s="50">
        <f>850.823+6.785</f>
        <v>857.60799999999995</v>
      </c>
      <c r="AP63" s="158">
        <f t="shared" si="178"/>
        <v>914.80499999999995</v>
      </c>
      <c r="AQ63" s="78">
        <v>972.00199999999995</v>
      </c>
      <c r="AR63" s="112">
        <v>894.53</v>
      </c>
      <c r="AS63" s="49">
        <v>957.65200000000004</v>
      </c>
      <c r="AT63" s="49">
        <v>992.78800000000001</v>
      </c>
      <c r="AU63" s="49">
        <v>1052.3440000000001</v>
      </c>
      <c r="AV63" s="49">
        <v>1129.2750000000001</v>
      </c>
      <c r="AW63" s="49">
        <v>1181.079</v>
      </c>
      <c r="AX63" s="49">
        <v>1243.3489999999999</v>
      </c>
      <c r="AY63" s="49">
        <v>1341.2170000000001</v>
      </c>
      <c r="AZ63" s="158">
        <f t="shared" si="179"/>
        <v>1407.7815000000001</v>
      </c>
      <c r="BA63" s="49">
        <v>1474.346</v>
      </c>
      <c r="BB63" s="158">
        <f t="shared" si="180"/>
        <v>1624.8845000000001</v>
      </c>
      <c r="BC63" s="49">
        <v>1775.423</v>
      </c>
      <c r="BD63" s="49">
        <v>1920.028</v>
      </c>
      <c r="BE63" s="49">
        <v>2170.788</v>
      </c>
      <c r="BF63" s="49">
        <v>2170.788</v>
      </c>
      <c r="BG63" s="49">
        <v>2232.0250000000001</v>
      </c>
      <c r="BH63" s="49">
        <v>2290.6979999999999</v>
      </c>
      <c r="BI63" s="49">
        <v>2364.0990000000002</v>
      </c>
      <c r="BJ63" s="49">
        <v>2397.1979999999999</v>
      </c>
      <c r="BK63" s="439">
        <v>2395.4569999999999</v>
      </c>
      <c r="BL63" s="252"/>
      <c r="BM63" s="112"/>
      <c r="BN63" s="112"/>
      <c r="BO63" s="112"/>
      <c r="BP63" s="112"/>
      <c r="BQ63" s="112"/>
      <c r="BR63" s="112"/>
      <c r="BS63" s="249"/>
      <c r="BT63" s="112">
        <v>543.077</v>
      </c>
      <c r="BU63" s="158">
        <f t="shared" si="181"/>
        <v>590.78</v>
      </c>
      <c r="BV63" s="112">
        <v>638.48299999999995</v>
      </c>
      <c r="BW63" s="112">
        <v>550.31899999999996</v>
      </c>
      <c r="BX63" s="49">
        <v>614.38400000000001</v>
      </c>
      <c r="BY63" s="49">
        <v>618.6</v>
      </c>
      <c r="BZ63" s="49">
        <v>661.351</v>
      </c>
      <c r="CA63" s="49">
        <v>727.99800000000005</v>
      </c>
      <c r="CB63" s="49">
        <v>772.86</v>
      </c>
      <c r="CC63" s="49">
        <v>821.93899999999996</v>
      </c>
      <c r="CD63" s="49">
        <v>881.53899999999999</v>
      </c>
      <c r="CE63" s="158">
        <f t="shared" si="182"/>
        <v>909.10750000000007</v>
      </c>
      <c r="CF63" s="49">
        <v>936.67600000000004</v>
      </c>
      <c r="CG63" s="158">
        <f t="shared" si="183"/>
        <v>1045.681</v>
      </c>
      <c r="CH63" s="49">
        <v>1154.6859999999999</v>
      </c>
      <c r="CI63" s="49">
        <v>1203.7070000000001</v>
      </c>
      <c r="CJ63" s="49">
        <v>1313.835</v>
      </c>
      <c r="CK63" s="49">
        <v>1313.835</v>
      </c>
      <c r="CL63" s="49">
        <v>1383.1510000000001</v>
      </c>
      <c r="CM63" s="49">
        <v>1426.5530000000001</v>
      </c>
      <c r="CN63" s="49">
        <v>1472.9590000000001</v>
      </c>
      <c r="CO63" s="49">
        <v>1471.329</v>
      </c>
      <c r="CP63" s="439">
        <v>1477.2080000000001</v>
      </c>
      <c r="CQ63" s="252"/>
      <c r="CR63" s="112"/>
      <c r="CS63" s="112"/>
      <c r="CT63" s="112"/>
      <c r="CU63" s="112"/>
      <c r="CV63" s="112"/>
      <c r="CW63" s="112"/>
      <c r="CX63" s="249"/>
      <c r="CY63" s="112">
        <v>254.755</v>
      </c>
      <c r="CZ63" s="158">
        <f t="shared" si="184"/>
        <v>261.68150000000003</v>
      </c>
      <c r="DA63" s="112">
        <f>268608/1000</f>
        <v>268.608</v>
      </c>
      <c r="DB63" s="112">
        <v>277.58699999999999</v>
      </c>
      <c r="DC63" s="49">
        <v>279.03899999999999</v>
      </c>
      <c r="DD63" s="49">
        <v>298.10700000000003</v>
      </c>
      <c r="DE63" s="49">
        <v>311.85899999999998</v>
      </c>
      <c r="DF63" s="49">
        <v>319.67200000000003</v>
      </c>
      <c r="DG63" s="49">
        <v>320.84100000000001</v>
      </c>
      <c r="DH63" s="49">
        <v>340.37</v>
      </c>
      <c r="DI63" s="49">
        <v>371.226</v>
      </c>
      <c r="DJ63" s="158">
        <f t="shared" si="185"/>
        <v>399.87199999999996</v>
      </c>
      <c r="DK63" s="49">
        <v>428.51799999999997</v>
      </c>
      <c r="DL63" s="158">
        <f t="shared" si="186"/>
        <v>473.61900000000003</v>
      </c>
      <c r="DM63" s="49">
        <v>518.72</v>
      </c>
      <c r="DN63" s="49">
        <v>585.89200000000005</v>
      </c>
      <c r="DO63" s="49">
        <v>711.27099999999996</v>
      </c>
      <c r="DP63" s="49">
        <v>711.27099999999996</v>
      </c>
      <c r="DQ63" s="49">
        <v>695.11300000000006</v>
      </c>
      <c r="DR63" s="49">
        <v>696.90899999999999</v>
      </c>
      <c r="DS63" s="49">
        <v>713.00400000000002</v>
      </c>
      <c r="DT63" s="49">
        <v>734.52200000000005</v>
      </c>
      <c r="DU63" s="439">
        <v>728.37099999999998</v>
      </c>
      <c r="DV63" s="389"/>
      <c r="DW63" s="251"/>
      <c r="DX63" s="251"/>
      <c r="DY63" s="251"/>
      <c r="DZ63" s="251"/>
      <c r="EA63" s="251"/>
      <c r="EB63" s="251"/>
      <c r="EC63" s="251"/>
      <c r="ED63" s="68">
        <f t="shared" si="187"/>
        <v>59.775999999999954</v>
      </c>
      <c r="EE63" s="68">
        <f t="shared" si="188"/>
        <v>62.343499999999949</v>
      </c>
      <c r="EF63" s="68">
        <f t="shared" si="189"/>
        <v>64.911000000000001</v>
      </c>
      <c r="EG63" s="68">
        <f t="shared" si="190"/>
        <v>66.624000000000024</v>
      </c>
      <c r="EH63" s="68">
        <f t="shared" si="191"/>
        <v>64.229000000000042</v>
      </c>
      <c r="EI63" s="68">
        <f t="shared" si="192"/>
        <v>76.08099999999996</v>
      </c>
      <c r="EJ63" s="68">
        <f t="shared" si="193"/>
        <v>79.134000000000071</v>
      </c>
      <c r="EK63" s="68">
        <f t="shared" si="194"/>
        <v>81.605000000000018</v>
      </c>
      <c r="EL63" s="68">
        <f t="shared" si="195"/>
        <v>87.377999999999929</v>
      </c>
      <c r="EM63" s="68">
        <f t="shared" si="196"/>
        <v>81.039999999999964</v>
      </c>
      <c r="EN63" s="68">
        <f t="shared" si="197"/>
        <v>88.452000000000112</v>
      </c>
      <c r="EO63" s="68">
        <f t="shared" si="198"/>
        <v>98.802000000000021</v>
      </c>
      <c r="EP63" s="68">
        <f t="shared" si="199"/>
        <v>109.15199999999999</v>
      </c>
      <c r="EQ63" s="68">
        <f t="shared" si="200"/>
        <v>105.58450000000005</v>
      </c>
      <c r="ER63" s="68">
        <f t="shared" si="201"/>
        <v>102.01700000000005</v>
      </c>
      <c r="ES63" s="68">
        <f t="shared" si="202"/>
        <v>130.42899999999986</v>
      </c>
      <c r="ET63" s="68">
        <f t="shared" si="203"/>
        <v>145.68200000000002</v>
      </c>
      <c r="EU63" s="68">
        <f t="shared" si="204"/>
        <v>145.68200000000002</v>
      </c>
      <c r="EV63" s="68">
        <f t="shared" si="205"/>
        <v>153.76099999999997</v>
      </c>
      <c r="EW63" s="68">
        <f t="shared" si="206"/>
        <v>167.23599999999976</v>
      </c>
      <c r="EX63" s="68">
        <f t="shared" si="207"/>
        <v>178.13600000000008</v>
      </c>
      <c r="EY63" s="68">
        <f t="shared" si="208"/>
        <v>191.34699999999987</v>
      </c>
      <c r="EZ63" s="68">
        <f t="shared" si="209"/>
        <v>189.87799999999982</v>
      </c>
      <c r="FA63" s="252"/>
      <c r="FB63" s="112"/>
      <c r="FC63" s="112"/>
      <c r="FD63" s="112"/>
      <c r="FE63" s="112"/>
      <c r="FF63" s="112"/>
      <c r="FG63" s="112"/>
      <c r="FH63" s="249"/>
      <c r="FI63" s="112">
        <f>274.553+22.558+45.923+8.721+0.093</f>
        <v>351.84800000000001</v>
      </c>
      <c r="FJ63" s="158">
        <f t="shared" si="210"/>
        <v>399.47450000000003</v>
      </c>
      <c r="FK63" s="112">
        <v>447.101</v>
      </c>
      <c r="FL63" s="112">
        <v>465.00599999999997</v>
      </c>
      <c r="FM63" s="49">
        <v>522.62699999999995</v>
      </c>
      <c r="FN63" s="49">
        <v>571.11099999999999</v>
      </c>
      <c r="FO63" s="49">
        <v>577.79399999999998</v>
      </c>
      <c r="FP63" s="49">
        <v>583.93700000000001</v>
      </c>
      <c r="FQ63" s="49">
        <v>637.26300000000003</v>
      </c>
      <c r="FR63" s="49">
        <v>619.57100000000003</v>
      </c>
      <c r="FS63" s="49">
        <v>784.03899999999999</v>
      </c>
      <c r="FT63" s="158">
        <f t="shared" si="211"/>
        <v>815.51949999999999</v>
      </c>
      <c r="FU63" s="49">
        <v>847</v>
      </c>
      <c r="FV63" s="158">
        <f t="shared" si="212"/>
        <v>988.30849999999998</v>
      </c>
      <c r="FW63" s="49">
        <v>1129.617</v>
      </c>
      <c r="FX63" s="49">
        <v>1279.4929999999999</v>
      </c>
      <c r="FY63" s="49">
        <v>1396.1189999999999</v>
      </c>
      <c r="FZ63" s="49">
        <v>1395.155</v>
      </c>
      <c r="GA63" s="49">
        <v>1466.414</v>
      </c>
      <c r="GB63" s="49">
        <v>1571.8209999999999</v>
      </c>
      <c r="GC63" s="49">
        <v>1615.7729999999999</v>
      </c>
      <c r="GD63" s="49">
        <v>1680.7750000000001</v>
      </c>
      <c r="GE63" s="439">
        <v>1723.434</v>
      </c>
      <c r="GF63" s="252"/>
      <c r="GG63" s="112"/>
      <c r="GH63" s="112"/>
      <c r="GI63" s="112"/>
      <c r="GJ63" s="112"/>
      <c r="GK63" s="112"/>
      <c r="GL63" s="112"/>
      <c r="GM63" s="249"/>
      <c r="GN63" s="112">
        <f>201.028+5.612+2.087+1.423+47.678+18.11+26.88+13.504+42.125+15.385+43.513+41.21+15.803</f>
        <v>474.35799999999995</v>
      </c>
      <c r="GO63" s="158">
        <f t="shared" si="213"/>
        <v>504.03299999999996</v>
      </c>
      <c r="GP63" s="112">
        <v>533.70799999999997</v>
      </c>
      <c r="GQ63" s="112">
        <v>561.43799999999999</v>
      </c>
      <c r="GR63" s="49">
        <v>586.89800000000002</v>
      </c>
      <c r="GS63" s="49">
        <v>563.40099999999995</v>
      </c>
      <c r="GT63" s="49">
        <v>607.59199999999998</v>
      </c>
      <c r="GU63" s="49">
        <v>637.16600000000005</v>
      </c>
      <c r="GV63" s="49">
        <v>689.60799999999995</v>
      </c>
      <c r="GW63" s="49">
        <v>684.35199999999998</v>
      </c>
      <c r="GX63" s="49">
        <v>787.52099999999996</v>
      </c>
      <c r="GY63" s="158">
        <f t="shared" si="214"/>
        <v>832.73450000000003</v>
      </c>
      <c r="GZ63" s="49">
        <v>877.94799999999998</v>
      </c>
      <c r="HA63" s="158">
        <f t="shared" si="215"/>
        <v>901.66049999999996</v>
      </c>
      <c r="HB63" s="49">
        <v>925.37300000000005</v>
      </c>
      <c r="HC63" s="49">
        <v>1029.1790000000001</v>
      </c>
      <c r="HD63" s="49">
        <v>1127.865</v>
      </c>
      <c r="HE63" s="49">
        <v>1125.463</v>
      </c>
      <c r="HF63" s="49">
        <v>1131.9570000000001</v>
      </c>
      <c r="HG63" s="49">
        <v>1182.463</v>
      </c>
      <c r="HH63" s="49">
        <v>1293.6759999999999</v>
      </c>
      <c r="HI63" s="49">
        <v>1457.32</v>
      </c>
      <c r="HJ63" s="439">
        <v>1492.32</v>
      </c>
      <c r="HK63" s="252"/>
      <c r="HL63" s="112"/>
      <c r="HM63" s="112"/>
      <c r="HN63" s="112"/>
      <c r="HO63" s="112"/>
      <c r="HP63" s="112"/>
      <c r="HQ63" s="112"/>
      <c r="HR63" s="249"/>
      <c r="HS63" s="112">
        <f>46.476+24.768+45.616+15.845</f>
        <v>132.70500000000001</v>
      </c>
      <c r="HT63" s="158">
        <f t="shared" si="216"/>
        <v>131.68650000000002</v>
      </c>
      <c r="HU63" s="112">
        <v>130.66800000000001</v>
      </c>
      <c r="HV63" s="112">
        <v>126.911</v>
      </c>
      <c r="HW63" s="49">
        <v>154.83500000000001</v>
      </c>
      <c r="HX63" s="49">
        <v>155.30199999999999</v>
      </c>
      <c r="HY63" s="49">
        <v>154.934</v>
      </c>
      <c r="HZ63" s="49">
        <v>161.886</v>
      </c>
      <c r="IA63" s="49">
        <v>193.06899999999999</v>
      </c>
      <c r="IB63" s="49">
        <v>193.86</v>
      </c>
      <c r="IC63" s="49">
        <v>188.20500000000001</v>
      </c>
      <c r="ID63" s="158">
        <f t="shared" si="217"/>
        <v>221.38650000000001</v>
      </c>
      <c r="IE63" s="49">
        <v>254.56800000000001</v>
      </c>
      <c r="IF63" s="158">
        <f t="shared" si="218"/>
        <v>228.97250000000003</v>
      </c>
      <c r="IG63" s="49">
        <v>203.37700000000001</v>
      </c>
      <c r="IH63" s="49">
        <v>220.43799999999999</v>
      </c>
      <c r="II63" s="49">
        <v>241.523</v>
      </c>
      <c r="IJ63" s="49">
        <v>241.64699999999999</v>
      </c>
      <c r="IK63" s="49">
        <v>246.14</v>
      </c>
      <c r="IL63" s="49">
        <v>253.23699999999999</v>
      </c>
      <c r="IM63" s="49">
        <v>218.292</v>
      </c>
      <c r="IN63" s="49">
        <v>233.24600000000001</v>
      </c>
      <c r="IO63" s="439">
        <v>236.374</v>
      </c>
      <c r="IP63" s="248"/>
      <c r="IQ63" s="112"/>
      <c r="IR63" s="112"/>
      <c r="IS63" s="112"/>
      <c r="IT63" s="112"/>
      <c r="IU63" s="112"/>
      <c r="IV63" s="112"/>
      <c r="IW63" s="249"/>
      <c r="IX63" s="112">
        <f>110.422+108.692</f>
        <v>219.11399999999998</v>
      </c>
      <c r="IY63" s="158">
        <f t="shared" si="219"/>
        <v>235.077</v>
      </c>
      <c r="IZ63" s="112">
        <v>251.04</v>
      </c>
      <c r="JA63" s="112">
        <v>220.815</v>
      </c>
      <c r="JB63" s="48">
        <v>214.00200000000001</v>
      </c>
      <c r="JC63" s="48">
        <v>230.46199999999999</v>
      </c>
      <c r="JD63" s="48">
        <v>246.29900000000001</v>
      </c>
      <c r="JE63" s="48">
        <v>268.64100000000002</v>
      </c>
      <c r="JF63" s="74">
        <v>318.81200000000001</v>
      </c>
      <c r="JG63" s="74">
        <v>298.67500000000001</v>
      </c>
      <c r="JH63" s="74">
        <v>354.99799999999999</v>
      </c>
      <c r="JI63" s="158">
        <f t="shared" si="220"/>
        <v>358.0095</v>
      </c>
      <c r="JJ63" s="74">
        <v>361.02100000000002</v>
      </c>
      <c r="JK63" s="158">
        <f t="shared" si="221"/>
        <v>362.68900000000002</v>
      </c>
      <c r="JL63" s="74">
        <v>364.35700000000003</v>
      </c>
      <c r="JM63" s="74">
        <v>280.108</v>
      </c>
      <c r="JN63" s="74">
        <v>339.00700000000001</v>
      </c>
      <c r="JO63" s="49">
        <v>339.24900000000002</v>
      </c>
      <c r="JP63" s="49">
        <v>359.57799999999997</v>
      </c>
      <c r="JQ63" s="49">
        <v>358.74700000000001</v>
      </c>
      <c r="JR63" s="49">
        <v>393.839</v>
      </c>
      <c r="JS63" s="26">
        <v>405.09399999999999</v>
      </c>
      <c r="JT63" s="450">
        <v>389.51600000000002</v>
      </c>
    </row>
    <row r="64" spans="1:280" s="26" customFormat="1" ht="12.75" customHeight="1">
      <c r="A64" s="254" t="s">
        <v>133</v>
      </c>
      <c r="B64" s="255"/>
      <c r="C64" s="255"/>
      <c r="D64" s="255"/>
      <c r="E64" s="255"/>
      <c r="F64" s="255"/>
      <c r="G64" s="255"/>
      <c r="H64" s="255"/>
      <c r="I64" s="255"/>
      <c r="J64" s="255">
        <v>4019.8139999999999</v>
      </c>
      <c r="K64" s="256">
        <f t="shared" si="175"/>
        <v>4221.5704999999998</v>
      </c>
      <c r="L64" s="255">
        <v>4423.3270000000002</v>
      </c>
      <c r="M64" s="255">
        <v>4472.0990000000002</v>
      </c>
      <c r="N64" s="257">
        <v>4576.3599999999997</v>
      </c>
      <c r="O64" s="258">
        <v>4303.4769999999999</v>
      </c>
      <c r="P64" s="258">
        <v>4183.5219999999999</v>
      </c>
      <c r="Q64" s="258">
        <v>4335.7659999999996</v>
      </c>
      <c r="R64" s="258">
        <v>4453.7020000000002</v>
      </c>
      <c r="S64" s="258">
        <v>4629.68</v>
      </c>
      <c r="T64" s="258">
        <v>5151.97</v>
      </c>
      <c r="U64" s="256">
        <f t="shared" si="176"/>
        <v>5665.7915000000003</v>
      </c>
      <c r="V64" s="258">
        <v>6179.6130000000003</v>
      </c>
      <c r="W64" s="256">
        <f t="shared" si="177"/>
        <v>6451.192</v>
      </c>
      <c r="X64" s="258">
        <v>6722.7709999999997</v>
      </c>
      <c r="Y64" s="258">
        <v>7244.3050000000003</v>
      </c>
      <c r="Z64" s="258">
        <v>8061.473</v>
      </c>
      <c r="AA64" s="258">
        <v>8480.4349999999995</v>
      </c>
      <c r="AB64" s="258">
        <v>10676.98</v>
      </c>
      <c r="AC64" s="258">
        <v>10137.626</v>
      </c>
      <c r="AD64" s="258">
        <v>10780.681</v>
      </c>
      <c r="AE64" s="258">
        <v>10385.492</v>
      </c>
      <c r="AF64" s="438">
        <v>10765.049000000001</v>
      </c>
      <c r="AG64" s="381"/>
      <c r="AH64" s="255"/>
      <c r="AI64" s="255"/>
      <c r="AJ64" s="255"/>
      <c r="AK64" s="255"/>
      <c r="AL64" s="255"/>
      <c r="AM64" s="255"/>
      <c r="AN64" s="255"/>
      <c r="AO64" s="255">
        <f>673.898+19.516</f>
        <v>693.41399999999999</v>
      </c>
      <c r="AP64" s="256">
        <f t="shared" si="178"/>
        <v>729.07600000000002</v>
      </c>
      <c r="AQ64" s="259">
        <v>764.73800000000006</v>
      </c>
      <c r="AR64" s="258">
        <v>740.86500000000001</v>
      </c>
      <c r="AS64" s="258">
        <v>763.471</v>
      </c>
      <c r="AT64" s="258">
        <v>727.28499999999997</v>
      </c>
      <c r="AU64" s="258">
        <v>689.44399999999996</v>
      </c>
      <c r="AV64" s="258">
        <v>694.79399999999998</v>
      </c>
      <c r="AW64" s="258">
        <v>776.69600000000003</v>
      </c>
      <c r="AX64" s="258">
        <v>800.12</v>
      </c>
      <c r="AY64" s="258">
        <v>994.48299999999995</v>
      </c>
      <c r="AZ64" s="256">
        <f t="shared" si="179"/>
        <v>1097.9380000000001</v>
      </c>
      <c r="BA64" s="258">
        <v>1201.393</v>
      </c>
      <c r="BB64" s="256">
        <f t="shared" si="180"/>
        <v>1299.155</v>
      </c>
      <c r="BC64" s="258">
        <v>1396.9169999999999</v>
      </c>
      <c r="BD64" s="258">
        <v>1364.2850000000001</v>
      </c>
      <c r="BE64" s="258">
        <v>1538.71</v>
      </c>
      <c r="BF64" s="258">
        <v>1591.5889999999999</v>
      </c>
      <c r="BG64" s="258">
        <v>2286.895</v>
      </c>
      <c r="BH64" s="258">
        <v>2288.5650000000001</v>
      </c>
      <c r="BI64" s="258">
        <v>2486.3139999999999</v>
      </c>
      <c r="BJ64" s="258">
        <v>2420.0279999999998</v>
      </c>
      <c r="BK64" s="438">
        <v>2437.1529999999998</v>
      </c>
      <c r="BL64" s="385"/>
      <c r="BM64" s="260"/>
      <c r="BN64" s="260"/>
      <c r="BO64" s="260"/>
      <c r="BP64" s="260"/>
      <c r="BQ64" s="260"/>
      <c r="BR64" s="260"/>
      <c r="BS64" s="261"/>
      <c r="BT64" s="260">
        <v>573.16300000000001</v>
      </c>
      <c r="BU64" s="256">
        <f t="shared" si="181"/>
        <v>598.45600000000002</v>
      </c>
      <c r="BV64" s="260">
        <v>623.74900000000002</v>
      </c>
      <c r="BW64" s="258">
        <v>620.47400000000005</v>
      </c>
      <c r="BX64" s="258">
        <v>639.45699999999999</v>
      </c>
      <c r="BY64" s="258">
        <v>614.553</v>
      </c>
      <c r="BZ64" s="258">
        <v>596.82100000000003</v>
      </c>
      <c r="CA64" s="258">
        <v>598</v>
      </c>
      <c r="CB64" s="258">
        <v>689.96900000000005</v>
      </c>
      <c r="CC64" s="258">
        <v>694.34500000000003</v>
      </c>
      <c r="CD64" s="258">
        <v>888.947</v>
      </c>
      <c r="CE64" s="256">
        <f t="shared" si="182"/>
        <v>992.19800000000009</v>
      </c>
      <c r="CF64" s="258">
        <v>1095.4490000000001</v>
      </c>
      <c r="CG64" s="256">
        <f t="shared" si="183"/>
        <v>1181.4225000000001</v>
      </c>
      <c r="CH64" s="258">
        <v>1267.396</v>
      </c>
      <c r="CI64" s="258">
        <v>1234.7639999999999</v>
      </c>
      <c r="CJ64" s="258">
        <v>1390.328</v>
      </c>
      <c r="CK64" s="258">
        <v>1423.2439999999999</v>
      </c>
      <c r="CL64" s="258">
        <v>2097.944</v>
      </c>
      <c r="CM64" s="258">
        <v>2084.348</v>
      </c>
      <c r="CN64" s="258">
        <v>2224.0369999999998</v>
      </c>
      <c r="CO64" s="258">
        <v>2174.6260000000002</v>
      </c>
      <c r="CP64" s="438">
        <v>2201.1709999999998</v>
      </c>
      <c r="CQ64" s="385"/>
      <c r="CR64" s="260"/>
      <c r="CS64" s="260"/>
      <c r="CT64" s="260"/>
      <c r="CU64" s="260"/>
      <c r="CV64" s="260"/>
      <c r="CW64" s="260"/>
      <c r="CX64" s="261"/>
      <c r="CY64" s="260">
        <v>100.735</v>
      </c>
      <c r="CZ64" s="256">
        <f t="shared" si="184"/>
        <v>109.93899999999999</v>
      </c>
      <c r="DA64" s="260">
        <f>119143/1000</f>
        <v>119.143</v>
      </c>
      <c r="DB64" s="258">
        <v>99.83</v>
      </c>
      <c r="DC64" s="258">
        <v>101.694</v>
      </c>
      <c r="DD64" s="258">
        <v>91.817999999999998</v>
      </c>
      <c r="DE64" s="258">
        <v>72.239999999999995</v>
      </c>
      <c r="DF64" s="258">
        <v>75.088999999999999</v>
      </c>
      <c r="DG64" s="258">
        <v>65.302999999999997</v>
      </c>
      <c r="DH64" s="258">
        <v>82.427999999999997</v>
      </c>
      <c r="DI64" s="258">
        <v>80.406000000000006</v>
      </c>
      <c r="DJ64" s="256">
        <f t="shared" si="185"/>
        <v>79.849000000000004</v>
      </c>
      <c r="DK64" s="258">
        <v>79.292000000000002</v>
      </c>
      <c r="DL64" s="256">
        <f t="shared" si="186"/>
        <v>90.411500000000004</v>
      </c>
      <c r="DM64" s="258">
        <v>101.53100000000001</v>
      </c>
      <c r="DN64" s="258">
        <v>101.53100000000001</v>
      </c>
      <c r="DO64" s="258">
        <v>112.40300000000001</v>
      </c>
      <c r="DP64" s="258">
        <v>123.038</v>
      </c>
      <c r="DQ64" s="258">
        <v>128.702</v>
      </c>
      <c r="DR64" s="258">
        <v>132.559</v>
      </c>
      <c r="DS64" s="258">
        <v>155.96100000000001</v>
      </c>
      <c r="DT64" s="258">
        <v>167.678</v>
      </c>
      <c r="DU64" s="438">
        <v>170.483</v>
      </c>
      <c r="DV64" s="390"/>
      <c r="DW64" s="263"/>
      <c r="DX64" s="263"/>
      <c r="DY64" s="263"/>
      <c r="DZ64" s="263"/>
      <c r="EA64" s="263"/>
      <c r="EB64" s="263"/>
      <c r="EC64" s="263"/>
      <c r="ED64" s="262">
        <f t="shared" si="187"/>
        <v>19.515999999999977</v>
      </c>
      <c r="EE64" s="262">
        <f t="shared" si="188"/>
        <v>20.681000000000012</v>
      </c>
      <c r="EF64" s="262">
        <f t="shared" si="189"/>
        <v>21.846000000000032</v>
      </c>
      <c r="EG64" s="262">
        <f t="shared" si="190"/>
        <v>20.560999999999964</v>
      </c>
      <c r="EH64" s="262">
        <f t="shared" si="191"/>
        <v>22.320000000000007</v>
      </c>
      <c r="EI64" s="262">
        <f t="shared" si="192"/>
        <v>20.913999999999973</v>
      </c>
      <c r="EJ64" s="262">
        <f t="shared" si="193"/>
        <v>20.382999999999939</v>
      </c>
      <c r="EK64" s="262">
        <f t="shared" si="194"/>
        <v>21.704999999999984</v>
      </c>
      <c r="EL64" s="262">
        <f t="shared" si="195"/>
        <v>21.423999999999978</v>
      </c>
      <c r="EM64" s="262">
        <f t="shared" si="196"/>
        <v>23.34699999999998</v>
      </c>
      <c r="EN64" s="262">
        <f t="shared" si="197"/>
        <v>25.129999999999939</v>
      </c>
      <c r="EO64" s="262">
        <f t="shared" si="198"/>
        <v>25.891000000000005</v>
      </c>
      <c r="EP64" s="262">
        <f t="shared" si="199"/>
        <v>26.651999999999958</v>
      </c>
      <c r="EQ64" s="262">
        <f t="shared" si="200"/>
        <v>27.320999999999842</v>
      </c>
      <c r="ER64" s="262">
        <f t="shared" si="201"/>
        <v>27.989999999999952</v>
      </c>
      <c r="ES64" s="262">
        <f t="shared" si="202"/>
        <v>27.99000000000018</v>
      </c>
      <c r="ET64" s="262">
        <f t="shared" si="203"/>
        <v>35.979000000000056</v>
      </c>
      <c r="EU64" s="262">
        <f t="shared" si="204"/>
        <v>45.307000000000031</v>
      </c>
      <c r="EV64" s="262">
        <f t="shared" si="205"/>
        <v>60.249000000000024</v>
      </c>
      <c r="EW64" s="262">
        <f t="shared" si="206"/>
        <v>71.658000000000101</v>
      </c>
      <c r="EX64" s="262">
        <f t="shared" si="207"/>
        <v>106.31600000000003</v>
      </c>
      <c r="EY64" s="262">
        <f t="shared" si="208"/>
        <v>77.723999999999592</v>
      </c>
      <c r="EZ64" s="262">
        <f t="shared" si="209"/>
        <v>65.498999999999967</v>
      </c>
      <c r="FA64" s="385"/>
      <c r="FB64" s="260"/>
      <c r="FC64" s="260"/>
      <c r="FD64" s="260"/>
      <c r="FE64" s="260"/>
      <c r="FF64" s="260"/>
      <c r="FG64" s="260"/>
      <c r="FH64" s="261"/>
      <c r="FI64" s="260">
        <f>672.426+286.312+156.704+11.035</f>
        <v>1126.4770000000001</v>
      </c>
      <c r="FJ64" s="256">
        <f t="shared" si="210"/>
        <v>1274.037</v>
      </c>
      <c r="FK64" s="260">
        <v>1421.597</v>
      </c>
      <c r="FL64" s="258">
        <v>1516.5609999999999</v>
      </c>
      <c r="FM64" s="258">
        <v>1621.5889999999999</v>
      </c>
      <c r="FN64" s="258">
        <v>1576.396</v>
      </c>
      <c r="FO64" s="258">
        <v>1616.71</v>
      </c>
      <c r="FP64" s="258">
        <v>1641.556</v>
      </c>
      <c r="FQ64" s="258">
        <v>1642.373</v>
      </c>
      <c r="FR64" s="258">
        <v>1761.7729999999999</v>
      </c>
      <c r="FS64" s="258">
        <v>1892.056</v>
      </c>
      <c r="FT64" s="256">
        <f t="shared" si="211"/>
        <v>1959.2330000000002</v>
      </c>
      <c r="FU64" s="258">
        <v>2026.41</v>
      </c>
      <c r="FV64" s="256">
        <f t="shared" si="212"/>
        <v>2283.7440000000001</v>
      </c>
      <c r="FW64" s="258">
        <v>2541.078</v>
      </c>
      <c r="FX64" s="258">
        <v>2412.1370000000002</v>
      </c>
      <c r="FY64" s="258">
        <v>2515.1080000000002</v>
      </c>
      <c r="FZ64" s="258">
        <v>2700.7020000000002</v>
      </c>
      <c r="GA64" s="258">
        <v>3217.2640000000001</v>
      </c>
      <c r="GB64" s="258">
        <v>3279.7310000000002</v>
      </c>
      <c r="GC64" s="258">
        <v>3347.1759999999999</v>
      </c>
      <c r="GD64" s="258">
        <v>3496.4639999999999</v>
      </c>
      <c r="GE64" s="438">
        <v>3589.2</v>
      </c>
      <c r="GF64" s="385"/>
      <c r="GG64" s="260"/>
      <c r="GH64" s="260"/>
      <c r="GI64" s="260"/>
      <c r="GJ64" s="260"/>
      <c r="GK64" s="260"/>
      <c r="GL64" s="260"/>
      <c r="GM64" s="261"/>
      <c r="GN64" s="260">
        <f>124.466+1.216+275.728+97.623+400.71+49.536+60.116+246.694+128.868+40.868</f>
        <v>1425.8249999999998</v>
      </c>
      <c r="GO64" s="256">
        <f t="shared" si="213"/>
        <v>1365.5695000000001</v>
      </c>
      <c r="GP64" s="260">
        <v>1305.3140000000001</v>
      </c>
      <c r="GQ64" s="258">
        <v>1315.7639999999999</v>
      </c>
      <c r="GR64" s="258">
        <v>1346.797</v>
      </c>
      <c r="GS64" s="258">
        <v>1181.008</v>
      </c>
      <c r="GT64" s="258">
        <v>1053.5419999999999</v>
      </c>
      <c r="GU64" s="258">
        <v>1180.8779999999999</v>
      </c>
      <c r="GV64" s="258">
        <v>1229.72</v>
      </c>
      <c r="GW64" s="258">
        <v>1236.6179999999999</v>
      </c>
      <c r="GX64" s="258">
        <v>1412.58</v>
      </c>
      <c r="GY64" s="256">
        <f t="shared" si="214"/>
        <v>1445.5034999999998</v>
      </c>
      <c r="GZ64" s="258">
        <v>1478.4269999999999</v>
      </c>
      <c r="HA64" s="256">
        <f t="shared" si="215"/>
        <v>1562.5474999999999</v>
      </c>
      <c r="HB64" s="258">
        <v>1646.6679999999999</v>
      </c>
      <c r="HC64" s="258">
        <v>1649.5250000000001</v>
      </c>
      <c r="HD64" s="258">
        <v>2466.4940000000001</v>
      </c>
      <c r="HE64" s="258">
        <v>2454.0340000000001</v>
      </c>
      <c r="HF64" s="258">
        <v>3354.7379999999998</v>
      </c>
      <c r="HG64" s="258">
        <v>2812.0059999999999</v>
      </c>
      <c r="HH64" s="258">
        <v>3170.1489999999999</v>
      </c>
      <c r="HI64" s="258">
        <v>2859.2190000000001</v>
      </c>
      <c r="HJ64" s="438">
        <v>3041.4059999999999</v>
      </c>
      <c r="HK64" s="385"/>
      <c r="HL64" s="260"/>
      <c r="HM64" s="260"/>
      <c r="HN64" s="260"/>
      <c r="HO64" s="260"/>
      <c r="HP64" s="260"/>
      <c r="HQ64" s="260"/>
      <c r="HR64" s="261"/>
      <c r="HS64" s="260">
        <f>53.816+122.207+50.243+37.074</f>
        <v>263.33999999999997</v>
      </c>
      <c r="HT64" s="256">
        <f t="shared" si="216"/>
        <v>265.84249999999997</v>
      </c>
      <c r="HU64" s="260">
        <v>268.34500000000003</v>
      </c>
      <c r="HV64" s="258">
        <v>278.41199999999998</v>
      </c>
      <c r="HW64" s="258">
        <v>294.42</v>
      </c>
      <c r="HX64" s="258">
        <v>276.709</v>
      </c>
      <c r="HY64" s="258">
        <v>308.94900000000001</v>
      </c>
      <c r="HZ64" s="258">
        <v>304.755</v>
      </c>
      <c r="IA64" s="258">
        <v>300.36099999999999</v>
      </c>
      <c r="IB64" s="258">
        <v>388.07499999999999</v>
      </c>
      <c r="IC64" s="258">
        <v>319.923</v>
      </c>
      <c r="ID64" s="256">
        <f t="shared" si="217"/>
        <v>351.38350000000003</v>
      </c>
      <c r="IE64" s="258">
        <v>382.84399999999999</v>
      </c>
      <c r="IF64" s="256">
        <f t="shared" si="218"/>
        <v>414.10500000000002</v>
      </c>
      <c r="IG64" s="258">
        <v>445.36599999999999</v>
      </c>
      <c r="IH64" s="258">
        <v>416.92700000000002</v>
      </c>
      <c r="II64" s="258">
        <v>454.73500000000001</v>
      </c>
      <c r="IJ64" s="258">
        <v>528.18299999999999</v>
      </c>
      <c r="IK64" s="258">
        <v>505.70699999999999</v>
      </c>
      <c r="IL64" s="258">
        <v>608.827</v>
      </c>
      <c r="IM64" s="258">
        <v>619.38800000000003</v>
      </c>
      <c r="IN64" s="258">
        <v>501.399</v>
      </c>
      <c r="IO64" s="438">
        <v>440.06400000000002</v>
      </c>
      <c r="IP64" s="264"/>
      <c r="IQ64" s="260"/>
      <c r="IR64" s="260"/>
      <c r="IS64" s="260"/>
      <c r="IT64" s="260"/>
      <c r="IU64" s="260"/>
      <c r="IV64" s="260"/>
      <c r="IW64" s="261"/>
      <c r="IX64" s="260">
        <f>215.504+0.74+294.514</f>
        <v>510.75800000000004</v>
      </c>
      <c r="IY64" s="256">
        <f t="shared" si="219"/>
        <v>587.04549999999995</v>
      </c>
      <c r="IZ64" s="260">
        <v>663.33299999999997</v>
      </c>
      <c r="JA64" s="258">
        <v>620.49699999999996</v>
      </c>
      <c r="JB64" s="265">
        <v>550.08299999999997</v>
      </c>
      <c r="JC64" s="265">
        <v>542.07899999999995</v>
      </c>
      <c r="JD64" s="265">
        <v>514.87699999999995</v>
      </c>
      <c r="JE64" s="265">
        <v>513.78300000000002</v>
      </c>
      <c r="JF64" s="255">
        <v>504.55200000000002</v>
      </c>
      <c r="JG64" s="255">
        <v>443.09399999999999</v>
      </c>
      <c r="JH64" s="255">
        <v>532.928</v>
      </c>
      <c r="JI64" s="256">
        <f t="shared" si="220"/>
        <v>811.73350000000005</v>
      </c>
      <c r="JJ64" s="255">
        <v>1090.539</v>
      </c>
      <c r="JK64" s="256">
        <f t="shared" si="221"/>
        <v>891.64049999999997</v>
      </c>
      <c r="JL64" s="255">
        <v>692.74199999999996</v>
      </c>
      <c r="JM64" s="255">
        <v>1401.431</v>
      </c>
      <c r="JN64" s="255">
        <v>1086.4259999999999</v>
      </c>
      <c r="JO64" s="258">
        <v>1205.9269999999999</v>
      </c>
      <c r="JP64" s="258">
        <v>1312.376</v>
      </c>
      <c r="JQ64" s="258">
        <v>1148.4970000000001</v>
      </c>
      <c r="JR64" s="258">
        <v>1157.654</v>
      </c>
      <c r="JS64" s="417">
        <v>1108.3820000000001</v>
      </c>
      <c r="JT64" s="453">
        <v>1257.2260000000001</v>
      </c>
    </row>
    <row r="65" spans="1:280" s="26" customFormat="1" ht="12.75" customHeight="1">
      <c r="A65" s="224"/>
      <c r="K65" s="233"/>
      <c r="N65" s="234"/>
      <c r="O65" s="33"/>
      <c r="P65" s="33"/>
      <c r="Q65" s="33"/>
      <c r="R65" s="33"/>
      <c r="S65" s="33"/>
      <c r="T65" s="33"/>
      <c r="U65" s="233"/>
      <c r="V65" s="33"/>
      <c r="W65" s="233"/>
      <c r="X65" s="33"/>
      <c r="Y65" s="33"/>
      <c r="Z65" s="33"/>
      <c r="AA65" s="33"/>
      <c r="AB65" s="33"/>
      <c r="AC65" s="33"/>
      <c r="AD65" s="33"/>
      <c r="AE65" s="33"/>
      <c r="AF65" s="440"/>
      <c r="AG65" s="382"/>
      <c r="AP65" s="233"/>
      <c r="AQ65" s="77"/>
      <c r="AR65" s="33"/>
      <c r="AS65" s="33"/>
      <c r="AT65" s="33"/>
      <c r="AU65" s="33"/>
      <c r="AV65" s="33"/>
      <c r="AW65" s="33"/>
      <c r="AX65" s="33"/>
      <c r="AY65" s="33"/>
      <c r="AZ65" s="233"/>
      <c r="BA65" s="33"/>
      <c r="BB65" s="2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217"/>
      <c r="BN65" s="217"/>
      <c r="BO65" s="217"/>
      <c r="BP65" s="217"/>
      <c r="BQ65" s="217"/>
      <c r="BR65" s="217"/>
      <c r="BS65" s="217"/>
      <c r="BT65" s="217"/>
      <c r="BU65" s="233"/>
      <c r="BV65" s="217"/>
      <c r="BW65" s="33"/>
      <c r="BX65" s="33"/>
      <c r="BY65" s="33"/>
      <c r="BZ65" s="33"/>
      <c r="CA65" s="33"/>
      <c r="CB65" s="33"/>
      <c r="CC65" s="33"/>
      <c r="CD65" s="33"/>
      <c r="CE65" s="233"/>
      <c r="CF65" s="33"/>
      <c r="CG65" s="2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217"/>
      <c r="CS65" s="217"/>
      <c r="CT65" s="217"/>
      <c r="CU65" s="217"/>
      <c r="CV65" s="217"/>
      <c r="CW65" s="217"/>
      <c r="CX65" s="217"/>
      <c r="CY65" s="217"/>
      <c r="CZ65" s="233"/>
      <c r="DA65" s="217"/>
      <c r="DB65" s="33"/>
      <c r="DC65" s="33"/>
      <c r="DD65" s="33"/>
      <c r="DE65" s="33"/>
      <c r="DF65" s="33"/>
      <c r="DG65" s="33"/>
      <c r="DH65" s="33"/>
      <c r="DI65" s="33"/>
      <c r="DJ65" s="233"/>
      <c r="DK65" s="33"/>
      <c r="DL65" s="2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217"/>
      <c r="DX65" s="217"/>
      <c r="DY65" s="217"/>
      <c r="DZ65" s="217"/>
      <c r="EA65" s="217"/>
      <c r="EB65" s="217"/>
      <c r="EC65" s="217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217"/>
      <c r="FC65" s="217"/>
      <c r="FD65" s="217"/>
      <c r="FE65" s="217"/>
      <c r="FF65" s="217"/>
      <c r="FG65" s="217"/>
      <c r="FH65" s="217"/>
      <c r="FI65" s="217"/>
      <c r="FJ65" s="233"/>
      <c r="FK65" s="217"/>
      <c r="FL65" s="33"/>
      <c r="FM65" s="33"/>
      <c r="FN65" s="33"/>
      <c r="FO65" s="33"/>
      <c r="FP65" s="33"/>
      <c r="FQ65" s="33"/>
      <c r="FR65" s="33"/>
      <c r="FS65" s="33"/>
      <c r="FT65" s="233"/>
      <c r="FU65" s="33"/>
      <c r="FV65" s="2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217"/>
      <c r="GH65" s="217"/>
      <c r="GI65" s="217"/>
      <c r="GJ65" s="217"/>
      <c r="GK65" s="217"/>
      <c r="GL65" s="217"/>
      <c r="GM65" s="217"/>
      <c r="GN65" s="217"/>
      <c r="GO65" s="233"/>
      <c r="GP65" s="217"/>
      <c r="GQ65" s="33"/>
      <c r="GR65" s="33"/>
      <c r="GS65" s="33"/>
      <c r="GT65" s="33"/>
      <c r="GU65" s="33"/>
      <c r="GV65" s="33"/>
      <c r="GW65" s="33"/>
      <c r="GX65" s="33"/>
      <c r="GY65" s="233"/>
      <c r="GZ65" s="33"/>
      <c r="HA65" s="2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217"/>
      <c r="HM65" s="217"/>
      <c r="HN65" s="217"/>
      <c r="HO65" s="217"/>
      <c r="HP65" s="217"/>
      <c r="HQ65" s="217"/>
      <c r="HR65" s="217"/>
      <c r="HS65" s="217"/>
      <c r="HT65" s="233"/>
      <c r="HU65" s="217"/>
      <c r="HV65" s="33"/>
      <c r="HW65" s="33"/>
      <c r="HX65" s="33"/>
      <c r="HY65" s="33"/>
      <c r="HZ65" s="33"/>
      <c r="IA65" s="33"/>
      <c r="IB65" s="33"/>
      <c r="IC65" s="33"/>
      <c r="ID65" s="233"/>
      <c r="IE65" s="33"/>
      <c r="IF65" s="233"/>
      <c r="IG65" s="33"/>
      <c r="IH65" s="33"/>
      <c r="II65" s="33"/>
      <c r="IJ65" s="33"/>
      <c r="IK65" s="33"/>
      <c r="IL65" s="33"/>
      <c r="IM65" s="33"/>
      <c r="IN65" s="33"/>
      <c r="IO65" s="33"/>
      <c r="IP65" s="46"/>
      <c r="IQ65" s="217"/>
      <c r="IR65" s="217"/>
      <c r="IS65" s="217"/>
      <c r="IT65" s="217"/>
      <c r="IU65" s="217"/>
      <c r="IV65" s="217"/>
      <c r="IW65" s="217"/>
      <c r="IX65" s="217"/>
      <c r="IY65" s="233"/>
      <c r="IZ65" s="217"/>
      <c r="JA65" s="33"/>
      <c r="JB65" s="42"/>
      <c r="JC65" s="42"/>
      <c r="JD65" s="42"/>
      <c r="JE65" s="42"/>
      <c r="JI65" s="233"/>
      <c r="JK65" s="233"/>
      <c r="JO65" s="33"/>
      <c r="JP65" s="33"/>
      <c r="JQ65" s="33"/>
      <c r="JR65" s="33"/>
      <c r="JS65" s="382"/>
      <c r="JT65" s="382"/>
    </row>
    <row r="66" spans="1:280" s="17" customFormat="1" ht="255" customHeight="1">
      <c r="A66" s="224"/>
      <c r="B66" s="239" t="s">
        <v>129</v>
      </c>
      <c r="C66" s="239" t="s">
        <v>128</v>
      </c>
      <c r="D66" s="239" t="s">
        <v>127</v>
      </c>
      <c r="E66" s="239" t="s">
        <v>126</v>
      </c>
      <c r="F66" s="239" t="s">
        <v>125</v>
      </c>
      <c r="G66" s="239" t="s">
        <v>124</v>
      </c>
      <c r="H66" s="239" t="s">
        <v>123</v>
      </c>
      <c r="I66" s="239" t="s">
        <v>122</v>
      </c>
      <c r="J66" s="239" t="s">
        <v>121</v>
      </c>
      <c r="K66" s="240"/>
      <c r="L66" s="239" t="s">
        <v>120</v>
      </c>
      <c r="M66" s="239" t="s">
        <v>119</v>
      </c>
      <c r="N66" s="239" t="s">
        <v>118</v>
      </c>
      <c r="O66" s="239" t="s">
        <v>117</v>
      </c>
      <c r="P66" s="239" t="s">
        <v>116</v>
      </c>
      <c r="Q66" s="239" t="s">
        <v>115</v>
      </c>
      <c r="R66" s="239" t="s">
        <v>114</v>
      </c>
      <c r="S66" s="239" t="s">
        <v>113</v>
      </c>
      <c r="T66" s="239" t="s">
        <v>112</v>
      </c>
      <c r="U66" s="241"/>
      <c r="V66" s="239" t="s">
        <v>111</v>
      </c>
      <c r="W66" s="241"/>
      <c r="X66" s="239" t="s">
        <v>110</v>
      </c>
      <c r="Y66" s="239" t="s">
        <v>109</v>
      </c>
      <c r="Z66" s="239" t="s">
        <v>108</v>
      </c>
      <c r="AA66" s="239" t="s">
        <v>132</v>
      </c>
      <c r="AB66" s="239" t="s">
        <v>131</v>
      </c>
      <c r="AC66" s="239" t="s">
        <v>144</v>
      </c>
      <c r="AD66" s="239" t="s">
        <v>147</v>
      </c>
      <c r="AE66" s="436" t="s">
        <v>151</v>
      </c>
      <c r="AF66" s="435" t="s">
        <v>153</v>
      </c>
      <c r="AG66" s="29"/>
      <c r="AH66" s="237"/>
      <c r="AI66" s="237"/>
      <c r="AJ66" s="237"/>
      <c r="AK66" s="237"/>
      <c r="AL66" s="237"/>
      <c r="AM66" s="237"/>
      <c r="AN66" s="242"/>
      <c r="AO66" s="237"/>
      <c r="AP66" s="240"/>
      <c r="AQ66" s="30"/>
      <c r="AR66" s="16"/>
      <c r="AS66" s="16"/>
      <c r="AT66" s="16"/>
      <c r="AU66" s="16"/>
      <c r="AV66" s="16"/>
      <c r="AW66" s="16"/>
      <c r="AX66" s="16"/>
      <c r="AY66" s="16"/>
      <c r="AZ66" s="240"/>
      <c r="BA66" s="29"/>
      <c r="BB66" s="240"/>
      <c r="BC66" s="29"/>
      <c r="BD66" s="29"/>
      <c r="BE66" s="29"/>
      <c r="BF66" s="241"/>
      <c r="BG66" s="241"/>
      <c r="BH66" s="241"/>
      <c r="BI66" s="241"/>
      <c r="BJ66" s="241"/>
      <c r="BK66" s="241"/>
      <c r="BL66" s="16"/>
      <c r="BM66" s="16"/>
      <c r="BN66" s="16"/>
      <c r="BO66" s="16"/>
      <c r="BP66" s="16"/>
      <c r="BQ66" s="16"/>
      <c r="BR66" s="16"/>
      <c r="BS66" s="25"/>
      <c r="BT66" s="16"/>
      <c r="BU66" s="240"/>
      <c r="BV66" s="16"/>
      <c r="BW66" s="16"/>
      <c r="BX66" s="16"/>
      <c r="BY66" s="16"/>
      <c r="BZ66" s="16"/>
      <c r="CA66" s="16"/>
      <c r="CB66" s="16"/>
      <c r="CC66" s="16"/>
      <c r="CD66" s="16"/>
      <c r="CE66" s="240"/>
      <c r="CF66" s="29"/>
      <c r="CG66" s="240"/>
      <c r="CH66" s="29"/>
      <c r="CI66" s="29"/>
      <c r="CJ66" s="29"/>
      <c r="CK66" s="241"/>
      <c r="CL66" s="241"/>
      <c r="CM66" s="241"/>
      <c r="CN66" s="241"/>
      <c r="CO66" s="241"/>
      <c r="CP66" s="241"/>
      <c r="CQ66" s="16"/>
      <c r="CR66" s="16"/>
      <c r="CS66" s="16"/>
      <c r="CT66" s="16"/>
      <c r="CU66" s="16"/>
      <c r="CV66" s="16"/>
      <c r="CW66" s="16"/>
      <c r="CX66" s="25"/>
      <c r="CY66" s="16"/>
      <c r="CZ66" s="240"/>
      <c r="DA66" s="16"/>
      <c r="DB66" s="16"/>
      <c r="DC66" s="16"/>
      <c r="DD66" s="16"/>
      <c r="DE66" s="16"/>
      <c r="DF66" s="16"/>
      <c r="DG66" s="16"/>
      <c r="DH66" s="16"/>
      <c r="DI66" s="16"/>
      <c r="DJ66" s="240"/>
      <c r="DK66" s="29"/>
      <c r="DL66" s="240"/>
      <c r="DM66" s="29"/>
      <c r="DN66" s="29"/>
      <c r="DO66" s="29"/>
      <c r="DP66" s="241"/>
      <c r="DQ66" s="241"/>
      <c r="DR66" s="241"/>
      <c r="DS66" s="241"/>
      <c r="DT66" s="241"/>
      <c r="DU66" s="241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25"/>
      <c r="FI66" s="16"/>
      <c r="FJ66" s="240"/>
      <c r="FK66" s="16"/>
      <c r="FL66" s="16"/>
      <c r="FM66" s="16"/>
      <c r="FN66" s="16"/>
      <c r="FO66" s="16"/>
      <c r="FP66" s="16"/>
      <c r="FQ66" s="16"/>
      <c r="FR66" s="16"/>
      <c r="FS66" s="16"/>
      <c r="FT66" s="240"/>
      <c r="FU66" s="29"/>
      <c r="FV66" s="240"/>
      <c r="FW66" s="29"/>
      <c r="FX66" s="29"/>
      <c r="FY66" s="29"/>
      <c r="FZ66" s="241"/>
      <c r="GA66" s="241"/>
      <c r="GB66" s="241"/>
      <c r="GC66" s="241"/>
      <c r="GD66" s="241"/>
      <c r="GE66" s="241"/>
      <c r="GF66" s="16"/>
      <c r="GG66" s="16"/>
      <c r="GH66" s="16"/>
      <c r="GI66" s="16"/>
      <c r="GJ66" s="16"/>
      <c r="GK66" s="16"/>
      <c r="GL66" s="16"/>
      <c r="GM66" s="25"/>
      <c r="GN66" s="16"/>
      <c r="GO66" s="240"/>
      <c r="GP66" s="16"/>
      <c r="GQ66" s="16"/>
      <c r="GR66" s="16"/>
      <c r="GS66" s="16"/>
      <c r="GT66" s="16"/>
      <c r="GU66" s="16"/>
      <c r="GV66" s="16"/>
      <c r="GW66" s="16"/>
      <c r="GX66" s="16"/>
      <c r="GY66" s="240"/>
      <c r="GZ66" s="29"/>
      <c r="HA66" s="240"/>
      <c r="HB66" s="29"/>
      <c r="HC66" s="29"/>
      <c r="HD66" s="29"/>
      <c r="HE66" s="241"/>
      <c r="HF66" s="241"/>
      <c r="HG66" s="241"/>
      <c r="HH66" s="241"/>
      <c r="HI66" s="241"/>
      <c r="HJ66" s="241"/>
      <c r="HK66" s="16"/>
      <c r="HL66" s="16"/>
      <c r="HM66" s="16"/>
      <c r="HN66" s="16"/>
      <c r="HO66" s="16"/>
      <c r="HP66" s="16"/>
      <c r="HQ66" s="16"/>
      <c r="HR66" s="25"/>
      <c r="HS66" s="16"/>
      <c r="HT66" s="240"/>
      <c r="HU66" s="16"/>
      <c r="HV66" s="16"/>
      <c r="HW66" s="16"/>
      <c r="HX66" s="16"/>
      <c r="HY66" s="16"/>
      <c r="HZ66" s="16"/>
      <c r="IA66" s="16"/>
      <c r="IB66" s="16"/>
      <c r="IC66" s="16"/>
      <c r="ID66" s="240"/>
      <c r="IE66" s="29"/>
      <c r="IF66" s="240"/>
      <c r="IG66" s="29"/>
      <c r="IH66" s="29"/>
      <c r="II66" s="29"/>
      <c r="IJ66" s="241"/>
      <c r="IK66" s="241"/>
      <c r="IL66" s="241"/>
      <c r="IM66" s="241"/>
      <c r="IN66" s="241"/>
      <c r="IO66" s="241"/>
      <c r="IP66" s="412"/>
      <c r="IQ66" s="16"/>
      <c r="IR66" s="16"/>
      <c r="IS66" s="16"/>
      <c r="IT66" s="16"/>
      <c r="IU66" s="16"/>
      <c r="IV66" s="16"/>
      <c r="IW66" s="25"/>
      <c r="IX66" s="16"/>
      <c r="IY66" s="240"/>
      <c r="IZ66" s="16"/>
      <c r="JA66" s="16"/>
      <c r="JB66" s="16"/>
      <c r="JC66" s="16"/>
      <c r="JI66" s="240"/>
      <c r="JK66" s="240"/>
      <c r="JO66" s="241"/>
      <c r="JP66" s="241"/>
      <c r="JQ66" s="241"/>
      <c r="JR66" s="241"/>
    </row>
    <row r="67" spans="1:280" s="17" customFormat="1" ht="12.75" customHeight="1">
      <c r="A67" s="224"/>
      <c r="B67" s="241"/>
      <c r="C67" s="237"/>
      <c r="D67" s="237"/>
      <c r="E67" s="237"/>
      <c r="F67" s="237"/>
      <c r="G67" s="237"/>
      <c r="H67" s="237"/>
      <c r="I67" s="242"/>
      <c r="J67" s="237"/>
      <c r="K67" s="240"/>
      <c r="L67" s="29"/>
      <c r="M67" s="29"/>
      <c r="N67" s="29"/>
      <c r="O67" s="29"/>
      <c r="P67" s="30"/>
      <c r="Q67" s="241"/>
      <c r="R67" s="241"/>
      <c r="S67" s="241"/>
      <c r="T67" s="241"/>
      <c r="U67" s="241"/>
      <c r="V67" s="241"/>
      <c r="W67" s="241"/>
      <c r="X67" s="241"/>
      <c r="Y67" s="241"/>
      <c r="Z67" s="241"/>
      <c r="AA67" s="241"/>
      <c r="AB67" s="241"/>
      <c r="AC67" s="241"/>
      <c r="AD67" s="241"/>
      <c r="AE67" s="241"/>
      <c r="AF67" s="241"/>
      <c r="AG67" s="29"/>
      <c r="AH67" s="237"/>
      <c r="AI67" s="237"/>
      <c r="AJ67" s="237"/>
      <c r="AK67" s="237"/>
      <c r="AL67" s="237"/>
      <c r="AM67" s="237"/>
      <c r="AN67" s="242"/>
      <c r="AO67" s="237"/>
      <c r="AP67" s="240"/>
      <c r="AQ67" s="30"/>
      <c r="AR67" s="16"/>
      <c r="AS67" s="16"/>
      <c r="AT67" s="16"/>
      <c r="AU67" s="16"/>
      <c r="AV67" s="16"/>
      <c r="AW67" s="16"/>
      <c r="AX67" s="16"/>
      <c r="AY67" s="16"/>
      <c r="AZ67" s="240"/>
      <c r="BA67" s="29"/>
      <c r="BB67" s="240"/>
      <c r="BC67" s="29"/>
      <c r="BD67" s="29"/>
      <c r="BE67" s="29"/>
      <c r="BF67" s="241"/>
      <c r="BG67" s="241"/>
      <c r="BH67" s="241"/>
      <c r="BI67" s="241"/>
      <c r="BJ67" s="241"/>
      <c r="BK67" s="241"/>
      <c r="BL67" s="16"/>
      <c r="BM67" s="16"/>
      <c r="BN67" s="16"/>
      <c r="BO67" s="16"/>
      <c r="BP67" s="16"/>
      <c r="BQ67" s="16"/>
      <c r="BR67" s="16"/>
      <c r="BS67" s="25"/>
      <c r="BT67" s="16"/>
      <c r="BU67" s="240"/>
      <c r="BV67" s="16"/>
      <c r="BW67" s="16"/>
      <c r="BX67" s="16"/>
      <c r="BY67" s="16"/>
      <c r="BZ67" s="16"/>
      <c r="CA67" s="16"/>
      <c r="CB67" s="16"/>
      <c r="CC67" s="16"/>
      <c r="CD67" s="16"/>
      <c r="CE67" s="240"/>
      <c r="CF67" s="29"/>
      <c r="CG67" s="240"/>
      <c r="CH67" s="29"/>
      <c r="CI67" s="29"/>
      <c r="CJ67" s="29"/>
      <c r="CK67" s="241"/>
      <c r="CL67" s="241"/>
      <c r="CM67" s="241"/>
      <c r="CN67" s="241"/>
      <c r="CO67" s="241"/>
      <c r="CP67" s="241"/>
      <c r="CQ67" s="16"/>
      <c r="CR67" s="16"/>
      <c r="CS67" s="16"/>
      <c r="CT67" s="16"/>
      <c r="CU67" s="16"/>
      <c r="CV67" s="16"/>
      <c r="CW67" s="16"/>
      <c r="CX67" s="25"/>
      <c r="CY67" s="16"/>
      <c r="CZ67" s="240"/>
      <c r="DA67" s="16"/>
      <c r="DB67" s="16"/>
      <c r="DC67" s="16"/>
      <c r="DD67" s="16"/>
      <c r="DE67" s="16"/>
      <c r="DF67" s="16"/>
      <c r="DG67" s="16"/>
      <c r="DH67" s="16"/>
      <c r="DI67" s="16"/>
      <c r="DJ67" s="240"/>
      <c r="DK67" s="29"/>
      <c r="DL67" s="240"/>
      <c r="DM67" s="29"/>
      <c r="DN67" s="29"/>
      <c r="DO67" s="29"/>
      <c r="DP67" s="241"/>
      <c r="DQ67" s="241"/>
      <c r="DR67" s="241"/>
      <c r="DS67" s="241"/>
      <c r="DT67" s="241"/>
      <c r="DU67" s="241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25"/>
      <c r="FI67" s="16"/>
      <c r="FJ67" s="240"/>
      <c r="FK67" s="16"/>
      <c r="FL67" s="16"/>
      <c r="FM67" s="16"/>
      <c r="FN67" s="16"/>
      <c r="FO67" s="16"/>
      <c r="FP67" s="16"/>
      <c r="FQ67" s="16"/>
      <c r="FR67" s="16"/>
      <c r="FS67" s="16"/>
      <c r="FT67" s="240"/>
      <c r="FU67" s="29"/>
      <c r="FV67" s="240"/>
      <c r="FW67" s="29"/>
      <c r="FX67" s="29"/>
      <c r="FY67" s="29"/>
      <c r="FZ67" s="241"/>
      <c r="GA67" s="241"/>
      <c r="GB67" s="241"/>
      <c r="GC67" s="241"/>
      <c r="GD67" s="241"/>
      <c r="GE67" s="241"/>
      <c r="GF67" s="16"/>
      <c r="GG67" s="16"/>
      <c r="GH67" s="16"/>
      <c r="GI67" s="16"/>
      <c r="GJ67" s="16"/>
      <c r="GK67" s="16"/>
      <c r="GL67" s="16"/>
      <c r="GM67" s="25"/>
      <c r="GN67" s="16"/>
      <c r="GO67" s="240"/>
      <c r="GP67" s="16"/>
      <c r="GQ67" s="16"/>
      <c r="GR67" s="16"/>
      <c r="GS67" s="16"/>
      <c r="GT67" s="16"/>
      <c r="GU67" s="16"/>
      <c r="GV67" s="16"/>
      <c r="GW67" s="16"/>
      <c r="GX67" s="16"/>
      <c r="GY67" s="240"/>
      <c r="GZ67" s="29"/>
      <c r="HA67" s="240"/>
      <c r="HB67" s="29"/>
      <c r="HC67" s="29"/>
      <c r="HD67" s="29"/>
      <c r="HE67" s="241"/>
      <c r="HF67" s="241"/>
      <c r="HG67" s="241"/>
      <c r="HH67" s="241"/>
      <c r="HI67" s="241"/>
      <c r="HJ67" s="241"/>
      <c r="HK67" s="16"/>
      <c r="HL67" s="16"/>
      <c r="HM67" s="16"/>
      <c r="HN67" s="16"/>
      <c r="HO67" s="16"/>
      <c r="HP67" s="16"/>
      <c r="HQ67" s="16"/>
      <c r="HR67" s="25"/>
      <c r="HS67" s="16"/>
      <c r="HT67" s="240"/>
      <c r="HU67" s="16"/>
      <c r="HV67" s="16"/>
      <c r="HW67" s="16"/>
      <c r="HX67" s="16"/>
      <c r="HY67" s="16"/>
      <c r="HZ67" s="16"/>
      <c r="IA67" s="16"/>
      <c r="IB67" s="16"/>
      <c r="IC67" s="16"/>
      <c r="ID67" s="240"/>
      <c r="IE67" s="29"/>
      <c r="IF67" s="240"/>
      <c r="IG67" s="29"/>
      <c r="IH67" s="29"/>
      <c r="II67" s="29"/>
      <c r="IJ67" s="241"/>
      <c r="IK67" s="241"/>
      <c r="IL67" s="241"/>
      <c r="IM67" s="241"/>
      <c r="IN67" s="241"/>
      <c r="IO67" s="241"/>
      <c r="IP67" s="16"/>
      <c r="IQ67" s="16"/>
      <c r="IR67" s="16"/>
      <c r="IS67" s="16"/>
      <c r="IT67" s="16"/>
      <c r="IU67" s="16"/>
      <c r="IV67" s="16"/>
      <c r="IW67" s="25"/>
      <c r="IX67" s="16"/>
      <c r="IY67" s="240"/>
      <c r="IZ67" s="16"/>
      <c r="JA67" s="16"/>
      <c r="JB67" s="16"/>
      <c r="JC67" s="16"/>
      <c r="JI67" s="240"/>
      <c r="JK67" s="240"/>
      <c r="JO67" s="241"/>
      <c r="JP67" s="241"/>
      <c r="JQ67" s="241"/>
      <c r="JR67" s="241"/>
    </row>
    <row r="68" spans="1:280" s="17" customFormat="1" ht="12.75" customHeight="1">
      <c r="A68" s="224"/>
      <c r="B68" s="241"/>
      <c r="C68" s="237"/>
      <c r="D68" s="237"/>
      <c r="E68" s="237"/>
      <c r="F68" s="237"/>
      <c r="G68" s="237"/>
      <c r="H68" s="237"/>
      <c r="I68" s="242"/>
      <c r="J68" s="237"/>
      <c r="K68" s="240"/>
      <c r="L68" s="29"/>
      <c r="M68" s="29"/>
      <c r="N68" s="29"/>
      <c r="O68" s="29"/>
      <c r="P68" s="30"/>
      <c r="Q68" s="241"/>
      <c r="R68" s="241"/>
      <c r="S68" s="241"/>
      <c r="T68" s="241"/>
      <c r="U68" s="241"/>
      <c r="V68" s="241"/>
      <c r="W68" s="241"/>
      <c r="X68" s="241"/>
      <c r="Y68" s="241"/>
      <c r="Z68" s="241"/>
      <c r="AA68" s="241"/>
      <c r="AB68" s="241"/>
      <c r="AC68" s="241"/>
      <c r="AD68" s="241"/>
      <c r="AE68" s="241"/>
      <c r="AF68" s="241"/>
      <c r="AG68" s="29"/>
      <c r="AH68" s="237"/>
      <c r="AI68" s="237"/>
      <c r="AJ68" s="237"/>
      <c r="AK68" s="237"/>
      <c r="AL68" s="237"/>
      <c r="AM68" s="237"/>
      <c r="AN68" s="242"/>
      <c r="AO68" s="237"/>
      <c r="AP68" s="240"/>
      <c r="AQ68" s="30"/>
      <c r="AR68" s="16"/>
      <c r="AS68" s="16"/>
      <c r="AT68" s="16"/>
      <c r="AU68" s="16"/>
      <c r="AV68" s="16"/>
      <c r="AW68" s="16"/>
      <c r="AX68" s="16"/>
      <c r="AY68" s="16"/>
      <c r="AZ68" s="240"/>
      <c r="BA68" s="29"/>
      <c r="BB68" s="240"/>
      <c r="BC68" s="29"/>
      <c r="BD68" s="29"/>
      <c r="BE68" s="29"/>
      <c r="BF68" s="241"/>
      <c r="BG68" s="241"/>
      <c r="BH68" s="241"/>
      <c r="BI68" s="241"/>
      <c r="BJ68" s="241"/>
      <c r="BK68" s="241"/>
      <c r="BL68" s="16"/>
      <c r="BM68" s="16"/>
      <c r="BN68" s="16"/>
      <c r="BO68" s="16"/>
      <c r="BP68" s="16"/>
      <c r="BQ68" s="16"/>
      <c r="BR68" s="16"/>
      <c r="BS68" s="25"/>
      <c r="BT68" s="16"/>
      <c r="BU68" s="240"/>
      <c r="BV68" s="16"/>
      <c r="BW68" s="16"/>
      <c r="BX68" s="16"/>
      <c r="BY68" s="16"/>
      <c r="BZ68" s="16"/>
      <c r="CA68" s="16"/>
      <c r="CB68" s="16"/>
      <c r="CC68" s="16"/>
      <c r="CD68" s="16"/>
      <c r="CE68" s="240"/>
      <c r="CF68" s="29"/>
      <c r="CG68" s="240"/>
      <c r="CH68" s="29"/>
      <c r="CI68" s="29"/>
      <c r="CJ68" s="29"/>
      <c r="CK68" s="241"/>
      <c r="CL68" s="241"/>
      <c r="CM68" s="241"/>
      <c r="CN68" s="241"/>
      <c r="CO68" s="241"/>
      <c r="CP68" s="241"/>
      <c r="CQ68" s="16"/>
      <c r="CR68" s="16"/>
      <c r="CS68" s="16"/>
      <c r="CT68" s="16"/>
      <c r="CU68" s="16"/>
      <c r="CV68" s="16"/>
      <c r="CW68" s="16"/>
      <c r="CX68" s="25"/>
      <c r="CY68" s="16"/>
      <c r="CZ68" s="240"/>
      <c r="DA68" s="16"/>
      <c r="DB68" s="16"/>
      <c r="DC68" s="16"/>
      <c r="DD68" s="16"/>
      <c r="DE68" s="16"/>
      <c r="DF68" s="16"/>
      <c r="DG68" s="16"/>
      <c r="DH68" s="16"/>
      <c r="DI68" s="16"/>
      <c r="DJ68" s="240"/>
      <c r="DK68" s="29"/>
      <c r="DL68" s="240"/>
      <c r="DM68" s="29"/>
      <c r="DN68" s="29"/>
      <c r="DO68" s="29"/>
      <c r="DP68" s="241"/>
      <c r="DQ68" s="241"/>
      <c r="DR68" s="241"/>
      <c r="DS68" s="241"/>
      <c r="DT68" s="241"/>
      <c r="DU68" s="241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25"/>
      <c r="FI68" s="16"/>
      <c r="FJ68" s="240"/>
      <c r="FK68" s="16"/>
      <c r="FL68" s="16"/>
      <c r="FM68" s="16"/>
      <c r="FN68" s="16"/>
      <c r="FO68" s="16"/>
      <c r="FP68" s="16"/>
      <c r="FQ68" s="16"/>
      <c r="FR68" s="16"/>
      <c r="FS68" s="16"/>
      <c r="FT68" s="240"/>
      <c r="FU68" s="29"/>
      <c r="FV68" s="240"/>
      <c r="FW68" s="29"/>
      <c r="FX68" s="29"/>
      <c r="FY68" s="29"/>
      <c r="FZ68" s="241"/>
      <c r="GA68" s="241"/>
      <c r="GB68" s="241"/>
      <c r="GC68" s="241"/>
      <c r="GD68" s="241"/>
      <c r="GE68" s="241"/>
      <c r="GF68" s="16"/>
      <c r="GG68" s="16"/>
      <c r="GH68" s="16"/>
      <c r="GI68" s="16"/>
      <c r="GJ68" s="16"/>
      <c r="GK68" s="16"/>
      <c r="GL68" s="16"/>
      <c r="GM68" s="25"/>
      <c r="GN68" s="16"/>
      <c r="GO68" s="240"/>
      <c r="GP68" s="16"/>
      <c r="GQ68" s="16"/>
      <c r="GR68" s="16"/>
      <c r="GS68" s="16"/>
      <c r="GT68" s="16"/>
      <c r="GU68" s="16"/>
      <c r="GV68" s="16"/>
      <c r="GW68" s="16"/>
      <c r="GX68" s="16"/>
      <c r="GY68" s="240"/>
      <c r="GZ68" s="29"/>
      <c r="HA68" s="240"/>
      <c r="HB68" s="29"/>
      <c r="HC68" s="29"/>
      <c r="HD68" s="29"/>
      <c r="HE68" s="241"/>
      <c r="HF68" s="241"/>
      <c r="HG68" s="241"/>
      <c r="HH68" s="241"/>
      <c r="HI68" s="241"/>
      <c r="HJ68" s="241"/>
      <c r="HK68" s="16"/>
      <c r="HL68" s="16"/>
      <c r="HM68" s="16"/>
      <c r="HN68" s="16"/>
      <c r="HO68" s="16"/>
      <c r="HP68" s="16"/>
      <c r="HQ68" s="16"/>
      <c r="HR68" s="25"/>
      <c r="HS68" s="16"/>
      <c r="HT68" s="240"/>
      <c r="HU68" s="16"/>
      <c r="HV68" s="16"/>
      <c r="HW68" s="16"/>
      <c r="HX68" s="16"/>
      <c r="HY68" s="16"/>
      <c r="HZ68" s="16"/>
      <c r="IA68" s="16"/>
      <c r="IB68" s="16"/>
      <c r="IC68" s="16"/>
      <c r="ID68" s="240"/>
      <c r="IE68" s="29"/>
      <c r="IF68" s="240"/>
      <c r="IG68" s="29"/>
      <c r="IH68" s="29"/>
      <c r="II68" s="29"/>
      <c r="IJ68" s="241"/>
      <c r="IK68" s="241"/>
      <c r="IL68" s="241"/>
      <c r="IM68" s="241"/>
      <c r="IN68" s="241"/>
      <c r="IO68" s="241"/>
      <c r="IP68" s="16"/>
      <c r="IQ68" s="16"/>
      <c r="IR68" s="16"/>
      <c r="IS68" s="16"/>
      <c r="IT68" s="16"/>
      <c r="IU68" s="16"/>
      <c r="IV68" s="16"/>
      <c r="IW68" s="25"/>
      <c r="IX68" s="16"/>
      <c r="IY68" s="240"/>
      <c r="IZ68" s="16"/>
      <c r="JA68" s="16"/>
      <c r="JB68" s="16"/>
      <c r="JC68" s="16"/>
      <c r="JI68" s="240"/>
      <c r="JK68" s="240"/>
      <c r="JO68" s="241"/>
      <c r="JP68" s="241"/>
      <c r="JQ68" s="241"/>
      <c r="JR68" s="241"/>
    </row>
    <row r="69" spans="1:280" s="17" customFormat="1" ht="12.75" customHeight="1">
      <c r="A69" s="224"/>
      <c r="B69" s="241"/>
      <c r="C69" s="237"/>
      <c r="D69" s="237"/>
      <c r="E69" s="237"/>
      <c r="F69" s="237"/>
      <c r="G69" s="237"/>
      <c r="H69" s="237"/>
      <c r="I69" s="242"/>
      <c r="J69" s="237"/>
      <c r="K69" s="240"/>
      <c r="L69" s="29"/>
      <c r="M69" s="29"/>
      <c r="N69" s="29"/>
      <c r="O69" s="29"/>
      <c r="P69" s="30"/>
      <c r="Q69" s="241"/>
      <c r="R69" s="241"/>
      <c r="S69" s="241"/>
      <c r="T69" s="241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1"/>
      <c r="AF69" s="241"/>
      <c r="AG69" s="29"/>
      <c r="AH69" s="237"/>
      <c r="AI69" s="237"/>
      <c r="AJ69" s="237"/>
      <c r="AK69" s="237"/>
      <c r="AL69" s="237"/>
      <c r="AM69" s="237"/>
      <c r="AN69" s="242"/>
      <c r="AO69" s="237"/>
      <c r="AP69" s="240"/>
      <c r="AQ69" s="30"/>
      <c r="AR69" s="16"/>
      <c r="AS69" s="16"/>
      <c r="AT69" s="16"/>
      <c r="AU69" s="16"/>
      <c r="AV69" s="16"/>
      <c r="AW69" s="16"/>
      <c r="AX69" s="16"/>
      <c r="AY69" s="16"/>
      <c r="AZ69" s="240"/>
      <c r="BA69" s="29"/>
      <c r="BB69" s="240"/>
      <c r="BC69" s="29"/>
      <c r="BD69" s="29"/>
      <c r="BE69" s="29"/>
      <c r="BF69" s="241"/>
      <c r="BG69" s="241"/>
      <c r="BH69" s="241"/>
      <c r="BI69" s="241"/>
      <c r="BJ69" s="241"/>
      <c r="BK69" s="241"/>
      <c r="BL69" s="16"/>
      <c r="BM69" s="16"/>
      <c r="BN69" s="16"/>
      <c r="BO69" s="16"/>
      <c r="BP69" s="16"/>
      <c r="BQ69" s="16"/>
      <c r="BR69" s="16"/>
      <c r="BS69" s="25"/>
      <c r="BT69" s="16"/>
      <c r="BU69" s="240"/>
      <c r="BV69" s="16"/>
      <c r="BW69" s="16"/>
      <c r="BX69" s="16"/>
      <c r="BY69" s="16"/>
      <c r="BZ69" s="16"/>
      <c r="CA69" s="16"/>
      <c r="CB69" s="16"/>
      <c r="CC69" s="16"/>
      <c r="CD69" s="16"/>
      <c r="CE69" s="240"/>
      <c r="CF69" s="29"/>
      <c r="CG69" s="240"/>
      <c r="CH69" s="29"/>
      <c r="CI69" s="29"/>
      <c r="CJ69" s="29"/>
      <c r="CK69" s="241"/>
      <c r="CL69" s="241"/>
      <c r="CM69" s="241"/>
      <c r="CN69" s="241"/>
      <c r="CO69" s="241"/>
      <c r="CP69" s="241"/>
      <c r="CQ69" s="16"/>
      <c r="CR69" s="16"/>
      <c r="CS69" s="16"/>
      <c r="CT69" s="16"/>
      <c r="CU69" s="16"/>
      <c r="CV69" s="16"/>
      <c r="CW69" s="16"/>
      <c r="CX69" s="25"/>
      <c r="CY69" s="16"/>
      <c r="CZ69" s="240"/>
      <c r="DA69" s="16"/>
      <c r="DB69" s="16"/>
      <c r="DC69" s="16"/>
      <c r="DD69" s="16"/>
      <c r="DE69" s="16"/>
      <c r="DF69" s="16"/>
      <c r="DG69" s="16"/>
      <c r="DH69" s="16"/>
      <c r="DI69" s="16"/>
      <c r="DJ69" s="240"/>
      <c r="DK69" s="29"/>
      <c r="DL69" s="240"/>
      <c r="DM69" s="29"/>
      <c r="DN69" s="29"/>
      <c r="DO69" s="29"/>
      <c r="DP69" s="241"/>
      <c r="DQ69" s="241"/>
      <c r="DR69" s="241"/>
      <c r="DS69" s="241"/>
      <c r="DT69" s="241"/>
      <c r="DU69" s="241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25"/>
      <c r="FI69" s="16"/>
      <c r="FJ69" s="240"/>
      <c r="FK69" s="16"/>
      <c r="FL69" s="16"/>
      <c r="FM69" s="16"/>
      <c r="FN69" s="16"/>
      <c r="FO69" s="16"/>
      <c r="FP69" s="16"/>
      <c r="FQ69" s="16"/>
      <c r="FR69" s="16"/>
      <c r="FS69" s="16"/>
      <c r="FT69" s="240"/>
      <c r="FU69" s="29"/>
      <c r="FV69" s="240"/>
      <c r="FW69" s="29"/>
      <c r="FX69" s="29"/>
      <c r="FY69" s="29"/>
      <c r="FZ69" s="241"/>
      <c r="GA69" s="241"/>
      <c r="GB69" s="241"/>
      <c r="GC69" s="241"/>
      <c r="GD69" s="241"/>
      <c r="GE69" s="241"/>
      <c r="GF69" s="16"/>
      <c r="GG69" s="16"/>
      <c r="GH69" s="16"/>
      <c r="GI69" s="16"/>
      <c r="GJ69" s="16"/>
      <c r="GK69" s="16"/>
      <c r="GL69" s="16"/>
      <c r="GM69" s="25"/>
      <c r="GN69" s="16"/>
      <c r="GO69" s="240"/>
      <c r="GP69" s="16"/>
      <c r="GQ69" s="16"/>
      <c r="GR69" s="16"/>
      <c r="GS69" s="16"/>
      <c r="GT69" s="16"/>
      <c r="GU69" s="16"/>
      <c r="GV69" s="16"/>
      <c r="GW69" s="16"/>
      <c r="GX69" s="16"/>
      <c r="GY69" s="240"/>
      <c r="GZ69" s="29"/>
      <c r="HA69" s="240"/>
      <c r="HB69" s="29"/>
      <c r="HC69" s="29"/>
      <c r="HD69" s="29"/>
      <c r="HE69" s="241"/>
      <c r="HF69" s="241"/>
      <c r="HG69" s="241"/>
      <c r="HH69" s="241"/>
      <c r="HI69" s="241"/>
      <c r="HJ69" s="241"/>
      <c r="HK69" s="16"/>
      <c r="HL69" s="16"/>
      <c r="HM69" s="16"/>
      <c r="HN69" s="16"/>
      <c r="HO69" s="16"/>
      <c r="HP69" s="16"/>
      <c r="HQ69" s="16"/>
      <c r="HR69" s="25"/>
      <c r="HS69" s="16"/>
      <c r="HT69" s="240"/>
      <c r="HU69" s="16"/>
      <c r="HV69" s="16"/>
      <c r="HW69" s="16"/>
      <c r="HX69" s="16"/>
      <c r="HY69" s="16"/>
      <c r="HZ69" s="16"/>
      <c r="IA69" s="16"/>
      <c r="IB69" s="16"/>
      <c r="IC69" s="16"/>
      <c r="ID69" s="240"/>
      <c r="IE69" s="29"/>
      <c r="IF69" s="240"/>
      <c r="IG69" s="29"/>
      <c r="IH69" s="29"/>
      <c r="II69" s="29"/>
      <c r="IJ69" s="241"/>
      <c r="IK69" s="241"/>
      <c r="IL69" s="241"/>
      <c r="IM69" s="241"/>
      <c r="IN69" s="241"/>
      <c r="IO69" s="241"/>
      <c r="IP69" s="16"/>
      <c r="IQ69" s="16"/>
      <c r="IR69" s="16"/>
      <c r="IS69" s="16"/>
      <c r="IT69" s="16"/>
      <c r="IU69" s="16"/>
      <c r="IV69" s="16"/>
      <c r="IW69" s="25"/>
      <c r="IX69" s="16"/>
      <c r="IY69" s="240"/>
      <c r="IZ69" s="16"/>
      <c r="JA69" s="16"/>
      <c r="JB69" s="16"/>
      <c r="JC69" s="16"/>
      <c r="JI69" s="240"/>
      <c r="JK69" s="240"/>
      <c r="JO69" s="241"/>
      <c r="JP69" s="241"/>
      <c r="JQ69" s="241"/>
      <c r="JR69" s="241"/>
    </row>
    <row r="70" spans="1:280" s="17" customFormat="1" ht="12.75" customHeight="1">
      <c r="A70" s="224"/>
      <c r="B70" s="241"/>
      <c r="C70" s="237"/>
      <c r="D70" s="237"/>
      <c r="E70" s="237"/>
      <c r="F70" s="237"/>
      <c r="G70" s="237"/>
      <c r="H70" s="237"/>
      <c r="I70" s="242"/>
      <c r="J70" s="237"/>
      <c r="K70" s="240"/>
      <c r="L70" s="29"/>
      <c r="M70" s="29"/>
      <c r="N70" s="29"/>
      <c r="O70" s="29"/>
      <c r="P70" s="30"/>
      <c r="Q70" s="241"/>
      <c r="R70" s="241"/>
      <c r="S70" s="241"/>
      <c r="T70" s="241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  <c r="AF70" s="241"/>
      <c r="AG70" s="29"/>
      <c r="AH70" s="237"/>
      <c r="AI70" s="237"/>
      <c r="AJ70" s="237"/>
      <c r="AK70" s="237"/>
      <c r="AL70" s="237"/>
      <c r="AM70" s="237"/>
      <c r="AN70" s="242"/>
      <c r="AO70" s="237"/>
      <c r="AP70" s="240"/>
      <c r="AQ70" s="30"/>
      <c r="AR70" s="16"/>
      <c r="AS70" s="16"/>
      <c r="AT70" s="16"/>
      <c r="AU70" s="16"/>
      <c r="AV70" s="16"/>
      <c r="AW70" s="16"/>
      <c r="AX70" s="16"/>
      <c r="AY70" s="16"/>
      <c r="AZ70" s="240"/>
      <c r="BA70" s="29"/>
      <c r="BB70" s="240"/>
      <c r="BC70" s="29"/>
      <c r="BD70" s="29"/>
      <c r="BE70" s="29"/>
      <c r="BF70" s="241"/>
      <c r="BG70" s="241"/>
      <c r="BH70" s="241"/>
      <c r="BI70" s="241"/>
      <c r="BJ70" s="241"/>
      <c r="BK70" s="241"/>
      <c r="BL70" s="16"/>
      <c r="BM70" s="16"/>
      <c r="BN70" s="16"/>
      <c r="BO70" s="16"/>
      <c r="BP70" s="16"/>
      <c r="BQ70" s="16"/>
      <c r="BR70" s="16"/>
      <c r="BS70" s="25"/>
      <c r="BT70" s="16"/>
      <c r="BU70" s="240"/>
      <c r="BV70" s="16"/>
      <c r="BW70" s="16"/>
      <c r="BX70" s="16"/>
      <c r="BY70" s="16"/>
      <c r="BZ70" s="16"/>
      <c r="CA70" s="16"/>
      <c r="CB70" s="16"/>
      <c r="CC70" s="16"/>
      <c r="CD70" s="16"/>
      <c r="CE70" s="240"/>
      <c r="CF70" s="29"/>
      <c r="CG70" s="240"/>
      <c r="CH70" s="29"/>
      <c r="CI70" s="29"/>
      <c r="CJ70" s="29"/>
      <c r="CK70" s="241"/>
      <c r="CL70" s="241"/>
      <c r="CM70" s="241"/>
      <c r="CN70" s="241"/>
      <c r="CO70" s="241"/>
      <c r="CP70" s="241"/>
      <c r="CQ70" s="16"/>
      <c r="CR70" s="16"/>
      <c r="CS70" s="16"/>
      <c r="CT70" s="16"/>
      <c r="CU70" s="16"/>
      <c r="CV70" s="16"/>
      <c r="CW70" s="16"/>
      <c r="CX70" s="25"/>
      <c r="CY70" s="16"/>
      <c r="CZ70" s="240"/>
      <c r="DA70" s="16"/>
      <c r="DB70" s="16"/>
      <c r="DC70" s="16"/>
      <c r="DD70" s="16"/>
      <c r="DE70" s="16"/>
      <c r="DF70" s="16"/>
      <c r="DG70" s="16"/>
      <c r="DH70" s="16"/>
      <c r="DI70" s="16"/>
      <c r="DJ70" s="240"/>
      <c r="DK70" s="29"/>
      <c r="DL70" s="240"/>
      <c r="DM70" s="29"/>
      <c r="DN70" s="29"/>
      <c r="DO70" s="29"/>
      <c r="DP70" s="241"/>
      <c r="DQ70" s="241"/>
      <c r="DR70" s="241"/>
      <c r="DS70" s="241"/>
      <c r="DT70" s="241"/>
      <c r="DU70" s="241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25"/>
      <c r="FI70" s="16"/>
      <c r="FJ70" s="240"/>
      <c r="FK70" s="16"/>
      <c r="FL70" s="16"/>
      <c r="FM70" s="16"/>
      <c r="FN70" s="16"/>
      <c r="FO70" s="16"/>
      <c r="FP70" s="16"/>
      <c r="FQ70" s="16"/>
      <c r="FR70" s="16"/>
      <c r="FS70" s="16"/>
      <c r="FT70" s="240"/>
      <c r="FU70" s="29"/>
      <c r="FV70" s="240"/>
      <c r="FW70" s="29"/>
      <c r="FX70" s="29"/>
      <c r="FY70" s="29"/>
      <c r="FZ70" s="241"/>
      <c r="GA70" s="241"/>
      <c r="GB70" s="241"/>
      <c r="GC70" s="241"/>
      <c r="GD70" s="241"/>
      <c r="GE70" s="241"/>
      <c r="GF70" s="16"/>
      <c r="GG70" s="16"/>
      <c r="GH70" s="16"/>
      <c r="GI70" s="16"/>
      <c r="GJ70" s="16"/>
      <c r="GK70" s="16"/>
      <c r="GL70" s="16"/>
      <c r="GM70" s="25"/>
      <c r="GN70" s="16"/>
      <c r="GO70" s="240"/>
      <c r="GP70" s="16"/>
      <c r="GQ70" s="16"/>
      <c r="GR70" s="16"/>
      <c r="GS70" s="16"/>
      <c r="GT70" s="16"/>
      <c r="GU70" s="16"/>
      <c r="GV70" s="16"/>
      <c r="GW70" s="16"/>
      <c r="GX70" s="16"/>
      <c r="GY70" s="240"/>
      <c r="GZ70" s="29"/>
      <c r="HA70" s="240"/>
      <c r="HB70" s="29"/>
      <c r="HC70" s="29"/>
      <c r="HD70" s="29"/>
      <c r="HE70" s="241"/>
      <c r="HF70" s="241"/>
      <c r="HG70" s="241"/>
      <c r="HH70" s="241"/>
      <c r="HI70" s="241"/>
      <c r="HJ70" s="241"/>
      <c r="HK70" s="16"/>
      <c r="HL70" s="16"/>
      <c r="HM70" s="16"/>
      <c r="HN70" s="16"/>
      <c r="HO70" s="16"/>
      <c r="HP70" s="16"/>
      <c r="HQ70" s="16"/>
      <c r="HR70" s="25"/>
      <c r="HS70" s="16"/>
      <c r="HT70" s="240"/>
      <c r="HU70" s="16"/>
      <c r="HV70" s="16"/>
      <c r="HW70" s="16"/>
      <c r="HX70" s="16"/>
      <c r="HY70" s="16"/>
      <c r="HZ70" s="16"/>
      <c r="IA70" s="16"/>
      <c r="IB70" s="16"/>
      <c r="IC70" s="16"/>
      <c r="ID70" s="240"/>
      <c r="IE70" s="29"/>
      <c r="IF70" s="240"/>
      <c r="IG70" s="29"/>
      <c r="IH70" s="29"/>
      <c r="II70" s="29"/>
      <c r="IJ70" s="241"/>
      <c r="IK70" s="241"/>
      <c r="IL70" s="241"/>
      <c r="IM70" s="241"/>
      <c r="IN70" s="241"/>
      <c r="IO70" s="241"/>
      <c r="IP70" s="16"/>
      <c r="IQ70" s="16"/>
      <c r="IR70" s="16"/>
      <c r="IS70" s="16"/>
      <c r="IT70" s="16"/>
      <c r="IU70" s="16"/>
      <c r="IV70" s="16"/>
      <c r="IW70" s="25"/>
      <c r="IX70" s="16"/>
      <c r="IY70" s="240"/>
      <c r="IZ70" s="16"/>
      <c r="JA70" s="16"/>
      <c r="JB70" s="16"/>
      <c r="JC70" s="16"/>
      <c r="JI70" s="240"/>
      <c r="JK70" s="240"/>
      <c r="JO70" s="241"/>
      <c r="JP70" s="241"/>
      <c r="JQ70" s="241"/>
      <c r="JR70" s="241"/>
    </row>
    <row r="71" spans="1:280" ht="12.75" customHeight="1">
      <c r="B71" s="95"/>
      <c r="C71" s="19"/>
      <c r="D71" s="19"/>
      <c r="E71" s="19"/>
      <c r="F71" s="19"/>
      <c r="G71" s="19"/>
      <c r="H71" s="19"/>
      <c r="I71" s="52"/>
      <c r="J71" s="19"/>
      <c r="K71" s="136"/>
      <c r="L71" s="11"/>
      <c r="M71" s="11"/>
      <c r="N71" s="11"/>
      <c r="O71" s="11"/>
      <c r="P71" s="54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29"/>
      <c r="AH71" s="19"/>
      <c r="AI71" s="19"/>
      <c r="AJ71" s="19"/>
      <c r="AK71" s="19"/>
      <c r="AL71" s="19"/>
      <c r="AM71" s="19"/>
      <c r="AN71" s="52"/>
      <c r="AO71" s="19"/>
      <c r="AP71" s="136"/>
      <c r="AQ71" s="54"/>
      <c r="AR71" s="2"/>
      <c r="AS71" s="2"/>
      <c r="AT71" s="2"/>
      <c r="AU71" s="2"/>
      <c r="AV71" s="96"/>
      <c r="AW71" s="96"/>
      <c r="AX71" s="96"/>
      <c r="AY71" s="96"/>
      <c r="AZ71" s="136"/>
      <c r="BA71" s="11"/>
      <c r="BB71" s="136"/>
      <c r="BC71" s="11"/>
      <c r="BD71" s="11"/>
      <c r="BE71" s="11"/>
      <c r="BF71" s="95"/>
      <c r="BG71" s="95"/>
      <c r="BH71" s="95"/>
      <c r="BI71" s="95"/>
      <c r="BJ71" s="95"/>
      <c r="BK71" s="95"/>
      <c r="BL71" s="96"/>
      <c r="BM71" s="2"/>
      <c r="BN71" s="2"/>
      <c r="BO71" s="2"/>
      <c r="BP71" s="2"/>
      <c r="BQ71" s="2"/>
      <c r="BR71" s="2"/>
      <c r="BS71" s="65"/>
      <c r="BT71" s="2"/>
      <c r="BU71" s="136"/>
      <c r="BV71" s="2"/>
      <c r="BW71" s="2"/>
      <c r="BX71" s="2"/>
      <c r="BY71" s="2"/>
      <c r="BZ71" s="2"/>
      <c r="CA71" s="96"/>
      <c r="CB71" s="96"/>
      <c r="CC71" s="96"/>
      <c r="CD71" s="96"/>
      <c r="CE71" s="136"/>
      <c r="CF71" s="11"/>
      <c r="CG71" s="136"/>
      <c r="CH71" s="11"/>
      <c r="CI71" s="11"/>
      <c r="CJ71" s="11"/>
      <c r="CK71" s="95"/>
      <c r="CL71" s="95"/>
      <c r="CM71" s="95"/>
      <c r="CN71" s="95"/>
      <c r="CO71" s="95"/>
      <c r="CP71" s="95"/>
      <c r="CQ71" s="96"/>
      <c r="CR71" s="2"/>
      <c r="CS71" s="2"/>
      <c r="CT71" s="2"/>
      <c r="CU71" s="2"/>
      <c r="CV71" s="2"/>
      <c r="CW71" s="2"/>
      <c r="CX71" s="65"/>
      <c r="CY71" s="2"/>
      <c r="CZ71" s="136"/>
      <c r="DA71" s="2"/>
      <c r="DB71" s="2"/>
      <c r="DC71" s="2"/>
      <c r="DD71" s="2"/>
      <c r="DE71" s="2"/>
      <c r="DF71" s="96"/>
      <c r="DG71" s="96"/>
      <c r="DH71" s="96"/>
      <c r="DI71" s="96"/>
      <c r="DJ71" s="136"/>
      <c r="DK71" s="11"/>
      <c r="DL71" s="136"/>
      <c r="DM71" s="11"/>
      <c r="DN71" s="11"/>
      <c r="DO71" s="11"/>
      <c r="DP71" s="95"/>
      <c r="DQ71" s="95"/>
      <c r="DR71" s="95"/>
      <c r="DS71" s="95"/>
      <c r="DT71" s="95"/>
      <c r="DU71" s="95"/>
      <c r="DV71" s="96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96"/>
      <c r="EL71" s="96"/>
      <c r="EM71" s="96"/>
      <c r="EN71" s="96"/>
      <c r="EO71" s="96"/>
      <c r="EP71" s="96"/>
      <c r="EQ71" s="96"/>
      <c r="ER71" s="96"/>
      <c r="ES71" s="96"/>
      <c r="ET71" s="96"/>
      <c r="EU71" s="96"/>
      <c r="EV71" s="96"/>
      <c r="EW71" s="96"/>
      <c r="EX71" s="96"/>
      <c r="EY71" s="96"/>
      <c r="EZ71" s="96"/>
      <c r="FA71" s="96"/>
      <c r="FB71" s="2"/>
      <c r="FC71" s="2"/>
      <c r="FD71" s="2"/>
      <c r="FE71" s="2"/>
      <c r="FF71" s="2"/>
      <c r="FG71" s="2"/>
      <c r="FH71" s="65"/>
      <c r="FI71" s="2"/>
      <c r="FJ71" s="136"/>
      <c r="FK71" s="2"/>
      <c r="FL71" s="2"/>
      <c r="FM71" s="2"/>
      <c r="FN71" s="2"/>
      <c r="FO71" s="2"/>
      <c r="FP71" s="96"/>
      <c r="FQ71" s="96"/>
      <c r="FR71" s="96"/>
      <c r="FS71" s="96"/>
      <c r="FT71" s="136"/>
      <c r="FU71" s="11"/>
      <c r="FV71" s="136"/>
      <c r="FW71" s="11"/>
      <c r="FX71" s="11"/>
      <c r="FY71" s="11"/>
      <c r="FZ71" s="95"/>
      <c r="GA71" s="95"/>
      <c r="GB71" s="95"/>
      <c r="GC71" s="95"/>
      <c r="GD71" s="95"/>
      <c r="GE71" s="95"/>
      <c r="GF71" s="96"/>
      <c r="GG71" s="2"/>
      <c r="GH71" s="2"/>
      <c r="GI71" s="2"/>
      <c r="GJ71" s="2"/>
      <c r="GK71" s="2"/>
      <c r="GL71" s="2"/>
      <c r="GM71" s="65"/>
      <c r="GN71" s="2"/>
      <c r="GO71" s="136"/>
      <c r="GP71" s="2"/>
      <c r="GQ71" s="2"/>
      <c r="GR71" s="2"/>
      <c r="GS71" s="2"/>
      <c r="GT71" s="2"/>
      <c r="GU71" s="96"/>
      <c r="GV71" s="96"/>
      <c r="GW71" s="96"/>
      <c r="GX71" s="96"/>
      <c r="GY71" s="136"/>
      <c r="GZ71" s="11"/>
      <c r="HA71" s="136"/>
      <c r="HB71" s="11"/>
      <c r="HC71" s="11"/>
      <c r="HD71" s="11"/>
      <c r="HE71" s="95"/>
      <c r="HF71" s="95"/>
      <c r="HG71" s="95"/>
      <c r="HH71" s="95"/>
      <c r="HI71" s="95"/>
      <c r="HJ71" s="95"/>
      <c r="HK71" s="96"/>
      <c r="HL71" s="2"/>
      <c r="HM71" s="2"/>
      <c r="HN71" s="2"/>
      <c r="HO71" s="2"/>
      <c r="HP71" s="2"/>
      <c r="HQ71" s="2"/>
      <c r="HR71" s="65"/>
      <c r="HS71" s="2"/>
      <c r="HT71" s="136"/>
      <c r="HU71" s="2"/>
      <c r="HV71" s="2"/>
      <c r="HW71" s="2"/>
      <c r="HX71" s="2"/>
      <c r="HY71" s="2"/>
      <c r="HZ71" s="96"/>
      <c r="IA71" s="96"/>
      <c r="IB71" s="96"/>
      <c r="IC71" s="96"/>
      <c r="ID71" s="136"/>
      <c r="IE71" s="11"/>
      <c r="IF71" s="136"/>
      <c r="IG71" s="11"/>
      <c r="IH71" s="11"/>
      <c r="II71" s="11"/>
      <c r="IJ71" s="95"/>
      <c r="IK71" s="95"/>
      <c r="IL71" s="95"/>
      <c r="IM71" s="95"/>
      <c r="IN71" s="95"/>
      <c r="IO71" s="95"/>
      <c r="IP71" s="96"/>
      <c r="IQ71" s="3"/>
      <c r="IR71" s="3"/>
      <c r="IS71" s="3"/>
      <c r="IT71" s="3"/>
      <c r="IU71" s="3"/>
      <c r="IV71" s="3"/>
      <c r="IW71" s="12"/>
      <c r="IX71" s="3"/>
      <c r="IY71" s="136"/>
      <c r="IZ71" s="3"/>
      <c r="JA71" s="3"/>
      <c r="JB71" s="3"/>
      <c r="JC71" s="3"/>
      <c r="JI71" s="136"/>
      <c r="JK71" s="136"/>
      <c r="JO71" s="95"/>
      <c r="JP71" s="95"/>
      <c r="JQ71" s="95"/>
      <c r="JR71" s="95"/>
    </row>
    <row r="72" spans="1:280" ht="12.75" customHeight="1">
      <c r="B72" s="95"/>
      <c r="C72" s="19"/>
      <c r="D72" s="19"/>
      <c r="E72" s="19"/>
      <c r="F72" s="19"/>
      <c r="G72" s="19"/>
      <c r="H72" s="19"/>
      <c r="I72" s="52"/>
      <c r="J72" s="19"/>
      <c r="K72" s="136"/>
      <c r="L72" s="11"/>
      <c r="M72" s="11"/>
      <c r="N72" s="11"/>
      <c r="O72" s="11"/>
      <c r="P72" s="54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29"/>
      <c r="AH72" s="19"/>
      <c r="AI72" s="19"/>
      <c r="AJ72" s="19"/>
      <c r="AK72" s="19"/>
      <c r="AL72" s="19"/>
      <c r="AM72" s="19"/>
      <c r="AN72" s="52"/>
      <c r="AO72" s="19"/>
      <c r="AP72" s="136"/>
      <c r="AQ72" s="54"/>
      <c r="AR72" s="3"/>
      <c r="AS72" s="3"/>
      <c r="AT72" s="3"/>
      <c r="AU72" s="3"/>
      <c r="AV72" s="16"/>
      <c r="AW72" s="16"/>
      <c r="AX72" s="16"/>
      <c r="AY72" s="16"/>
      <c r="AZ72" s="136"/>
      <c r="BA72" s="11"/>
      <c r="BB72" s="136"/>
      <c r="BC72" s="11"/>
      <c r="BD72" s="11"/>
      <c r="BE72" s="11"/>
      <c r="BF72" s="95"/>
      <c r="BG72" s="95"/>
      <c r="BH72" s="95"/>
      <c r="BI72" s="95"/>
      <c r="BJ72" s="95"/>
      <c r="BK72" s="95"/>
      <c r="BL72" s="16"/>
      <c r="BM72" s="3"/>
      <c r="BN72" s="3"/>
      <c r="BO72" s="3"/>
      <c r="BP72" s="3"/>
      <c r="BQ72" s="3"/>
      <c r="BR72" s="3"/>
      <c r="BS72" s="12"/>
      <c r="BT72" s="3"/>
      <c r="BU72" s="136"/>
      <c r="BV72" s="3"/>
      <c r="BW72" s="3"/>
      <c r="BX72" s="3"/>
      <c r="BY72" s="3"/>
      <c r="BZ72" s="3"/>
      <c r="CA72" s="16"/>
      <c r="CB72" s="16"/>
      <c r="CC72" s="16"/>
      <c r="CD72" s="16"/>
      <c r="CE72" s="136"/>
      <c r="CF72" s="11"/>
      <c r="CG72" s="136"/>
      <c r="CH72" s="11"/>
      <c r="CI72" s="11"/>
      <c r="CJ72" s="11"/>
      <c r="CK72" s="95"/>
      <c r="CL72" s="95"/>
      <c r="CM72" s="95"/>
      <c r="CN72" s="95"/>
      <c r="CO72" s="95"/>
      <c r="CP72" s="95"/>
      <c r="CQ72" s="16"/>
      <c r="CR72" s="3"/>
      <c r="CS72" s="3"/>
      <c r="CT72" s="3"/>
      <c r="CU72" s="3"/>
      <c r="CV72" s="3"/>
      <c r="CW72" s="3"/>
      <c r="CX72" s="12"/>
      <c r="CY72" s="3"/>
      <c r="CZ72" s="136"/>
      <c r="DA72" s="3"/>
      <c r="DB72" s="3"/>
      <c r="DC72" s="3"/>
      <c r="DD72" s="3"/>
      <c r="DE72" s="3"/>
      <c r="DF72" s="16"/>
      <c r="DG72" s="16"/>
      <c r="DH72" s="16"/>
      <c r="DI72" s="16"/>
      <c r="DJ72" s="136"/>
      <c r="DK72" s="11"/>
      <c r="DL72" s="136"/>
      <c r="DM72" s="11"/>
      <c r="DN72" s="11"/>
      <c r="DO72" s="11"/>
      <c r="DP72" s="95"/>
      <c r="DQ72" s="95"/>
      <c r="DR72" s="95"/>
      <c r="DS72" s="95"/>
      <c r="DT72" s="95"/>
      <c r="DU72" s="95"/>
      <c r="DV72" s="16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3"/>
      <c r="FC72" s="3"/>
      <c r="FD72" s="3"/>
      <c r="FE72" s="3"/>
      <c r="FF72" s="3"/>
      <c r="FG72" s="3"/>
      <c r="FH72" s="12"/>
      <c r="FI72" s="3"/>
      <c r="FJ72" s="136"/>
      <c r="FK72" s="3"/>
      <c r="FL72" s="3"/>
      <c r="FM72" s="3"/>
      <c r="FN72" s="3"/>
      <c r="FO72" s="3"/>
      <c r="FP72" s="16"/>
      <c r="FQ72" s="16"/>
      <c r="FR72" s="16"/>
      <c r="FS72" s="16"/>
      <c r="FT72" s="136"/>
      <c r="FU72" s="11"/>
      <c r="FV72" s="136"/>
      <c r="FW72" s="11"/>
      <c r="FX72" s="11"/>
      <c r="FY72" s="11"/>
      <c r="FZ72" s="95"/>
      <c r="GA72" s="95"/>
      <c r="GB72" s="95"/>
      <c r="GC72" s="95"/>
      <c r="GD72" s="95"/>
      <c r="GE72" s="95"/>
      <c r="GF72" s="16"/>
      <c r="GG72" s="3"/>
      <c r="GH72" s="3"/>
      <c r="GI72" s="3"/>
      <c r="GJ72" s="3"/>
      <c r="GK72" s="3"/>
      <c r="GL72" s="3"/>
      <c r="GM72" s="12"/>
      <c r="GN72" s="3"/>
      <c r="GO72" s="136"/>
      <c r="GP72" s="3"/>
      <c r="GQ72" s="3"/>
      <c r="GR72" s="3"/>
      <c r="GS72" s="3"/>
      <c r="GT72" s="3"/>
      <c r="GU72" s="16"/>
      <c r="GV72" s="16"/>
      <c r="GW72" s="16"/>
      <c r="GX72" s="16"/>
      <c r="GY72" s="136"/>
      <c r="GZ72" s="11"/>
      <c r="HA72" s="136"/>
      <c r="HB72" s="11"/>
      <c r="HC72" s="11"/>
      <c r="HD72" s="11"/>
      <c r="HE72" s="95"/>
      <c r="HF72" s="95"/>
      <c r="HG72" s="95"/>
      <c r="HH72" s="95"/>
      <c r="HI72" s="95"/>
      <c r="HJ72" s="95"/>
      <c r="HK72" s="16"/>
      <c r="HL72" s="3"/>
      <c r="HM72" s="3"/>
      <c r="HN72" s="3"/>
      <c r="HO72" s="3"/>
      <c r="HP72" s="3"/>
      <c r="HQ72" s="3"/>
      <c r="HR72" s="12"/>
      <c r="HS72" s="3"/>
      <c r="HT72" s="136"/>
      <c r="HU72" s="3"/>
      <c r="HV72" s="3"/>
      <c r="HW72" s="3"/>
      <c r="HX72" s="3"/>
      <c r="HY72" s="3"/>
      <c r="HZ72" s="16"/>
      <c r="IA72" s="16"/>
      <c r="IB72" s="16"/>
      <c r="IC72" s="16"/>
      <c r="ID72" s="136"/>
      <c r="IE72" s="11"/>
      <c r="IF72" s="136"/>
      <c r="IG72" s="11"/>
      <c r="IH72" s="11"/>
      <c r="II72" s="11"/>
      <c r="IJ72" s="95"/>
      <c r="IK72" s="95"/>
      <c r="IL72" s="95"/>
      <c r="IM72" s="95"/>
      <c r="IN72" s="95"/>
      <c r="IO72" s="95"/>
      <c r="IP72" s="16"/>
      <c r="IQ72" s="3"/>
      <c r="IR72" s="3"/>
      <c r="IS72" s="3"/>
      <c r="IT72" s="3"/>
      <c r="IU72" s="3"/>
      <c r="IV72" s="3"/>
      <c r="IW72" s="12"/>
      <c r="IX72" s="3"/>
      <c r="IY72" s="136"/>
      <c r="IZ72" s="3"/>
      <c r="JA72" s="3"/>
      <c r="JB72" s="3"/>
      <c r="JC72" s="3"/>
      <c r="JI72" s="136"/>
      <c r="JK72" s="136"/>
      <c r="JO72" s="95"/>
      <c r="JP72" s="95"/>
      <c r="JQ72" s="95"/>
      <c r="JR72" s="95"/>
    </row>
    <row r="73" spans="1:280" ht="12.75" customHeight="1">
      <c r="B73" s="95"/>
      <c r="C73" s="19"/>
      <c r="D73" s="19"/>
      <c r="E73" s="19"/>
      <c r="F73" s="19"/>
      <c r="G73" s="19"/>
      <c r="H73" s="19"/>
      <c r="I73" s="52"/>
      <c r="J73" s="19"/>
      <c r="K73" s="136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29"/>
      <c r="AH73" s="19"/>
      <c r="AI73" s="19"/>
      <c r="AJ73" s="19"/>
      <c r="AK73" s="19"/>
      <c r="AL73" s="19"/>
      <c r="AM73" s="19"/>
      <c r="AN73" s="52"/>
      <c r="AO73" s="19"/>
      <c r="AP73" s="136"/>
      <c r="AQ73" s="54"/>
      <c r="AR73" s="3"/>
      <c r="AS73" s="3"/>
      <c r="AT73" s="3"/>
      <c r="AU73" s="3"/>
      <c r="AV73" s="16"/>
      <c r="AW73" s="16"/>
      <c r="AX73" s="16"/>
      <c r="AY73" s="16"/>
      <c r="AZ73" s="136"/>
      <c r="BA73" s="11"/>
      <c r="BB73" s="136"/>
      <c r="BC73" s="11"/>
      <c r="BD73" s="11"/>
      <c r="BE73" s="11"/>
      <c r="BF73" s="11"/>
      <c r="BG73" s="11"/>
      <c r="BH73" s="11"/>
      <c r="BI73" s="11"/>
      <c r="BJ73" s="11"/>
      <c r="BK73" s="11"/>
      <c r="BL73" s="16"/>
      <c r="BM73" s="3"/>
      <c r="BN73" s="3"/>
      <c r="BO73" s="3"/>
      <c r="BP73" s="3"/>
      <c r="BQ73" s="3"/>
      <c r="BR73" s="3"/>
      <c r="BS73" s="12"/>
      <c r="BT73" s="3"/>
      <c r="BU73" s="136"/>
      <c r="BV73" s="3"/>
      <c r="BW73" s="3"/>
      <c r="BX73" s="3"/>
      <c r="BY73" s="3"/>
      <c r="BZ73" s="3"/>
      <c r="CA73" s="16"/>
      <c r="CB73" s="16"/>
      <c r="CC73" s="16"/>
      <c r="CD73" s="16"/>
      <c r="CE73" s="136"/>
      <c r="CF73" s="11"/>
      <c r="CG73" s="136"/>
      <c r="CH73" s="11"/>
      <c r="CI73" s="11"/>
      <c r="CJ73" s="11"/>
      <c r="CK73" s="11"/>
      <c r="CL73" s="11"/>
      <c r="CM73" s="11"/>
      <c r="CN73" s="11"/>
      <c r="CO73" s="11"/>
      <c r="CP73" s="11"/>
      <c r="CQ73" s="16"/>
      <c r="CR73" s="3"/>
      <c r="CS73" s="3"/>
      <c r="CT73" s="3"/>
      <c r="CU73" s="3"/>
      <c r="CV73" s="3"/>
      <c r="CW73" s="3"/>
      <c r="CX73" s="12"/>
      <c r="CY73" s="3"/>
      <c r="CZ73" s="136"/>
      <c r="DA73" s="3"/>
      <c r="DB73" s="3"/>
      <c r="DC73" s="3"/>
      <c r="DD73" s="3"/>
      <c r="DE73" s="3"/>
      <c r="DF73" s="16"/>
      <c r="DG73" s="16"/>
      <c r="DH73" s="16"/>
      <c r="DI73" s="16"/>
      <c r="DJ73" s="136"/>
      <c r="DK73" s="11"/>
      <c r="DL73" s="136"/>
      <c r="DM73" s="11"/>
      <c r="DN73" s="11"/>
      <c r="DO73" s="11"/>
      <c r="DP73" s="11"/>
      <c r="DQ73" s="11"/>
      <c r="DR73" s="11"/>
      <c r="DS73" s="11"/>
      <c r="DT73" s="11"/>
      <c r="DU73" s="11"/>
      <c r="DV73" s="16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3"/>
      <c r="FC73" s="3"/>
      <c r="FD73" s="3"/>
      <c r="FE73" s="3"/>
      <c r="FF73" s="3"/>
      <c r="FG73" s="3"/>
      <c r="FH73" s="12"/>
      <c r="FI73" s="3"/>
      <c r="FJ73" s="136"/>
      <c r="FK73" s="3"/>
      <c r="FL73" s="3"/>
      <c r="FM73" s="3"/>
      <c r="FN73" s="3"/>
      <c r="FO73" s="3"/>
      <c r="FP73" s="16"/>
      <c r="FQ73" s="16"/>
      <c r="FR73" s="16"/>
      <c r="FS73" s="16"/>
      <c r="FT73" s="136"/>
      <c r="FU73" s="11"/>
      <c r="FV73" s="136"/>
      <c r="FW73" s="11"/>
      <c r="FX73" s="11"/>
      <c r="FY73" s="11"/>
      <c r="FZ73" s="11"/>
      <c r="GA73" s="11"/>
      <c r="GB73" s="11"/>
      <c r="GC73" s="11"/>
      <c r="GD73" s="11"/>
      <c r="GE73" s="11"/>
      <c r="GF73" s="16"/>
      <c r="GG73" s="3"/>
      <c r="GH73" s="3"/>
      <c r="GI73" s="3"/>
      <c r="GJ73" s="3"/>
      <c r="GK73" s="3"/>
      <c r="GL73" s="3"/>
      <c r="GM73" s="12"/>
      <c r="GN73" s="3"/>
      <c r="GO73" s="136"/>
      <c r="GP73" s="3"/>
      <c r="GQ73" s="3"/>
      <c r="GR73" s="3"/>
      <c r="GS73" s="3"/>
      <c r="GT73" s="3"/>
      <c r="GU73" s="16"/>
      <c r="GV73" s="16"/>
      <c r="GW73" s="16"/>
      <c r="GX73" s="16"/>
      <c r="GY73" s="136"/>
      <c r="GZ73" s="11"/>
      <c r="HA73" s="136"/>
      <c r="HB73" s="11"/>
      <c r="HC73" s="11"/>
      <c r="HD73" s="11"/>
      <c r="HE73" s="11"/>
      <c r="HF73" s="11"/>
      <c r="HG73" s="11"/>
      <c r="HH73" s="11"/>
      <c r="HI73" s="11"/>
      <c r="HJ73" s="11"/>
      <c r="HK73" s="16"/>
      <c r="HL73" s="3"/>
      <c r="HM73" s="3"/>
      <c r="HN73" s="3"/>
      <c r="HO73" s="3"/>
      <c r="HP73" s="3"/>
      <c r="HQ73" s="3"/>
      <c r="HR73" s="12"/>
      <c r="HS73" s="3"/>
      <c r="HT73" s="136"/>
      <c r="HU73" s="3"/>
      <c r="HV73" s="3"/>
      <c r="HW73" s="3"/>
      <c r="HX73" s="3"/>
      <c r="HY73" s="3"/>
      <c r="HZ73" s="16"/>
      <c r="IA73" s="16"/>
      <c r="IB73" s="16"/>
      <c r="IC73" s="16"/>
      <c r="ID73" s="136"/>
      <c r="IE73" s="11"/>
      <c r="IF73" s="136"/>
      <c r="IG73" s="11"/>
      <c r="IH73" s="11"/>
      <c r="II73" s="11"/>
      <c r="IJ73" s="11"/>
      <c r="IK73" s="11"/>
      <c r="IL73" s="11"/>
      <c r="IM73" s="11"/>
      <c r="IN73" s="11"/>
      <c r="IO73" s="11"/>
      <c r="IP73" s="16"/>
      <c r="IQ73" s="3"/>
      <c r="IR73" s="3"/>
      <c r="IS73" s="3"/>
      <c r="IT73" s="3"/>
      <c r="IU73" s="3"/>
      <c r="IV73" s="3"/>
      <c r="IW73" s="12"/>
      <c r="IX73" s="3"/>
      <c r="IY73" s="136"/>
      <c r="IZ73" s="3"/>
      <c r="JA73" s="3"/>
      <c r="JB73" s="3"/>
      <c r="JC73" s="3"/>
      <c r="JI73" s="136"/>
      <c r="JK73" s="136"/>
      <c r="JO73" s="11"/>
      <c r="JP73" s="11"/>
      <c r="JQ73" s="11"/>
      <c r="JR73" s="11"/>
    </row>
    <row r="74" spans="1:280" ht="12.75" customHeight="1">
      <c r="B74" s="95"/>
      <c r="C74" s="19"/>
      <c r="D74" s="19"/>
      <c r="E74" s="19"/>
      <c r="F74" s="19"/>
      <c r="G74" s="19"/>
      <c r="H74" s="19"/>
      <c r="I74" s="52"/>
      <c r="J74" s="19"/>
      <c r="K74" s="136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29"/>
      <c r="AH74" s="19"/>
      <c r="AI74" s="19"/>
      <c r="AJ74" s="19"/>
      <c r="AK74" s="19"/>
      <c r="AL74" s="19"/>
      <c r="AM74" s="19"/>
      <c r="AN74" s="52"/>
      <c r="AO74" s="19"/>
      <c r="AP74" s="136"/>
      <c r="AQ74" s="54"/>
      <c r="AR74" s="3"/>
      <c r="AS74" s="3"/>
      <c r="AT74" s="3"/>
      <c r="AU74" s="3"/>
      <c r="AV74" s="16"/>
      <c r="AW74" s="16"/>
      <c r="AX74" s="16"/>
      <c r="AY74" s="16"/>
      <c r="AZ74" s="136"/>
      <c r="BA74" s="129"/>
      <c r="BB74" s="136"/>
      <c r="BC74" s="129"/>
      <c r="BD74" s="129"/>
      <c r="BE74" s="129"/>
      <c r="BF74" s="97"/>
      <c r="BG74" s="97"/>
      <c r="BH74" s="97"/>
      <c r="BI74" s="97"/>
      <c r="BJ74" s="97"/>
      <c r="BK74" s="97"/>
      <c r="BL74" s="16"/>
      <c r="BM74" s="3"/>
      <c r="BN74" s="3"/>
      <c r="BO74" s="3"/>
      <c r="BP74" s="3"/>
      <c r="BQ74" s="3"/>
      <c r="BR74" s="3"/>
      <c r="BS74" s="12"/>
      <c r="BT74" s="3"/>
      <c r="BU74" s="136"/>
      <c r="BV74" s="3"/>
      <c r="BW74" s="3"/>
      <c r="BX74" s="3"/>
      <c r="BY74" s="3"/>
      <c r="BZ74" s="3"/>
      <c r="CA74" s="16"/>
      <c r="CB74" s="16"/>
      <c r="CC74" s="16"/>
      <c r="CD74" s="16"/>
      <c r="CE74" s="136"/>
      <c r="CF74" s="129"/>
      <c r="CG74" s="136"/>
      <c r="CH74" s="129"/>
      <c r="CI74" s="129"/>
      <c r="CJ74" s="129"/>
      <c r="CK74" s="97"/>
      <c r="CL74" s="97"/>
      <c r="CM74" s="97"/>
      <c r="CN74" s="97"/>
      <c r="CO74" s="97"/>
      <c r="CP74" s="97"/>
      <c r="CQ74" s="16"/>
      <c r="CR74" s="3"/>
      <c r="CS74" s="3"/>
      <c r="CT74" s="3"/>
      <c r="CU74" s="3"/>
      <c r="CV74" s="3"/>
      <c r="CW74" s="3"/>
      <c r="CX74" s="12"/>
      <c r="CY74" s="3"/>
      <c r="CZ74" s="136"/>
      <c r="DA74" s="3"/>
      <c r="DB74" s="3"/>
      <c r="DC74" s="3"/>
      <c r="DD74" s="3"/>
      <c r="DE74" s="3"/>
      <c r="DF74" s="16"/>
      <c r="DG74" s="16"/>
      <c r="DH74" s="16"/>
      <c r="DI74" s="16"/>
      <c r="DJ74" s="136"/>
      <c r="DK74" s="129"/>
      <c r="DL74" s="136"/>
      <c r="DM74" s="129"/>
      <c r="DN74" s="129"/>
      <c r="DO74" s="129"/>
      <c r="DP74" s="97"/>
      <c r="DQ74" s="97"/>
      <c r="DR74" s="97"/>
      <c r="DS74" s="97"/>
      <c r="DT74" s="97"/>
      <c r="DU74" s="97"/>
      <c r="DV74" s="16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3"/>
      <c r="FC74" s="3"/>
      <c r="FD74" s="3"/>
      <c r="FE74" s="3"/>
      <c r="FF74" s="3"/>
      <c r="FG74" s="3"/>
      <c r="FH74" s="12"/>
      <c r="FI74" s="3"/>
      <c r="FJ74" s="136"/>
      <c r="FK74" s="3"/>
      <c r="FL74" s="3"/>
      <c r="FM74" s="3"/>
      <c r="FN74" s="3"/>
      <c r="FO74" s="3"/>
      <c r="FP74" s="16"/>
      <c r="FQ74" s="16"/>
      <c r="FR74" s="16"/>
      <c r="FS74" s="16"/>
      <c r="FT74" s="136"/>
      <c r="FU74" s="129"/>
      <c r="FV74" s="136"/>
      <c r="FW74" s="129"/>
      <c r="FX74" s="129"/>
      <c r="FY74" s="129"/>
      <c r="FZ74" s="97"/>
      <c r="GA74" s="97"/>
      <c r="GB74" s="97"/>
      <c r="GC74" s="97"/>
      <c r="GD74" s="97"/>
      <c r="GE74" s="97"/>
      <c r="GF74" s="16"/>
      <c r="GG74" s="3"/>
      <c r="GH74" s="3"/>
      <c r="GI74" s="3"/>
      <c r="GJ74" s="3"/>
      <c r="GK74" s="3"/>
      <c r="GL74" s="3"/>
      <c r="GM74" s="12"/>
      <c r="GN74" s="3"/>
      <c r="GO74" s="136"/>
      <c r="GP74" s="3"/>
      <c r="GQ74" s="3"/>
      <c r="GR74" s="3"/>
      <c r="GS74" s="3"/>
      <c r="GT74" s="3"/>
      <c r="GU74" s="16"/>
      <c r="GV74" s="16"/>
      <c r="GW74" s="16"/>
      <c r="GX74" s="16"/>
      <c r="GY74" s="136"/>
      <c r="GZ74" s="129"/>
      <c r="HA74" s="136"/>
      <c r="HB74" s="129"/>
      <c r="HC74" s="129"/>
      <c r="HD74" s="129"/>
      <c r="HE74" s="97"/>
      <c r="HF74" s="97"/>
      <c r="HG74" s="97"/>
      <c r="HH74" s="97"/>
      <c r="HI74" s="97"/>
      <c r="HJ74" s="97"/>
      <c r="HK74" s="16"/>
      <c r="HL74" s="3"/>
      <c r="HM74" s="3"/>
      <c r="HN74" s="3"/>
      <c r="HO74" s="3"/>
      <c r="HP74" s="3"/>
      <c r="HQ74" s="3"/>
      <c r="HR74" s="12"/>
      <c r="HS74" s="3"/>
      <c r="HT74" s="136"/>
      <c r="HU74" s="3"/>
      <c r="HV74" s="3"/>
      <c r="HW74" s="3"/>
      <c r="HX74" s="3"/>
      <c r="HY74" s="3"/>
      <c r="HZ74" s="16"/>
      <c r="IA74" s="16"/>
      <c r="IB74" s="16"/>
      <c r="IC74" s="16"/>
      <c r="ID74" s="136"/>
      <c r="IE74" s="129"/>
      <c r="IF74" s="136"/>
      <c r="IG74" s="129"/>
      <c r="IH74" s="129"/>
      <c r="II74" s="129"/>
      <c r="IJ74" s="97"/>
      <c r="IK74" s="97"/>
      <c r="IL74" s="97"/>
      <c r="IM74" s="97"/>
      <c r="IN74" s="97"/>
      <c r="IO74" s="97"/>
      <c r="IP74" s="16"/>
      <c r="IQ74" s="3"/>
      <c r="IR74" s="3"/>
      <c r="IS74" s="3"/>
      <c r="IT74" s="3"/>
      <c r="IU74" s="3"/>
      <c r="IV74" s="3"/>
      <c r="IW74" s="12"/>
      <c r="IX74" s="3"/>
      <c r="IY74" s="136"/>
      <c r="IZ74" s="3"/>
      <c r="JA74" s="3"/>
      <c r="JB74" s="3"/>
      <c r="JC74" s="3"/>
      <c r="JI74" s="136"/>
      <c r="JK74" s="136"/>
      <c r="JO74" s="97"/>
      <c r="JP74" s="97"/>
      <c r="JQ74" s="97"/>
      <c r="JR74" s="97"/>
    </row>
    <row r="75" spans="1:280" ht="12.75" customHeight="1">
      <c r="B75" s="95"/>
      <c r="C75" s="19"/>
      <c r="D75" s="19"/>
      <c r="E75" s="19"/>
      <c r="F75" s="19"/>
      <c r="G75" s="19"/>
      <c r="H75" s="19"/>
      <c r="I75" s="52"/>
      <c r="J75" s="19"/>
      <c r="K75" s="136"/>
      <c r="L75" s="19"/>
      <c r="M75" s="3"/>
      <c r="N75" s="3"/>
      <c r="O75" s="3"/>
      <c r="P75" s="12"/>
      <c r="Q75" s="80"/>
      <c r="R75" s="80"/>
      <c r="S75" s="80"/>
      <c r="T75" s="80"/>
      <c r="U75" s="136"/>
      <c r="V75" s="80"/>
      <c r="W75" s="136"/>
      <c r="X75" s="80"/>
      <c r="Y75" s="80"/>
      <c r="Z75" s="80"/>
      <c r="AA75" s="80"/>
      <c r="AB75" s="80"/>
      <c r="AC75" s="80"/>
      <c r="AD75" s="80"/>
      <c r="AE75" s="80"/>
      <c r="AF75" s="80"/>
      <c r="AG75" s="29"/>
      <c r="AH75" s="19"/>
      <c r="AI75" s="19"/>
      <c r="AJ75" s="19"/>
      <c r="AK75" s="19"/>
      <c r="AL75" s="19"/>
      <c r="AM75" s="19"/>
      <c r="AN75" s="52"/>
      <c r="AO75" s="19"/>
      <c r="AP75" s="136"/>
      <c r="AQ75" s="54"/>
      <c r="AR75" s="3"/>
      <c r="AS75" s="3"/>
      <c r="AT75" s="3"/>
      <c r="AU75" s="3"/>
      <c r="AV75" s="16"/>
      <c r="AW75" s="16"/>
      <c r="AX75" s="16"/>
      <c r="AY75" s="16"/>
      <c r="AZ75" s="136"/>
      <c r="BA75" s="80"/>
      <c r="BB75" s="136"/>
      <c r="BC75" s="80"/>
      <c r="BD75" s="80"/>
      <c r="BE75" s="80"/>
      <c r="BF75" s="80"/>
      <c r="BG75" s="80"/>
      <c r="BH75" s="80"/>
      <c r="BI75" s="80"/>
      <c r="BJ75" s="80"/>
      <c r="BK75" s="80"/>
      <c r="BL75" s="16"/>
      <c r="BM75" s="3"/>
      <c r="BN75" s="3"/>
      <c r="BO75" s="3"/>
      <c r="BP75" s="3"/>
      <c r="BQ75" s="3"/>
      <c r="BR75" s="3"/>
      <c r="BS75" s="12"/>
      <c r="BT75" s="3"/>
      <c r="BU75" s="136"/>
      <c r="BV75" s="3"/>
      <c r="BW75" s="3"/>
      <c r="BX75" s="3"/>
      <c r="BY75" s="3"/>
      <c r="BZ75" s="3"/>
      <c r="CA75" s="16"/>
      <c r="CB75" s="16"/>
      <c r="CC75" s="16"/>
      <c r="CD75" s="16"/>
      <c r="CE75" s="136"/>
      <c r="CF75" s="80"/>
      <c r="CG75" s="136"/>
      <c r="CH75" s="80"/>
      <c r="CI75" s="80"/>
      <c r="CJ75" s="80"/>
      <c r="CK75" s="80"/>
      <c r="CL75" s="80"/>
      <c r="CM75" s="80"/>
      <c r="CN75" s="80"/>
      <c r="CO75" s="80"/>
      <c r="CP75" s="80"/>
      <c r="CQ75" s="16"/>
      <c r="CR75" s="3"/>
      <c r="CS75" s="3"/>
      <c r="CT75" s="3"/>
      <c r="CU75" s="3"/>
      <c r="CV75" s="3"/>
      <c r="CW75" s="3"/>
      <c r="CX75" s="12"/>
      <c r="CY75" s="3"/>
      <c r="CZ75" s="136"/>
      <c r="DA75" s="3"/>
      <c r="DB75" s="3"/>
      <c r="DC75" s="3"/>
      <c r="DD75" s="3"/>
      <c r="DE75" s="3"/>
      <c r="DF75" s="16"/>
      <c r="DG75" s="16"/>
      <c r="DH75" s="16"/>
      <c r="DI75" s="16"/>
      <c r="DJ75" s="136"/>
      <c r="DK75" s="80"/>
      <c r="DL75" s="136"/>
      <c r="DM75" s="80"/>
      <c r="DN75" s="80"/>
      <c r="DO75" s="80"/>
      <c r="DP75" s="80"/>
      <c r="DQ75" s="80"/>
      <c r="DR75" s="80"/>
      <c r="DS75" s="80"/>
      <c r="DT75" s="80"/>
      <c r="DU75" s="80"/>
      <c r="DV75" s="16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3"/>
      <c r="FC75" s="3"/>
      <c r="FD75" s="3"/>
      <c r="FE75" s="3"/>
      <c r="FF75" s="3"/>
      <c r="FG75" s="3"/>
      <c r="FH75" s="12"/>
      <c r="FI75" s="3"/>
      <c r="FJ75" s="136"/>
      <c r="FK75" s="3"/>
      <c r="FL75" s="3"/>
      <c r="FM75" s="3"/>
      <c r="FN75" s="3"/>
      <c r="FO75" s="3"/>
      <c r="FP75" s="16"/>
      <c r="FQ75" s="16"/>
      <c r="FR75" s="16"/>
      <c r="FS75" s="16"/>
      <c r="FT75" s="136"/>
      <c r="FU75" s="80"/>
      <c r="FV75" s="136"/>
      <c r="FW75" s="80"/>
      <c r="FX75" s="80"/>
      <c r="FY75" s="80"/>
      <c r="FZ75" s="80"/>
      <c r="GA75" s="80"/>
      <c r="GB75" s="80"/>
      <c r="GC75" s="80"/>
      <c r="GD75" s="80"/>
      <c r="GE75" s="80"/>
      <c r="GF75" s="16"/>
      <c r="GG75" s="3"/>
      <c r="GH75" s="3"/>
      <c r="GI75" s="3"/>
      <c r="GJ75" s="3"/>
      <c r="GK75" s="3"/>
      <c r="GL75" s="3"/>
      <c r="GM75" s="12"/>
      <c r="GN75" s="3"/>
      <c r="GO75" s="136"/>
      <c r="GP75" s="3"/>
      <c r="GQ75" s="3"/>
      <c r="GR75" s="3"/>
      <c r="GS75" s="3"/>
      <c r="GT75" s="3"/>
      <c r="GU75" s="16"/>
      <c r="GV75" s="16"/>
      <c r="GW75" s="16"/>
      <c r="GX75" s="16"/>
      <c r="GY75" s="136"/>
      <c r="GZ75" s="80"/>
      <c r="HA75" s="136"/>
      <c r="HB75" s="80"/>
      <c r="HC75" s="80"/>
      <c r="HD75" s="80"/>
      <c r="HE75" s="80"/>
      <c r="HF75" s="80"/>
      <c r="HG75" s="80"/>
      <c r="HH75" s="80"/>
      <c r="HI75" s="80"/>
      <c r="HJ75" s="80"/>
      <c r="HK75" s="16"/>
      <c r="HL75" s="3"/>
      <c r="HM75" s="3"/>
      <c r="HN75" s="3"/>
      <c r="HO75" s="3"/>
      <c r="HP75" s="3"/>
      <c r="HQ75" s="3"/>
      <c r="HR75" s="12"/>
      <c r="HS75" s="3"/>
      <c r="HT75" s="136"/>
      <c r="HU75" s="3"/>
      <c r="HV75" s="3"/>
      <c r="HW75" s="3"/>
      <c r="HX75" s="3"/>
      <c r="HY75" s="3"/>
      <c r="HZ75" s="16"/>
      <c r="IA75" s="16"/>
      <c r="IB75" s="16"/>
      <c r="IC75" s="16"/>
      <c r="ID75" s="136"/>
      <c r="IE75" s="80"/>
      <c r="IF75" s="136"/>
      <c r="IG75" s="80"/>
      <c r="IH75" s="80"/>
      <c r="II75" s="80"/>
      <c r="IJ75" s="80"/>
      <c r="IK75" s="80"/>
      <c r="IL75" s="80"/>
      <c r="IM75" s="80"/>
      <c r="IN75" s="80"/>
      <c r="IO75" s="80"/>
      <c r="IP75" s="16"/>
      <c r="IQ75" s="3"/>
      <c r="IR75" s="3"/>
      <c r="IS75" s="3"/>
      <c r="IT75" s="3"/>
      <c r="IU75" s="3"/>
      <c r="IV75" s="3"/>
      <c r="IW75" s="12"/>
      <c r="IX75" s="3"/>
      <c r="IY75" s="136"/>
      <c r="IZ75" s="3"/>
      <c r="JA75" s="3"/>
      <c r="JB75" s="3"/>
      <c r="JC75" s="3"/>
      <c r="JI75" s="136"/>
      <c r="JK75" s="136"/>
      <c r="JO75" s="80"/>
      <c r="JP75" s="80"/>
      <c r="JQ75" s="80"/>
      <c r="JR75" s="80"/>
    </row>
    <row r="76" spans="1:280" ht="12.75" customHeight="1">
      <c r="B76" s="95"/>
      <c r="C76" s="19"/>
      <c r="D76" s="19"/>
      <c r="E76" s="19"/>
      <c r="F76" s="19"/>
      <c r="G76" s="19"/>
      <c r="H76" s="19"/>
      <c r="I76" s="52"/>
      <c r="J76" s="19"/>
      <c r="K76" s="136"/>
      <c r="L76" s="19"/>
      <c r="M76" s="3"/>
      <c r="N76" s="3"/>
      <c r="O76" s="3"/>
      <c r="P76" s="12"/>
      <c r="Q76" s="30"/>
      <c r="R76" s="30"/>
      <c r="S76" s="30"/>
      <c r="T76" s="30"/>
      <c r="U76" s="136"/>
      <c r="V76" s="30"/>
      <c r="W76" s="136"/>
      <c r="X76" s="30"/>
      <c r="Y76" s="30"/>
      <c r="Z76" s="30"/>
      <c r="AA76" s="30"/>
      <c r="AB76" s="30"/>
      <c r="AC76" s="30"/>
      <c r="AD76" s="30"/>
      <c r="AE76" s="30"/>
      <c r="AF76" s="30"/>
      <c r="AG76" s="29"/>
      <c r="AH76" s="19"/>
      <c r="AI76" s="19"/>
      <c r="AJ76" s="19"/>
      <c r="AK76" s="19"/>
      <c r="AL76" s="19"/>
      <c r="AM76" s="19"/>
      <c r="AN76" s="52"/>
      <c r="AO76" s="19"/>
      <c r="AP76" s="136"/>
      <c r="AQ76" s="54"/>
      <c r="AR76" s="3"/>
      <c r="AS76" s="3"/>
      <c r="AT76" s="3"/>
      <c r="AU76" s="3"/>
      <c r="AV76" s="16"/>
      <c r="AW76" s="16"/>
      <c r="AX76" s="16"/>
      <c r="AY76" s="16"/>
      <c r="AZ76" s="136"/>
      <c r="BA76" s="30"/>
      <c r="BB76" s="136"/>
      <c r="BC76" s="30"/>
      <c r="BD76" s="30"/>
      <c r="BE76" s="30"/>
      <c r="BF76" s="30"/>
      <c r="BG76" s="30"/>
      <c r="BH76" s="30"/>
      <c r="BI76" s="30"/>
      <c r="BJ76" s="30"/>
      <c r="BK76" s="30"/>
      <c r="BL76" s="16"/>
      <c r="BM76" s="3"/>
      <c r="BN76" s="3"/>
      <c r="BO76" s="3"/>
      <c r="BP76" s="3"/>
      <c r="BQ76" s="3"/>
      <c r="BR76" s="3"/>
      <c r="BS76" s="12"/>
      <c r="BT76" s="3"/>
      <c r="BU76" s="136"/>
      <c r="BV76" s="3"/>
      <c r="BW76" s="3"/>
      <c r="BX76" s="3"/>
      <c r="BY76" s="3"/>
      <c r="BZ76" s="3"/>
      <c r="CA76" s="16"/>
      <c r="CB76" s="16"/>
      <c r="CC76" s="16"/>
      <c r="CD76" s="16"/>
      <c r="CE76" s="136"/>
      <c r="CF76" s="30"/>
      <c r="CG76" s="136"/>
      <c r="CH76" s="30"/>
      <c r="CI76" s="30"/>
      <c r="CJ76" s="30"/>
      <c r="CK76" s="30"/>
      <c r="CL76" s="30"/>
      <c r="CM76" s="30"/>
      <c r="CN76" s="30"/>
      <c r="CO76" s="30"/>
      <c r="CP76" s="30"/>
      <c r="CQ76" s="16"/>
      <c r="CR76" s="3"/>
      <c r="CS76" s="3"/>
      <c r="CT76" s="3"/>
      <c r="CU76" s="3"/>
      <c r="CV76" s="3"/>
      <c r="CW76" s="3"/>
      <c r="CX76" s="12"/>
      <c r="CY76" s="3"/>
      <c r="CZ76" s="136"/>
      <c r="DA76" s="3"/>
      <c r="DB76" s="3"/>
      <c r="DC76" s="3"/>
      <c r="DD76" s="3"/>
      <c r="DE76" s="3"/>
      <c r="DF76" s="16"/>
      <c r="DG76" s="16"/>
      <c r="DH76" s="16"/>
      <c r="DI76" s="16"/>
      <c r="DJ76" s="136"/>
      <c r="DK76" s="30"/>
      <c r="DL76" s="136"/>
      <c r="DM76" s="30"/>
      <c r="DN76" s="30"/>
      <c r="DO76" s="30"/>
      <c r="DP76" s="30"/>
      <c r="DQ76" s="30"/>
      <c r="DR76" s="30"/>
      <c r="DS76" s="30"/>
      <c r="DT76" s="30"/>
      <c r="DU76" s="30"/>
      <c r="DV76" s="16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3"/>
      <c r="FC76" s="3"/>
      <c r="FD76" s="3"/>
      <c r="FE76" s="3"/>
      <c r="FF76" s="3"/>
      <c r="FG76" s="3"/>
      <c r="FH76" s="12"/>
      <c r="FI76" s="3"/>
      <c r="FJ76" s="136"/>
      <c r="FK76" s="3"/>
      <c r="FL76" s="3"/>
      <c r="FM76" s="3"/>
      <c r="FN76" s="3"/>
      <c r="FO76" s="3"/>
      <c r="FP76" s="16"/>
      <c r="FQ76" s="16"/>
      <c r="FR76" s="16"/>
      <c r="FS76" s="16"/>
      <c r="FT76" s="136"/>
      <c r="FU76" s="30"/>
      <c r="FV76" s="136"/>
      <c r="FW76" s="30"/>
      <c r="FX76" s="30"/>
      <c r="FY76" s="30"/>
      <c r="FZ76" s="30"/>
      <c r="GA76" s="30"/>
      <c r="GB76" s="30"/>
      <c r="GC76" s="30"/>
      <c r="GD76" s="30"/>
      <c r="GE76" s="30"/>
      <c r="GF76" s="16"/>
      <c r="GG76" s="3"/>
      <c r="GH76" s="3"/>
      <c r="GI76" s="3"/>
      <c r="GJ76" s="3"/>
      <c r="GK76" s="3"/>
      <c r="GL76" s="3"/>
      <c r="GM76" s="12"/>
      <c r="GN76" s="3"/>
      <c r="GO76" s="136"/>
      <c r="GP76" s="3"/>
      <c r="GQ76" s="3"/>
      <c r="GR76" s="3"/>
      <c r="GS76" s="3"/>
      <c r="GT76" s="3"/>
      <c r="GU76" s="16"/>
      <c r="GV76" s="16"/>
      <c r="GW76" s="16"/>
      <c r="GX76" s="16"/>
      <c r="GY76" s="136"/>
      <c r="GZ76" s="30"/>
      <c r="HA76" s="136"/>
      <c r="HB76" s="30"/>
      <c r="HC76" s="30"/>
      <c r="HD76" s="30"/>
      <c r="HE76" s="30"/>
      <c r="HF76" s="30"/>
      <c r="HG76" s="30"/>
      <c r="HH76" s="30"/>
      <c r="HI76" s="30"/>
      <c r="HJ76" s="30"/>
      <c r="HK76" s="16"/>
      <c r="HL76" s="3"/>
      <c r="HM76" s="3"/>
      <c r="HN76" s="3"/>
      <c r="HO76" s="3"/>
      <c r="HP76" s="3"/>
      <c r="HQ76" s="3"/>
      <c r="HR76" s="12"/>
      <c r="HS76" s="3"/>
      <c r="HT76" s="136"/>
      <c r="HU76" s="3"/>
      <c r="HV76" s="3"/>
      <c r="HW76" s="3"/>
      <c r="HX76" s="3"/>
      <c r="HY76" s="3"/>
      <c r="HZ76" s="16"/>
      <c r="IA76" s="16"/>
      <c r="IB76" s="16"/>
      <c r="IC76" s="16"/>
      <c r="ID76" s="136"/>
      <c r="IE76" s="30"/>
      <c r="IF76" s="136"/>
      <c r="IG76" s="30"/>
      <c r="IH76" s="30"/>
      <c r="II76" s="30"/>
      <c r="IJ76" s="30"/>
      <c r="IK76" s="30"/>
      <c r="IL76" s="30"/>
      <c r="IM76" s="30"/>
      <c r="IN76" s="30"/>
      <c r="IO76" s="30"/>
      <c r="IP76" s="16"/>
      <c r="IQ76" s="3"/>
      <c r="IR76" s="3"/>
      <c r="IS76" s="3"/>
      <c r="IT76" s="3"/>
      <c r="IU76" s="3"/>
      <c r="IV76" s="3"/>
      <c r="IW76" s="12"/>
      <c r="IX76" s="3"/>
      <c r="IY76" s="136"/>
      <c r="IZ76" s="3"/>
      <c r="JA76" s="3"/>
      <c r="JB76" s="3"/>
      <c r="JC76" s="3"/>
      <c r="JI76" s="136"/>
      <c r="JK76" s="136"/>
      <c r="JO76" s="30"/>
      <c r="JP76" s="30"/>
      <c r="JQ76" s="30"/>
      <c r="JR76" s="30"/>
    </row>
    <row r="77" spans="1:280" ht="12.75" customHeight="1">
      <c r="B77" s="95"/>
      <c r="C77" s="19"/>
      <c r="D77" s="19"/>
      <c r="E77" s="19"/>
      <c r="F77" s="19"/>
      <c r="G77" s="19"/>
      <c r="H77" s="19"/>
      <c r="I77" s="52"/>
      <c r="J77" s="19"/>
      <c r="K77" s="136"/>
      <c r="L77" s="19"/>
      <c r="M77" s="3"/>
      <c r="N77" s="3"/>
      <c r="O77" s="3"/>
      <c r="P77" s="12"/>
      <c r="Q77" s="30"/>
      <c r="R77" s="30"/>
      <c r="S77" s="30"/>
      <c r="T77" s="30"/>
      <c r="U77" s="136"/>
      <c r="V77" s="30"/>
      <c r="W77" s="136"/>
      <c r="X77" s="30"/>
      <c r="Y77" s="30"/>
      <c r="Z77" s="30"/>
      <c r="AA77" s="30"/>
      <c r="AB77" s="30"/>
      <c r="AC77" s="30"/>
      <c r="AD77" s="30"/>
      <c r="AE77" s="30"/>
      <c r="AF77" s="30"/>
      <c r="AG77" s="29"/>
      <c r="AH77" s="19"/>
      <c r="AI77" s="19"/>
      <c r="AJ77" s="19"/>
      <c r="AK77" s="19"/>
      <c r="AL77" s="19"/>
      <c r="AM77" s="19"/>
      <c r="AN77" s="52"/>
      <c r="AO77" s="19"/>
      <c r="AP77" s="136"/>
      <c r="AQ77" s="54"/>
      <c r="AR77" s="3"/>
      <c r="AS77" s="3"/>
      <c r="AT77" s="3"/>
      <c r="AU77" s="3"/>
      <c r="AV77" s="16"/>
      <c r="AW77" s="16"/>
      <c r="AX77" s="16"/>
      <c r="AY77" s="16"/>
      <c r="AZ77" s="136"/>
      <c r="BA77" s="30"/>
      <c r="BB77" s="136"/>
      <c r="BC77" s="30"/>
      <c r="BD77" s="30"/>
      <c r="BE77" s="30"/>
      <c r="BF77" s="30"/>
      <c r="BG77" s="30"/>
      <c r="BH77" s="30"/>
      <c r="BI77" s="30"/>
      <c r="BJ77" s="30"/>
      <c r="BK77" s="30"/>
      <c r="BL77" s="16"/>
      <c r="BM77" s="3"/>
      <c r="BN77" s="3"/>
      <c r="BO77" s="3"/>
      <c r="BP77" s="3"/>
      <c r="BQ77" s="3"/>
      <c r="BR77" s="3"/>
      <c r="BS77" s="12"/>
      <c r="BT77" s="3"/>
      <c r="BU77" s="136"/>
      <c r="BV77" s="3"/>
      <c r="BW77" s="3"/>
      <c r="BX77" s="3"/>
      <c r="BY77" s="3"/>
      <c r="BZ77" s="3"/>
      <c r="CA77" s="16"/>
      <c r="CB77" s="16"/>
      <c r="CC77" s="16"/>
      <c r="CD77" s="16"/>
      <c r="CE77" s="136"/>
      <c r="CF77" s="30"/>
      <c r="CG77" s="136"/>
      <c r="CH77" s="30"/>
      <c r="CI77" s="30"/>
      <c r="CJ77" s="30"/>
      <c r="CK77" s="30"/>
      <c r="CL77" s="30"/>
      <c r="CM77" s="30"/>
      <c r="CN77" s="30"/>
      <c r="CO77" s="30"/>
      <c r="CP77" s="30"/>
      <c r="CQ77" s="16"/>
      <c r="CR77" s="3"/>
      <c r="CS77" s="3"/>
      <c r="CT77" s="3"/>
      <c r="CU77" s="3"/>
      <c r="CV77" s="3"/>
      <c r="CW77" s="3"/>
      <c r="CX77" s="12"/>
      <c r="CY77" s="3"/>
      <c r="CZ77" s="136"/>
      <c r="DA77" s="3"/>
      <c r="DB77" s="3"/>
      <c r="DC77" s="3"/>
      <c r="DD77" s="3"/>
      <c r="DE77" s="3"/>
      <c r="DF77" s="16"/>
      <c r="DG77" s="16"/>
      <c r="DH77" s="16"/>
      <c r="DI77" s="16"/>
      <c r="DJ77" s="136"/>
      <c r="DK77" s="30"/>
      <c r="DL77" s="136"/>
      <c r="DM77" s="30"/>
      <c r="DN77" s="30"/>
      <c r="DO77" s="30"/>
      <c r="DP77" s="30"/>
      <c r="DQ77" s="30"/>
      <c r="DR77" s="30"/>
      <c r="DS77" s="30"/>
      <c r="DT77" s="30"/>
      <c r="DU77" s="30"/>
      <c r="DV77" s="16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3"/>
      <c r="FC77" s="3"/>
      <c r="FD77" s="3"/>
      <c r="FE77" s="3"/>
      <c r="FF77" s="3"/>
      <c r="FG77" s="3"/>
      <c r="FH77" s="12"/>
      <c r="FI77" s="3"/>
      <c r="FJ77" s="136"/>
      <c r="FK77" s="3"/>
      <c r="FL77" s="3"/>
      <c r="FM77" s="3"/>
      <c r="FN77" s="3"/>
      <c r="FO77" s="3"/>
      <c r="FP77" s="16"/>
      <c r="FQ77" s="16"/>
      <c r="FR77" s="16"/>
      <c r="FS77" s="16"/>
      <c r="FT77" s="136"/>
      <c r="FU77" s="30"/>
      <c r="FV77" s="136"/>
      <c r="FW77" s="30"/>
      <c r="FX77" s="30"/>
      <c r="FY77" s="30"/>
      <c r="FZ77" s="30"/>
      <c r="GA77" s="30"/>
      <c r="GB77" s="30"/>
      <c r="GC77" s="30"/>
      <c r="GD77" s="30"/>
      <c r="GE77" s="30"/>
      <c r="GF77" s="16"/>
      <c r="GG77" s="3"/>
      <c r="GH77" s="3"/>
      <c r="GI77" s="3"/>
      <c r="GJ77" s="3"/>
      <c r="GK77" s="3"/>
      <c r="GL77" s="3"/>
      <c r="GM77" s="12"/>
      <c r="GN77" s="3"/>
      <c r="GO77" s="136"/>
      <c r="GP77" s="3"/>
      <c r="GQ77" s="3"/>
      <c r="GR77" s="3"/>
      <c r="GS77" s="3"/>
      <c r="GT77" s="3"/>
      <c r="GU77" s="16"/>
      <c r="GV77" s="16"/>
      <c r="GW77" s="16"/>
      <c r="GX77" s="16"/>
      <c r="GY77" s="136"/>
      <c r="GZ77" s="30"/>
      <c r="HA77" s="136"/>
      <c r="HB77" s="30"/>
      <c r="HC77" s="30"/>
      <c r="HD77" s="30"/>
      <c r="HE77" s="30"/>
      <c r="HF77" s="30"/>
      <c r="HG77" s="30"/>
      <c r="HH77" s="30"/>
      <c r="HI77" s="30"/>
      <c r="HJ77" s="30"/>
      <c r="HK77" s="16"/>
      <c r="HL77" s="3"/>
      <c r="HM77" s="3"/>
      <c r="HN77" s="3"/>
      <c r="HO77" s="3"/>
      <c r="HP77" s="3"/>
      <c r="HQ77" s="3"/>
      <c r="HR77" s="12"/>
      <c r="HS77" s="3"/>
      <c r="HT77" s="136"/>
      <c r="HU77" s="3"/>
      <c r="HV77" s="3"/>
      <c r="HW77" s="3"/>
      <c r="HX77" s="3"/>
      <c r="HY77" s="3"/>
      <c r="HZ77" s="16"/>
      <c r="IA77" s="16"/>
      <c r="IB77" s="16"/>
      <c r="IC77" s="16"/>
      <c r="ID77" s="136"/>
      <c r="IE77" s="30"/>
      <c r="IF77" s="136"/>
      <c r="IG77" s="30"/>
      <c r="IH77" s="30"/>
      <c r="II77" s="30"/>
      <c r="IJ77" s="30"/>
      <c r="IK77" s="30"/>
      <c r="IL77" s="30"/>
      <c r="IM77" s="30"/>
      <c r="IN77" s="30"/>
      <c r="IO77" s="30"/>
      <c r="IP77" s="16"/>
      <c r="IQ77" s="3"/>
      <c r="IR77" s="3"/>
      <c r="IS77" s="3"/>
      <c r="IT77" s="3"/>
      <c r="IU77" s="3"/>
      <c r="IV77" s="3"/>
      <c r="IW77" s="12"/>
      <c r="IX77" s="3"/>
      <c r="IY77" s="136"/>
      <c r="IZ77" s="3"/>
      <c r="JA77" s="3"/>
      <c r="JB77" s="3"/>
      <c r="JC77" s="3"/>
      <c r="JI77" s="136"/>
      <c r="JK77" s="136"/>
      <c r="JO77" s="30"/>
      <c r="JP77" s="30"/>
      <c r="JQ77" s="30"/>
      <c r="JR77" s="30"/>
    </row>
    <row r="78" spans="1:280" ht="12.75" customHeight="1">
      <c r="B78" s="95"/>
      <c r="C78" s="19"/>
      <c r="D78" s="19"/>
      <c r="E78" s="19"/>
      <c r="F78" s="19"/>
      <c r="G78" s="19"/>
      <c r="H78" s="19"/>
      <c r="I78" s="52"/>
      <c r="J78" s="19"/>
      <c r="K78" s="136"/>
      <c r="L78" s="19"/>
      <c r="M78" s="3"/>
      <c r="N78" s="3"/>
      <c r="O78" s="3"/>
      <c r="P78" s="12"/>
      <c r="Q78" s="25"/>
      <c r="R78" s="25"/>
      <c r="S78" s="25"/>
      <c r="T78" s="25"/>
      <c r="U78" s="136"/>
      <c r="V78" s="25"/>
      <c r="W78" s="136"/>
      <c r="X78" s="25"/>
      <c r="Y78" s="25"/>
      <c r="Z78" s="25"/>
      <c r="AA78" s="25"/>
      <c r="AB78" s="25"/>
      <c r="AC78" s="25"/>
      <c r="AD78" s="25"/>
      <c r="AE78" s="25"/>
      <c r="AF78" s="25"/>
      <c r="AG78" s="29"/>
      <c r="AH78" s="19"/>
      <c r="AI78" s="19"/>
      <c r="AJ78" s="19"/>
      <c r="AK78" s="19"/>
      <c r="AL78" s="19"/>
      <c r="AM78" s="19"/>
      <c r="AN78" s="52"/>
      <c r="AO78" s="19"/>
      <c r="AP78" s="136"/>
      <c r="AQ78" s="54"/>
      <c r="AR78" s="3"/>
      <c r="AS78" s="3"/>
      <c r="AT78" s="3"/>
      <c r="AU78" s="3"/>
      <c r="AV78" s="16"/>
      <c r="AW78" s="16"/>
      <c r="AX78" s="16"/>
      <c r="AY78" s="16"/>
      <c r="AZ78" s="136"/>
      <c r="BA78" s="25"/>
      <c r="BB78" s="136"/>
      <c r="BC78" s="25"/>
      <c r="BD78" s="25"/>
      <c r="BE78" s="25"/>
      <c r="BF78" s="25"/>
      <c r="BG78" s="25"/>
      <c r="BH78" s="25"/>
      <c r="BI78" s="25"/>
      <c r="BJ78" s="25"/>
      <c r="BK78" s="25"/>
      <c r="BL78" s="16"/>
      <c r="BM78" s="3"/>
      <c r="BN78" s="3"/>
      <c r="BO78" s="3"/>
      <c r="BP78" s="3"/>
      <c r="BQ78" s="3"/>
      <c r="BR78" s="3"/>
      <c r="BS78" s="12"/>
      <c r="BT78" s="3"/>
      <c r="BU78" s="136"/>
      <c r="BV78" s="3"/>
      <c r="BW78" s="3"/>
      <c r="BX78" s="3"/>
      <c r="BY78" s="3"/>
      <c r="BZ78" s="3"/>
      <c r="CA78" s="16"/>
      <c r="CB78" s="16"/>
      <c r="CC78" s="16"/>
      <c r="CD78" s="16"/>
      <c r="CE78" s="136"/>
      <c r="CF78" s="25"/>
      <c r="CG78" s="136"/>
      <c r="CH78" s="25"/>
      <c r="CI78" s="25"/>
      <c r="CJ78" s="25"/>
      <c r="CK78" s="25"/>
      <c r="CL78" s="25"/>
      <c r="CM78" s="25"/>
      <c r="CN78" s="25"/>
      <c r="CO78" s="25"/>
      <c r="CP78" s="25"/>
      <c r="CQ78" s="16"/>
      <c r="CR78" s="3"/>
      <c r="CS78" s="3"/>
      <c r="CT78" s="3"/>
      <c r="CU78" s="3"/>
      <c r="CV78" s="3"/>
      <c r="CW78" s="3"/>
      <c r="CX78" s="12"/>
      <c r="CY78" s="3"/>
      <c r="CZ78" s="136"/>
      <c r="DA78" s="3"/>
      <c r="DB78" s="3"/>
      <c r="DC78" s="3"/>
      <c r="DD78" s="3"/>
      <c r="DE78" s="3"/>
      <c r="DF78" s="16"/>
      <c r="DG78" s="16"/>
      <c r="DH78" s="16"/>
      <c r="DI78" s="16"/>
      <c r="DJ78" s="136"/>
      <c r="DK78" s="25"/>
      <c r="DL78" s="136"/>
      <c r="DM78" s="25"/>
      <c r="DN78" s="25"/>
      <c r="DO78" s="25"/>
      <c r="DP78" s="25"/>
      <c r="DQ78" s="25"/>
      <c r="DR78" s="25"/>
      <c r="DS78" s="25"/>
      <c r="DT78" s="25"/>
      <c r="DU78" s="25"/>
      <c r="DV78" s="16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3"/>
      <c r="FC78" s="3"/>
      <c r="FD78" s="3"/>
      <c r="FE78" s="3"/>
      <c r="FF78" s="3"/>
      <c r="FG78" s="3"/>
      <c r="FH78" s="12"/>
      <c r="FI78" s="3"/>
      <c r="FJ78" s="136"/>
      <c r="FK78" s="3"/>
      <c r="FL78" s="3"/>
      <c r="FM78" s="3"/>
      <c r="FN78" s="3"/>
      <c r="FO78" s="3"/>
      <c r="FP78" s="16"/>
      <c r="FQ78" s="16"/>
      <c r="FR78" s="16"/>
      <c r="FS78" s="16"/>
      <c r="FT78" s="136"/>
      <c r="FU78" s="25"/>
      <c r="FV78" s="136"/>
      <c r="FW78" s="25"/>
      <c r="FX78" s="25"/>
      <c r="FY78" s="25"/>
      <c r="FZ78" s="25"/>
      <c r="GA78" s="25"/>
      <c r="GB78" s="25"/>
      <c r="GC78" s="25"/>
      <c r="GD78" s="25"/>
      <c r="GE78" s="25"/>
      <c r="GF78" s="16"/>
      <c r="GG78" s="3"/>
      <c r="GH78" s="3"/>
      <c r="GI78" s="3"/>
      <c r="GJ78" s="3"/>
      <c r="GK78" s="3"/>
      <c r="GL78" s="3"/>
      <c r="GM78" s="12"/>
      <c r="GN78" s="3"/>
      <c r="GO78" s="136"/>
      <c r="GP78" s="3"/>
      <c r="GQ78" s="3"/>
      <c r="GR78" s="3"/>
      <c r="GS78" s="3"/>
      <c r="GT78" s="3"/>
      <c r="GU78" s="16"/>
      <c r="GV78" s="16"/>
      <c r="GW78" s="16"/>
      <c r="GX78" s="16"/>
      <c r="GY78" s="136"/>
      <c r="GZ78" s="25"/>
      <c r="HA78" s="136"/>
      <c r="HB78" s="25"/>
      <c r="HC78" s="25"/>
      <c r="HD78" s="25"/>
      <c r="HE78" s="25"/>
      <c r="HF78" s="25"/>
      <c r="HG78" s="25"/>
      <c r="HH78" s="25"/>
      <c r="HI78" s="25"/>
      <c r="HJ78" s="25"/>
      <c r="HK78" s="16"/>
      <c r="HL78" s="3"/>
      <c r="HM78" s="3"/>
      <c r="HN78" s="3"/>
      <c r="HO78" s="3"/>
      <c r="HP78" s="3"/>
      <c r="HQ78" s="3"/>
      <c r="HR78" s="12"/>
      <c r="HS78" s="3"/>
      <c r="HT78" s="136"/>
      <c r="HU78" s="3"/>
      <c r="HV78" s="3"/>
      <c r="HW78" s="3"/>
      <c r="HX78" s="3"/>
      <c r="HY78" s="3"/>
      <c r="HZ78" s="16"/>
      <c r="IA78" s="16"/>
      <c r="IB78" s="16"/>
      <c r="IC78" s="16"/>
      <c r="ID78" s="136"/>
      <c r="IE78" s="25"/>
      <c r="IF78" s="136"/>
      <c r="IG78" s="25"/>
      <c r="IH78" s="25"/>
      <c r="II78" s="25"/>
      <c r="IJ78" s="25"/>
      <c r="IK78" s="25"/>
      <c r="IL78" s="25"/>
      <c r="IM78" s="25"/>
      <c r="IN78" s="25"/>
      <c r="IO78" s="25"/>
      <c r="IP78" s="16"/>
      <c r="IQ78" s="3"/>
      <c r="IR78" s="3"/>
      <c r="IS78" s="3"/>
      <c r="IT78" s="3"/>
      <c r="IU78" s="3"/>
      <c r="IV78" s="3"/>
      <c r="IW78" s="12"/>
      <c r="IX78" s="3"/>
      <c r="IY78" s="136"/>
      <c r="IZ78" s="3"/>
      <c r="JA78" s="3"/>
      <c r="JB78" s="3"/>
      <c r="JC78" s="3"/>
      <c r="JI78" s="136"/>
      <c r="JK78" s="136"/>
      <c r="JO78" s="25"/>
      <c r="JP78" s="25"/>
      <c r="JQ78" s="25"/>
      <c r="JR78" s="25"/>
    </row>
    <row r="79" spans="1:280" ht="12.75" customHeight="1">
      <c r="B79" s="95"/>
      <c r="C79" s="19"/>
      <c r="D79" s="19"/>
      <c r="E79" s="19"/>
      <c r="F79" s="19"/>
      <c r="G79" s="19"/>
      <c r="H79" s="19"/>
      <c r="I79" s="52"/>
      <c r="J79" s="19"/>
      <c r="K79" s="136"/>
      <c r="L79" s="19"/>
      <c r="M79" s="3"/>
      <c r="N79" s="3"/>
      <c r="O79" s="3"/>
      <c r="P79" s="12"/>
      <c r="Q79" s="25"/>
      <c r="R79" s="25"/>
      <c r="S79" s="25"/>
      <c r="T79" s="25"/>
      <c r="U79" s="136"/>
      <c r="V79" s="25"/>
      <c r="W79" s="136"/>
      <c r="X79" s="25"/>
      <c r="Y79" s="25"/>
      <c r="Z79" s="25"/>
      <c r="AA79" s="25"/>
      <c r="AB79" s="25"/>
      <c r="AC79" s="25"/>
      <c r="AD79" s="25"/>
      <c r="AE79" s="25"/>
      <c r="AF79" s="25"/>
      <c r="AG79" s="29"/>
      <c r="AH79" s="19"/>
      <c r="AI79" s="19"/>
      <c r="AJ79" s="19"/>
      <c r="AK79" s="19"/>
      <c r="AL79" s="19"/>
      <c r="AM79" s="19"/>
      <c r="AN79" s="52"/>
      <c r="AO79" s="19"/>
      <c r="AP79" s="136"/>
      <c r="AQ79" s="54"/>
      <c r="AR79" s="3"/>
      <c r="AS79" s="3"/>
      <c r="AT79" s="3"/>
      <c r="AU79" s="3"/>
      <c r="AV79" s="16"/>
      <c r="AW79" s="16"/>
      <c r="AX79" s="16"/>
      <c r="AY79" s="16"/>
      <c r="AZ79" s="136"/>
      <c r="BA79" s="25"/>
      <c r="BB79" s="136"/>
      <c r="BC79" s="25"/>
      <c r="BD79" s="25"/>
      <c r="BE79" s="25"/>
      <c r="BF79" s="25"/>
      <c r="BG79" s="25"/>
      <c r="BH79" s="25"/>
      <c r="BI79" s="25"/>
      <c r="BJ79" s="25"/>
      <c r="BK79" s="25"/>
      <c r="BL79" s="16"/>
      <c r="BM79" s="3"/>
      <c r="BN79" s="3"/>
      <c r="BO79" s="3"/>
      <c r="BP79" s="3"/>
      <c r="BQ79" s="3"/>
      <c r="BR79" s="3"/>
      <c r="BS79" s="12"/>
      <c r="BT79" s="3"/>
      <c r="BU79" s="136"/>
      <c r="BV79" s="3"/>
      <c r="BW79" s="3"/>
      <c r="BX79" s="3"/>
      <c r="BY79" s="3"/>
      <c r="BZ79" s="3"/>
      <c r="CA79" s="16"/>
      <c r="CB79" s="16"/>
      <c r="CC79" s="16"/>
      <c r="CD79" s="16"/>
      <c r="CE79" s="136"/>
      <c r="CF79" s="25"/>
      <c r="CG79" s="136"/>
      <c r="CH79" s="25"/>
      <c r="CI79" s="25"/>
      <c r="CJ79" s="25"/>
      <c r="CK79" s="25"/>
      <c r="CL79" s="25"/>
      <c r="CM79" s="25"/>
      <c r="CN79" s="25"/>
      <c r="CO79" s="25"/>
      <c r="CP79" s="25"/>
      <c r="CQ79" s="16"/>
      <c r="CR79" s="3"/>
      <c r="CS79" s="3"/>
      <c r="CT79" s="3"/>
      <c r="CU79" s="3"/>
      <c r="CV79" s="3"/>
      <c r="CW79" s="3"/>
      <c r="CX79" s="12"/>
      <c r="CY79" s="3"/>
      <c r="CZ79" s="136"/>
      <c r="DA79" s="3"/>
      <c r="DB79" s="3"/>
      <c r="DC79" s="3"/>
      <c r="DD79" s="3"/>
      <c r="DE79" s="3"/>
      <c r="DF79" s="16"/>
      <c r="DG79" s="16"/>
      <c r="DH79" s="16"/>
      <c r="DI79" s="16"/>
      <c r="DJ79" s="136"/>
      <c r="DK79" s="25"/>
      <c r="DL79" s="136"/>
      <c r="DM79" s="25"/>
      <c r="DN79" s="25"/>
      <c r="DO79" s="25"/>
      <c r="DP79" s="25"/>
      <c r="DQ79" s="25"/>
      <c r="DR79" s="25"/>
      <c r="DS79" s="25"/>
      <c r="DT79" s="25"/>
      <c r="DU79" s="25"/>
      <c r="DV79" s="16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3"/>
      <c r="FC79" s="3"/>
      <c r="FD79" s="3"/>
      <c r="FE79" s="3"/>
      <c r="FF79" s="3"/>
      <c r="FG79" s="3"/>
      <c r="FH79" s="12"/>
      <c r="FI79" s="3"/>
      <c r="FJ79" s="136"/>
      <c r="FK79" s="3"/>
      <c r="FL79" s="3"/>
      <c r="FM79" s="3"/>
      <c r="FN79" s="3"/>
      <c r="FO79" s="3"/>
      <c r="FP79" s="16"/>
      <c r="FQ79" s="16"/>
      <c r="FR79" s="16"/>
      <c r="FS79" s="16"/>
      <c r="FT79" s="136"/>
      <c r="FU79" s="25"/>
      <c r="FV79" s="136"/>
      <c r="FW79" s="25"/>
      <c r="FX79" s="25"/>
      <c r="FY79" s="25"/>
      <c r="FZ79" s="25"/>
      <c r="GA79" s="25"/>
      <c r="GB79" s="25"/>
      <c r="GC79" s="25"/>
      <c r="GD79" s="25"/>
      <c r="GE79" s="25"/>
      <c r="GF79" s="16"/>
      <c r="GG79" s="3"/>
      <c r="GH79" s="3"/>
      <c r="GI79" s="3"/>
      <c r="GJ79" s="3"/>
      <c r="GK79" s="3"/>
      <c r="GL79" s="3"/>
      <c r="GM79" s="12"/>
      <c r="GN79" s="3"/>
      <c r="GO79" s="136"/>
      <c r="GP79" s="3"/>
      <c r="GQ79" s="3"/>
      <c r="GR79" s="3"/>
      <c r="GS79" s="3"/>
      <c r="GT79" s="3"/>
      <c r="GU79" s="16"/>
      <c r="GV79" s="16"/>
      <c r="GW79" s="16"/>
      <c r="GX79" s="16"/>
      <c r="GY79" s="136"/>
      <c r="GZ79" s="25"/>
      <c r="HA79" s="136"/>
      <c r="HB79" s="25"/>
      <c r="HC79" s="25"/>
      <c r="HD79" s="25"/>
      <c r="HE79" s="25"/>
      <c r="HF79" s="25"/>
      <c r="HG79" s="25"/>
      <c r="HH79" s="25"/>
      <c r="HI79" s="25"/>
      <c r="HJ79" s="25"/>
      <c r="HK79" s="16"/>
      <c r="HL79" s="3"/>
      <c r="HM79" s="3"/>
      <c r="HN79" s="3"/>
      <c r="HO79" s="3"/>
      <c r="HP79" s="3"/>
      <c r="HQ79" s="3"/>
      <c r="HR79" s="12"/>
      <c r="HS79" s="3"/>
      <c r="HT79" s="136"/>
      <c r="HU79" s="3"/>
      <c r="HV79" s="3"/>
      <c r="HW79" s="3"/>
      <c r="HX79" s="3"/>
      <c r="HY79" s="3"/>
      <c r="HZ79" s="16"/>
      <c r="IA79" s="16"/>
      <c r="IB79" s="16"/>
      <c r="IC79" s="16"/>
      <c r="ID79" s="136"/>
      <c r="IE79" s="25"/>
      <c r="IF79" s="136"/>
      <c r="IG79" s="25"/>
      <c r="IH79" s="25"/>
      <c r="II79" s="25"/>
      <c r="IJ79" s="25"/>
      <c r="IK79" s="25"/>
      <c r="IL79" s="25"/>
      <c r="IM79" s="25"/>
      <c r="IN79" s="25"/>
      <c r="IO79" s="25"/>
      <c r="IP79" s="16"/>
      <c r="IQ79" s="3"/>
      <c r="IR79" s="3"/>
      <c r="IS79" s="3"/>
      <c r="IT79" s="3"/>
      <c r="IU79" s="3"/>
      <c r="IV79" s="3"/>
      <c r="IW79" s="12"/>
      <c r="IX79" s="3"/>
      <c r="IY79" s="136"/>
      <c r="IZ79" s="3"/>
      <c r="JA79" s="3"/>
      <c r="JB79" s="3"/>
      <c r="JC79" s="3"/>
      <c r="JI79" s="136"/>
      <c r="JK79" s="136"/>
      <c r="JO79" s="25"/>
      <c r="JP79" s="25"/>
      <c r="JQ79" s="25"/>
      <c r="JR79" s="25"/>
    </row>
    <row r="80" spans="1:280" ht="12.75" customHeight="1">
      <c r="B80" s="19"/>
      <c r="C80" s="19"/>
      <c r="D80" s="19"/>
      <c r="E80" s="19"/>
      <c r="F80" s="19"/>
      <c r="G80" s="19"/>
      <c r="H80" s="19"/>
      <c r="I80" s="52"/>
      <c r="J80" s="19"/>
      <c r="K80" s="136"/>
      <c r="L80" s="19"/>
      <c r="M80" s="3"/>
      <c r="N80" s="3"/>
      <c r="O80" s="3"/>
      <c r="P80" s="12"/>
      <c r="Q80" s="25"/>
      <c r="R80" s="25"/>
      <c r="S80" s="25"/>
      <c r="T80" s="25"/>
      <c r="U80" s="136"/>
      <c r="V80" s="25"/>
      <c r="W80" s="136"/>
      <c r="X80" s="25"/>
      <c r="Y80" s="25"/>
      <c r="Z80" s="25"/>
      <c r="AA80" s="25"/>
      <c r="AB80" s="25"/>
      <c r="AC80" s="25"/>
      <c r="AD80" s="25"/>
      <c r="AE80" s="25"/>
      <c r="AF80" s="25"/>
      <c r="AG80" s="29"/>
      <c r="AH80" s="19"/>
      <c r="AI80" s="19"/>
      <c r="AJ80" s="19"/>
      <c r="AK80" s="19"/>
      <c r="AL80" s="19"/>
      <c r="AM80" s="19"/>
      <c r="AN80" s="52"/>
      <c r="AO80" s="19"/>
      <c r="AP80" s="136"/>
      <c r="AQ80" s="54"/>
      <c r="AR80" s="3"/>
      <c r="AS80" s="3"/>
      <c r="AT80" s="3"/>
      <c r="AU80" s="3"/>
      <c r="AV80" s="16"/>
      <c r="AW80" s="16"/>
      <c r="AX80" s="16"/>
      <c r="AY80" s="16"/>
      <c r="AZ80" s="136"/>
      <c r="BA80" s="25"/>
      <c r="BB80" s="136"/>
      <c r="BC80" s="25"/>
      <c r="BD80" s="25"/>
      <c r="BE80" s="25"/>
      <c r="BF80" s="25"/>
      <c r="BG80" s="25"/>
      <c r="BH80" s="25"/>
      <c r="BI80" s="25"/>
      <c r="BJ80" s="25"/>
      <c r="BK80" s="25"/>
      <c r="BL80" s="16"/>
      <c r="BM80" s="3"/>
      <c r="BN80" s="3"/>
      <c r="BO80" s="3"/>
      <c r="BP80" s="3"/>
      <c r="BQ80" s="3"/>
      <c r="BR80" s="3"/>
      <c r="BS80" s="12"/>
      <c r="BT80" s="3"/>
      <c r="BU80" s="136"/>
      <c r="BV80" s="3"/>
      <c r="BW80" s="3"/>
      <c r="BX80" s="3"/>
      <c r="BY80" s="3"/>
      <c r="BZ80" s="3"/>
      <c r="CA80" s="16"/>
      <c r="CB80" s="16"/>
      <c r="CC80" s="16"/>
      <c r="CD80" s="16"/>
      <c r="CE80" s="136"/>
      <c r="CF80" s="25"/>
      <c r="CG80" s="136"/>
      <c r="CH80" s="25"/>
      <c r="CI80" s="25"/>
      <c r="CJ80" s="25"/>
      <c r="CK80" s="25"/>
      <c r="CL80" s="25"/>
      <c r="CM80" s="25"/>
      <c r="CN80" s="25"/>
      <c r="CO80" s="25"/>
      <c r="CP80" s="25"/>
      <c r="CQ80" s="16"/>
      <c r="CR80" s="3"/>
      <c r="CS80" s="3"/>
      <c r="CT80" s="3"/>
      <c r="CU80" s="3"/>
      <c r="CV80" s="3"/>
      <c r="CW80" s="3"/>
      <c r="CX80" s="12"/>
      <c r="CY80" s="3"/>
      <c r="CZ80" s="136"/>
      <c r="DA80" s="3"/>
      <c r="DB80" s="3"/>
      <c r="DC80" s="3"/>
      <c r="DD80" s="3"/>
      <c r="DE80" s="3"/>
      <c r="DF80" s="16"/>
      <c r="DG80" s="16"/>
      <c r="DH80" s="16"/>
      <c r="DI80" s="16"/>
      <c r="DJ80" s="136"/>
      <c r="DK80" s="25"/>
      <c r="DL80" s="136"/>
      <c r="DM80" s="25"/>
      <c r="DN80" s="25"/>
      <c r="DO80" s="25"/>
      <c r="DP80" s="25"/>
      <c r="DQ80" s="25"/>
      <c r="DR80" s="25"/>
      <c r="DS80" s="25"/>
      <c r="DT80" s="25"/>
      <c r="DU80" s="25"/>
      <c r="DV80" s="16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3"/>
      <c r="FC80" s="3"/>
      <c r="FD80" s="3"/>
      <c r="FE80" s="3"/>
      <c r="FF80" s="3"/>
      <c r="FG80" s="3"/>
      <c r="FH80" s="12"/>
      <c r="FI80" s="3"/>
      <c r="FJ80" s="136"/>
      <c r="FK80" s="3"/>
      <c r="FL80" s="3"/>
      <c r="FM80" s="3"/>
      <c r="FN80" s="3"/>
      <c r="FO80" s="3"/>
      <c r="FP80" s="16"/>
      <c r="FQ80" s="16"/>
      <c r="FR80" s="16"/>
      <c r="FS80" s="16"/>
      <c r="FT80" s="136"/>
      <c r="FU80" s="25"/>
      <c r="FV80" s="136"/>
      <c r="FW80" s="25"/>
      <c r="FX80" s="25"/>
      <c r="FY80" s="25"/>
      <c r="FZ80" s="25"/>
      <c r="GA80" s="25"/>
      <c r="GB80" s="25"/>
      <c r="GC80" s="25"/>
      <c r="GD80" s="25"/>
      <c r="GE80" s="25"/>
      <c r="GF80" s="16"/>
      <c r="GG80" s="3"/>
      <c r="GH80" s="3"/>
      <c r="GI80" s="3"/>
      <c r="GJ80" s="3"/>
      <c r="GK80" s="3"/>
      <c r="GL80" s="3"/>
      <c r="GM80" s="12"/>
      <c r="GN80" s="3"/>
      <c r="GO80" s="136"/>
      <c r="GP80" s="3"/>
      <c r="GQ80" s="3"/>
      <c r="GR80" s="3"/>
      <c r="GS80" s="3"/>
      <c r="GT80" s="3"/>
      <c r="GU80" s="16"/>
      <c r="GV80" s="16"/>
      <c r="GW80" s="16"/>
      <c r="GX80" s="16"/>
      <c r="GY80" s="136"/>
      <c r="GZ80" s="25"/>
      <c r="HA80" s="136"/>
      <c r="HB80" s="25"/>
      <c r="HC80" s="25"/>
      <c r="HD80" s="25"/>
      <c r="HE80" s="25"/>
      <c r="HF80" s="25"/>
      <c r="HG80" s="25"/>
      <c r="HH80" s="25"/>
      <c r="HI80" s="25"/>
      <c r="HJ80" s="25"/>
      <c r="HK80" s="16"/>
      <c r="HL80" s="3"/>
      <c r="HM80" s="3"/>
      <c r="HN80" s="3"/>
      <c r="HO80" s="3"/>
      <c r="HP80" s="3"/>
      <c r="HQ80" s="3"/>
      <c r="HR80" s="12"/>
      <c r="HS80" s="3"/>
      <c r="HT80" s="136"/>
      <c r="HU80" s="3"/>
      <c r="HV80" s="3"/>
      <c r="HW80" s="3"/>
      <c r="HX80" s="3"/>
      <c r="HY80" s="3"/>
      <c r="HZ80" s="16"/>
      <c r="IA80" s="16"/>
      <c r="IB80" s="16"/>
      <c r="IC80" s="16"/>
      <c r="ID80" s="136"/>
      <c r="IE80" s="25"/>
      <c r="IF80" s="136"/>
      <c r="IG80" s="25"/>
      <c r="IH80" s="25"/>
      <c r="II80" s="25"/>
      <c r="IJ80" s="25"/>
      <c r="IK80" s="25"/>
      <c r="IL80" s="25"/>
      <c r="IM80" s="25"/>
      <c r="IN80" s="25"/>
      <c r="IO80" s="25"/>
      <c r="IP80" s="16"/>
      <c r="IQ80" s="3"/>
      <c r="IR80" s="3"/>
      <c r="IS80" s="3"/>
      <c r="IT80" s="3"/>
      <c r="IU80" s="3"/>
      <c r="IV80" s="3"/>
      <c r="IW80" s="12"/>
      <c r="IX80" s="3"/>
      <c r="IY80" s="136"/>
      <c r="IZ80" s="3"/>
      <c r="JA80" s="3"/>
      <c r="JB80" s="3"/>
      <c r="JC80" s="3"/>
      <c r="JI80" s="136"/>
      <c r="JK80" s="136"/>
      <c r="JO80" s="25"/>
      <c r="JP80" s="25"/>
      <c r="JQ80" s="25"/>
      <c r="JR80" s="25"/>
    </row>
    <row r="81" spans="2:278" ht="12.75" customHeight="1">
      <c r="B81" s="11"/>
      <c r="E81" s="19"/>
      <c r="F81" s="19"/>
      <c r="G81" s="19"/>
      <c r="H81" s="19"/>
      <c r="I81" s="52"/>
      <c r="J81" s="19"/>
      <c r="K81" s="136"/>
      <c r="L81" s="19"/>
      <c r="M81" s="3"/>
      <c r="N81" s="3"/>
      <c r="O81" s="3"/>
      <c r="P81" s="12"/>
      <c r="Q81" s="25"/>
      <c r="R81" s="25"/>
      <c r="S81" s="25"/>
      <c r="T81" s="25"/>
      <c r="U81" s="136"/>
      <c r="V81" s="25"/>
      <c r="W81" s="136"/>
      <c r="X81" s="25"/>
      <c r="Y81" s="25"/>
      <c r="Z81" s="25"/>
      <c r="AA81" s="25"/>
      <c r="AB81" s="25"/>
      <c r="AC81" s="25"/>
      <c r="AD81" s="25"/>
      <c r="AE81" s="25"/>
      <c r="AF81" s="25"/>
      <c r="AG81" s="29"/>
      <c r="AH81" s="19"/>
      <c r="AI81" s="19"/>
      <c r="AJ81" s="19"/>
      <c r="AK81" s="19"/>
      <c r="AL81" s="19"/>
      <c r="AM81" s="19"/>
      <c r="AN81" s="52"/>
      <c r="AO81" s="19"/>
      <c r="AP81" s="136"/>
      <c r="AQ81" s="54"/>
      <c r="AR81" s="3"/>
      <c r="AS81" s="3"/>
      <c r="AT81" s="3"/>
      <c r="AU81" s="3"/>
      <c r="AV81" s="16"/>
      <c r="AW81" s="16"/>
      <c r="AX81" s="16"/>
      <c r="AY81" s="16"/>
      <c r="AZ81" s="136"/>
      <c r="BA81" s="25"/>
      <c r="BB81" s="136"/>
      <c r="BC81" s="25"/>
      <c r="BD81" s="25"/>
      <c r="BE81" s="25"/>
      <c r="BF81" s="25"/>
      <c r="BG81" s="25"/>
      <c r="BH81" s="25"/>
      <c r="BI81" s="25"/>
      <c r="BJ81" s="25"/>
      <c r="BK81" s="25"/>
      <c r="BL81" s="16"/>
      <c r="BM81" s="3"/>
      <c r="BN81" s="3"/>
      <c r="BO81" s="3"/>
      <c r="BP81" s="3"/>
      <c r="BQ81" s="3"/>
      <c r="BR81" s="3"/>
      <c r="BS81" s="12"/>
      <c r="BT81" s="3"/>
      <c r="BU81" s="136"/>
      <c r="BV81" s="3"/>
      <c r="BW81" s="3"/>
      <c r="BX81" s="3"/>
      <c r="BY81" s="3"/>
      <c r="BZ81" s="3"/>
      <c r="CA81" s="16"/>
      <c r="CB81" s="16"/>
      <c r="CC81" s="16"/>
      <c r="CD81" s="16"/>
      <c r="CE81" s="136"/>
      <c r="CF81" s="25"/>
      <c r="CG81" s="136"/>
      <c r="CH81" s="25"/>
      <c r="CI81" s="25"/>
      <c r="CJ81" s="25"/>
      <c r="CK81" s="25"/>
      <c r="CL81" s="25"/>
      <c r="CM81" s="25"/>
      <c r="CN81" s="25"/>
      <c r="CO81" s="25"/>
      <c r="CP81" s="25"/>
      <c r="CQ81" s="16"/>
      <c r="CR81" s="3"/>
      <c r="CS81" s="3"/>
      <c r="CT81" s="3"/>
      <c r="CU81" s="3"/>
      <c r="CV81" s="3"/>
      <c r="CW81" s="3"/>
      <c r="CX81" s="12"/>
      <c r="CY81" s="3"/>
      <c r="CZ81" s="136"/>
      <c r="DA81" s="3"/>
      <c r="DB81" s="3"/>
      <c r="DC81" s="3"/>
      <c r="DD81" s="3"/>
      <c r="DE81" s="3"/>
      <c r="DF81" s="16"/>
      <c r="DG81" s="16"/>
      <c r="DH81" s="16"/>
      <c r="DI81" s="16"/>
      <c r="DJ81" s="136"/>
      <c r="DK81" s="25"/>
      <c r="DL81" s="136"/>
      <c r="DM81" s="25"/>
      <c r="DN81" s="25"/>
      <c r="DO81" s="25"/>
      <c r="DP81" s="25"/>
      <c r="DQ81" s="25"/>
      <c r="DR81" s="25"/>
      <c r="DS81" s="25"/>
      <c r="DT81" s="25"/>
      <c r="DU81" s="25"/>
      <c r="DV81" s="16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3"/>
      <c r="FC81" s="3"/>
      <c r="FD81" s="3"/>
      <c r="FE81" s="3"/>
      <c r="FF81" s="3"/>
      <c r="FG81" s="3"/>
      <c r="FH81" s="12"/>
      <c r="FI81" s="3"/>
      <c r="FJ81" s="136"/>
      <c r="FK81" s="3"/>
      <c r="FL81" s="3"/>
      <c r="FM81" s="3"/>
      <c r="FN81" s="3"/>
      <c r="FO81" s="3"/>
      <c r="FP81" s="16"/>
      <c r="FQ81" s="16"/>
      <c r="FR81" s="16"/>
      <c r="FS81" s="16"/>
      <c r="FT81" s="136"/>
      <c r="FU81" s="25"/>
      <c r="FV81" s="136"/>
      <c r="FW81" s="25"/>
      <c r="FX81" s="25"/>
      <c r="FY81" s="25"/>
      <c r="FZ81" s="25"/>
      <c r="GA81" s="25"/>
      <c r="GB81" s="25"/>
      <c r="GC81" s="25"/>
      <c r="GD81" s="25"/>
      <c r="GE81" s="25"/>
      <c r="GF81" s="16"/>
      <c r="GG81" s="3"/>
      <c r="GH81" s="3"/>
      <c r="GI81" s="3"/>
      <c r="GJ81" s="3"/>
      <c r="GK81" s="3"/>
      <c r="GL81" s="3"/>
      <c r="GM81" s="12"/>
      <c r="GN81" s="3"/>
      <c r="GO81" s="136"/>
      <c r="GP81" s="3"/>
      <c r="GQ81" s="3"/>
      <c r="GR81" s="3"/>
      <c r="GS81" s="3"/>
      <c r="GT81" s="3"/>
      <c r="GU81" s="16"/>
      <c r="GV81" s="16"/>
      <c r="GW81" s="16"/>
      <c r="GX81" s="16"/>
      <c r="GY81" s="136"/>
      <c r="GZ81" s="25"/>
      <c r="HA81" s="136"/>
      <c r="HB81" s="25"/>
      <c r="HC81" s="25"/>
      <c r="HD81" s="25"/>
      <c r="HE81" s="25"/>
      <c r="HF81" s="25"/>
      <c r="HG81" s="25"/>
      <c r="HH81" s="25"/>
      <c r="HI81" s="25"/>
      <c r="HJ81" s="25"/>
      <c r="HK81" s="16"/>
      <c r="HL81" s="3"/>
      <c r="HM81" s="3"/>
      <c r="HN81" s="3"/>
      <c r="HO81" s="3"/>
      <c r="HP81" s="3"/>
      <c r="HQ81" s="3"/>
      <c r="HR81" s="12"/>
      <c r="HS81" s="3"/>
      <c r="HT81" s="136"/>
      <c r="HU81" s="3"/>
      <c r="HV81" s="3"/>
      <c r="HW81" s="3"/>
      <c r="HX81" s="3"/>
      <c r="HY81" s="3"/>
      <c r="HZ81" s="16"/>
      <c r="IA81" s="16"/>
      <c r="IB81" s="16"/>
      <c r="IC81" s="16"/>
      <c r="ID81" s="136"/>
      <c r="IE81" s="25"/>
      <c r="IF81" s="136"/>
      <c r="IG81" s="25"/>
      <c r="IH81" s="25"/>
      <c r="II81" s="25"/>
      <c r="IJ81" s="25"/>
      <c r="IK81" s="25"/>
      <c r="IL81" s="25"/>
      <c r="IM81" s="25"/>
      <c r="IN81" s="25"/>
      <c r="IO81" s="25"/>
      <c r="IP81" s="16"/>
      <c r="IQ81" s="3"/>
      <c r="IR81" s="3"/>
      <c r="IS81" s="3"/>
      <c r="IT81" s="3"/>
      <c r="IU81" s="3"/>
      <c r="IV81" s="3"/>
      <c r="IW81" s="12"/>
      <c r="IX81" s="3"/>
      <c r="IY81" s="136"/>
      <c r="IZ81" s="3"/>
      <c r="JA81" s="3"/>
      <c r="JB81" s="3"/>
      <c r="JC81" s="3"/>
      <c r="JI81" s="136"/>
      <c r="JK81" s="136"/>
      <c r="JO81" s="25"/>
      <c r="JP81" s="25"/>
      <c r="JQ81" s="25"/>
      <c r="JR81" s="25"/>
    </row>
  </sheetData>
  <phoneticPr fontId="8" type="noConversion"/>
  <pageMargins left="0.5" right="0.5" top="0.5" bottom="0.55000000000000004" header="0.5" footer="0.5"/>
  <pageSetup orientation="landscape" verticalDpi="300" r:id="rId1"/>
  <headerFooter alignWithMargins="0">
    <oddFooter>&amp;LSREB Fact Book 1996/1997&amp;CUPDATE&amp;R&amp;D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IP62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B39" sqref="HB39"/>
    </sheetView>
  </sheetViews>
  <sheetFormatPr defaultColWidth="9.7109375" defaultRowHeight="12.75"/>
  <cols>
    <col min="1" max="1" width="7.5703125" style="23" customWidth="1"/>
    <col min="2" max="2" width="6.5703125" style="23" customWidth="1"/>
    <col min="3" max="3" width="8" style="23" customWidth="1"/>
    <col min="4" max="10" width="7.5703125" style="23" bestFit="1" customWidth="1"/>
    <col min="11" max="11" width="7.5703125" style="23" customWidth="1"/>
    <col min="12" max="12" width="7.5703125" style="171" customWidth="1"/>
    <col min="13" max="13" width="7.5703125" style="23" customWidth="1"/>
    <col min="14" max="21" width="9.28515625" style="23" customWidth="1"/>
    <col min="22" max="22" width="9.28515625" style="171" customWidth="1"/>
    <col min="23" max="23" width="9.28515625" style="23" customWidth="1"/>
    <col min="24" max="24" width="9.28515625" style="171" customWidth="1"/>
    <col min="25" max="26" width="9" style="164" customWidth="1"/>
    <col min="27" max="27" width="8.140625" style="164" customWidth="1"/>
    <col min="28" max="33" width="8.7109375" style="164" customWidth="1"/>
    <col min="34" max="40" width="7.5703125" style="164" customWidth="1"/>
    <col min="41" max="45" width="7.5703125" style="164" bestFit="1" customWidth="1"/>
    <col min="46" max="46" width="8.85546875" style="164" customWidth="1"/>
    <col min="47" max="52" width="8.28515625" style="164" customWidth="1"/>
    <col min="53" max="53" width="7.5703125" style="164" customWidth="1"/>
    <col min="54" max="54" width="8.7109375" style="164" customWidth="1"/>
    <col min="55" max="55" width="7.5703125" style="164" bestFit="1" customWidth="1"/>
    <col min="56" max="64" width="8.7109375" style="164" customWidth="1"/>
    <col min="65" max="65" width="7.5703125" style="164" customWidth="1"/>
    <col min="66" max="76" width="7.5703125" style="23" bestFit="1" customWidth="1"/>
    <col min="77" max="82" width="8.140625" style="23" customWidth="1"/>
    <col min="83" max="83" width="8.140625" style="164" customWidth="1"/>
    <col min="84" max="84" width="7.5703125" style="164" bestFit="1" customWidth="1"/>
    <col min="85" max="137" width="8.140625" style="164" customWidth="1"/>
    <col min="138" max="149" width="8.140625" style="23" customWidth="1"/>
    <col min="150" max="157" width="8.140625" style="164" customWidth="1"/>
    <col min="158" max="164" width="8.7109375" style="164" customWidth="1"/>
    <col min="165" max="174" width="8.7109375" style="23" customWidth="1"/>
    <col min="175" max="192" width="8.7109375" style="164" customWidth="1"/>
    <col min="193" max="211" width="8.7109375" style="23" customWidth="1"/>
    <col min="212" max="219" width="8.7109375" style="164" customWidth="1"/>
    <col min="220" max="220" width="7.5703125" style="164" customWidth="1"/>
    <col min="221" max="224" width="9.7109375" style="164"/>
    <col min="225" max="244" width="8.42578125" style="164" bestFit="1" customWidth="1"/>
    <col min="245" max="245" width="8.42578125" style="23" bestFit="1" customWidth="1"/>
    <col min="246" max="16384" width="9.7109375" style="23"/>
  </cols>
  <sheetData>
    <row r="1" spans="1:250" ht="12.75" customHeight="1">
      <c r="A1" s="62"/>
      <c r="B1" s="62"/>
      <c r="C1" s="161" t="s">
        <v>23</v>
      </c>
      <c r="D1" s="62"/>
      <c r="E1" s="62"/>
      <c r="F1" s="62"/>
      <c r="G1" s="62"/>
      <c r="H1" s="62"/>
      <c r="I1" s="62"/>
      <c r="J1" s="62"/>
      <c r="K1" s="162"/>
      <c r="T1" s="163"/>
      <c r="U1" s="163"/>
      <c r="V1" s="172"/>
      <c r="W1" s="163"/>
      <c r="X1" s="172"/>
      <c r="AH1" s="165" t="s">
        <v>46</v>
      </c>
      <c r="AI1" s="163"/>
      <c r="AJ1" s="163"/>
      <c r="AK1" s="163"/>
      <c r="AL1" s="163"/>
      <c r="AM1" s="163"/>
      <c r="AN1" s="163"/>
      <c r="AX1" s="163"/>
      <c r="AY1" s="163"/>
      <c r="AZ1" s="163"/>
      <c r="BA1" s="163"/>
      <c r="BB1" s="163"/>
      <c r="BC1" s="163"/>
      <c r="BD1" s="161"/>
      <c r="BM1" s="165" t="s">
        <v>86</v>
      </c>
      <c r="BN1" s="163"/>
      <c r="BO1" s="163"/>
      <c r="BP1" s="163"/>
      <c r="BQ1" s="163"/>
      <c r="BR1" s="163"/>
      <c r="BS1" s="163"/>
      <c r="CC1" s="163"/>
      <c r="CD1" s="163"/>
      <c r="CF1" s="166"/>
      <c r="CG1" s="166"/>
      <c r="CH1" s="166"/>
      <c r="CI1" s="166"/>
      <c r="CR1" s="391" t="s">
        <v>87</v>
      </c>
      <c r="DW1" s="391" t="s">
        <v>88</v>
      </c>
      <c r="EH1" s="164"/>
      <c r="EI1" s="164"/>
      <c r="EJ1" s="164"/>
      <c r="EK1" s="164"/>
      <c r="EL1" s="164"/>
      <c r="EM1" s="164"/>
      <c r="EN1" s="164"/>
      <c r="EO1" s="164"/>
      <c r="EP1" s="164"/>
      <c r="EQ1" s="164"/>
      <c r="ER1" s="164"/>
      <c r="ES1" s="164"/>
      <c r="FB1" s="391" t="s">
        <v>24</v>
      </c>
      <c r="FI1" s="164"/>
      <c r="FJ1" s="164"/>
      <c r="FK1" s="164"/>
      <c r="FL1" s="164"/>
      <c r="FM1" s="164"/>
      <c r="FN1" s="164"/>
      <c r="FO1" s="164"/>
      <c r="FP1" s="164"/>
      <c r="FQ1" s="164"/>
      <c r="FR1" s="164"/>
      <c r="GG1" s="165" t="s">
        <v>89</v>
      </c>
      <c r="GH1" s="62"/>
      <c r="GI1" s="163"/>
      <c r="GK1" s="14"/>
      <c r="GL1" s="14"/>
      <c r="GM1" s="14"/>
      <c r="GN1" s="14"/>
      <c r="GO1" s="14"/>
      <c r="GP1" s="14"/>
      <c r="GQ1" s="14"/>
      <c r="GR1" s="14"/>
      <c r="GS1" s="14"/>
      <c r="GT1" s="15"/>
      <c r="GU1" s="15"/>
      <c r="HL1" s="165" t="s">
        <v>90</v>
      </c>
    </row>
    <row r="2" spans="1:250" ht="15.75" customHeight="1">
      <c r="A2" s="167"/>
      <c r="B2" s="167"/>
      <c r="C2" s="127" t="s">
        <v>9</v>
      </c>
      <c r="D2" s="127" t="s">
        <v>10</v>
      </c>
      <c r="E2" s="127" t="s">
        <v>11</v>
      </c>
      <c r="F2" s="127" t="s">
        <v>12</v>
      </c>
      <c r="G2" s="127" t="s">
        <v>13</v>
      </c>
      <c r="H2" s="127" t="s">
        <v>14</v>
      </c>
      <c r="I2" s="127" t="s">
        <v>15</v>
      </c>
      <c r="J2" s="127" t="s">
        <v>16</v>
      </c>
      <c r="K2" s="127" t="s">
        <v>17</v>
      </c>
      <c r="L2" s="127" t="s">
        <v>96</v>
      </c>
      <c r="M2" s="126" t="s">
        <v>18</v>
      </c>
      <c r="N2" s="126" t="s">
        <v>19</v>
      </c>
      <c r="O2" s="121" t="s">
        <v>20</v>
      </c>
      <c r="P2" s="121" t="s">
        <v>21</v>
      </c>
      <c r="Q2" s="121" t="s">
        <v>43</v>
      </c>
      <c r="R2" s="121" t="s">
        <v>44</v>
      </c>
      <c r="S2" s="121" t="s">
        <v>81</v>
      </c>
      <c r="T2" s="121" t="s">
        <v>82</v>
      </c>
      <c r="U2" s="121" t="s">
        <v>84</v>
      </c>
      <c r="V2" s="127" t="s">
        <v>97</v>
      </c>
      <c r="W2" s="121" t="s">
        <v>95</v>
      </c>
      <c r="X2" s="127" t="s">
        <v>100</v>
      </c>
      <c r="Y2" s="121" t="s">
        <v>99</v>
      </c>
      <c r="Z2" s="121" t="s">
        <v>104</v>
      </c>
      <c r="AA2" s="121" t="s">
        <v>105</v>
      </c>
      <c r="AB2" s="121" t="s">
        <v>107</v>
      </c>
      <c r="AC2" s="121" t="s">
        <v>130</v>
      </c>
      <c r="AD2" s="121" t="s">
        <v>143</v>
      </c>
      <c r="AE2" s="121" t="s">
        <v>146</v>
      </c>
      <c r="AF2" s="121" t="s">
        <v>150</v>
      </c>
      <c r="AG2" s="437" t="s">
        <v>152</v>
      </c>
      <c r="AH2" s="160" t="s">
        <v>9</v>
      </c>
      <c r="AI2" s="127" t="s">
        <v>10</v>
      </c>
      <c r="AJ2" s="127" t="s">
        <v>11</v>
      </c>
      <c r="AK2" s="127" t="s">
        <v>12</v>
      </c>
      <c r="AL2" s="127" t="s">
        <v>13</v>
      </c>
      <c r="AM2" s="127" t="s">
        <v>14</v>
      </c>
      <c r="AN2" s="127" t="s">
        <v>15</v>
      </c>
      <c r="AO2" s="127" t="s">
        <v>16</v>
      </c>
      <c r="AP2" s="127" t="s">
        <v>17</v>
      </c>
      <c r="AQ2" s="127" t="s">
        <v>96</v>
      </c>
      <c r="AR2" s="126" t="s">
        <v>18</v>
      </c>
      <c r="AS2" s="126" t="s">
        <v>19</v>
      </c>
      <c r="AT2" s="121" t="s">
        <v>20</v>
      </c>
      <c r="AU2" s="121" t="s">
        <v>21</v>
      </c>
      <c r="AV2" s="121" t="s">
        <v>43</v>
      </c>
      <c r="AW2" s="121" t="s">
        <v>44</v>
      </c>
      <c r="AX2" s="121" t="s">
        <v>81</v>
      </c>
      <c r="AY2" s="121" t="s">
        <v>82</v>
      </c>
      <c r="AZ2" s="121" t="s">
        <v>84</v>
      </c>
      <c r="BA2" s="127" t="s">
        <v>97</v>
      </c>
      <c r="BB2" s="121" t="s">
        <v>95</v>
      </c>
      <c r="BC2" s="127" t="s">
        <v>100</v>
      </c>
      <c r="BD2" s="121" t="s">
        <v>99</v>
      </c>
      <c r="BE2" s="121" t="s">
        <v>104</v>
      </c>
      <c r="BF2" s="121" t="s">
        <v>105</v>
      </c>
      <c r="BG2" s="121" t="s">
        <v>107</v>
      </c>
      <c r="BH2" s="121" t="s">
        <v>130</v>
      </c>
      <c r="BI2" s="121" t="s">
        <v>143</v>
      </c>
      <c r="BJ2" s="121" t="s">
        <v>146</v>
      </c>
      <c r="BK2" s="121" t="s">
        <v>150</v>
      </c>
      <c r="BL2" s="437" t="s">
        <v>152</v>
      </c>
      <c r="BM2" s="160" t="s">
        <v>9</v>
      </c>
      <c r="BN2" s="127" t="s">
        <v>10</v>
      </c>
      <c r="BO2" s="127" t="s">
        <v>11</v>
      </c>
      <c r="BP2" s="127" t="s">
        <v>12</v>
      </c>
      <c r="BQ2" s="127" t="s">
        <v>13</v>
      </c>
      <c r="BR2" s="127" t="s">
        <v>14</v>
      </c>
      <c r="BS2" s="127" t="s">
        <v>15</v>
      </c>
      <c r="BT2" s="127" t="s">
        <v>16</v>
      </c>
      <c r="BU2" s="127" t="s">
        <v>17</v>
      </c>
      <c r="BV2" s="127" t="s">
        <v>96</v>
      </c>
      <c r="BW2" s="126" t="s">
        <v>18</v>
      </c>
      <c r="BX2" s="126" t="s">
        <v>19</v>
      </c>
      <c r="BY2" s="121" t="s">
        <v>20</v>
      </c>
      <c r="BZ2" s="121" t="s">
        <v>21</v>
      </c>
      <c r="CA2" s="121" t="s">
        <v>43</v>
      </c>
      <c r="CB2" s="121" t="s">
        <v>44</v>
      </c>
      <c r="CC2" s="121" t="s">
        <v>81</v>
      </c>
      <c r="CD2" s="121" t="s">
        <v>82</v>
      </c>
      <c r="CE2" s="121" t="s">
        <v>84</v>
      </c>
      <c r="CF2" s="127" t="s">
        <v>97</v>
      </c>
      <c r="CG2" s="121" t="s">
        <v>95</v>
      </c>
      <c r="CH2" s="127" t="s">
        <v>100</v>
      </c>
      <c r="CI2" s="121" t="s">
        <v>99</v>
      </c>
      <c r="CJ2" s="121" t="s">
        <v>104</v>
      </c>
      <c r="CK2" s="121" t="s">
        <v>105</v>
      </c>
      <c r="CL2" s="121" t="s">
        <v>107</v>
      </c>
      <c r="CM2" s="121" t="s">
        <v>130</v>
      </c>
      <c r="CN2" s="121" t="s">
        <v>143</v>
      </c>
      <c r="CO2" s="121" t="s">
        <v>146</v>
      </c>
      <c r="CP2" s="121" t="s">
        <v>150</v>
      </c>
      <c r="CQ2" s="437" t="s">
        <v>152</v>
      </c>
      <c r="CR2" s="392" t="s">
        <v>9</v>
      </c>
      <c r="CS2" s="121" t="s">
        <v>10</v>
      </c>
      <c r="CT2" s="121" t="s">
        <v>11</v>
      </c>
      <c r="CU2" s="121" t="s">
        <v>12</v>
      </c>
      <c r="CV2" s="121" t="s">
        <v>13</v>
      </c>
      <c r="CW2" s="121" t="s">
        <v>14</v>
      </c>
      <c r="CX2" s="121" t="s">
        <v>15</v>
      </c>
      <c r="CY2" s="121" t="s">
        <v>16</v>
      </c>
      <c r="CZ2" s="121" t="s">
        <v>17</v>
      </c>
      <c r="DA2" s="121" t="s">
        <v>96</v>
      </c>
      <c r="DB2" s="121" t="s">
        <v>18</v>
      </c>
      <c r="DC2" s="121" t="s">
        <v>19</v>
      </c>
      <c r="DD2" s="121" t="s">
        <v>20</v>
      </c>
      <c r="DE2" s="121" t="s">
        <v>21</v>
      </c>
      <c r="DF2" s="121" t="s">
        <v>43</v>
      </c>
      <c r="DG2" s="121" t="s">
        <v>44</v>
      </c>
      <c r="DH2" s="121" t="s">
        <v>81</v>
      </c>
      <c r="DI2" s="121" t="s">
        <v>82</v>
      </c>
      <c r="DJ2" s="121" t="s">
        <v>84</v>
      </c>
      <c r="DK2" s="121" t="s">
        <v>97</v>
      </c>
      <c r="DL2" s="121" t="s">
        <v>95</v>
      </c>
      <c r="DM2" s="121" t="s">
        <v>100</v>
      </c>
      <c r="DN2" s="121" t="s">
        <v>99</v>
      </c>
      <c r="DO2" s="121" t="s">
        <v>104</v>
      </c>
      <c r="DP2" s="121" t="s">
        <v>105</v>
      </c>
      <c r="DQ2" s="121" t="s">
        <v>107</v>
      </c>
      <c r="DR2" s="121" t="s">
        <v>130</v>
      </c>
      <c r="DS2" s="121" t="s">
        <v>143</v>
      </c>
      <c r="DT2" s="121" t="s">
        <v>146</v>
      </c>
      <c r="DU2" s="121" t="s">
        <v>150</v>
      </c>
      <c r="DV2" s="437" t="s">
        <v>152</v>
      </c>
      <c r="DW2" s="392" t="s">
        <v>9</v>
      </c>
      <c r="DX2" s="121" t="s">
        <v>10</v>
      </c>
      <c r="DY2" s="121" t="s">
        <v>11</v>
      </c>
      <c r="DZ2" s="121" t="s">
        <v>12</v>
      </c>
      <c r="EA2" s="121" t="s">
        <v>13</v>
      </c>
      <c r="EB2" s="121" t="s">
        <v>14</v>
      </c>
      <c r="EC2" s="121" t="s">
        <v>15</v>
      </c>
      <c r="ED2" s="121" t="s">
        <v>16</v>
      </c>
      <c r="EE2" s="121" t="s">
        <v>17</v>
      </c>
      <c r="EF2" s="121" t="s">
        <v>96</v>
      </c>
      <c r="EG2" s="121" t="s">
        <v>18</v>
      </c>
      <c r="EH2" s="121" t="s">
        <v>19</v>
      </c>
      <c r="EI2" s="121" t="s">
        <v>20</v>
      </c>
      <c r="EJ2" s="121" t="s">
        <v>21</v>
      </c>
      <c r="EK2" s="121" t="s">
        <v>43</v>
      </c>
      <c r="EL2" s="121" t="s">
        <v>44</v>
      </c>
      <c r="EM2" s="121" t="s">
        <v>81</v>
      </c>
      <c r="EN2" s="121" t="s">
        <v>82</v>
      </c>
      <c r="EO2" s="121" t="s">
        <v>84</v>
      </c>
      <c r="EP2" s="121" t="s">
        <v>97</v>
      </c>
      <c r="EQ2" s="121" t="s">
        <v>95</v>
      </c>
      <c r="ER2" s="121" t="s">
        <v>100</v>
      </c>
      <c r="ES2" s="121" t="s">
        <v>99</v>
      </c>
      <c r="ET2" s="121" t="s">
        <v>104</v>
      </c>
      <c r="EU2" s="121" t="s">
        <v>105</v>
      </c>
      <c r="EV2" s="121" t="s">
        <v>107</v>
      </c>
      <c r="EW2" s="121" t="s">
        <v>130</v>
      </c>
      <c r="EX2" s="121" t="s">
        <v>143</v>
      </c>
      <c r="EY2" s="121" t="s">
        <v>146</v>
      </c>
      <c r="EZ2" s="121" t="s">
        <v>150</v>
      </c>
      <c r="FA2" s="437" t="s">
        <v>152</v>
      </c>
      <c r="FB2" s="392" t="s">
        <v>9</v>
      </c>
      <c r="FC2" s="121" t="s">
        <v>10</v>
      </c>
      <c r="FD2" s="121" t="s">
        <v>11</v>
      </c>
      <c r="FE2" s="121" t="s">
        <v>12</v>
      </c>
      <c r="FF2" s="121" t="s">
        <v>13</v>
      </c>
      <c r="FG2" s="121" t="s">
        <v>14</v>
      </c>
      <c r="FH2" s="121" t="s">
        <v>15</v>
      </c>
      <c r="FI2" s="121" t="s">
        <v>16</v>
      </c>
      <c r="FJ2" s="121" t="s">
        <v>17</v>
      </c>
      <c r="FK2" s="121" t="s">
        <v>96</v>
      </c>
      <c r="FL2" s="121" t="s">
        <v>18</v>
      </c>
      <c r="FM2" s="121" t="s">
        <v>19</v>
      </c>
      <c r="FN2" s="121" t="s">
        <v>20</v>
      </c>
      <c r="FO2" s="121" t="s">
        <v>21</v>
      </c>
      <c r="FP2" s="121" t="s">
        <v>43</v>
      </c>
      <c r="FQ2" s="121" t="s">
        <v>44</v>
      </c>
      <c r="FR2" s="121" t="s">
        <v>81</v>
      </c>
      <c r="FS2" s="121" t="s">
        <v>82</v>
      </c>
      <c r="FT2" s="121" t="s">
        <v>84</v>
      </c>
      <c r="FU2" s="121" t="s">
        <v>97</v>
      </c>
      <c r="FV2" s="121" t="s">
        <v>95</v>
      </c>
      <c r="FW2" s="121" t="s">
        <v>100</v>
      </c>
      <c r="FX2" s="121" t="s">
        <v>99</v>
      </c>
      <c r="FY2" s="121" t="s">
        <v>104</v>
      </c>
      <c r="FZ2" s="121" t="s">
        <v>105</v>
      </c>
      <c r="GA2" s="121" t="s">
        <v>107</v>
      </c>
      <c r="GB2" s="121" t="s">
        <v>130</v>
      </c>
      <c r="GC2" s="121" t="s">
        <v>143</v>
      </c>
      <c r="GD2" s="121" t="s">
        <v>146</v>
      </c>
      <c r="GE2" s="121" t="s">
        <v>150</v>
      </c>
      <c r="GF2" s="437" t="s">
        <v>152</v>
      </c>
      <c r="GG2" s="160" t="s">
        <v>9</v>
      </c>
      <c r="GH2" s="127" t="s">
        <v>10</v>
      </c>
      <c r="GI2" s="127" t="s">
        <v>11</v>
      </c>
      <c r="GJ2" s="127" t="s">
        <v>12</v>
      </c>
      <c r="GK2" s="127" t="s">
        <v>13</v>
      </c>
      <c r="GL2" s="127" t="s">
        <v>14</v>
      </c>
      <c r="GM2" s="127" t="s">
        <v>15</v>
      </c>
      <c r="GN2" s="127" t="s">
        <v>16</v>
      </c>
      <c r="GO2" s="127" t="s">
        <v>17</v>
      </c>
      <c r="GP2" s="127" t="s">
        <v>96</v>
      </c>
      <c r="GQ2" s="126" t="s">
        <v>18</v>
      </c>
      <c r="GR2" s="126" t="s">
        <v>19</v>
      </c>
      <c r="GS2" s="121" t="s">
        <v>20</v>
      </c>
      <c r="GT2" s="121" t="s">
        <v>21</v>
      </c>
      <c r="GU2" s="121" t="s">
        <v>43</v>
      </c>
      <c r="GV2" s="121" t="s">
        <v>44</v>
      </c>
      <c r="GW2" s="121" t="s">
        <v>81</v>
      </c>
      <c r="GX2" s="121" t="s">
        <v>82</v>
      </c>
      <c r="GY2" s="121" t="s">
        <v>84</v>
      </c>
      <c r="GZ2" s="127" t="s">
        <v>97</v>
      </c>
      <c r="HA2" s="121" t="s">
        <v>95</v>
      </c>
      <c r="HB2" s="127" t="s">
        <v>100</v>
      </c>
      <c r="HC2" s="121" t="s">
        <v>99</v>
      </c>
      <c r="HD2" s="121" t="s">
        <v>104</v>
      </c>
      <c r="HE2" s="121" t="s">
        <v>105</v>
      </c>
      <c r="HF2" s="121" t="s">
        <v>107</v>
      </c>
      <c r="HG2" s="121" t="s">
        <v>130</v>
      </c>
      <c r="HH2" s="121" t="s">
        <v>143</v>
      </c>
      <c r="HI2" s="121" t="s">
        <v>146</v>
      </c>
      <c r="HJ2" s="121" t="s">
        <v>150</v>
      </c>
      <c r="HK2" s="437" t="s">
        <v>152</v>
      </c>
      <c r="HL2" s="160" t="s">
        <v>9</v>
      </c>
      <c r="HM2" s="127" t="s">
        <v>10</v>
      </c>
      <c r="HN2" s="127" t="s">
        <v>11</v>
      </c>
      <c r="HO2" s="127" t="s">
        <v>12</v>
      </c>
      <c r="HP2" s="127" t="s">
        <v>13</v>
      </c>
      <c r="HQ2" s="127" t="s">
        <v>14</v>
      </c>
      <c r="HR2" s="127" t="s">
        <v>15</v>
      </c>
      <c r="HS2" s="127" t="s">
        <v>16</v>
      </c>
      <c r="HT2" s="127" t="s">
        <v>17</v>
      </c>
      <c r="HU2" s="127" t="s">
        <v>96</v>
      </c>
      <c r="HV2" s="126" t="s">
        <v>18</v>
      </c>
      <c r="HW2" s="126" t="s">
        <v>19</v>
      </c>
      <c r="HX2" s="121" t="s">
        <v>20</v>
      </c>
      <c r="HY2" s="121" t="s">
        <v>21</v>
      </c>
      <c r="HZ2" s="121" t="s">
        <v>43</v>
      </c>
      <c r="IA2" s="121" t="s">
        <v>44</v>
      </c>
      <c r="IB2" s="121" t="s">
        <v>81</v>
      </c>
      <c r="IC2" s="121" t="s">
        <v>82</v>
      </c>
      <c r="ID2" s="121" t="s">
        <v>84</v>
      </c>
      <c r="IE2" s="127" t="s">
        <v>97</v>
      </c>
      <c r="IF2" s="121" t="s">
        <v>95</v>
      </c>
      <c r="IG2" s="127" t="s">
        <v>100</v>
      </c>
      <c r="IH2" s="121" t="s">
        <v>99</v>
      </c>
      <c r="II2" s="121" t="s">
        <v>104</v>
      </c>
      <c r="IJ2" s="121" t="s">
        <v>105</v>
      </c>
      <c r="IK2" s="121" t="s">
        <v>107</v>
      </c>
      <c r="IL2" s="121" t="s">
        <v>130</v>
      </c>
      <c r="IM2" s="121" t="s">
        <v>143</v>
      </c>
      <c r="IN2" s="121" t="s">
        <v>146</v>
      </c>
      <c r="IO2" s="418" t="s">
        <v>150</v>
      </c>
      <c r="IP2" s="418" t="s">
        <v>154</v>
      </c>
    </row>
    <row r="3" spans="1:250">
      <c r="A3" s="168" t="s">
        <v>134</v>
      </c>
      <c r="B3" s="62"/>
      <c r="C3" s="202">
        <f>('Expenditure DATA'!CQ5/'Expenditure DATA'!B5)*100</f>
        <v>9.5379478971026579</v>
      </c>
      <c r="D3" s="202">
        <f>('Expenditure DATA'!CR5/'Expenditure DATA'!C5)*100</f>
        <v>9.394963179203689</v>
      </c>
      <c r="E3" s="202">
        <f>('Expenditure DATA'!CS5/'Expenditure DATA'!D5)*100</f>
        <v>9.4281831447184512</v>
      </c>
      <c r="F3" s="202">
        <f>('Expenditure DATA'!CT5/'Expenditure DATA'!E5)*100</f>
        <v>9.4405798771764022</v>
      </c>
      <c r="G3" s="202">
        <f>('Expenditure DATA'!CU5/'Expenditure DATA'!F5)*100</f>
        <v>9.3205995277113605</v>
      </c>
      <c r="H3" s="202">
        <f>('Expenditure DATA'!CV5/'Expenditure DATA'!G5)*100</f>
        <v>9.182080879110611</v>
      </c>
      <c r="I3" s="202">
        <f>('Expenditure DATA'!CW5/'Expenditure DATA'!H5)*100</f>
        <v>8.8931737751658613</v>
      </c>
      <c r="J3" s="202">
        <f>('Expenditure DATA'!CX5/'Expenditure DATA'!I5)*100</f>
        <v>8.8612446737081463</v>
      </c>
      <c r="K3" s="202">
        <f>('Expenditure DATA'!CY5/'Expenditure DATA'!J5)*100</f>
        <v>8.7948672367229879</v>
      </c>
      <c r="L3" s="202">
        <f>('Expenditure DATA'!CZ5/'Expenditure DATA'!K5)*100</f>
        <v>8.7122652097594155</v>
      </c>
      <c r="M3" s="202">
        <f>('Expenditure DATA'!DA5/'Expenditure DATA'!L5)*100</f>
        <v>8.6416035760651688</v>
      </c>
      <c r="N3" s="202">
        <f>('Expenditure DATA'!DB5/'Expenditure DATA'!M5)*100</f>
        <v>8.5506326658216381</v>
      </c>
      <c r="O3" s="202">
        <f>('Expenditure DATA'!DC5/'Expenditure DATA'!N5)*100</f>
        <v>8.4322323463984024</v>
      </c>
      <c r="P3" s="202">
        <f>('Expenditure DATA'!DD5/'Expenditure DATA'!O5)*100</f>
        <v>8.440002003507816</v>
      </c>
      <c r="Q3" s="202">
        <f>('Expenditure DATA'!DE5/'Expenditure DATA'!P5)*100</f>
        <v>8.4419267536555758</v>
      </c>
      <c r="R3" s="202">
        <f>('Expenditure DATA'!DF5/'Expenditure DATA'!Q5)*100</f>
        <v>8.4760701340729181</v>
      </c>
      <c r="S3" s="202">
        <f>('Expenditure DATA'!DG5/'Expenditure DATA'!R5)*100</f>
        <v>8.5637534144432976</v>
      </c>
      <c r="T3" s="202">
        <f>('Expenditure DATA'!DH5/'Expenditure DATA'!S5)*100</f>
        <v>8.7506490865859341</v>
      </c>
      <c r="U3" s="202">
        <f>('Expenditure DATA'!DI5/'Expenditure DATA'!T5)*100</f>
        <v>8.9163783365720608</v>
      </c>
      <c r="V3" s="202">
        <f>('Expenditure DATA'!DJ5/'Expenditure DATA'!U5)*100</f>
        <v>8.9809552411799967</v>
      </c>
      <c r="W3" s="202">
        <f>('Expenditure DATA'!DK5/'Expenditure DATA'!V5)*100</f>
        <v>9.0370320449667609</v>
      </c>
      <c r="X3" s="202">
        <f>('Expenditure DATA'!DL5/'Expenditure DATA'!W5)*100</f>
        <v>9.0553423630683394</v>
      </c>
      <c r="Y3" s="202">
        <f>('Expenditure DATA'!DM5/'Expenditure DATA'!X5)*100</f>
        <v>9.0719950987324065</v>
      </c>
      <c r="Z3" s="202">
        <f>('Expenditure DATA'!DN5/'Expenditure DATA'!Y5)*100</f>
        <v>9.0484427996001191</v>
      </c>
      <c r="AA3" s="202">
        <f>('Expenditure DATA'!DO5/'Expenditure DATA'!Z5)*100</f>
        <v>9.0246018700023711</v>
      </c>
      <c r="AB3" s="202">
        <f>('Expenditure DATA'!DP5/'Expenditure DATA'!AA5)*100</f>
        <v>9.0461599365561618</v>
      </c>
      <c r="AC3" s="202">
        <f>('Expenditure DATA'!DQ5/'Expenditure DATA'!AB5)*100</f>
        <v>9.2846878920292681</v>
      </c>
      <c r="AD3" s="202">
        <f>('Expenditure DATA'!DR5/'Expenditure DATA'!AC5)*100</f>
        <v>9.4514738919083001</v>
      </c>
      <c r="AE3" s="202">
        <f>('Expenditure DATA'!DS5/'Expenditure DATA'!AD5)*100</f>
        <v>9.5470606963847242</v>
      </c>
      <c r="AF3" s="202">
        <f>('Expenditure DATA'!DT5/'Expenditure DATA'!AE5)*100</f>
        <v>9.7499601743514805</v>
      </c>
      <c r="AG3" s="464">
        <f>('Expenditure DATA'!DU5/'Expenditure DATA'!AF5)*100</f>
        <v>10.022699970543302</v>
      </c>
      <c r="AH3" s="203">
        <f>('Expenditure DATA'!BL5/'Expenditure DATA'!B5)*100</f>
        <v>24.372971622004062</v>
      </c>
      <c r="AI3" s="202">
        <f>('Expenditure DATA'!BM5/'Expenditure DATA'!C5)*100</f>
        <v>24.215280094472551</v>
      </c>
      <c r="AJ3" s="202">
        <f>('Expenditure DATA'!BN5/'Expenditure DATA'!D5)*100</f>
        <v>23.939453404622242</v>
      </c>
      <c r="AK3" s="202">
        <f>('Expenditure DATA'!BO5/'Expenditure DATA'!E5)*100</f>
        <v>23.817372706987879</v>
      </c>
      <c r="AL3" s="202">
        <f>('Expenditure DATA'!BP5/'Expenditure DATA'!F5)*100</f>
        <v>23.923529400602447</v>
      </c>
      <c r="AM3" s="202">
        <f>('Expenditure DATA'!BQ5/'Expenditure DATA'!G5)*100</f>
        <v>23.897329941354243</v>
      </c>
      <c r="AN3" s="202">
        <f>('Expenditure DATA'!BR5/'Expenditure DATA'!H5)*100</f>
        <v>24.073626895342592</v>
      </c>
      <c r="AO3" s="202">
        <f>('Expenditure DATA'!BS5/'Expenditure DATA'!I5)*100</f>
        <v>24.290693125309627</v>
      </c>
      <c r="AP3" s="202">
        <f>('Expenditure DATA'!BT5/'Expenditure DATA'!J5)*100</f>
        <v>24.198960114771317</v>
      </c>
      <c r="AQ3" s="202">
        <f>('Expenditure DATA'!BU5/'Expenditure DATA'!K5)*100</f>
        <v>23.787502756763605</v>
      </c>
      <c r="AR3" s="202">
        <f>('Expenditure DATA'!BV5/'Expenditure DATA'!L5)*100</f>
        <v>23.435522906133961</v>
      </c>
      <c r="AS3" s="202">
        <f>('Expenditure DATA'!BW5/'Expenditure DATA'!M5)*100</f>
        <v>23.321258908306799</v>
      </c>
      <c r="AT3" s="202">
        <f>('Expenditure DATA'!BX5/'Expenditure DATA'!N5)*100</f>
        <v>22.918205745268619</v>
      </c>
      <c r="AU3" s="202">
        <f>('Expenditure DATA'!BY5/'Expenditure DATA'!O5)*100</f>
        <v>22.98016567789314</v>
      </c>
      <c r="AV3" s="202">
        <f>('Expenditure DATA'!BZ5/'Expenditure DATA'!P5)*100</f>
        <v>23.410578616771332</v>
      </c>
      <c r="AW3" s="202">
        <f>('Expenditure DATA'!CA5/'Expenditure DATA'!Q5)*100</f>
        <v>23.543402653298827</v>
      </c>
      <c r="AX3" s="202">
        <f>('Expenditure DATA'!CB5/'Expenditure DATA'!R5)*100</f>
        <v>24.131631225229093</v>
      </c>
      <c r="AY3" s="202">
        <f>('Expenditure DATA'!CC5/'Expenditure DATA'!S5)*100</f>
        <v>24.235506375823363</v>
      </c>
      <c r="AZ3" s="202">
        <f>('Expenditure DATA'!CD5/'Expenditure DATA'!T5)*100</f>
        <v>24.235576933114775</v>
      </c>
      <c r="BA3" s="202">
        <f>('Expenditure DATA'!CE5/'Expenditure DATA'!U5)*100</f>
        <v>23.943721737709428</v>
      </c>
      <c r="BB3" s="202">
        <f>('Expenditure DATA'!CF5/'Expenditure DATA'!V5)*100</f>
        <v>23.690282731515854</v>
      </c>
      <c r="BC3" s="202">
        <f>('Expenditure DATA'!CG5/'Expenditure DATA'!W5)*100</f>
        <v>23.692054568406405</v>
      </c>
      <c r="BD3" s="202">
        <f>('Expenditure DATA'!CH5/'Expenditure DATA'!X5)*100</f>
        <v>23.6936660058055</v>
      </c>
      <c r="BE3" s="202">
        <f>('Expenditure DATA'!CI5/'Expenditure DATA'!Y5)*100</f>
        <v>23.507267018269768</v>
      </c>
      <c r="BF3" s="202">
        <f>('Expenditure DATA'!CJ5/'Expenditure DATA'!Z5)*100</f>
        <v>23.669734853555905</v>
      </c>
      <c r="BG3" s="202">
        <f>('Expenditure DATA'!CK5/'Expenditure DATA'!AA5)*100</f>
        <v>23.63803712720015</v>
      </c>
      <c r="BH3" s="202">
        <f>('Expenditure DATA'!CL5/'Expenditure DATA'!AB5)*100</f>
        <v>23.51930744474214</v>
      </c>
      <c r="BI3" s="202">
        <f>('Expenditure DATA'!CM5/'Expenditure DATA'!AC5)*100</f>
        <v>23.291188407955232</v>
      </c>
      <c r="BJ3" s="202">
        <f>('Expenditure DATA'!CN5/'Expenditure DATA'!AD5)*100</f>
        <v>22.57777865759293</v>
      </c>
      <c r="BK3" s="202">
        <f>('Expenditure DATA'!CO5/'Expenditure DATA'!AE5)*100</f>
        <v>21.831301149692564</v>
      </c>
      <c r="BL3" s="464">
        <f>('Expenditure DATA'!CP5/'Expenditure DATA'!AF5)*100</f>
        <v>21.817813335181523</v>
      </c>
      <c r="BM3" s="203">
        <f>('Expenditure DATA'!AG5/'Expenditure DATA'!B5)*100</f>
        <v>35.965921411953232</v>
      </c>
      <c r="BN3" s="202">
        <f>('Expenditure DATA'!AH5/'Expenditure DATA'!C5)*100</f>
        <v>35.609209015370652</v>
      </c>
      <c r="BO3" s="202">
        <f>('Expenditure DATA'!AI5/'Expenditure DATA'!D5)*100</f>
        <v>35.350087850423989</v>
      </c>
      <c r="BP3" s="202">
        <f>('Expenditure DATA'!AJ5/'Expenditure DATA'!E5)*100</f>
        <v>35.257971033678309</v>
      </c>
      <c r="BQ3" s="202">
        <f>('Expenditure DATA'!AK5/'Expenditure DATA'!F5)*100</f>
        <v>35.242301731595596</v>
      </c>
      <c r="BR3" s="202">
        <f>('Expenditure DATA'!AL5/'Expenditure DATA'!G5)*100</f>
        <v>35.047147671274018</v>
      </c>
      <c r="BS3" s="202">
        <f>('Expenditure DATA'!AM5/'Expenditure DATA'!H5)*100</f>
        <v>34.924856635661449</v>
      </c>
      <c r="BT3" s="202">
        <f>('Expenditure DATA'!AN5/'Expenditure DATA'!I5)*100</f>
        <v>35.114483006237876</v>
      </c>
      <c r="BU3" s="202">
        <f>('Expenditure DATA'!AO5/'Expenditure DATA'!J5)*100</f>
        <v>35.005066678283541</v>
      </c>
      <c r="BV3" s="202">
        <f>('Expenditure DATA'!AP5/'Expenditure DATA'!K5)*100</f>
        <v>34.407963309068521</v>
      </c>
      <c r="BW3" s="202">
        <f>('Expenditure DATA'!AQ5/'Expenditure DATA'!L5)*100</f>
        <v>33.897173185580641</v>
      </c>
      <c r="BX3" s="202">
        <f>('Expenditure DATA'!AR5/'Expenditure DATA'!M5)*100</f>
        <v>33.67025556746087</v>
      </c>
      <c r="BY3" s="202">
        <f>('Expenditure DATA'!AS5/'Expenditure DATA'!N5)*100</f>
        <v>33.242356907898191</v>
      </c>
      <c r="BZ3" s="202">
        <f>('Expenditure DATA'!AT5/'Expenditure DATA'!O5)*100</f>
        <v>33.356778932996697</v>
      </c>
      <c r="CA3" s="202">
        <f>('Expenditure DATA'!AU5/'Expenditure DATA'!P5)*100</f>
        <v>33.904861516555926</v>
      </c>
      <c r="CB3" s="202">
        <f>('Expenditure DATA'!AV5/'Expenditure DATA'!Q5)*100</f>
        <v>33.992323425357988</v>
      </c>
      <c r="CC3" s="202">
        <f>('Expenditure DATA'!AW5/'Expenditure DATA'!R5)*100</f>
        <v>34.667636973561429</v>
      </c>
      <c r="CD3" s="202">
        <f>('Expenditure DATA'!AX5/'Expenditure DATA'!S5)*100</f>
        <v>34.948044503606909</v>
      </c>
      <c r="CE3" s="202">
        <f>('Expenditure DATA'!AY5/'Expenditure DATA'!T5)*100</f>
        <v>35.092157097605103</v>
      </c>
      <c r="CF3" s="202">
        <f>('Expenditure DATA'!AZ5/'Expenditure DATA'!U5)*100</f>
        <v>34.904924830523939</v>
      </c>
      <c r="CG3" s="202">
        <f>('Expenditure DATA'!BA5/'Expenditure DATA'!V5)*100</f>
        <v>34.742337491173977</v>
      </c>
      <c r="CH3" s="202">
        <f>('Expenditure DATA'!BB5/'Expenditure DATA'!W5)*100</f>
        <v>34.789191584795446</v>
      </c>
      <c r="CI3" s="202">
        <f>('Expenditure DATA'!BC5/'Expenditure DATA'!X5)*100</f>
        <v>34.83180410695531</v>
      </c>
      <c r="CJ3" s="202">
        <f>('Expenditure DATA'!BD5/'Expenditure DATA'!Y5)*100</f>
        <v>34.713131663550094</v>
      </c>
      <c r="CK3" s="202">
        <f>('Expenditure DATA'!BE5/'Expenditure DATA'!Z5)*100</f>
        <v>34.829116328978962</v>
      </c>
      <c r="CL3" s="202">
        <f>('Expenditure DATA'!BF5/'Expenditure DATA'!AA5)*100</f>
        <v>34.697172545049902</v>
      </c>
      <c r="CM3" s="202">
        <f>('Expenditure DATA'!BG5/'Expenditure DATA'!AB5)*100</f>
        <v>34.831045973172095</v>
      </c>
      <c r="CN3" s="202">
        <f>('Expenditure DATA'!BH5/'Expenditure DATA'!AC5)*100</f>
        <v>34.761626831778983</v>
      </c>
      <c r="CO3" s="202">
        <f>('Expenditure DATA'!BI5/'Expenditure DATA'!AD5)*100</f>
        <v>34.297150298819254</v>
      </c>
      <c r="CP3" s="202">
        <f>('Expenditure DATA'!BJ5/'Expenditure DATA'!AE5)*100</f>
        <v>33.729294087544623</v>
      </c>
      <c r="CQ3" s="464">
        <f>('Expenditure DATA'!BK5/'Expenditure DATA'!AF5)*100</f>
        <v>33.982282274378214</v>
      </c>
      <c r="CR3" s="203">
        <f>('Expenditure DATA'!FA5/'Expenditure DATA'!B5)*100</f>
        <v>22.710712408619617</v>
      </c>
      <c r="CS3" s="202">
        <f>('Expenditure DATA'!FB5/'Expenditure DATA'!C5)*100</f>
        <v>22.597750702583845</v>
      </c>
      <c r="CT3" s="202">
        <f>('Expenditure DATA'!FC5/'Expenditure DATA'!D5)*100</f>
        <v>22.530955566675335</v>
      </c>
      <c r="CU3" s="202">
        <f>('Expenditure DATA'!FD5/'Expenditure DATA'!E5)*100</f>
        <v>22.371167561435016</v>
      </c>
      <c r="CV3" s="202">
        <f>('Expenditure DATA'!FE5/'Expenditure DATA'!F5)*100</f>
        <v>21.955176029139487</v>
      </c>
      <c r="CW3" s="202">
        <f>('Expenditure DATA'!FF5/'Expenditure DATA'!G5)*100</f>
        <v>21.70103940136358</v>
      </c>
      <c r="CX3" s="202">
        <f>('Expenditure DATA'!FG5/'Expenditure DATA'!H5)*100</f>
        <v>21.851219006831332</v>
      </c>
      <c r="CY3" s="202">
        <f>('Expenditure DATA'!FH5/'Expenditure DATA'!I5)*100</f>
        <v>22.133907981157503</v>
      </c>
      <c r="CZ3" s="202">
        <f>('Expenditure DATA'!FI5/'Expenditure DATA'!J5)*100</f>
        <v>22.55899337006521</v>
      </c>
      <c r="DA3" s="202">
        <f>('Expenditure DATA'!FJ5/'Expenditure DATA'!K5)*100</f>
        <v>24.022600962828843</v>
      </c>
      <c r="DB3" s="202">
        <f>('Expenditure DATA'!FK5/'Expenditure DATA'!L5)*100</f>
        <v>25.274639289171503</v>
      </c>
      <c r="DC3" s="202">
        <f>('Expenditure DATA'!FL5/'Expenditure DATA'!M5)*100</f>
        <v>25.820419526006187</v>
      </c>
      <c r="DD3" s="202">
        <f>('Expenditure DATA'!FM5/'Expenditure DATA'!N5)*100</f>
        <v>26.400495826285098</v>
      </c>
      <c r="DE3" s="202">
        <f>('Expenditure DATA'!FN5/'Expenditure DATA'!O5)*100</f>
        <v>26.369055977287932</v>
      </c>
      <c r="DF3" s="202">
        <f>('Expenditure DATA'!FO5/'Expenditure DATA'!P5)*100</f>
        <v>25.84900004108772</v>
      </c>
      <c r="DG3" s="202">
        <f>('Expenditure DATA'!FP5/'Expenditure DATA'!Q5)*100</f>
        <v>25.138505838361265</v>
      </c>
      <c r="DH3" s="202">
        <f>('Expenditure DATA'!FQ5/'Expenditure DATA'!R5)*100</f>
        <v>24.512524067364843</v>
      </c>
      <c r="DI3" s="202">
        <f>('Expenditure DATA'!FR5/'Expenditure DATA'!S5)*100</f>
        <v>24.170851056444558</v>
      </c>
      <c r="DJ3" s="202">
        <f>('Expenditure DATA'!FS5/'Expenditure DATA'!T5)*100</f>
        <v>24.238578267016031</v>
      </c>
      <c r="DK3" s="202">
        <f>('Expenditure DATA'!FT5/'Expenditure DATA'!U5)*100</f>
        <v>24.572744860135209</v>
      </c>
      <c r="DL3" s="202">
        <f>('Expenditure DATA'!FU5/'Expenditure DATA'!V5)*100</f>
        <v>24.862925917716158</v>
      </c>
      <c r="DM3" s="202">
        <f>('Expenditure DATA'!FV5/'Expenditure DATA'!W5)*100</f>
        <v>25.597264389670787</v>
      </c>
      <c r="DN3" s="202">
        <f>('Expenditure DATA'!FW5/'Expenditure DATA'!X5)*100</f>
        <v>26.265125231496206</v>
      </c>
      <c r="DO3" s="202">
        <f>('Expenditure DATA'!FX5/'Expenditure DATA'!Y5)*100</f>
        <v>26.707425486667528</v>
      </c>
      <c r="DP3" s="202">
        <f>('Expenditure DATA'!FY5/'Expenditure DATA'!Z5)*100</f>
        <v>25.988205675440835</v>
      </c>
      <c r="DQ3" s="202">
        <f>('Expenditure DATA'!FZ5/'Expenditure DATA'!AA5)*100</f>
        <v>25.756877533010037</v>
      </c>
      <c r="DR3" s="202">
        <f>('Expenditure DATA'!GA5/'Expenditure DATA'!AB5)*100</f>
        <v>25.71150718440693</v>
      </c>
      <c r="DS3" s="202">
        <f>('Expenditure DATA'!GB5/'Expenditure DATA'!AC5)*100</f>
        <v>26.412969649364509</v>
      </c>
      <c r="DT3" s="202">
        <f>('Expenditure DATA'!GC5/'Expenditure DATA'!AD5)*100</f>
        <v>27.021556038529148</v>
      </c>
      <c r="DU3" s="202">
        <f>('Expenditure DATA'!GD5/'Expenditure DATA'!AE5)*100</f>
        <v>28.163802905982031</v>
      </c>
      <c r="DV3" s="464">
        <f>('Expenditure DATA'!GE5/'Expenditure DATA'!AF5)*100</f>
        <v>28.234708429884243</v>
      </c>
      <c r="DW3" s="203">
        <f>('Expenditure DATA'!GF5/'Expenditure DATA'!B5)*100</f>
        <v>25.451365789831552</v>
      </c>
      <c r="DX3" s="202">
        <f>('Expenditure DATA'!GG5/'Expenditure DATA'!C5)*100</f>
        <v>25.532458644675671</v>
      </c>
      <c r="DY3" s="202">
        <f>('Expenditure DATA'!GH5/'Expenditure DATA'!D5)*100</f>
        <v>25.340485986208883</v>
      </c>
      <c r="DZ3" s="202">
        <f>('Expenditure DATA'!GI5/'Expenditure DATA'!E5)*100</f>
        <v>25.743669612454717</v>
      </c>
      <c r="EA3" s="202">
        <f>('Expenditure DATA'!GJ5/'Expenditure DATA'!F5)*100</f>
        <v>25.930135158260864</v>
      </c>
      <c r="EB3" s="202">
        <f>('Expenditure DATA'!GK5/'Expenditure DATA'!G5)*100</f>
        <v>25.954411152749614</v>
      </c>
      <c r="EC3" s="202">
        <f>('Expenditure DATA'!GL5/'Expenditure DATA'!H5)*100</f>
        <v>26.217404397971467</v>
      </c>
      <c r="ED3" s="202">
        <f>('Expenditure DATA'!GM5/'Expenditure DATA'!I5)*100</f>
        <v>25.899599080588743</v>
      </c>
      <c r="EE3" s="202">
        <f>('Expenditure DATA'!GN5/'Expenditure DATA'!J5)*100</f>
        <v>25.777173397433341</v>
      </c>
      <c r="EF3" s="202">
        <f>('Expenditure DATA'!GO5/'Expenditure DATA'!K5)*100</f>
        <v>25.141657479461326</v>
      </c>
      <c r="EG3" s="202">
        <f>('Expenditure DATA'!GP5/'Expenditure DATA'!L5)*100</f>
        <v>24.598007466824164</v>
      </c>
      <c r="EH3" s="202">
        <f>('Expenditure DATA'!GQ5/'Expenditure DATA'!M5)*100</f>
        <v>24.498738773813987</v>
      </c>
      <c r="EI3" s="202">
        <f>('Expenditure DATA'!GR5/'Expenditure DATA'!N5)*100</f>
        <v>24.599982913606684</v>
      </c>
      <c r="EJ3" s="202">
        <f>('Expenditure DATA'!GS5/'Expenditure DATA'!O5)*100</f>
        <v>24.639126607930557</v>
      </c>
      <c r="EK3" s="202">
        <f>('Expenditure DATA'!GT5/'Expenditure DATA'!P5)*100</f>
        <v>24.784582748299378</v>
      </c>
      <c r="EL3" s="202">
        <f>('Expenditure DATA'!GU5/'Expenditure DATA'!Q5)*100</f>
        <v>25.007489055947147</v>
      </c>
      <c r="EM3" s="202">
        <f>('Expenditure DATA'!GV5/'Expenditure DATA'!R5)*100</f>
        <v>24.985940585618447</v>
      </c>
      <c r="EN3" s="202">
        <f>('Expenditure DATA'!GW5/'Expenditure DATA'!S5)*100</f>
        <v>24.874672710817283</v>
      </c>
      <c r="EO3" s="202">
        <f>('Expenditure DATA'!GX5/'Expenditure DATA'!T5)*100</f>
        <v>24.814643905769017</v>
      </c>
      <c r="EP3" s="202">
        <f>('Expenditure DATA'!GY5/'Expenditure DATA'!U5)*100</f>
        <v>24.728024310171687</v>
      </c>
      <c r="EQ3" s="202">
        <f>('Expenditure DATA'!GZ5/'Expenditure DATA'!V5)*100</f>
        <v>24.652806241174879</v>
      </c>
      <c r="ER3" s="202">
        <f>('Expenditure DATA'!HA5/'Expenditure DATA'!W5)*100</f>
        <v>24.228853369240081</v>
      </c>
      <c r="ES3" s="202">
        <f>('Expenditure DATA'!HB5/'Expenditure DATA'!X5)*100</f>
        <v>23.843279777826535</v>
      </c>
      <c r="ET3" s="202">
        <f>('Expenditure DATA'!HC5/'Expenditure DATA'!Y5)*100</f>
        <v>23.759600483819789</v>
      </c>
      <c r="EU3" s="202">
        <f>('Expenditure DATA'!HD5/'Expenditure DATA'!Z5)*100</f>
        <v>24.129193915789457</v>
      </c>
      <c r="EV3" s="202">
        <f>('Expenditure DATA'!HE5/'Expenditure DATA'!AA5)*100</f>
        <v>24.456709402354747</v>
      </c>
      <c r="EW3" s="202">
        <f>('Expenditure DATA'!HF5/'Expenditure DATA'!AB5)*100</f>
        <v>24.553130080917427</v>
      </c>
      <c r="EX3" s="202">
        <f>('Expenditure DATA'!HG5/'Expenditure DATA'!AC5)*100</f>
        <v>24.000044618012296</v>
      </c>
      <c r="EY3" s="202">
        <f>('Expenditure DATA'!HH5/'Expenditure DATA'!AD5)*100</f>
        <v>23.988518506637313</v>
      </c>
      <c r="EZ3" s="202">
        <f>('Expenditure DATA'!HI5/'Expenditure DATA'!AE5)*100</f>
        <v>23.60421462258353</v>
      </c>
      <c r="FA3" s="464">
        <f>('Expenditure DATA'!HJ5/'Expenditure DATA'!AF5)*100</f>
        <v>23.474553770652005</v>
      </c>
      <c r="FB3" s="203">
        <f>('Expenditure DATA'!HK5/'Expenditure DATA'!B5)*100</f>
        <v>5.1051954042421812</v>
      </c>
      <c r="FC3" s="202">
        <f>('Expenditure DATA'!HL5/'Expenditure DATA'!C5)*100</f>
        <v>5.2544995810653541</v>
      </c>
      <c r="FD3" s="202">
        <f>('Expenditure DATA'!HM5/'Expenditure DATA'!D5)*100</f>
        <v>5.2188874550228208</v>
      </c>
      <c r="FE3" s="202">
        <f>('Expenditure DATA'!HN5/'Expenditure DATA'!E5)*100</f>
        <v>5.2091896091023298</v>
      </c>
      <c r="FF3" s="202">
        <f>('Expenditure DATA'!HO5/'Expenditure DATA'!F5)*100</f>
        <v>5.2431347724974264</v>
      </c>
      <c r="FG3" s="202">
        <f>('Expenditure DATA'!HP5/'Expenditure DATA'!G5)*100</f>
        <v>5.3189048725920243</v>
      </c>
      <c r="FH3" s="202">
        <f>('Expenditure DATA'!HQ5/'Expenditure DATA'!H5)*100</f>
        <v>5.3084918231977092</v>
      </c>
      <c r="FI3" s="202">
        <f>('Expenditure DATA'!HR5/'Expenditure DATA'!I5)*100</f>
        <v>5.3682676195281305</v>
      </c>
      <c r="FJ3" s="202">
        <f>('Expenditure DATA'!HS5/'Expenditure DATA'!J5)*100</f>
        <v>5.3709831305113118</v>
      </c>
      <c r="FK3" s="202">
        <f>('Expenditure DATA'!HT5/'Expenditure DATA'!K5)*100</f>
        <v>5.2561904772882242</v>
      </c>
      <c r="FL3" s="202">
        <f>('Expenditure DATA'!HU5/'Expenditure DATA'!L5)*100</f>
        <v>5.1579914776871894</v>
      </c>
      <c r="FM3" s="202">
        <f>('Expenditure DATA'!HV5/'Expenditure DATA'!M5)*100</f>
        <v>5.098472304755056</v>
      </c>
      <c r="FN3" s="202">
        <f>('Expenditure DATA'!HW5/'Expenditure DATA'!N5)*100</f>
        <v>5.1700283808821546</v>
      </c>
      <c r="FO3" s="202">
        <f>('Expenditure DATA'!HX5/'Expenditure DATA'!O5)*100</f>
        <v>5.2195732152308478</v>
      </c>
      <c r="FP3" s="202">
        <f>('Expenditure DATA'!HY5/'Expenditure DATA'!P5)*100</f>
        <v>5.2079015816840508</v>
      </c>
      <c r="FQ3" s="202">
        <f>('Expenditure DATA'!HZ5/'Expenditure DATA'!Q5)*100</f>
        <v>5.325963284890932</v>
      </c>
      <c r="FR3" s="202">
        <f>('Expenditure DATA'!IA5/'Expenditure DATA'!R5)*100</f>
        <v>5.366062678471538</v>
      </c>
      <c r="FS3" s="202">
        <f>('Expenditure DATA'!IB5/'Expenditure DATA'!S5)*100</f>
        <v>5.4692628103532925</v>
      </c>
      <c r="FT3" s="202">
        <f>('Expenditure DATA'!IC5/'Expenditure DATA'!T5)*100</f>
        <v>5.4193972766972376</v>
      </c>
      <c r="FU3" s="202">
        <f>('Expenditure DATA'!ID5/'Expenditure DATA'!U5)*100</f>
        <v>5.3809120672443234</v>
      </c>
      <c r="FV3" s="202">
        <f>('Expenditure DATA'!IE5/'Expenditure DATA'!V5)*100</f>
        <v>5.3474925722671953</v>
      </c>
      <c r="FW3" s="202">
        <f>('Expenditure DATA'!IF5/'Expenditure DATA'!W5)*100</f>
        <v>5.3122362616365759</v>
      </c>
      <c r="FX3" s="202">
        <f>('Expenditure DATA'!IG5/'Expenditure DATA'!X5)*100</f>
        <v>5.280171607261666</v>
      </c>
      <c r="FY3" s="202">
        <f>('Expenditure DATA'!IH5/'Expenditure DATA'!Y5)*100</f>
        <v>5.2920362374708905</v>
      </c>
      <c r="FZ3" s="202">
        <f>('Expenditure DATA'!II5/'Expenditure DATA'!Z5)*100</f>
        <v>5.2005878419638139</v>
      </c>
      <c r="GA3" s="202">
        <f>('Expenditure DATA'!IJ5/'Expenditure DATA'!AA5)*100</f>
        <v>5.2762416272667902</v>
      </c>
      <c r="GB3" s="202">
        <f>('Expenditure DATA'!IK5/'Expenditure DATA'!AB5)*100</f>
        <v>5.2806242595595529</v>
      </c>
      <c r="GC3" s="202">
        <f>('Expenditure DATA'!IL5/'Expenditure DATA'!AC5)*100</f>
        <v>5.1382843791104644</v>
      </c>
      <c r="GD3" s="202">
        <f>('Expenditure DATA'!IM5/'Expenditure DATA'!AD5)*100</f>
        <v>4.9891620425632679</v>
      </c>
      <c r="GE3" s="202">
        <f>('Expenditure DATA'!IN5/'Expenditure DATA'!AE5)*100</f>
        <v>4.812225194411349</v>
      </c>
      <c r="GF3" s="464">
        <f>('Expenditure DATA'!IO5/'Expenditure DATA'!AF5)*100</f>
        <v>4.7823049775863007</v>
      </c>
      <c r="GG3" s="393">
        <f>('Expenditure DATA'!IP5/'Expenditure DATA'!B5)*100</f>
        <v>10.76680498535341</v>
      </c>
      <c r="GH3" s="394">
        <f>('Expenditure DATA'!IQ5/'Expenditure DATA'!C5)*100</f>
        <v>11.006082056304473</v>
      </c>
      <c r="GI3" s="394">
        <f>('Expenditure DATA'!IR5/'Expenditure DATA'!D5)*100</f>
        <v>11.559563339927974</v>
      </c>
      <c r="GJ3" s="394">
        <f>('Expenditure DATA'!IS5/'Expenditure DATA'!E5)*100</f>
        <v>11.418002183329639</v>
      </c>
      <c r="GK3" s="394">
        <f>('Expenditure DATA'!IT5/'Expenditure DATA'!F5)*100</f>
        <v>11.629252308506628</v>
      </c>
      <c r="GL3" s="394">
        <f>('Expenditure DATA'!IU5/'Expenditure DATA'!G5)*100</f>
        <v>11.978496902020774</v>
      </c>
      <c r="GM3" s="394">
        <f>('Expenditure DATA'!IV5/'Expenditure DATA'!H5)*100</f>
        <v>11.698070695765175</v>
      </c>
      <c r="GN3" s="394">
        <f>('Expenditure DATA'!IW5/'Expenditure DATA'!I5)*100</f>
        <v>11.483742312487752</v>
      </c>
      <c r="GO3" s="394">
        <f>('Expenditure DATA'!IX5/'Expenditure DATA'!J5)*100</f>
        <v>11.2877834237066</v>
      </c>
      <c r="GP3" s="394">
        <f>('Expenditure DATA'!IY5/'Expenditure DATA'!K5)*100</f>
        <v>11.171587771353087</v>
      </c>
      <c r="GQ3" s="394">
        <f>('Expenditure DATA'!IZ5/'Expenditure DATA'!L5)*100</f>
        <v>11.072188580736507</v>
      </c>
      <c r="GR3" s="394">
        <f>('Expenditure DATA'!JA5/'Expenditure DATA'!M5)*100</f>
        <v>10.912113827963898</v>
      </c>
      <c r="GS3" s="394">
        <f>('Expenditure DATA'!JB5/'Expenditure DATA'!N5)*100</f>
        <v>10.587135971327864</v>
      </c>
      <c r="GT3" s="394">
        <f>('Expenditure DATA'!JC5/'Expenditure DATA'!O5)*100</f>
        <v>10.415465266553966</v>
      </c>
      <c r="GU3" s="394">
        <f>('Expenditure DATA'!JD5/'Expenditure DATA'!P5)*100</f>
        <v>10.253654112372924</v>
      </c>
      <c r="GV3" s="394">
        <f>('Expenditure DATA'!JE5/'Expenditure DATA'!Q5)*100</f>
        <v>10.535718395442673</v>
      </c>
      <c r="GW3" s="394">
        <f>('Expenditure DATA'!JF5/'Expenditure DATA'!R5)*100</f>
        <v>10.467835694983751</v>
      </c>
      <c r="GX3" s="394">
        <f>('Expenditure DATA'!JG5/'Expenditure DATA'!S5)*100</f>
        <v>10.537168918777946</v>
      </c>
      <c r="GY3" s="394">
        <f>('Expenditure DATA'!JH5/'Expenditure DATA'!T5)*100</f>
        <v>10.435223452912622</v>
      </c>
      <c r="GZ3" s="394">
        <f>('Expenditure DATA'!JI5/'Expenditure DATA'!U5)*100</f>
        <v>10.413393931924835</v>
      </c>
      <c r="HA3" s="394">
        <f>('Expenditure DATA'!JJ5/'Expenditure DATA'!V5)*100</f>
        <v>10.394437777667781</v>
      </c>
      <c r="HB3" s="394">
        <f>('Expenditure DATA'!JK5/'Expenditure DATA'!W5)*100</f>
        <v>10.072454394657102</v>
      </c>
      <c r="HC3" s="394">
        <f>('Expenditure DATA'!JL5/'Expenditure DATA'!X5)*100</f>
        <v>9.7796192764602772</v>
      </c>
      <c r="HD3" s="394">
        <f>('Expenditure DATA'!JM5/'Expenditure DATA'!Y5)*100</f>
        <v>9.5278061284916955</v>
      </c>
      <c r="HE3" s="394">
        <f>('Expenditure DATA'!JN5/'Expenditure DATA'!Z5)*100</f>
        <v>9.852896237826938</v>
      </c>
      <c r="HF3" s="394">
        <f>('Expenditure DATA'!JO5/'Expenditure DATA'!AA5)*100</f>
        <v>9.8129988923185341</v>
      </c>
      <c r="HG3" s="394">
        <f>('Expenditure DATA'!JP5/'Expenditure DATA'!AB5)*100</f>
        <v>9.6236925019439958</v>
      </c>
      <c r="HH3" s="394">
        <f>('Expenditure DATA'!JQ5/'Expenditure DATA'!AC5)*100</f>
        <v>9.6870744814094731</v>
      </c>
      <c r="HI3" s="394">
        <f>('Expenditure DATA'!JR5/'Expenditure DATA'!AD5)*100</f>
        <v>9.7036130347868266</v>
      </c>
      <c r="HJ3" s="394">
        <f>('Expenditure DATA'!JS5/'Expenditure DATA'!AE5)*100</f>
        <v>9.6904631894784679</v>
      </c>
      <c r="HK3" s="467">
        <f>('Expenditure DATA'!JT5/'Expenditure DATA'!AF5)*100</f>
        <v>9.5261505474992259</v>
      </c>
      <c r="HL3" s="393">
        <f t="shared" ref="HL3:IP3" si="0">+BM3+CR3+DW3+FB3+GG3</f>
        <v>100</v>
      </c>
      <c r="HM3" s="395">
        <f t="shared" si="0"/>
        <v>100.00000000000001</v>
      </c>
      <c r="HN3" s="395">
        <f t="shared" si="0"/>
        <v>99.99998019825901</v>
      </c>
      <c r="HO3" s="395">
        <f t="shared" si="0"/>
        <v>100</v>
      </c>
      <c r="HP3" s="395">
        <f t="shared" si="0"/>
        <v>100</v>
      </c>
      <c r="HQ3" s="395">
        <f t="shared" si="0"/>
        <v>100.00000000000003</v>
      </c>
      <c r="HR3" s="395">
        <f t="shared" si="0"/>
        <v>100.00004255942713</v>
      </c>
      <c r="HS3" s="395">
        <f t="shared" si="0"/>
        <v>100</v>
      </c>
      <c r="HT3" s="395">
        <f t="shared" si="0"/>
        <v>100</v>
      </c>
      <c r="HU3" s="395">
        <f t="shared" si="0"/>
        <v>100.00000000000001</v>
      </c>
      <c r="HV3" s="395">
        <f t="shared" si="0"/>
        <v>100.00000000000001</v>
      </c>
      <c r="HW3" s="395">
        <f t="shared" si="0"/>
        <v>99.999999999999986</v>
      </c>
      <c r="HX3" s="395">
        <f t="shared" si="0"/>
        <v>100</v>
      </c>
      <c r="HY3" s="395">
        <f t="shared" si="0"/>
        <v>100</v>
      </c>
      <c r="HZ3" s="395">
        <f t="shared" si="0"/>
        <v>100</v>
      </c>
      <c r="IA3" s="395">
        <f t="shared" si="0"/>
        <v>100</v>
      </c>
      <c r="IB3" s="395">
        <f t="shared" si="0"/>
        <v>100</v>
      </c>
      <c r="IC3" s="395">
        <f t="shared" si="0"/>
        <v>100</v>
      </c>
      <c r="ID3" s="395">
        <f t="shared" si="0"/>
        <v>100.00000000000001</v>
      </c>
      <c r="IE3" s="395">
        <f t="shared" si="0"/>
        <v>99.999999999999986</v>
      </c>
      <c r="IF3" s="395">
        <f t="shared" si="0"/>
        <v>99.999999999999986</v>
      </c>
      <c r="IG3" s="395">
        <f t="shared" si="0"/>
        <v>99.999999999999986</v>
      </c>
      <c r="IH3" s="395">
        <f t="shared" si="0"/>
        <v>100</v>
      </c>
      <c r="II3" s="395">
        <f t="shared" si="0"/>
        <v>100</v>
      </c>
      <c r="IJ3" s="395">
        <f t="shared" si="0"/>
        <v>100</v>
      </c>
      <c r="IK3" s="395">
        <f t="shared" si="0"/>
        <v>100</v>
      </c>
      <c r="IL3" s="395">
        <f t="shared" si="0"/>
        <v>100</v>
      </c>
      <c r="IM3" s="395">
        <f t="shared" si="0"/>
        <v>99.999999959675719</v>
      </c>
      <c r="IN3" s="395">
        <f t="shared" si="0"/>
        <v>99.999999921335814</v>
      </c>
      <c r="IO3" s="395">
        <f t="shared" si="0"/>
        <v>100</v>
      </c>
      <c r="IP3" s="395">
        <f t="shared" si="0"/>
        <v>100</v>
      </c>
    </row>
    <row r="4" spans="1:250" s="164" customFormat="1">
      <c r="A4" s="168" t="s">
        <v>41</v>
      </c>
      <c r="B4" s="62"/>
      <c r="C4" s="202">
        <f>('Expenditure DATA'!CQ6/'Expenditure DATA'!B6)*100</f>
        <v>10.807760441117056</v>
      </c>
      <c r="D4" s="202">
        <f>('Expenditure DATA'!CR6/'Expenditure DATA'!C6)*100</f>
        <v>10.696616712335977</v>
      </c>
      <c r="E4" s="202">
        <f>('Expenditure DATA'!CS6/'Expenditure DATA'!D6)*100</f>
        <v>10.883360480116195</v>
      </c>
      <c r="F4" s="202">
        <f>('Expenditure DATA'!CT6/'Expenditure DATA'!E6)*100</f>
        <v>10.967481104544738</v>
      </c>
      <c r="G4" s="202">
        <f>('Expenditure DATA'!CU6/'Expenditure DATA'!F6)*100</f>
        <v>10.516852343578694</v>
      </c>
      <c r="H4" s="202">
        <f>('Expenditure DATA'!CV6/'Expenditure DATA'!G6)*100</f>
        <v>9.9952735823845309</v>
      </c>
      <c r="I4" s="202">
        <f>('Expenditure DATA'!CW6/'Expenditure DATA'!H6)*100</f>
        <v>9.726723883361263</v>
      </c>
      <c r="J4" s="202">
        <f>('Expenditure DATA'!CX6/'Expenditure DATA'!I6)*100</f>
        <v>9.925039663989736</v>
      </c>
      <c r="K4" s="202">
        <f>('Expenditure DATA'!CY6/'Expenditure DATA'!J6)*100</f>
        <v>9.8024628767103028</v>
      </c>
      <c r="L4" s="202">
        <f>('Expenditure DATA'!CZ6/'Expenditure DATA'!K6)*100</f>
        <v>9.605340072788664</v>
      </c>
      <c r="M4" s="202">
        <f>('Expenditure DATA'!DA6/'Expenditure DATA'!L6)*100</f>
        <v>9.4356837738974715</v>
      </c>
      <c r="N4" s="202">
        <f>('Expenditure DATA'!DB6/'Expenditure DATA'!M6)*100</f>
        <v>9.4305712417593632</v>
      </c>
      <c r="O4" s="202">
        <f>('Expenditure DATA'!DC6/'Expenditure DATA'!N6)*100</f>
        <v>9.4483832261425853</v>
      </c>
      <c r="P4" s="202">
        <f>('Expenditure DATA'!DD6/'Expenditure DATA'!O6)*100</f>
        <v>9.3694316177549659</v>
      </c>
      <c r="Q4" s="202">
        <f>('Expenditure DATA'!DE6/'Expenditure DATA'!P6)*100</f>
        <v>9.2356717323228921</v>
      </c>
      <c r="R4" s="202">
        <f>('Expenditure DATA'!DF6/'Expenditure DATA'!Q6)*100</f>
        <v>9.3340406829153544</v>
      </c>
      <c r="S4" s="202">
        <f>('Expenditure DATA'!DG6/'Expenditure DATA'!R6)*100</f>
        <v>9.4413288132267841</v>
      </c>
      <c r="T4" s="202">
        <f>('Expenditure DATA'!DH6/'Expenditure DATA'!S6)*100</f>
        <v>9.5120676294165012</v>
      </c>
      <c r="U4" s="202">
        <f>('Expenditure DATA'!DI6/'Expenditure DATA'!T6)*100</f>
        <v>9.6817010667123427</v>
      </c>
      <c r="V4" s="202">
        <f>('Expenditure DATA'!DJ6/'Expenditure DATA'!U6)*100</f>
        <v>9.85193120875884</v>
      </c>
      <c r="W4" s="202">
        <f>('Expenditure DATA'!DK6/'Expenditure DATA'!V6)*100</f>
        <v>9.999786823880731</v>
      </c>
      <c r="X4" s="202">
        <f>('Expenditure DATA'!DL6/'Expenditure DATA'!W6)*100</f>
        <v>10.041291881331841</v>
      </c>
      <c r="Y4" s="202">
        <f>('Expenditure DATA'!DM6/'Expenditure DATA'!X6)*100</f>
        <v>10.078805538329304</v>
      </c>
      <c r="Z4" s="202">
        <f>('Expenditure DATA'!DN6/'Expenditure DATA'!Y6)*100</f>
        <v>10.031656324027557</v>
      </c>
      <c r="AA4" s="202">
        <f>('Expenditure DATA'!DO6/'Expenditure DATA'!Z6)*100</f>
        <v>9.9964103160763074</v>
      </c>
      <c r="AB4" s="202">
        <f>('Expenditure DATA'!DP6/'Expenditure DATA'!AA6)*100</f>
        <v>9.9348417784320517</v>
      </c>
      <c r="AC4" s="202">
        <f>('Expenditure DATA'!DQ6/'Expenditure DATA'!AB6)*100</f>
        <v>10.19490943847174</v>
      </c>
      <c r="AD4" s="202">
        <f>('Expenditure DATA'!DR6/'Expenditure DATA'!AC6)*100</f>
        <v>10.331431950217214</v>
      </c>
      <c r="AE4" s="202">
        <f>('Expenditure DATA'!DS6/'Expenditure DATA'!AD6)*100</f>
        <v>10.599680197399554</v>
      </c>
      <c r="AF4" s="202">
        <f>('Expenditure DATA'!DT6/'Expenditure DATA'!AE6)*100</f>
        <v>10.814971251570404</v>
      </c>
      <c r="AG4" s="464">
        <f>('Expenditure DATA'!DU6/'Expenditure DATA'!AF6)*100</f>
        <v>10.917337055034446</v>
      </c>
      <c r="AH4" s="208">
        <f>('Expenditure DATA'!BL6/'Expenditure DATA'!B6)*100</f>
        <v>25.431621785634249</v>
      </c>
      <c r="AI4" s="209">
        <f>('Expenditure DATA'!BM6/'Expenditure DATA'!C6)*100</f>
        <v>25.617362606796647</v>
      </c>
      <c r="AJ4" s="209">
        <f>('Expenditure DATA'!BN6/'Expenditure DATA'!D6)*100</f>
        <v>25.11570361545159</v>
      </c>
      <c r="AK4" s="209">
        <f>('Expenditure DATA'!BO6/'Expenditure DATA'!E6)*100</f>
        <v>25.263488103858204</v>
      </c>
      <c r="AL4" s="209">
        <f>('Expenditure DATA'!BP6/'Expenditure DATA'!F6)*100</f>
        <v>25.389685360141307</v>
      </c>
      <c r="AM4" s="209">
        <f>('Expenditure DATA'!BQ6/'Expenditure DATA'!G6)*100</f>
        <v>25.210740373789264</v>
      </c>
      <c r="AN4" s="209">
        <f>('Expenditure DATA'!BR6/'Expenditure DATA'!H6)*100</f>
        <v>25.186265361402317</v>
      </c>
      <c r="AO4" s="209">
        <f>('Expenditure DATA'!BS6/'Expenditure DATA'!I6)*100</f>
        <v>25.189344678403515</v>
      </c>
      <c r="AP4" s="209">
        <f>('Expenditure DATA'!BT6/'Expenditure DATA'!J6)*100</f>
        <v>25.375626839250181</v>
      </c>
      <c r="AQ4" s="209">
        <f>('Expenditure DATA'!BU6/'Expenditure DATA'!K6)*100</f>
        <v>24.797289558037555</v>
      </c>
      <c r="AR4" s="209">
        <f>('Expenditure DATA'!BV6/'Expenditure DATA'!L6)*100</f>
        <v>24.299536072954549</v>
      </c>
      <c r="AS4" s="209">
        <f>('Expenditure DATA'!BW6/'Expenditure DATA'!M6)*100</f>
        <v>23.888058033620322</v>
      </c>
      <c r="AT4" s="209">
        <f>('Expenditure DATA'!BX6/'Expenditure DATA'!N6)*100</f>
        <v>23.571515592992007</v>
      </c>
      <c r="AU4" s="209">
        <f>('Expenditure DATA'!BY6/'Expenditure DATA'!O6)*100</f>
        <v>23.658356576982733</v>
      </c>
      <c r="AV4" s="209">
        <f>('Expenditure DATA'!BZ6/'Expenditure DATA'!P6)*100</f>
        <v>24.115039546817446</v>
      </c>
      <c r="AW4" s="209">
        <f>('Expenditure DATA'!CA6/'Expenditure DATA'!Q6)*100</f>
        <v>24.30956038501251</v>
      </c>
      <c r="AX4" s="209">
        <f>('Expenditure DATA'!CB6/'Expenditure DATA'!R6)*100</f>
        <v>24.55924525958309</v>
      </c>
      <c r="AY4" s="209">
        <f>('Expenditure DATA'!CC6/'Expenditure DATA'!S6)*100</f>
        <v>24.666003066924098</v>
      </c>
      <c r="AZ4" s="209">
        <f>('Expenditure DATA'!CD6/'Expenditure DATA'!T6)*100</f>
        <v>24.831512779379974</v>
      </c>
      <c r="BA4" s="209">
        <f>('Expenditure DATA'!CE6/'Expenditure DATA'!U6)*100</f>
        <v>24.410454508484303</v>
      </c>
      <c r="BB4" s="209">
        <f>('Expenditure DATA'!CF6/'Expenditure DATA'!V6)*100</f>
        <v>24.044738843226646</v>
      </c>
      <c r="BC4" s="209">
        <f>('Expenditure DATA'!CG6/'Expenditure DATA'!W6)*100</f>
        <v>23.805751528943059</v>
      </c>
      <c r="BD4" s="209">
        <f>('Expenditure DATA'!CH6/'Expenditure DATA'!X6)*100</f>
        <v>23.589746813244446</v>
      </c>
      <c r="BE4" s="209">
        <f>('Expenditure DATA'!CI6/'Expenditure DATA'!Y6)*100</f>
        <v>23.522826815866448</v>
      </c>
      <c r="BF4" s="209">
        <f>('Expenditure DATA'!CJ6/'Expenditure DATA'!Z6)*100</f>
        <v>24.062563527877089</v>
      </c>
      <c r="BG4" s="209">
        <f>('Expenditure DATA'!CK6/'Expenditure DATA'!AA6)*100</f>
        <v>24.083000637896838</v>
      </c>
      <c r="BH4" s="209">
        <f>('Expenditure DATA'!CL6/'Expenditure DATA'!AB6)*100</f>
        <v>24.171450225490133</v>
      </c>
      <c r="BI4" s="209">
        <f>('Expenditure DATA'!CM6/'Expenditure DATA'!AC6)*100</f>
        <v>23.861721096242416</v>
      </c>
      <c r="BJ4" s="209">
        <f>('Expenditure DATA'!CN6/'Expenditure DATA'!AD6)*100</f>
        <v>23.127024643185269</v>
      </c>
      <c r="BK4" s="209">
        <f>('Expenditure DATA'!CO6/'Expenditure DATA'!AE6)*100</f>
        <v>22.2519749082463</v>
      </c>
      <c r="BL4" s="466">
        <f>('Expenditure DATA'!CP6/'Expenditure DATA'!AF6)*100</f>
        <v>21.742117163395168</v>
      </c>
      <c r="BM4" s="208">
        <f>('Expenditure DATA'!AG6/'Expenditure DATA'!B6)*100</f>
        <v>38.432953249901445</v>
      </c>
      <c r="BN4" s="209">
        <f>('Expenditure DATA'!AH6/'Expenditure DATA'!C6)*100</f>
        <v>38.471374928113129</v>
      </c>
      <c r="BO4" s="209">
        <f>('Expenditure DATA'!AI6/'Expenditure DATA'!D6)*100</f>
        <v>38.259884275555805</v>
      </c>
      <c r="BP4" s="209">
        <f>('Expenditure DATA'!AJ6/'Expenditure DATA'!E6)*100</f>
        <v>38.518242711708275</v>
      </c>
      <c r="BQ4" s="209">
        <f>('Expenditure DATA'!AK6/'Expenditure DATA'!F6)*100</f>
        <v>38.172023962943548</v>
      </c>
      <c r="BR4" s="209">
        <f>('Expenditure DATA'!AL6/'Expenditure DATA'!G6)*100</f>
        <v>37.325079289463474</v>
      </c>
      <c r="BS4" s="209">
        <f>('Expenditure DATA'!AM6/'Expenditure DATA'!H6)*100</f>
        <v>37.077075002239248</v>
      </c>
      <c r="BT4" s="209">
        <f>('Expenditure DATA'!AN6/'Expenditure DATA'!I6)*100</f>
        <v>37.227585525786161</v>
      </c>
      <c r="BU4" s="209">
        <f>('Expenditure DATA'!AO6/'Expenditure DATA'!J6)*100</f>
        <v>37.37875271437904</v>
      </c>
      <c r="BV4" s="209">
        <f>('Expenditure DATA'!AP6/'Expenditure DATA'!K6)*100</f>
        <v>36.47136263811629</v>
      </c>
      <c r="BW4" s="209">
        <f>('Expenditure DATA'!AQ6/'Expenditure DATA'!L6)*100</f>
        <v>35.690405595467226</v>
      </c>
      <c r="BX4" s="209">
        <f>('Expenditure DATA'!AR6/'Expenditure DATA'!M6)*100</f>
        <v>35.185940293399767</v>
      </c>
      <c r="BY4" s="209">
        <f>('Expenditure DATA'!AS6/'Expenditure DATA'!N6)*100</f>
        <v>34.978493173792216</v>
      </c>
      <c r="BZ4" s="209">
        <f>('Expenditure DATA'!AT6/'Expenditure DATA'!O6)*100</f>
        <v>35.006219346085338</v>
      </c>
      <c r="CA4" s="209">
        <f>('Expenditure DATA'!AU6/'Expenditure DATA'!P6)*100</f>
        <v>35.487357174083172</v>
      </c>
      <c r="CB4" s="209">
        <f>('Expenditure DATA'!AV6/'Expenditure DATA'!Q6)*100</f>
        <v>35.606871101978527</v>
      </c>
      <c r="CC4" s="209">
        <f>('Expenditure DATA'!AW6/'Expenditure DATA'!R6)*100</f>
        <v>35.947184325384221</v>
      </c>
      <c r="CD4" s="209">
        <f>('Expenditure DATA'!AX6/'Expenditure DATA'!S6)*100</f>
        <v>36.170406726269107</v>
      </c>
      <c r="CE4" s="209">
        <f>('Expenditure DATA'!AY6/'Expenditure DATA'!T6)*100</f>
        <v>36.501001970694993</v>
      </c>
      <c r="CF4" s="209">
        <f>('Expenditure DATA'!AZ6/'Expenditure DATA'!U6)*100</f>
        <v>36.314153156900382</v>
      </c>
      <c r="CG4" s="209">
        <f>('Expenditure DATA'!BA6/'Expenditure DATA'!V6)*100</f>
        <v>36.151863177192475</v>
      </c>
      <c r="CH4" s="209">
        <f>('Expenditure DATA'!BB6/'Expenditure DATA'!W6)*100</f>
        <v>35.912863088288468</v>
      </c>
      <c r="CI4" s="209">
        <f>('Expenditure DATA'!BC6/'Expenditure DATA'!X6)*100</f>
        <v>35.696846826461282</v>
      </c>
      <c r="CJ4" s="209">
        <f>('Expenditure DATA'!BD6/'Expenditure DATA'!Y6)*100</f>
        <v>35.706395576020611</v>
      </c>
      <c r="CK4" s="209">
        <f>('Expenditure DATA'!BE6/'Expenditure DATA'!Z6)*100</f>
        <v>36.176468147644414</v>
      </c>
      <c r="CL4" s="209">
        <f>('Expenditure DATA'!BF6/'Expenditure DATA'!AA6)*100</f>
        <v>36.15834524030295</v>
      </c>
      <c r="CM4" s="209">
        <f>('Expenditure DATA'!BG6/'Expenditure DATA'!AB6)*100</f>
        <v>36.539305567911491</v>
      </c>
      <c r="CN4" s="209">
        <f>('Expenditure DATA'!BH6/'Expenditure DATA'!AC6)*100</f>
        <v>36.369259363360513</v>
      </c>
      <c r="CO4" s="209">
        <f>('Expenditure DATA'!BI6/'Expenditure DATA'!AD6)*100</f>
        <v>36.009580833989283</v>
      </c>
      <c r="CP4" s="209">
        <f>('Expenditure DATA'!BJ6/'Expenditure DATA'!AE6)*100</f>
        <v>35.456201826473169</v>
      </c>
      <c r="CQ4" s="466">
        <f>('Expenditure DATA'!BK6/'Expenditure DATA'!AF6)*100</f>
        <v>35.040612852945905</v>
      </c>
      <c r="CR4" s="208">
        <f>('Expenditure DATA'!FA6/'Expenditure DATA'!B6)*100</f>
        <v>21.079009482184709</v>
      </c>
      <c r="CS4" s="209">
        <f>('Expenditure DATA'!FB6/'Expenditure DATA'!C6)*100</f>
        <v>21.359103603552811</v>
      </c>
      <c r="CT4" s="209">
        <f>('Expenditure DATA'!FC6/'Expenditure DATA'!D6)*100</f>
        <v>21.012859660158377</v>
      </c>
      <c r="CU4" s="209">
        <f>('Expenditure DATA'!FD6/'Expenditure DATA'!E6)*100</f>
        <v>20.118546490924491</v>
      </c>
      <c r="CV4" s="209">
        <f>('Expenditure DATA'!FE6/'Expenditure DATA'!F6)*100</f>
        <v>19.765609994546146</v>
      </c>
      <c r="CW4" s="209">
        <f>('Expenditure DATA'!FF6/'Expenditure DATA'!G6)*100</f>
        <v>19.641078392120818</v>
      </c>
      <c r="CX4" s="209">
        <f>('Expenditure DATA'!FG6/'Expenditure DATA'!H6)*100</f>
        <v>19.881756097443404</v>
      </c>
      <c r="CY4" s="209">
        <f>('Expenditure DATA'!FH6/'Expenditure DATA'!I6)*100</f>
        <v>20.300515940104113</v>
      </c>
      <c r="CZ4" s="209">
        <f>('Expenditure DATA'!FI6/'Expenditure DATA'!J6)*100</f>
        <v>21.231343012978471</v>
      </c>
      <c r="DA4" s="209">
        <f>('Expenditure DATA'!FJ6/'Expenditure DATA'!K6)*100</f>
        <v>23.468447219843487</v>
      </c>
      <c r="DB4" s="209">
        <f>('Expenditure DATA'!FK6/'Expenditure DATA'!L6)*100</f>
        <v>25.393839982222744</v>
      </c>
      <c r="DC4" s="209">
        <f>('Expenditure DATA'!FL6/'Expenditure DATA'!M6)*100</f>
        <v>26.463613746528551</v>
      </c>
      <c r="DD4" s="209">
        <f>('Expenditure DATA'!FM6/'Expenditure DATA'!N6)*100</f>
        <v>26.536276074356778</v>
      </c>
      <c r="DE4" s="209">
        <f>('Expenditure DATA'!FN6/'Expenditure DATA'!O6)*100</f>
        <v>26.83076377131049</v>
      </c>
      <c r="DF4" s="209">
        <f>('Expenditure DATA'!FO6/'Expenditure DATA'!P6)*100</f>
        <v>26.29145093812274</v>
      </c>
      <c r="DG4" s="209">
        <f>('Expenditure DATA'!FP6/'Expenditure DATA'!Q6)*100</f>
        <v>25.905459015490401</v>
      </c>
      <c r="DH4" s="209">
        <f>('Expenditure DATA'!FQ6/'Expenditure DATA'!R6)*100</f>
        <v>25.373346147175308</v>
      </c>
      <c r="DI4" s="209">
        <f>('Expenditure DATA'!FR6/'Expenditure DATA'!S6)*100</f>
        <v>25.094533376239365</v>
      </c>
      <c r="DJ4" s="209">
        <f>('Expenditure DATA'!FS6/'Expenditure DATA'!T6)*100</f>
        <v>24.846339572735999</v>
      </c>
      <c r="DK4" s="209">
        <f>('Expenditure DATA'!FT6/'Expenditure DATA'!U6)*100</f>
        <v>25.433752697901763</v>
      </c>
      <c r="DL4" s="209">
        <f>('Expenditure DATA'!FU6/'Expenditure DATA'!V6)*100</f>
        <v>25.943958046425379</v>
      </c>
      <c r="DM4" s="209">
        <f>('Expenditure DATA'!FV6/'Expenditure DATA'!W6)*100</f>
        <v>26.665530727606651</v>
      </c>
      <c r="DN4" s="209">
        <f>('Expenditure DATA'!FW6/'Expenditure DATA'!X6)*100</f>
        <v>27.317712213982475</v>
      </c>
      <c r="DO4" s="209">
        <f>('Expenditure DATA'!FX6/'Expenditure DATA'!Y6)*100</f>
        <v>27.408456931230614</v>
      </c>
      <c r="DP4" s="209">
        <f>('Expenditure DATA'!FY6/'Expenditure DATA'!Z6)*100</f>
        <v>26.164713511196901</v>
      </c>
      <c r="DQ4" s="209">
        <f>('Expenditure DATA'!FZ6/'Expenditure DATA'!AA6)*100</f>
        <v>25.780936333717619</v>
      </c>
      <c r="DR4" s="209">
        <f>('Expenditure DATA'!GA6/'Expenditure DATA'!AB6)*100</f>
        <v>25.714212826525657</v>
      </c>
      <c r="DS4" s="209">
        <f>('Expenditure DATA'!GB6/'Expenditure DATA'!AC6)*100</f>
        <v>26.755819190527475</v>
      </c>
      <c r="DT4" s="209">
        <f>('Expenditure DATA'!GC6/'Expenditure DATA'!AD6)*100</f>
        <v>27.695014841423387</v>
      </c>
      <c r="DU4" s="209">
        <f>('Expenditure DATA'!GD6/'Expenditure DATA'!AE6)*100</f>
        <v>28.490006702045601</v>
      </c>
      <c r="DV4" s="466">
        <f>('Expenditure DATA'!GE6/'Expenditure DATA'!AF6)*100</f>
        <v>28.846558409506301</v>
      </c>
      <c r="DW4" s="208">
        <f>('Expenditure DATA'!GF6/'Expenditure DATA'!B6)*100</f>
        <v>27.093171420299427</v>
      </c>
      <c r="DX4" s="209">
        <f>('Expenditure DATA'!GG6/'Expenditure DATA'!C6)*100</f>
        <v>26.585025728923522</v>
      </c>
      <c r="DY4" s="209">
        <f>('Expenditure DATA'!GH6/'Expenditure DATA'!D6)*100</f>
        <v>26.284126144365345</v>
      </c>
      <c r="DZ4" s="209">
        <f>('Expenditure DATA'!GI6/'Expenditure DATA'!E6)*100</f>
        <v>26.526775315404059</v>
      </c>
      <c r="EA4" s="209">
        <f>('Expenditure DATA'!GJ6/'Expenditure DATA'!F6)*100</f>
        <v>27.133662029871687</v>
      </c>
      <c r="EB4" s="209">
        <f>('Expenditure DATA'!GK6/'Expenditure DATA'!G6)*100</f>
        <v>27.23879063416917</v>
      </c>
      <c r="EC4" s="209">
        <f>('Expenditure DATA'!GL6/'Expenditure DATA'!H6)*100</f>
        <v>27.38567468566545</v>
      </c>
      <c r="ED4" s="209">
        <f>('Expenditure DATA'!GM6/'Expenditure DATA'!I6)*100</f>
        <v>27.056625866728933</v>
      </c>
      <c r="EE4" s="209">
        <f>('Expenditure DATA'!GN6/'Expenditure DATA'!J6)*100</f>
        <v>26.318571070649632</v>
      </c>
      <c r="EF4" s="209">
        <f>('Expenditure DATA'!GO6/'Expenditure DATA'!K6)*100</f>
        <v>25.569428387297734</v>
      </c>
      <c r="EG4" s="209">
        <f>('Expenditure DATA'!GP6/'Expenditure DATA'!L6)*100</f>
        <v>24.924669016639513</v>
      </c>
      <c r="EH4" s="209">
        <f>('Expenditure DATA'!GQ6/'Expenditure DATA'!M6)*100</f>
        <v>24.562628362036378</v>
      </c>
      <c r="EI4" s="209">
        <f>('Expenditure DATA'!GR6/'Expenditure DATA'!N6)*100</f>
        <v>24.892630319857744</v>
      </c>
      <c r="EJ4" s="209">
        <f>('Expenditure DATA'!GS6/'Expenditure DATA'!O6)*100</f>
        <v>24.827609890357461</v>
      </c>
      <c r="EK4" s="209">
        <f>('Expenditure DATA'!GT6/'Expenditure DATA'!P6)*100</f>
        <v>24.98031311111658</v>
      </c>
      <c r="EL4" s="209">
        <f>('Expenditure DATA'!GU6/'Expenditure DATA'!Q6)*100</f>
        <v>25.041659013385463</v>
      </c>
      <c r="EM4" s="209">
        <f>('Expenditure DATA'!GV6/'Expenditure DATA'!R6)*100</f>
        <v>25.351357145336628</v>
      </c>
      <c r="EN4" s="209">
        <f>('Expenditure DATA'!GW6/'Expenditure DATA'!S6)*100</f>
        <v>25.317503443789203</v>
      </c>
      <c r="EO4" s="209">
        <f>('Expenditure DATA'!GX6/'Expenditure DATA'!T6)*100</f>
        <v>25.436724947332905</v>
      </c>
      <c r="EP4" s="209">
        <f>('Expenditure DATA'!GY6/'Expenditure DATA'!U6)*100</f>
        <v>25.152817843520964</v>
      </c>
      <c r="EQ4" s="209">
        <f>('Expenditure DATA'!GZ6/'Expenditure DATA'!V6)*100</f>
        <v>24.906226617273113</v>
      </c>
      <c r="ER4" s="209">
        <f>('Expenditure DATA'!HA6/'Expenditure DATA'!W6)*100</f>
        <v>24.576629282532917</v>
      </c>
      <c r="ES4" s="209">
        <f>('Expenditure DATA'!HB6/'Expenditure DATA'!X6)*100</f>
        <v>24.278728204398298</v>
      </c>
      <c r="ET4" s="209">
        <f>('Expenditure DATA'!HC6/'Expenditure DATA'!Y6)*100</f>
        <v>23.977561869970142</v>
      </c>
      <c r="EU4" s="209">
        <f>('Expenditure DATA'!HD6/'Expenditure DATA'!Z6)*100</f>
        <v>24.612152917982566</v>
      </c>
      <c r="EV4" s="209">
        <f>('Expenditure DATA'!HE6/'Expenditure DATA'!AA6)*100</f>
        <v>25.330482976112052</v>
      </c>
      <c r="EW4" s="209">
        <f>('Expenditure DATA'!HF6/'Expenditure DATA'!AB6)*100</f>
        <v>25.138169632802978</v>
      </c>
      <c r="EX4" s="209">
        <f>('Expenditure DATA'!HG6/'Expenditure DATA'!AC6)*100</f>
        <v>24.132873910371661</v>
      </c>
      <c r="EY4" s="209">
        <f>('Expenditure DATA'!HH6/'Expenditure DATA'!AD6)*100</f>
        <v>23.69628755681061</v>
      </c>
      <c r="EZ4" s="209">
        <f>('Expenditure DATA'!HI6/'Expenditure DATA'!AE6)*100</f>
        <v>23.614017581043413</v>
      </c>
      <c r="FA4" s="466">
        <f>('Expenditure DATA'!HJ6/'Expenditure DATA'!AF6)*100</f>
        <v>23.774726314902264</v>
      </c>
      <c r="FB4" s="208">
        <f>('Expenditure DATA'!HK6/'Expenditure DATA'!B6)*100</f>
        <v>4.7414194979365565</v>
      </c>
      <c r="FC4" s="209">
        <f>('Expenditure DATA'!HL6/'Expenditure DATA'!C6)*100</f>
        <v>4.8886082325037679</v>
      </c>
      <c r="FD4" s="209">
        <f>('Expenditure DATA'!HM6/'Expenditure DATA'!D6)*100</f>
        <v>5.0286117371302721</v>
      </c>
      <c r="FE4" s="209">
        <f>('Expenditure DATA'!HN6/'Expenditure DATA'!E6)*100</f>
        <v>5.0196517741419679</v>
      </c>
      <c r="FF4" s="209">
        <f>('Expenditure DATA'!HO6/'Expenditure DATA'!F6)*100</f>
        <v>5.0735685984441741</v>
      </c>
      <c r="FG4" s="209">
        <f>('Expenditure DATA'!HP6/'Expenditure DATA'!G6)*100</f>
        <v>5.2725064755780569</v>
      </c>
      <c r="FH4" s="209">
        <f>('Expenditure DATA'!HQ6/'Expenditure DATA'!H6)*100</f>
        <v>5.1638423557954871</v>
      </c>
      <c r="FI4" s="209">
        <f>('Expenditure DATA'!HR6/'Expenditure DATA'!I6)*100</f>
        <v>5.2144043686826755</v>
      </c>
      <c r="FJ4" s="209">
        <f>('Expenditure DATA'!HS6/'Expenditure DATA'!J6)*100</f>
        <v>5.1440086252343438</v>
      </c>
      <c r="FK4" s="209">
        <f>('Expenditure DATA'!HT6/'Expenditure DATA'!K6)*100</f>
        <v>5.0351646152284824</v>
      </c>
      <c r="FL4" s="209">
        <f>('Expenditure DATA'!HU6/'Expenditure DATA'!L6)*100</f>
        <v>4.9414866057506384</v>
      </c>
      <c r="FM4" s="209">
        <f>('Expenditure DATA'!HV6/'Expenditure DATA'!M6)*100</f>
        <v>4.9074235729815454</v>
      </c>
      <c r="FN4" s="209">
        <f>('Expenditure DATA'!HW6/'Expenditure DATA'!N6)*100</f>
        <v>4.9199792486550056</v>
      </c>
      <c r="FO4" s="209">
        <f>('Expenditure DATA'!HX6/'Expenditure DATA'!O6)*100</f>
        <v>4.9278211242383145</v>
      </c>
      <c r="FP4" s="209">
        <f>('Expenditure DATA'!HY6/'Expenditure DATA'!P6)*100</f>
        <v>4.8422719681813282</v>
      </c>
      <c r="FQ4" s="209">
        <f>('Expenditure DATA'!HZ6/'Expenditure DATA'!Q6)*100</f>
        <v>4.9820543619412616</v>
      </c>
      <c r="FR4" s="209">
        <f>('Expenditure DATA'!IA6/'Expenditure DATA'!R6)*100</f>
        <v>5.0199491216533492</v>
      </c>
      <c r="FS4" s="209">
        <f>('Expenditure DATA'!IB6/'Expenditure DATA'!S6)*100</f>
        <v>5.1032365634080206</v>
      </c>
      <c r="FT4" s="209">
        <f>('Expenditure DATA'!IC6/'Expenditure DATA'!T6)*100</f>
        <v>4.9734913913297847</v>
      </c>
      <c r="FU4" s="209">
        <f>('Expenditure DATA'!ID6/'Expenditure DATA'!U6)*100</f>
        <v>4.9224229543666134</v>
      </c>
      <c r="FV4" s="209">
        <f>('Expenditure DATA'!IE6/'Expenditure DATA'!V6)*100</f>
        <v>4.8780667958759469</v>
      </c>
      <c r="FW4" s="209">
        <f>('Expenditure DATA'!IF6/'Expenditure DATA'!W6)*100</f>
        <v>4.8928558486696376</v>
      </c>
      <c r="FX4" s="209">
        <f>('Expenditure DATA'!IG6/'Expenditure DATA'!X6)*100</f>
        <v>4.9062226884691817</v>
      </c>
      <c r="FY4" s="209">
        <f>('Expenditure DATA'!IH6/'Expenditure DATA'!Y6)*100</f>
        <v>4.9355798995972311</v>
      </c>
      <c r="FZ4" s="209">
        <f>('Expenditure DATA'!II6/'Expenditure DATA'!Z6)*100</f>
        <v>4.9297978191591403</v>
      </c>
      <c r="GA4" s="209">
        <f>('Expenditure DATA'!IJ6/'Expenditure DATA'!AA6)*100</f>
        <v>4.9319312310170744</v>
      </c>
      <c r="GB4" s="209">
        <f>('Expenditure DATA'!IK6/'Expenditure DATA'!AB6)*100</f>
        <v>4.9052359202637312</v>
      </c>
      <c r="GC4" s="209">
        <f>('Expenditure DATA'!IL6/'Expenditure DATA'!AC6)*100</f>
        <v>4.8002109732552336</v>
      </c>
      <c r="GD4" s="209">
        <f>('Expenditure DATA'!IM6/'Expenditure DATA'!AD6)*100</f>
        <v>4.648465548512001</v>
      </c>
      <c r="GE4" s="209">
        <f>('Expenditure DATA'!IN6/'Expenditure DATA'!AE6)*100</f>
        <v>4.5670388453714326</v>
      </c>
      <c r="GF4" s="466">
        <f>('Expenditure DATA'!IO6/'Expenditure DATA'!AF6)*100</f>
        <v>4.5254855219329526</v>
      </c>
      <c r="GG4" s="203">
        <f>('Expenditure DATA'!IP6/'Expenditure DATA'!B6)*100</f>
        <v>8.6535363134796857</v>
      </c>
      <c r="GH4" s="202">
        <f>('Expenditure DATA'!IQ6/'Expenditure DATA'!C6)*100</f>
        <v>8.6966392650812097</v>
      </c>
      <c r="GI4" s="202">
        <f>('Expenditure DATA'!IR6/'Expenditure DATA'!D6)*100</f>
        <v>9.4143793245658234</v>
      </c>
      <c r="GJ4" s="202">
        <f>('Expenditure DATA'!IS6/'Expenditure DATA'!E6)*100</f>
        <v>9.8169276493534223</v>
      </c>
      <c r="GK4" s="202">
        <f>('Expenditure DATA'!IT6/'Expenditure DATA'!F6)*100</f>
        <v>9.855103730709935</v>
      </c>
      <c r="GL4" s="202">
        <f>('Expenditure DATA'!IU6/'Expenditure DATA'!G6)*100</f>
        <v>10.522545208668472</v>
      </c>
      <c r="GM4" s="202">
        <f>('Expenditure DATA'!IV6/'Expenditure DATA'!H6)*100</f>
        <v>10.491554183289978</v>
      </c>
      <c r="GN4" s="202">
        <f>('Expenditure DATA'!IW6/'Expenditure DATA'!I6)*100</f>
        <v>10.200779019176789</v>
      </c>
      <c r="GO4" s="202">
        <f>('Expenditure DATA'!IX6/'Expenditure DATA'!J6)*100</f>
        <v>9.9273245767585188</v>
      </c>
      <c r="GP4" s="202">
        <f>('Expenditure DATA'!IY6/'Expenditure DATA'!K6)*100</f>
        <v>9.4555971395140244</v>
      </c>
      <c r="GQ4" s="202">
        <f>('Expenditure DATA'!IZ6/'Expenditure DATA'!L6)*100</f>
        <v>9.0495987999198775</v>
      </c>
      <c r="GR4" s="202">
        <f>('Expenditure DATA'!JA6/'Expenditure DATA'!M6)*100</f>
        <v>8.880394025053775</v>
      </c>
      <c r="GS4" s="202">
        <f>('Expenditure DATA'!JB6/'Expenditure DATA'!N6)*100</f>
        <v>8.6726211833382632</v>
      </c>
      <c r="GT4" s="202">
        <f>('Expenditure DATA'!JC6/'Expenditure DATA'!O6)*100</f>
        <v>8.4075858680084039</v>
      </c>
      <c r="GU4" s="202">
        <f>('Expenditure DATA'!JD6/'Expenditure DATA'!P6)*100</f>
        <v>8.3986068084961722</v>
      </c>
      <c r="GV4" s="202">
        <f>('Expenditure DATA'!JE6/'Expenditure DATA'!Q6)*100</f>
        <v>8.4639565072043421</v>
      </c>
      <c r="GW4" s="202">
        <f>('Expenditure DATA'!JF6/'Expenditure DATA'!R6)*100</f>
        <v>8.3081632604504883</v>
      </c>
      <c r="GX4" s="202">
        <f>('Expenditure DATA'!JG6/'Expenditure DATA'!S6)*100</f>
        <v>8.3143198902942999</v>
      </c>
      <c r="GY4" s="202">
        <f>('Expenditure DATA'!JH6/'Expenditure DATA'!T6)*100</f>
        <v>8.2424421179063163</v>
      </c>
      <c r="GZ4" s="202">
        <f>('Expenditure DATA'!JI6/'Expenditure DATA'!U6)*100</f>
        <v>8.1768533473102654</v>
      </c>
      <c r="HA4" s="202">
        <f>('Expenditure DATA'!JJ6/'Expenditure DATA'!V6)*100</f>
        <v>8.119885363233049</v>
      </c>
      <c r="HB4" s="202">
        <f>('Expenditure DATA'!JK6/'Expenditure DATA'!W6)*100</f>
        <v>7.9521210529023501</v>
      </c>
      <c r="HC4" s="202">
        <f>('Expenditure DATA'!JL6/'Expenditure DATA'!X6)*100</f>
        <v>7.8004900666887682</v>
      </c>
      <c r="HD4" s="202">
        <f>('Expenditure DATA'!JM6/'Expenditure DATA'!Y6)*100</f>
        <v>7.9720057231814021</v>
      </c>
      <c r="HE4" s="202">
        <f>('Expenditure DATA'!JN6/'Expenditure DATA'!Z6)*100</f>
        <v>8.1168676040169814</v>
      </c>
      <c r="HF4" s="202">
        <f>('Expenditure DATA'!JO6/'Expenditure DATA'!AA6)*100</f>
        <v>7.7983042188502969</v>
      </c>
      <c r="HG4" s="202">
        <f>('Expenditure DATA'!JP6/'Expenditure DATA'!AB6)*100</f>
        <v>7.7030760524961455</v>
      </c>
      <c r="HH4" s="202">
        <f>('Expenditure DATA'!JQ6/'Expenditure DATA'!AC6)*100</f>
        <v>7.9418364394743843</v>
      </c>
      <c r="HI4" s="202">
        <f>('Expenditure DATA'!JR6/'Expenditure DATA'!AD6)*100</f>
        <v>7.9506515773403539</v>
      </c>
      <c r="HJ4" s="202">
        <f>('Expenditure DATA'!JS6/'Expenditure DATA'!AE6)*100</f>
        <v>7.8727350450663796</v>
      </c>
      <c r="HK4" s="464">
        <f>('Expenditure DATA'!JT6/'Expenditure DATA'!AF6)*100</f>
        <v>7.8126169007125821</v>
      </c>
      <c r="HL4" s="203">
        <f t="shared" ref="HL4:HL62" si="1">+BM4+CR4+DW4+FB4+GG4</f>
        <v>100.00008996380183</v>
      </c>
      <c r="HM4" s="204">
        <f t="shared" ref="HM4:HM62" si="2">+BN4+CS4+DX4+FC4+GH4</f>
        <v>100.00075175817443</v>
      </c>
      <c r="HN4" s="204">
        <f t="shared" ref="HN4:HN62" si="3">+BO4+CT4+DY4+FD4+GI4</f>
        <v>99.999861141775639</v>
      </c>
      <c r="HO4" s="204">
        <f t="shared" ref="HO4:HO62" si="4">+BP4+CU4+DZ4+FE4+GJ4</f>
        <v>100.0001439415322</v>
      </c>
      <c r="HP4" s="204">
        <f t="shared" ref="HP4:HP62" si="5">+BQ4+CV4+EA4+FF4+GK4</f>
        <v>99.999968316515492</v>
      </c>
      <c r="HQ4" s="204">
        <f t="shared" ref="HQ4:HQ62" si="6">+BR4+CW4+EB4+FG4+GL4</f>
        <v>99.999999999999986</v>
      </c>
      <c r="HR4" s="204">
        <f t="shared" ref="HR4:HR62" si="7">+BS4+CX4+EC4+FH4+GM4</f>
        <v>99.999902324433563</v>
      </c>
      <c r="HS4" s="204">
        <f t="shared" ref="HS4:HS62" si="8">+BT4+CY4+ED4+FI4+GN4</f>
        <v>99.999910720478681</v>
      </c>
      <c r="HT4" s="204">
        <f t="shared" ref="HT4:HT62" si="9">+BU4+CZ4+EE4+FJ4+GO4</f>
        <v>100.00000000000001</v>
      </c>
      <c r="HU4" s="204">
        <f t="shared" ref="HU4:HU62" si="10">+BV4+DA4+EF4+FK4+GP4</f>
        <v>100.00000000000001</v>
      </c>
      <c r="HV4" s="204">
        <f t="shared" ref="HV4:HV62" si="11">+BW4+DB4+EG4+FL4+GQ4</f>
        <v>100</v>
      </c>
      <c r="HW4" s="204">
        <f t="shared" ref="HW4:HW62" si="12">+BX4+DC4+EH4+FM4+GR4</f>
        <v>100.00000000000001</v>
      </c>
      <c r="HX4" s="204">
        <f t="shared" ref="HX4:HX62" si="13">+BY4+DD4+EI4+FN4+GS4</f>
        <v>100.00000000000001</v>
      </c>
      <c r="HY4" s="204">
        <f t="shared" ref="HY4:HY62" si="14">+BZ4+DE4+EJ4+FO4+GT4</f>
        <v>100.00000000000003</v>
      </c>
      <c r="HZ4" s="204">
        <f t="shared" ref="HZ4:HZ62" si="15">+CA4+DF4+EK4+FP4+GU4</f>
        <v>99.999999999999986</v>
      </c>
      <c r="IA4" s="204">
        <f t="shared" ref="IA4:IA62" si="16">+CB4+DG4+EL4+FQ4+GV4</f>
        <v>100</v>
      </c>
      <c r="IB4" s="204">
        <f t="shared" ref="IB4:IB62" si="17">+CC4+DH4+EM4+FR4+GW4</f>
        <v>99.999999999999986</v>
      </c>
      <c r="IC4" s="204">
        <f t="shared" ref="IC4:IC62" si="18">+CD4+DI4+EN4+FS4+GX4</f>
        <v>100</v>
      </c>
      <c r="ID4" s="204">
        <f t="shared" ref="ID4:ID62" si="19">+CE4+DJ4+EO4+FT4+GY4</f>
        <v>100.00000000000001</v>
      </c>
      <c r="IE4" s="204">
        <f t="shared" ref="IE4:IE62" si="20">+CF4+DK4+EP4+FU4+GZ4</f>
        <v>99.999999999999986</v>
      </c>
      <c r="IF4" s="204">
        <f t="shared" ref="IF4:IF62" si="21">+CG4+DL4+EQ4+FV4+HA4</f>
        <v>99.999999999999972</v>
      </c>
      <c r="IG4" s="204">
        <f t="shared" ref="IG4:IG62" si="22">+CH4+DM4+ER4+FW4+HB4</f>
        <v>100.00000000000003</v>
      </c>
      <c r="IH4" s="204">
        <f t="shared" ref="IH4:IH62" si="23">+CI4+DN4+ES4+FX4+HC4</f>
        <v>100</v>
      </c>
      <c r="II4" s="204">
        <f t="shared" ref="II4:II62" si="24">+CJ4+DO4+ET4+FY4+HD4</f>
        <v>100</v>
      </c>
      <c r="IJ4" s="204">
        <f t="shared" ref="IJ4:IJ62" si="25">+CK4+DP4+EU4+FZ4+HE4</f>
        <v>100</v>
      </c>
      <c r="IK4" s="204">
        <f t="shared" ref="IK4:IK62" si="26">+CL4+DQ4+EV4+GA4+HF4</f>
        <v>99.999999999999986</v>
      </c>
      <c r="IL4" s="204">
        <f>+CM4+DR4+EW4+GB4+HG4</f>
        <v>100</v>
      </c>
      <c r="IM4" s="204">
        <f>+CN4+DS4+EX4+GC4+HH4</f>
        <v>99.999999876989264</v>
      </c>
      <c r="IN4" s="204">
        <f>+CO4+DT4+EY4+GD4+HI4</f>
        <v>100.00000035807564</v>
      </c>
      <c r="IO4" s="204">
        <f>+CP4+DU4+EZ4+GE4+HJ4</f>
        <v>99.999999999999986</v>
      </c>
      <c r="IP4" s="204">
        <f>+CQ4+DV4+FA4+GF4+HK4</f>
        <v>100</v>
      </c>
    </row>
    <row r="5" spans="1:250" s="164" customFormat="1">
      <c r="A5" s="168"/>
      <c r="B5" s="6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464"/>
      <c r="AH5" s="203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J5" s="202"/>
      <c r="BK5" s="202"/>
      <c r="BL5" s="464"/>
      <c r="BM5" s="203"/>
      <c r="BN5" s="202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202"/>
      <c r="CB5" s="202"/>
      <c r="CC5" s="202"/>
      <c r="CD5" s="202"/>
      <c r="CE5" s="202"/>
      <c r="CF5" s="202"/>
      <c r="CG5" s="202"/>
      <c r="CH5" s="202"/>
      <c r="CI5" s="202"/>
      <c r="CJ5" s="202"/>
      <c r="CK5" s="202"/>
      <c r="CL5" s="202"/>
      <c r="CM5" s="202"/>
      <c r="CN5" s="202"/>
      <c r="CO5" s="202"/>
      <c r="CP5" s="202"/>
      <c r="CQ5" s="464"/>
      <c r="CR5" s="203"/>
      <c r="CS5" s="202"/>
      <c r="CT5" s="202"/>
      <c r="CU5" s="202"/>
      <c r="CV5" s="202"/>
      <c r="CW5" s="202"/>
      <c r="CX5" s="202"/>
      <c r="CY5" s="202"/>
      <c r="CZ5" s="202"/>
      <c r="DA5" s="202"/>
      <c r="DB5" s="202"/>
      <c r="DC5" s="202"/>
      <c r="DD5" s="202"/>
      <c r="DE5" s="202"/>
      <c r="DF5" s="202"/>
      <c r="DG5" s="202"/>
      <c r="DH5" s="202"/>
      <c r="DI5" s="202"/>
      <c r="DJ5" s="202"/>
      <c r="DK5" s="202"/>
      <c r="DL5" s="202"/>
      <c r="DM5" s="202"/>
      <c r="DN5" s="202"/>
      <c r="DO5" s="202"/>
      <c r="DP5" s="202"/>
      <c r="DQ5" s="202"/>
      <c r="DR5" s="202"/>
      <c r="DS5" s="202"/>
      <c r="DT5" s="202"/>
      <c r="DU5" s="202"/>
      <c r="DV5" s="464"/>
      <c r="DW5" s="203"/>
      <c r="DX5" s="202"/>
      <c r="DY5" s="202"/>
      <c r="DZ5" s="202"/>
      <c r="EA5" s="202"/>
      <c r="EB5" s="202"/>
      <c r="EC5" s="202"/>
      <c r="ED5" s="202"/>
      <c r="EE5" s="202"/>
      <c r="EF5" s="202"/>
      <c r="EG5" s="202"/>
      <c r="EH5" s="202"/>
      <c r="EI5" s="202"/>
      <c r="EJ5" s="202"/>
      <c r="EK5" s="202"/>
      <c r="EL5" s="202"/>
      <c r="EM5" s="202"/>
      <c r="EN5" s="202"/>
      <c r="EO5" s="202"/>
      <c r="EP5" s="202"/>
      <c r="EQ5" s="202"/>
      <c r="ER5" s="202"/>
      <c r="ES5" s="202"/>
      <c r="ET5" s="202"/>
      <c r="EU5" s="202"/>
      <c r="EV5" s="202"/>
      <c r="EW5" s="202"/>
      <c r="EX5" s="202"/>
      <c r="EY5" s="202"/>
      <c r="EZ5" s="202"/>
      <c r="FA5" s="464"/>
      <c r="FB5" s="203"/>
      <c r="FC5" s="202"/>
      <c r="FD5" s="202"/>
      <c r="FE5" s="202"/>
      <c r="FF5" s="202"/>
      <c r="FG5" s="202"/>
      <c r="FH5" s="202"/>
      <c r="FI5" s="202"/>
      <c r="FJ5" s="202"/>
      <c r="FK5" s="202"/>
      <c r="FL5" s="202"/>
      <c r="FM5" s="202"/>
      <c r="FN5" s="202"/>
      <c r="FO5" s="202"/>
      <c r="FP5" s="202"/>
      <c r="FQ5" s="202"/>
      <c r="FR5" s="202"/>
      <c r="FS5" s="202"/>
      <c r="FT5" s="202"/>
      <c r="FU5" s="202"/>
      <c r="FV5" s="202"/>
      <c r="FW5" s="202"/>
      <c r="FX5" s="202"/>
      <c r="FY5" s="202"/>
      <c r="FZ5" s="202"/>
      <c r="GA5" s="202"/>
      <c r="GB5" s="202"/>
      <c r="GC5" s="202"/>
      <c r="GD5" s="202"/>
      <c r="GE5" s="202"/>
      <c r="GF5" s="464"/>
      <c r="GG5" s="203"/>
      <c r="GH5" s="202"/>
      <c r="GI5" s="202"/>
      <c r="GJ5" s="202"/>
      <c r="GK5" s="202"/>
      <c r="GL5" s="202"/>
      <c r="GM5" s="202"/>
      <c r="GN5" s="202"/>
      <c r="GO5" s="202"/>
      <c r="GP5" s="202"/>
      <c r="GQ5" s="202"/>
      <c r="GR5" s="202"/>
      <c r="GS5" s="202"/>
      <c r="GT5" s="202"/>
      <c r="GU5" s="202"/>
      <c r="GV5" s="202"/>
      <c r="GW5" s="202"/>
      <c r="GX5" s="202"/>
      <c r="GY5" s="202"/>
      <c r="GZ5" s="202"/>
      <c r="HA5" s="202"/>
      <c r="HB5" s="202"/>
      <c r="HC5" s="202"/>
      <c r="HD5" s="202"/>
      <c r="HE5" s="202"/>
      <c r="HF5" s="202"/>
      <c r="HG5" s="202"/>
      <c r="HH5" s="202"/>
      <c r="HI5" s="202"/>
      <c r="HJ5" s="202"/>
      <c r="HK5" s="464"/>
      <c r="HL5" s="203"/>
      <c r="HM5" s="204"/>
      <c r="HN5" s="204"/>
      <c r="HO5" s="204"/>
      <c r="HP5" s="204"/>
      <c r="HQ5" s="204"/>
      <c r="HR5" s="204"/>
      <c r="HS5" s="204"/>
      <c r="HT5" s="204"/>
      <c r="HU5" s="204"/>
      <c r="HV5" s="204"/>
      <c r="HW5" s="204"/>
      <c r="HX5" s="204"/>
      <c r="HY5" s="204"/>
      <c r="HZ5" s="204"/>
      <c r="IA5" s="204"/>
      <c r="IB5" s="204"/>
      <c r="IC5" s="204"/>
      <c r="ID5" s="204"/>
      <c r="IE5" s="204"/>
      <c r="IF5" s="204"/>
      <c r="IG5" s="204"/>
      <c r="IH5" s="204"/>
      <c r="II5" s="204"/>
      <c r="IJ5" s="204"/>
      <c r="IK5" s="204"/>
      <c r="IL5" s="204"/>
      <c r="IM5" s="204"/>
      <c r="IN5" s="204"/>
      <c r="IO5" s="204"/>
      <c r="IP5" s="204"/>
    </row>
    <row r="6" spans="1:250" s="164" customFormat="1">
      <c r="A6" s="168" t="s">
        <v>25</v>
      </c>
      <c r="B6" s="62"/>
      <c r="C6" s="202">
        <f>('Expenditure DATA'!CQ8/'Expenditure DATA'!B8)*100</f>
        <v>13.01864101022249</v>
      </c>
      <c r="D6" s="202">
        <f>('Expenditure DATA'!CR8/'Expenditure DATA'!C8)*100</f>
        <v>12.942636973339591</v>
      </c>
      <c r="E6" s="202">
        <f>('Expenditure DATA'!CS8/'Expenditure DATA'!D8)*100</f>
        <v>12.811054595755103</v>
      </c>
      <c r="F6" s="202">
        <f>('Expenditure DATA'!CT8/'Expenditure DATA'!E8)*100</f>
        <v>11.784790087048444</v>
      </c>
      <c r="G6" s="202">
        <f>('Expenditure DATA'!CU8/'Expenditure DATA'!F8)*100</f>
        <v>12.091343558716629</v>
      </c>
      <c r="H6" s="202">
        <f>('Expenditure DATA'!CV8/'Expenditure DATA'!G8)*100</f>
        <v>12.465004127922521</v>
      </c>
      <c r="I6" s="202">
        <f>('Expenditure DATA'!CW8/'Expenditure DATA'!H8)*100</f>
        <v>12.27370182262691</v>
      </c>
      <c r="J6" s="202">
        <f>('Expenditure DATA'!CX8/'Expenditure DATA'!I8)*100</f>
        <v>12.315376712142601</v>
      </c>
      <c r="K6" s="202">
        <f>('Expenditure DATA'!CY8/'Expenditure DATA'!J8)*100</f>
        <v>12.369932006263323</v>
      </c>
      <c r="L6" s="202">
        <f>('Expenditure DATA'!CZ8/'Expenditure DATA'!K8)*100</f>
        <v>11.72228969885283</v>
      </c>
      <c r="M6" s="202">
        <f>('Expenditure DATA'!DA8/'Expenditure DATA'!L8)*100</f>
        <v>11.175194929747411</v>
      </c>
      <c r="N6" s="202">
        <f>('Expenditure DATA'!DB8/'Expenditure DATA'!M8)*100</f>
        <v>11.46311164441906</v>
      </c>
      <c r="O6" s="202">
        <f>('Expenditure DATA'!DC8/'Expenditure DATA'!N8)*100</f>
        <v>11.559652739695354</v>
      </c>
      <c r="P6" s="202">
        <f>('Expenditure DATA'!DD8/'Expenditure DATA'!O8)*100</f>
        <v>11.925881614936033</v>
      </c>
      <c r="Q6" s="202">
        <f>('Expenditure DATA'!DE8/'Expenditure DATA'!P8)*100</f>
        <v>11.256809593541631</v>
      </c>
      <c r="R6" s="202">
        <f>('Expenditure DATA'!DF8/'Expenditure DATA'!Q8)*100</f>
        <v>11.488971249726919</v>
      </c>
      <c r="S6" s="202">
        <f>('Expenditure DATA'!DG8/'Expenditure DATA'!R8)*100</f>
        <v>10.932194141471193</v>
      </c>
      <c r="T6" s="202">
        <f>('Expenditure DATA'!DH8/'Expenditure DATA'!S8)*100</f>
        <v>10.922599741449575</v>
      </c>
      <c r="U6" s="202">
        <f>('Expenditure DATA'!DI8/'Expenditure DATA'!T8)*100</f>
        <v>10.758968235571727</v>
      </c>
      <c r="V6" s="202">
        <f>('Expenditure DATA'!DJ8/'Expenditure DATA'!U8)*100</f>
        <v>10.915337255567497</v>
      </c>
      <c r="W6" s="202">
        <f>('Expenditure DATA'!DK8/'Expenditure DATA'!V8)*100</f>
        <v>11.055549237908926</v>
      </c>
      <c r="X6" s="202">
        <f>('Expenditure DATA'!DL8/'Expenditure DATA'!W8)*100</f>
        <v>11.791534577898474</v>
      </c>
      <c r="Y6" s="202">
        <f>('Expenditure DATA'!DM8/'Expenditure DATA'!X8)*100</f>
        <v>12.460027088516101</v>
      </c>
      <c r="Z6" s="202">
        <f>('Expenditure DATA'!DN8/'Expenditure DATA'!Y8)*100</f>
        <v>12.02571746701531</v>
      </c>
      <c r="AA6" s="202">
        <f>('Expenditure DATA'!DO8/'Expenditure DATA'!Z8)*100</f>
        <v>12.780388604472231</v>
      </c>
      <c r="AB6" s="202">
        <f>('Expenditure DATA'!DP8/'Expenditure DATA'!AA8)*100</f>
        <v>13.892141665452723</v>
      </c>
      <c r="AC6" s="202">
        <f>('Expenditure DATA'!DQ8/'Expenditure DATA'!AB8)*100</f>
        <v>14.201545168159658</v>
      </c>
      <c r="AD6" s="202">
        <f>('Expenditure DATA'!DR8/'Expenditure DATA'!AC8)*100</f>
        <v>14.121339601961798</v>
      </c>
      <c r="AE6" s="202">
        <f>('Expenditure DATA'!DS8/'Expenditure DATA'!AD8)*100</f>
        <v>13.456662271367357</v>
      </c>
      <c r="AF6" s="202">
        <f>('Expenditure DATA'!DT8/'Expenditure DATA'!AE8)*100</f>
        <v>14.032799766433365</v>
      </c>
      <c r="AG6" s="464">
        <f>('Expenditure DATA'!DU8/'Expenditure DATA'!AF8)*100</f>
        <v>13.183063814202498</v>
      </c>
      <c r="AH6" s="203">
        <f>('Expenditure DATA'!BL8/'Expenditure DATA'!B8)*100</f>
        <v>23.025656444177191</v>
      </c>
      <c r="AI6" s="202">
        <f>('Expenditure DATA'!BM8/'Expenditure DATA'!C8)*100</f>
        <v>22.011112288616719</v>
      </c>
      <c r="AJ6" s="202">
        <f>('Expenditure DATA'!BN8/'Expenditure DATA'!D8)*100</f>
        <v>21.163960173484529</v>
      </c>
      <c r="AK6" s="202">
        <f>('Expenditure DATA'!BO8/'Expenditure DATA'!E8)*100</f>
        <v>20.466517506103656</v>
      </c>
      <c r="AL6" s="202">
        <f>('Expenditure DATA'!BP8/'Expenditure DATA'!F8)*100</f>
        <v>20.392396085209722</v>
      </c>
      <c r="AM6" s="202">
        <f>('Expenditure DATA'!BQ8/'Expenditure DATA'!G8)*100</f>
        <v>20.283838194879252</v>
      </c>
      <c r="AN6" s="202">
        <f>('Expenditure DATA'!BR8/'Expenditure DATA'!H8)*100</f>
        <v>20.669189871215142</v>
      </c>
      <c r="AO6" s="202">
        <f>('Expenditure DATA'!BS8/'Expenditure DATA'!I8)*100</f>
        <v>22.493805371382759</v>
      </c>
      <c r="AP6" s="202">
        <f>('Expenditure DATA'!BT8/'Expenditure DATA'!J8)*100</f>
        <v>21.508491534228643</v>
      </c>
      <c r="AQ6" s="202">
        <f>('Expenditure DATA'!BU8/'Expenditure DATA'!K8)*100</f>
        <v>20.049011249321286</v>
      </c>
      <c r="AR6" s="202">
        <f>('Expenditure DATA'!BV8/'Expenditure DATA'!L8)*100</f>
        <v>18.816117690100466</v>
      </c>
      <c r="AS6" s="202">
        <f>('Expenditure DATA'!BW8/'Expenditure DATA'!M8)*100</f>
        <v>18.396882416939729</v>
      </c>
      <c r="AT6" s="202">
        <f>('Expenditure DATA'!BX8/'Expenditure DATA'!N8)*100</f>
        <v>18.711278545244355</v>
      </c>
      <c r="AU6" s="202">
        <f>('Expenditure DATA'!BY8/'Expenditure DATA'!O8)*100</f>
        <v>19.201354026730375</v>
      </c>
      <c r="AV6" s="202">
        <f>('Expenditure DATA'!BZ8/'Expenditure DATA'!P8)*100</f>
        <v>21.525234393639501</v>
      </c>
      <c r="AW6" s="202">
        <f>('Expenditure DATA'!CA8/'Expenditure DATA'!Q8)*100</f>
        <v>22.771794054464795</v>
      </c>
      <c r="AX6" s="202">
        <f>('Expenditure DATA'!CB8/'Expenditure DATA'!R8)*100</f>
        <v>22.650586291986237</v>
      </c>
      <c r="AY6" s="202">
        <f>('Expenditure DATA'!CC8/'Expenditure DATA'!S8)*100</f>
        <v>22.666757393089238</v>
      </c>
      <c r="AZ6" s="202">
        <f>('Expenditure DATA'!CD8/'Expenditure DATA'!T8)*100</f>
        <v>22.485497775907131</v>
      </c>
      <c r="BA6" s="202">
        <f>('Expenditure DATA'!CE8/'Expenditure DATA'!U8)*100</f>
        <v>21.535199823088039</v>
      </c>
      <c r="BB6" s="202">
        <f>('Expenditure DATA'!CF8/'Expenditure DATA'!V8)*100</f>
        <v>20.683092674348689</v>
      </c>
      <c r="BC6" s="202">
        <f>('Expenditure DATA'!CG8/'Expenditure DATA'!W8)*100</f>
        <v>20.321092065017041</v>
      </c>
      <c r="BD6" s="202">
        <f>('Expenditure DATA'!CH8/'Expenditure DATA'!X8)*100</f>
        <v>19.992288374198058</v>
      </c>
      <c r="BE6" s="202">
        <f>('Expenditure DATA'!CI8/'Expenditure DATA'!Y8)*100</f>
        <v>19.997927621991359</v>
      </c>
      <c r="BF6" s="202">
        <f>('Expenditure DATA'!CJ8/'Expenditure DATA'!Z8)*100</f>
        <v>22.374045292705876</v>
      </c>
      <c r="BG6" s="202">
        <f>('Expenditure DATA'!CK8/'Expenditure DATA'!AA8)*100</f>
        <v>22.986289630151184</v>
      </c>
      <c r="BH6" s="202">
        <f>('Expenditure DATA'!CL8/'Expenditure DATA'!AB8)*100</f>
        <v>23.712996098721799</v>
      </c>
      <c r="BI6" s="202">
        <f>('Expenditure DATA'!CM8/'Expenditure DATA'!AC8)*100</f>
        <v>23.10487061503272</v>
      </c>
      <c r="BJ6" s="202">
        <f>('Expenditure DATA'!CN8/'Expenditure DATA'!AD8)*100</f>
        <v>21.800052077471381</v>
      </c>
      <c r="BK6" s="202">
        <f>('Expenditure DATA'!CO8/'Expenditure DATA'!AE8)*100</f>
        <v>21.485931784287953</v>
      </c>
      <c r="BL6" s="464">
        <f>('Expenditure DATA'!CP8/'Expenditure DATA'!AF8)*100</f>
        <v>20.795552704401778</v>
      </c>
      <c r="BM6" s="203">
        <f>('Expenditure DATA'!AG8/'Expenditure DATA'!B8)*100</f>
        <v>40.208625643081447</v>
      </c>
      <c r="BN6" s="202">
        <f>('Expenditure DATA'!AH8/'Expenditure DATA'!C8)*100</f>
        <v>39.294203139902805</v>
      </c>
      <c r="BO6" s="202">
        <f>('Expenditure DATA'!AI8/'Expenditure DATA'!D8)*100</f>
        <v>37.816457976109852</v>
      </c>
      <c r="BP6" s="202">
        <f>('Expenditure DATA'!AJ8/'Expenditure DATA'!E8)*100</f>
        <v>37.237470872135283</v>
      </c>
      <c r="BQ6" s="202">
        <f>('Expenditure DATA'!AK8/'Expenditure DATA'!F8)*100</f>
        <v>37.592074302543033</v>
      </c>
      <c r="BR6" s="202">
        <f>('Expenditure DATA'!AL8/'Expenditure DATA'!G8)*100</f>
        <v>37.999630581916101</v>
      </c>
      <c r="BS6" s="202">
        <f>('Expenditure DATA'!AM8/'Expenditure DATA'!H8)*100</f>
        <v>38.865500110829224</v>
      </c>
      <c r="BT6" s="202">
        <f>('Expenditure DATA'!AN8/'Expenditure DATA'!I8)*100</f>
        <v>39.073202621485095</v>
      </c>
      <c r="BU6" s="202">
        <f>('Expenditure DATA'!AO8/'Expenditure DATA'!J8)*100</f>
        <v>38.379933152711068</v>
      </c>
      <c r="BV6" s="202">
        <f>('Expenditure DATA'!AP8/'Expenditure DATA'!K8)*100</f>
        <v>35.699207677311115</v>
      </c>
      <c r="BW6" s="202">
        <f>('Expenditure DATA'!AQ8/'Expenditure DATA'!L8)*100</f>
        <v>33.434669261247791</v>
      </c>
      <c r="BX6" s="202">
        <f>('Expenditure DATA'!AR8/'Expenditure DATA'!M8)*100</f>
        <v>32.56182134228996</v>
      </c>
      <c r="BY6" s="202">
        <f>('Expenditure DATA'!AS8/'Expenditure DATA'!N8)*100</f>
        <v>33.117604708685846</v>
      </c>
      <c r="BZ6" s="202">
        <f>('Expenditure DATA'!AT8/'Expenditure DATA'!O8)*100</f>
        <v>33.752686506753513</v>
      </c>
      <c r="CA6" s="202">
        <f>('Expenditure DATA'!AU8/'Expenditure DATA'!P8)*100</f>
        <v>35.276183204090913</v>
      </c>
      <c r="CB6" s="202">
        <f>('Expenditure DATA'!AV8/'Expenditure DATA'!Q8)*100</f>
        <v>36.666389619748465</v>
      </c>
      <c r="CC6" s="202">
        <f>('Expenditure DATA'!AW8/'Expenditure DATA'!R8)*100</f>
        <v>36.008946129499975</v>
      </c>
      <c r="CD6" s="202">
        <f>('Expenditure DATA'!AX8/'Expenditure DATA'!S8)*100</f>
        <v>35.941774313583622</v>
      </c>
      <c r="CE6" s="202">
        <f>('Expenditure DATA'!AY8/'Expenditure DATA'!T8)*100</f>
        <v>35.490192896736261</v>
      </c>
      <c r="CF6" s="202">
        <f>('Expenditure DATA'!AZ8/'Expenditure DATA'!U8)*100</f>
        <v>34.753422526446791</v>
      </c>
      <c r="CG6" s="202">
        <f>('Expenditure DATA'!BA8/'Expenditure DATA'!V8)*100</f>
        <v>34.092779937834898</v>
      </c>
      <c r="CH6" s="202">
        <f>('Expenditure DATA'!BB8/'Expenditure DATA'!W8)*100</f>
        <v>34.637046799370722</v>
      </c>
      <c r="CI6" s="202">
        <f>('Expenditure DATA'!BC8/'Expenditure DATA'!X8)*100</f>
        <v>35.13140219063331</v>
      </c>
      <c r="CJ6" s="202">
        <f>('Expenditure DATA'!BD8/'Expenditure DATA'!Y8)*100</f>
        <v>34.318128557227723</v>
      </c>
      <c r="CK6" s="202">
        <f>('Expenditure DATA'!BE8/'Expenditure DATA'!Z8)*100</f>
        <v>37.274168537141954</v>
      </c>
      <c r="CL6" s="202">
        <f>('Expenditure DATA'!BF8/'Expenditure DATA'!AA8)*100</f>
        <v>39.149310738026621</v>
      </c>
      <c r="CM6" s="202">
        <f>('Expenditure DATA'!BG8/'Expenditure DATA'!AB8)*100</f>
        <v>40.178552737872089</v>
      </c>
      <c r="CN6" s="202">
        <f>('Expenditure DATA'!BH8/'Expenditure DATA'!AC8)*100</f>
        <v>39.588251185259971</v>
      </c>
      <c r="CO6" s="202">
        <f>('Expenditure DATA'!BI8/'Expenditure DATA'!AD8)*100</f>
        <v>37.722254656569348</v>
      </c>
      <c r="CP6" s="202">
        <f>('Expenditure DATA'!BJ8/'Expenditure DATA'!AE8)*100</f>
        <v>38.108817895034115</v>
      </c>
      <c r="CQ6" s="464">
        <f>('Expenditure DATA'!BK8/'Expenditure DATA'!AF8)*100</f>
        <v>36.517815752219647</v>
      </c>
      <c r="CR6" s="203">
        <f>('Expenditure DATA'!FA8/'Expenditure DATA'!B8)*100</f>
        <v>22.367541925569586</v>
      </c>
      <c r="CS6" s="202">
        <f>('Expenditure DATA'!FB8/'Expenditure DATA'!C8)*100</f>
        <v>23.275248663951675</v>
      </c>
      <c r="CT6" s="202">
        <f>('Expenditure DATA'!FC8/'Expenditure DATA'!D8)*100</f>
        <v>24.012622296508695</v>
      </c>
      <c r="CU6" s="202">
        <f>('Expenditure DATA'!FD8/'Expenditure DATA'!E8)*100</f>
        <v>23.265693167195995</v>
      </c>
      <c r="CV6" s="202">
        <f>('Expenditure DATA'!FE8/'Expenditure DATA'!F8)*100</f>
        <v>24.925619681212279</v>
      </c>
      <c r="CW6" s="202">
        <f>('Expenditure DATA'!FF8/'Expenditure DATA'!G8)*100</f>
        <v>23.665370949457589</v>
      </c>
      <c r="CX6" s="202">
        <f>('Expenditure DATA'!FG8/'Expenditure DATA'!H8)*100</f>
        <v>23.216578651800841</v>
      </c>
      <c r="CY6" s="202">
        <f>('Expenditure DATA'!FH8/'Expenditure DATA'!I8)*100</f>
        <v>24.331657607519368</v>
      </c>
      <c r="CZ6" s="202">
        <f>('Expenditure DATA'!FI8/'Expenditure DATA'!J8)*100</f>
        <v>26.88191790587609</v>
      </c>
      <c r="DA6" s="202">
        <f>('Expenditure DATA'!FJ8/'Expenditure DATA'!K8)*100</f>
        <v>30.422552017150984</v>
      </c>
      <c r="DB6" s="202">
        <f>('Expenditure DATA'!FK8/'Expenditure DATA'!L8)*100</f>
        <v>33.41349683256891</v>
      </c>
      <c r="DC6" s="202">
        <f>('Expenditure DATA'!FL8/'Expenditure DATA'!M8)*100</f>
        <v>33.783154384023021</v>
      </c>
      <c r="DD6" s="202">
        <f>('Expenditure DATA'!FM8/'Expenditure DATA'!N8)*100</f>
        <v>34.375417328133871</v>
      </c>
      <c r="DE6" s="202">
        <f>('Expenditure DATA'!FN8/'Expenditure DATA'!O8)*100</f>
        <v>33.587335149895623</v>
      </c>
      <c r="DF6" s="202">
        <f>('Expenditure DATA'!FO8/'Expenditure DATA'!P8)*100</f>
        <v>32.676076277697739</v>
      </c>
      <c r="DG6" s="202">
        <f>('Expenditure DATA'!FP8/'Expenditure DATA'!Q8)*100</f>
        <v>31.419854234627319</v>
      </c>
      <c r="DH6" s="202">
        <f>('Expenditure DATA'!FQ8/'Expenditure DATA'!R8)*100</f>
        <v>33.024928064181729</v>
      </c>
      <c r="DI6" s="202">
        <f>('Expenditure DATA'!FR8/'Expenditure DATA'!S8)*100</f>
        <v>32.53758009866548</v>
      </c>
      <c r="DJ6" s="202">
        <f>('Expenditure DATA'!FS8/'Expenditure DATA'!T8)*100</f>
        <v>32.824980040773298</v>
      </c>
      <c r="DK6" s="202">
        <f>('Expenditure DATA'!FT8/'Expenditure DATA'!U8)*100</f>
        <v>33.401481723383057</v>
      </c>
      <c r="DL6" s="202">
        <f>('Expenditure DATA'!FU8/'Expenditure DATA'!V8)*100</f>
        <v>33.918415600336878</v>
      </c>
      <c r="DM6" s="202">
        <f>('Expenditure DATA'!FV8/'Expenditure DATA'!W8)*100</f>
        <v>34.128455551666846</v>
      </c>
      <c r="DN6" s="202">
        <f>('Expenditure DATA'!FW8/'Expenditure DATA'!X8)*100</f>
        <v>34.319233990808804</v>
      </c>
      <c r="DO6" s="202">
        <f>('Expenditure DATA'!FX8/'Expenditure DATA'!Y8)*100</f>
        <v>35.309270209121749</v>
      </c>
      <c r="DP6" s="202">
        <f>('Expenditure DATA'!FY8/'Expenditure DATA'!Z8)*100</f>
        <v>31.87025241547758</v>
      </c>
      <c r="DQ6" s="202">
        <f>('Expenditure DATA'!FZ8/'Expenditure DATA'!AA8)*100</f>
        <v>30.261476980077127</v>
      </c>
      <c r="DR6" s="202">
        <f>('Expenditure DATA'!GA8/'Expenditure DATA'!AB8)*100</f>
        <v>29.295127633405691</v>
      </c>
      <c r="DS6" s="202">
        <f>('Expenditure DATA'!GB8/'Expenditure DATA'!AC8)*100</f>
        <v>29.602220289069304</v>
      </c>
      <c r="DT6" s="202">
        <f>('Expenditure DATA'!GC8/'Expenditure DATA'!AD8)*100</f>
        <v>32.564922520742194</v>
      </c>
      <c r="DU6" s="202">
        <f>('Expenditure DATA'!GD8/'Expenditure DATA'!AE8)*100</f>
        <v>32.410852325200111</v>
      </c>
      <c r="DV6" s="464">
        <f>('Expenditure DATA'!GE8/'Expenditure DATA'!AF8)*100</f>
        <v>34.005839631310629</v>
      </c>
      <c r="DW6" s="203">
        <f>('Expenditure DATA'!GF8/'Expenditure DATA'!B8)*100</f>
        <v>25.547871985033737</v>
      </c>
      <c r="DX6" s="202">
        <f>('Expenditure DATA'!GG8/'Expenditure DATA'!C8)*100</f>
        <v>24.14424780100828</v>
      </c>
      <c r="DY6" s="202">
        <f>('Expenditure DATA'!GH8/'Expenditure DATA'!D8)*100</f>
        <v>24.074581057909818</v>
      </c>
      <c r="DZ6" s="202">
        <f>('Expenditure DATA'!GI8/'Expenditure DATA'!E8)*100</f>
        <v>25.854609690711484</v>
      </c>
      <c r="EA6" s="202">
        <f>('Expenditure DATA'!GJ8/'Expenditure DATA'!F8)*100</f>
        <v>23.587841908593756</v>
      </c>
      <c r="EB6" s="202">
        <f>('Expenditure DATA'!GK8/'Expenditure DATA'!G8)*100</f>
        <v>23.583591463727689</v>
      </c>
      <c r="EC6" s="202">
        <f>('Expenditure DATA'!GL8/'Expenditure DATA'!H8)*100</f>
        <v>24.132274998109125</v>
      </c>
      <c r="ED6" s="202">
        <f>('Expenditure DATA'!GM8/'Expenditure DATA'!I8)*100</f>
        <v>24.056037656416009</v>
      </c>
      <c r="EE6" s="202">
        <f>('Expenditure DATA'!GN8/'Expenditure DATA'!J8)*100</f>
        <v>22.080381261044682</v>
      </c>
      <c r="EF6" s="202">
        <f>('Expenditure DATA'!GO8/'Expenditure DATA'!K8)*100</f>
        <v>21.507226951485041</v>
      </c>
      <c r="EG6" s="202">
        <f>('Expenditure DATA'!GP8/'Expenditure DATA'!L8)*100</f>
        <v>21.023055795489885</v>
      </c>
      <c r="EH6" s="202">
        <f>('Expenditure DATA'!GQ8/'Expenditure DATA'!M8)*100</f>
        <v>21.777538267446506</v>
      </c>
      <c r="EI6" s="202">
        <f>('Expenditure DATA'!GR8/'Expenditure DATA'!N8)*100</f>
        <v>21.311976145371652</v>
      </c>
      <c r="EJ6" s="202">
        <f>('Expenditure DATA'!GS8/'Expenditure DATA'!O8)*100</f>
        <v>21.732445502654716</v>
      </c>
      <c r="EK6" s="202">
        <f>('Expenditure DATA'!GT8/'Expenditure DATA'!P8)*100</f>
        <v>20.82948930317021</v>
      </c>
      <c r="EL6" s="202">
        <f>('Expenditure DATA'!GU8/'Expenditure DATA'!Q8)*100</f>
        <v>20.958438783349234</v>
      </c>
      <c r="EM6" s="202">
        <f>('Expenditure DATA'!GV8/'Expenditure DATA'!R8)*100</f>
        <v>20.60968188956582</v>
      </c>
      <c r="EN6" s="202">
        <f>('Expenditure DATA'!GW8/'Expenditure DATA'!S8)*100</f>
        <v>20.820764633872908</v>
      </c>
      <c r="EO6" s="202">
        <f>('Expenditure DATA'!GX8/'Expenditure DATA'!T8)*100</f>
        <v>20.855712581333794</v>
      </c>
      <c r="EP6" s="202">
        <f>('Expenditure DATA'!GY8/'Expenditure DATA'!U8)*100</f>
        <v>21.036070668785495</v>
      </c>
      <c r="EQ6" s="202">
        <f>('Expenditure DATA'!GZ8/'Expenditure DATA'!V8)*100</f>
        <v>21.197793016176274</v>
      </c>
      <c r="ER6" s="202">
        <f>('Expenditure DATA'!HA8/'Expenditure DATA'!W8)*100</f>
        <v>20.558921488646643</v>
      </c>
      <c r="ES6" s="202">
        <f>('Expenditure DATA'!HB8/'Expenditure DATA'!X8)*100</f>
        <v>19.978637061505104</v>
      </c>
      <c r="ET6" s="202">
        <f>('Expenditure DATA'!HC8/'Expenditure DATA'!Y8)*100</f>
        <v>19.769580225986346</v>
      </c>
      <c r="EU6" s="202">
        <f>('Expenditure DATA'!HD8/'Expenditure DATA'!Z8)*100</f>
        <v>21.451730127602996</v>
      </c>
      <c r="EV6" s="202">
        <f>('Expenditure DATA'!HE8/'Expenditure DATA'!AA8)*100</f>
        <v>20.542103156006146</v>
      </c>
      <c r="EW6" s="202">
        <f>('Expenditure DATA'!HF8/'Expenditure DATA'!AB8)*100</f>
        <v>20.21451007492292</v>
      </c>
      <c r="EX6" s="202">
        <f>('Expenditure DATA'!HG8/'Expenditure DATA'!AC8)*100</f>
        <v>20.19151403440366</v>
      </c>
      <c r="EY6" s="202">
        <f>('Expenditure DATA'!HH8/'Expenditure DATA'!AD8)*100</f>
        <v>19.246737950230951</v>
      </c>
      <c r="EZ6" s="202">
        <f>('Expenditure DATA'!HI8/'Expenditure DATA'!AE8)*100</f>
        <v>19.608349718954464</v>
      </c>
      <c r="FA6" s="464">
        <f>('Expenditure DATA'!HJ8/'Expenditure DATA'!AF8)*100</f>
        <v>19.461356575183999</v>
      </c>
      <c r="FB6" s="203">
        <f>('Expenditure DATA'!HK8/'Expenditure DATA'!B8)*100</f>
        <v>4.2844257366205651</v>
      </c>
      <c r="FC6" s="202">
        <f>('Expenditure DATA'!HL8/'Expenditure DATA'!C8)*100</f>
        <v>4.5887393456769558</v>
      </c>
      <c r="FD6" s="202">
        <f>('Expenditure DATA'!HM8/'Expenditure DATA'!D8)*100</f>
        <v>4.8558378121352721</v>
      </c>
      <c r="FE6" s="202">
        <f>('Expenditure DATA'!HN8/'Expenditure DATA'!E8)*100</f>
        <v>4.7781742136690379</v>
      </c>
      <c r="FF6" s="202">
        <f>('Expenditure DATA'!HO8/'Expenditure DATA'!F8)*100</f>
        <v>4.75188954450108</v>
      </c>
      <c r="FG6" s="202">
        <f>('Expenditure DATA'!HP8/'Expenditure DATA'!G8)*100</f>
        <v>5.0845265163697659</v>
      </c>
      <c r="FH6" s="202">
        <f>('Expenditure DATA'!HQ8/'Expenditure DATA'!H8)*100</f>
        <v>4.9868994182231212</v>
      </c>
      <c r="FI6" s="202">
        <f>('Expenditure DATA'!HR8/'Expenditure DATA'!I8)*100</f>
        <v>4.8652724901712432</v>
      </c>
      <c r="FJ6" s="202">
        <f>('Expenditure DATA'!HS8/'Expenditure DATA'!J8)*100</f>
        <v>4.6661067536077683</v>
      </c>
      <c r="FK6" s="202">
        <f>('Expenditure DATA'!HT8/'Expenditure DATA'!K8)*100</f>
        <v>4.581998178741908</v>
      </c>
      <c r="FL6" s="202">
        <f>('Expenditure DATA'!HU8/'Expenditure DATA'!L8)*100</f>
        <v>4.5109475990940009</v>
      </c>
      <c r="FM6" s="202">
        <f>('Expenditure DATA'!HV8/'Expenditure DATA'!M8)*100</f>
        <v>4.1970227107948617</v>
      </c>
      <c r="FN6" s="202">
        <f>('Expenditure DATA'!HW8/'Expenditure DATA'!N8)*100</f>
        <v>4.1893892744826076</v>
      </c>
      <c r="FO6" s="202">
        <f>('Expenditure DATA'!HX8/'Expenditure DATA'!O8)*100</f>
        <v>4.2092053405329812</v>
      </c>
      <c r="FP6" s="202">
        <f>('Expenditure DATA'!HY8/'Expenditure DATA'!P8)*100</f>
        <v>4.2058659262171707</v>
      </c>
      <c r="FQ6" s="202">
        <f>('Expenditure DATA'!HZ8/'Expenditure DATA'!Q8)*100</f>
        <v>4.2357358950422457</v>
      </c>
      <c r="FR6" s="202">
        <f>('Expenditure DATA'!IA8/'Expenditure DATA'!R8)*100</f>
        <v>4.1703994224470753</v>
      </c>
      <c r="FS6" s="202">
        <f>('Expenditure DATA'!IB8/'Expenditure DATA'!S8)*100</f>
        <v>4.2607934661865716</v>
      </c>
      <c r="FT6" s="202">
        <f>('Expenditure DATA'!IC8/'Expenditure DATA'!T8)*100</f>
        <v>4.114982007007554</v>
      </c>
      <c r="FU6" s="202">
        <f>('Expenditure DATA'!ID8/'Expenditure DATA'!U8)*100</f>
        <v>3.9907896924783275</v>
      </c>
      <c r="FV6" s="202">
        <f>('Expenditure DATA'!IE8/'Expenditure DATA'!V8)*100</f>
        <v>3.8794297145736021</v>
      </c>
      <c r="FW6" s="202">
        <f>('Expenditure DATA'!IF8/'Expenditure DATA'!W8)*100</f>
        <v>3.8050870035175612</v>
      </c>
      <c r="FX6" s="202">
        <f>('Expenditure DATA'!IG8/'Expenditure DATA'!X8)*100</f>
        <v>3.7375618194416398</v>
      </c>
      <c r="FY6" s="202">
        <f>('Expenditure DATA'!IH8/'Expenditure DATA'!Y8)*100</f>
        <v>3.7676390250963387</v>
      </c>
      <c r="FZ6" s="202">
        <f>('Expenditure DATA'!II8/'Expenditure DATA'!Z8)*100</f>
        <v>3.9033847213778361</v>
      </c>
      <c r="GA6" s="202">
        <f>('Expenditure DATA'!IJ8/'Expenditure DATA'!AA8)*100</f>
        <v>4.3205611142303191</v>
      </c>
      <c r="GB6" s="202">
        <f>('Expenditure DATA'!IK8/'Expenditure DATA'!AB8)*100</f>
        <v>4.3443529697597993</v>
      </c>
      <c r="GC6" s="202">
        <f>('Expenditure DATA'!IL8/'Expenditure DATA'!AC8)*100</f>
        <v>4.1350290175098978</v>
      </c>
      <c r="GD6" s="202">
        <f>('Expenditure DATA'!IM8/'Expenditure DATA'!AD8)*100</f>
        <v>4.4758502196639522</v>
      </c>
      <c r="GE6" s="202">
        <f>('Expenditure DATA'!IN8/'Expenditure DATA'!AE8)*100</f>
        <v>4.3164328263764355</v>
      </c>
      <c r="GF6" s="464">
        <f>('Expenditure DATA'!IO8/'Expenditure DATA'!AF8)*100</f>
        <v>4.173709189363553</v>
      </c>
      <c r="GG6" s="203">
        <f>('Expenditure DATA'!IP8/'Expenditure DATA'!B8)*100</f>
        <v>7.59170174383644</v>
      </c>
      <c r="GH6" s="202">
        <f>('Expenditure DATA'!IQ8/'Expenditure DATA'!C8)*100</f>
        <v>8.700588921017971</v>
      </c>
      <c r="GI6" s="202">
        <f>('Expenditure DATA'!IR8/'Expenditure DATA'!D8)*100</f>
        <v>9.2405008573363485</v>
      </c>
      <c r="GJ6" s="202">
        <f>('Expenditure DATA'!IS8/'Expenditure DATA'!E8)*100</f>
        <v>8.8637998260367965</v>
      </c>
      <c r="GK6" s="202">
        <f>('Expenditure DATA'!IT8/'Expenditure DATA'!F8)*100</f>
        <v>9.1425745631498483</v>
      </c>
      <c r="GL6" s="202">
        <f>('Expenditure DATA'!IU8/'Expenditure DATA'!G8)*100</f>
        <v>9.6668804885288608</v>
      </c>
      <c r="GM6" s="202">
        <f>('Expenditure DATA'!IV8/'Expenditure DATA'!H8)*100</f>
        <v>8.7965827002369164</v>
      </c>
      <c r="GN6" s="202">
        <f>('Expenditure DATA'!IW8/'Expenditure DATA'!I8)*100</f>
        <v>7.6738296244082971</v>
      </c>
      <c r="GO6" s="202">
        <f>('Expenditure DATA'!IX8/'Expenditure DATA'!J8)*100</f>
        <v>7.9916609267603906</v>
      </c>
      <c r="GP6" s="202">
        <f>('Expenditure DATA'!IY8/'Expenditure DATA'!K8)*100</f>
        <v>7.7890151753109427</v>
      </c>
      <c r="GQ6" s="202">
        <f>('Expenditure DATA'!IZ8/'Expenditure DATA'!L8)*100</f>
        <v>7.6178305115994052</v>
      </c>
      <c r="GR6" s="202">
        <f>('Expenditure DATA'!JA8/'Expenditure DATA'!M8)*100</f>
        <v>7.6804632954456551</v>
      </c>
      <c r="GS6" s="202">
        <f>('Expenditure DATA'!JB8/'Expenditure DATA'!N8)*100</f>
        <v>7.0056125433260172</v>
      </c>
      <c r="GT6" s="202">
        <f>('Expenditure DATA'!JC8/'Expenditure DATA'!O8)*100</f>
        <v>6.7183275001631637</v>
      </c>
      <c r="GU6" s="202">
        <f>('Expenditure DATA'!JD8/'Expenditure DATA'!P8)*100</f>
        <v>7.0123852888239595</v>
      </c>
      <c r="GV6" s="202">
        <f>('Expenditure DATA'!JE8/'Expenditure DATA'!Q8)*100</f>
        <v>6.7195814672327412</v>
      </c>
      <c r="GW6" s="202">
        <f>('Expenditure DATA'!JF8/'Expenditure DATA'!R8)*100</f>
        <v>6.1860444943054036</v>
      </c>
      <c r="GX6" s="202">
        <f>('Expenditure DATA'!JG8/'Expenditure DATA'!S8)*100</f>
        <v>6.4390874876914177</v>
      </c>
      <c r="GY6" s="202">
        <f>('Expenditure DATA'!JH8/'Expenditure DATA'!T8)*100</f>
        <v>6.7141324741490971</v>
      </c>
      <c r="GZ6" s="202">
        <f>('Expenditure DATA'!JI8/'Expenditure DATA'!U8)*100</f>
        <v>6.8182353889063183</v>
      </c>
      <c r="HA6" s="202">
        <f>('Expenditure DATA'!JJ8/'Expenditure DATA'!V8)*100</f>
        <v>6.9115817310783481</v>
      </c>
      <c r="HB6" s="202">
        <f>('Expenditure DATA'!JK8/'Expenditure DATA'!W8)*100</f>
        <v>6.8704891567982305</v>
      </c>
      <c r="HC6" s="202">
        <f>('Expenditure DATA'!JL8/'Expenditure DATA'!X8)*100</f>
        <v>6.833164937611139</v>
      </c>
      <c r="HD6" s="202">
        <f>('Expenditure DATA'!JM8/'Expenditure DATA'!Y8)*100</f>
        <v>6.8353819825678412</v>
      </c>
      <c r="HE6" s="202">
        <f>('Expenditure DATA'!JN8/'Expenditure DATA'!Z8)*100</f>
        <v>5.500464198399639</v>
      </c>
      <c r="HF6" s="202">
        <f>('Expenditure DATA'!JO8/'Expenditure DATA'!AA8)*100</f>
        <v>5.7265480116597818</v>
      </c>
      <c r="HG6" s="202">
        <f>('Expenditure DATA'!JP8/'Expenditure DATA'!AB8)*100</f>
        <v>5.9674565840394944</v>
      </c>
      <c r="HH6" s="202">
        <f>('Expenditure DATA'!JQ8/'Expenditure DATA'!AC8)*100</f>
        <v>6.482991361931095</v>
      </c>
      <c r="HI6" s="202">
        <f>('Expenditure DATA'!JR8/'Expenditure DATA'!AD8)*100</f>
        <v>5.9902403170823568</v>
      </c>
      <c r="HJ6" s="202">
        <f>('Expenditure DATA'!JS8/'Expenditure DATA'!AE8)*100</f>
        <v>5.5555472344348793</v>
      </c>
      <c r="HK6" s="464">
        <f>('Expenditure DATA'!JT8/'Expenditure DATA'!AF8)*100</f>
        <v>5.8412788519221683</v>
      </c>
      <c r="HL6" s="203">
        <f t="shared" si="1"/>
        <v>100.00016703414177</v>
      </c>
      <c r="HM6" s="204">
        <f t="shared" si="2"/>
        <v>100.00302787155768</v>
      </c>
      <c r="HN6" s="204">
        <f t="shared" si="3"/>
        <v>99.999999999999986</v>
      </c>
      <c r="HO6" s="204">
        <f t="shared" si="4"/>
        <v>99.999747769748595</v>
      </c>
      <c r="HP6" s="204">
        <f t="shared" si="5"/>
        <v>100</v>
      </c>
      <c r="HQ6" s="204">
        <f t="shared" si="6"/>
        <v>100</v>
      </c>
      <c r="HR6" s="204">
        <f t="shared" si="7"/>
        <v>99.997835879199215</v>
      </c>
      <c r="HS6" s="204">
        <f t="shared" si="8"/>
        <v>100.00000000000001</v>
      </c>
      <c r="HT6" s="204">
        <f t="shared" si="9"/>
        <v>99.999999999999986</v>
      </c>
      <c r="HU6" s="204">
        <f t="shared" si="10"/>
        <v>99.999999999999986</v>
      </c>
      <c r="HV6" s="204">
        <f t="shared" si="11"/>
        <v>99.999999999999986</v>
      </c>
      <c r="HW6" s="204">
        <f t="shared" si="12"/>
        <v>100</v>
      </c>
      <c r="HX6" s="204">
        <f t="shared" si="13"/>
        <v>100.00000000000001</v>
      </c>
      <c r="HY6" s="204">
        <f t="shared" si="14"/>
        <v>99.999999999999986</v>
      </c>
      <c r="HZ6" s="204">
        <f t="shared" si="15"/>
        <v>99.999999999999986</v>
      </c>
      <c r="IA6" s="204">
        <f t="shared" si="16"/>
        <v>100</v>
      </c>
      <c r="IB6" s="204">
        <f t="shared" si="17"/>
        <v>100</v>
      </c>
      <c r="IC6" s="204">
        <f t="shared" si="18"/>
        <v>100.00000000000001</v>
      </c>
      <c r="ID6" s="204">
        <f t="shared" si="19"/>
        <v>100</v>
      </c>
      <c r="IE6" s="204">
        <f t="shared" si="20"/>
        <v>100</v>
      </c>
      <c r="IF6" s="204">
        <f t="shared" si="21"/>
        <v>100</v>
      </c>
      <c r="IG6" s="204">
        <f t="shared" si="22"/>
        <v>100</v>
      </c>
      <c r="IH6" s="204">
        <f t="shared" si="23"/>
        <v>100.00000000000001</v>
      </c>
      <c r="II6" s="204">
        <f t="shared" si="24"/>
        <v>100</v>
      </c>
      <c r="IJ6" s="204">
        <f t="shared" si="25"/>
        <v>100</v>
      </c>
      <c r="IK6" s="204">
        <f t="shared" si="26"/>
        <v>100</v>
      </c>
      <c r="IL6" s="204">
        <f t="shared" ref="IL6:IL22" si="27">+CM6+DR6+EW6+GB6+HG6</f>
        <v>100</v>
      </c>
      <c r="IM6" s="204">
        <f t="shared" ref="IM6:IM22" si="28">+CN6+DS6+EX6+GC6+HH6</f>
        <v>100.00000588817392</v>
      </c>
      <c r="IN6" s="204">
        <f t="shared" ref="IN6:IN22" si="29">+CO6+DT6+EY6+GD6+HI6</f>
        <v>100.00000566428881</v>
      </c>
      <c r="IO6" s="204">
        <f t="shared" ref="IO6:IO22" si="30">+CP6+DU6+EZ6+GE6+HJ6</f>
        <v>100</v>
      </c>
      <c r="IP6" s="204">
        <f t="shared" ref="IP6:IP22" si="31">+CQ6+DV6+FA6+GF6+HK6</f>
        <v>99.999999999999986</v>
      </c>
    </row>
    <row r="7" spans="1:250" s="164" customFormat="1">
      <c r="A7" s="168" t="s">
        <v>26</v>
      </c>
      <c r="B7" s="62"/>
      <c r="C7" s="202">
        <f>('Expenditure DATA'!CQ9/'Expenditure DATA'!B9)*100</f>
        <v>10.794495651045047</v>
      </c>
      <c r="D7" s="202">
        <f>('Expenditure DATA'!CR9/'Expenditure DATA'!C9)*100</f>
        <v>10.380785369825265</v>
      </c>
      <c r="E7" s="202">
        <f>('Expenditure DATA'!CS9/'Expenditure DATA'!D9)*100</f>
        <v>9.9646073720254371</v>
      </c>
      <c r="F7" s="202">
        <f>('Expenditure DATA'!CT9/'Expenditure DATA'!E9)*100</f>
        <v>10.759676018020786</v>
      </c>
      <c r="G7" s="202">
        <f>('Expenditure DATA'!CU9/'Expenditure DATA'!F9)*100</f>
        <v>10.898603660439059</v>
      </c>
      <c r="H7" s="202">
        <f>('Expenditure DATA'!CV9/'Expenditure DATA'!G9)*100</f>
        <v>10.531978725946333</v>
      </c>
      <c r="I7" s="202">
        <f>('Expenditure DATA'!CW9/'Expenditure DATA'!H9)*100</f>
        <v>10.556147234478429</v>
      </c>
      <c r="J7" s="202">
        <f>('Expenditure DATA'!CX9/'Expenditure DATA'!I9)*100</f>
        <v>10.597227028230085</v>
      </c>
      <c r="K7" s="202">
        <f>('Expenditure DATA'!CY9/'Expenditure DATA'!J9)*100</f>
        <v>11.013430616454048</v>
      </c>
      <c r="L7" s="202">
        <f>('Expenditure DATA'!CZ9/'Expenditure DATA'!K9)*100</f>
        <v>11.344434985054395</v>
      </c>
      <c r="M7" s="202">
        <f>('Expenditure DATA'!DA9/'Expenditure DATA'!L9)*100</f>
        <v>11.612844671405041</v>
      </c>
      <c r="N7" s="202">
        <f>('Expenditure DATA'!DB9/'Expenditure DATA'!M9)*100</f>
        <v>11.921506248247114</v>
      </c>
      <c r="O7" s="202">
        <f>('Expenditure DATA'!DC9/'Expenditure DATA'!N9)*100</f>
        <v>9.8400745137881387</v>
      </c>
      <c r="P7" s="202">
        <f>('Expenditure DATA'!DD9/'Expenditure DATA'!O9)*100</f>
        <v>9.4346870358519137</v>
      </c>
      <c r="Q7" s="202">
        <f>('Expenditure DATA'!DE9/'Expenditure DATA'!P9)*100</f>
        <v>9.758712438777879</v>
      </c>
      <c r="R7" s="202">
        <f>('Expenditure DATA'!DF9/'Expenditure DATA'!Q9)*100</f>
        <v>9.7121098226509321</v>
      </c>
      <c r="S7" s="202">
        <f>('Expenditure DATA'!DG9/'Expenditure DATA'!R9)*100</f>
        <v>10.171153311821088</v>
      </c>
      <c r="T7" s="202">
        <f>('Expenditure DATA'!DH9/'Expenditure DATA'!S9)*100</f>
        <v>10.540052614413469</v>
      </c>
      <c r="U7" s="202">
        <f>('Expenditure DATA'!DI9/'Expenditure DATA'!T9)*100</f>
        <v>11.220728601900305</v>
      </c>
      <c r="V7" s="202">
        <f>('Expenditure DATA'!DJ9/'Expenditure DATA'!U9)*100</f>
        <v>11.103326371969436</v>
      </c>
      <c r="W7" s="202">
        <f>('Expenditure DATA'!DK9/'Expenditure DATA'!V9)*100</f>
        <v>11.00397336519943</v>
      </c>
      <c r="X7" s="202">
        <f>('Expenditure DATA'!DL9/'Expenditure DATA'!W9)*100</f>
        <v>11.219141560466038</v>
      </c>
      <c r="Y7" s="202">
        <f>('Expenditure DATA'!DM9/'Expenditure DATA'!X9)*100</f>
        <v>11.412030928193607</v>
      </c>
      <c r="Z7" s="202">
        <f>('Expenditure DATA'!DN9/'Expenditure DATA'!Y9)*100</f>
        <v>11.003307399859748</v>
      </c>
      <c r="AA7" s="202">
        <f>('Expenditure DATA'!DO9/'Expenditure DATA'!Z9)*100</f>
        <v>11.910539152340318</v>
      </c>
      <c r="AB7" s="202">
        <f>('Expenditure DATA'!DP9/'Expenditure DATA'!AA9)*100</f>
        <v>12.105145353656239</v>
      </c>
      <c r="AC7" s="202">
        <f>('Expenditure DATA'!DQ9/'Expenditure DATA'!AB9)*100</f>
        <v>12.094352425326111</v>
      </c>
      <c r="AD7" s="202">
        <f>('Expenditure DATA'!DR9/'Expenditure DATA'!AC9)*100</f>
        <v>12.654328714951546</v>
      </c>
      <c r="AE7" s="202">
        <f>('Expenditure DATA'!DS9/'Expenditure DATA'!AD9)*100</f>
        <v>11.774114219727338</v>
      </c>
      <c r="AF7" s="202">
        <f>('Expenditure DATA'!DT9/'Expenditure DATA'!AE9)*100</f>
        <v>11.623923917677461</v>
      </c>
      <c r="AG7" s="464">
        <f>('Expenditure DATA'!DU9/'Expenditure DATA'!AF9)*100</f>
        <v>12.39560386163464</v>
      </c>
      <c r="AH7" s="203">
        <f>('Expenditure DATA'!BL9/'Expenditure DATA'!B9)*100</f>
        <v>26.304686485784757</v>
      </c>
      <c r="AI7" s="202">
        <f>('Expenditure DATA'!BM9/'Expenditure DATA'!C9)*100</f>
        <v>26.113233544184876</v>
      </c>
      <c r="AJ7" s="202">
        <f>('Expenditure DATA'!BN9/'Expenditure DATA'!D9)*100</f>
        <v>27.033637383822985</v>
      </c>
      <c r="AK7" s="202">
        <f>('Expenditure DATA'!BO9/'Expenditure DATA'!E9)*100</f>
        <v>28.918612857740939</v>
      </c>
      <c r="AL7" s="202">
        <f>('Expenditure DATA'!BP9/'Expenditure DATA'!F9)*100</f>
        <v>29.085969902893972</v>
      </c>
      <c r="AM7" s="202">
        <f>('Expenditure DATA'!BQ9/'Expenditure DATA'!G9)*100</f>
        <v>28.007301315660005</v>
      </c>
      <c r="AN7" s="202">
        <f>('Expenditure DATA'!BR9/'Expenditure DATA'!H9)*100</f>
        <v>28.319086609651201</v>
      </c>
      <c r="AO7" s="202">
        <f>('Expenditure DATA'!BS9/'Expenditure DATA'!I9)*100</f>
        <v>27.676614696799117</v>
      </c>
      <c r="AP7" s="202">
        <f>('Expenditure DATA'!BT9/'Expenditure DATA'!J9)*100</f>
        <v>26.074301702491979</v>
      </c>
      <c r="AQ7" s="202">
        <f>('Expenditure DATA'!BU9/'Expenditure DATA'!K9)*100</f>
        <v>25.828555411689159</v>
      </c>
      <c r="AR7" s="202">
        <f>('Expenditure DATA'!BV9/'Expenditure DATA'!L9)*100</f>
        <v>25.629281048286838</v>
      </c>
      <c r="AS7" s="202">
        <f>('Expenditure DATA'!BW9/'Expenditure DATA'!M9)*100</f>
        <v>23.778625604788761</v>
      </c>
      <c r="AT7" s="202">
        <f>('Expenditure DATA'!BX9/'Expenditure DATA'!N9)*100</f>
        <v>23.569360767792649</v>
      </c>
      <c r="AU7" s="202">
        <f>('Expenditure DATA'!BY9/'Expenditure DATA'!O9)*100</f>
        <v>23.424874727939791</v>
      </c>
      <c r="AV7" s="202">
        <f>('Expenditure DATA'!BZ9/'Expenditure DATA'!P9)*100</f>
        <v>23.029873884558789</v>
      </c>
      <c r="AW7" s="202">
        <f>('Expenditure DATA'!CA9/'Expenditure DATA'!Q9)*100</f>
        <v>24.079363142150427</v>
      </c>
      <c r="AX7" s="202">
        <f>('Expenditure DATA'!CB9/'Expenditure DATA'!R9)*100</f>
        <v>24.17105610780262</v>
      </c>
      <c r="AY7" s="202">
        <f>('Expenditure DATA'!CC9/'Expenditure DATA'!S9)*100</f>
        <v>23.909034866660704</v>
      </c>
      <c r="AZ7" s="202">
        <f>('Expenditure DATA'!CD9/'Expenditure DATA'!T9)*100</f>
        <v>23.559166182067194</v>
      </c>
      <c r="BA7" s="202">
        <f>('Expenditure DATA'!CE9/'Expenditure DATA'!U9)*100</f>
        <v>23.029847460790467</v>
      </c>
      <c r="BB7" s="202">
        <f>('Expenditure DATA'!CF9/'Expenditure DATA'!V9)*100</f>
        <v>22.581905317532517</v>
      </c>
      <c r="BC7" s="202">
        <f>('Expenditure DATA'!CG9/'Expenditure DATA'!W9)*100</f>
        <v>23.038524137564323</v>
      </c>
      <c r="BD7" s="202">
        <f>('Expenditure DATA'!CH9/'Expenditure DATA'!X9)*100</f>
        <v>23.447863981584067</v>
      </c>
      <c r="BE7" s="202">
        <f>('Expenditure DATA'!CI9/'Expenditure DATA'!Y9)*100</f>
        <v>24.801584064009578</v>
      </c>
      <c r="BF7" s="202">
        <f>('Expenditure DATA'!CJ9/'Expenditure DATA'!Z9)*100</f>
        <v>25.818892811254212</v>
      </c>
      <c r="BG7" s="202">
        <f>('Expenditure DATA'!CK9/'Expenditure DATA'!AA9)*100</f>
        <v>25.70062666577299</v>
      </c>
      <c r="BH7" s="202">
        <f>('Expenditure DATA'!CL9/'Expenditure DATA'!AB9)*100</f>
        <v>24.912054737719284</v>
      </c>
      <c r="BI7" s="202">
        <f>('Expenditure DATA'!CM9/'Expenditure DATA'!AC9)*100</f>
        <v>26.353620827567131</v>
      </c>
      <c r="BJ7" s="202">
        <f>('Expenditure DATA'!CN9/'Expenditure DATA'!AD9)*100</f>
        <v>26.667648980087975</v>
      </c>
      <c r="BK7" s="202">
        <f>('Expenditure DATA'!CO9/'Expenditure DATA'!AE9)*100</f>
        <v>25.797603689935094</v>
      </c>
      <c r="BL7" s="464">
        <f>('Expenditure DATA'!CP9/'Expenditure DATA'!AF9)*100</f>
        <v>23.38123604877736</v>
      </c>
      <c r="BM7" s="203">
        <f>('Expenditure DATA'!AG9/'Expenditure DATA'!B9)*100</f>
        <v>40.568609632610666</v>
      </c>
      <c r="BN7" s="202">
        <f>('Expenditure DATA'!AH9/'Expenditure DATA'!C9)*100</f>
        <v>39.844679651781803</v>
      </c>
      <c r="BO7" s="202">
        <f>('Expenditure DATA'!AI9/'Expenditure DATA'!D9)*100</f>
        <v>40.244007711564478</v>
      </c>
      <c r="BP7" s="202">
        <f>('Expenditure DATA'!AJ9/'Expenditure DATA'!E9)*100</f>
        <v>42.868940155968723</v>
      </c>
      <c r="BQ7" s="202">
        <f>('Expenditure DATA'!AK9/'Expenditure DATA'!F9)*100</f>
        <v>43.178605380587399</v>
      </c>
      <c r="BR7" s="202">
        <f>('Expenditure DATA'!AL9/'Expenditure DATA'!G9)*100</f>
        <v>41.815999114459608</v>
      </c>
      <c r="BS7" s="202">
        <f>('Expenditure DATA'!AM9/'Expenditure DATA'!H9)*100</f>
        <v>42.235474877693903</v>
      </c>
      <c r="BT7" s="202">
        <f>('Expenditure DATA'!AN9/'Expenditure DATA'!I9)*100</f>
        <v>41.705189188837934</v>
      </c>
      <c r="BU7" s="202">
        <f>('Expenditure DATA'!AO9/'Expenditure DATA'!J9)*100</f>
        <v>40.79261527238863</v>
      </c>
      <c r="BV7" s="202">
        <f>('Expenditure DATA'!AP9/'Expenditure DATA'!K9)*100</f>
        <v>40.615629190050768</v>
      </c>
      <c r="BW7" s="202">
        <f>('Expenditure DATA'!AQ9/'Expenditure DATA'!L9)*100</f>
        <v>40.472112114884638</v>
      </c>
      <c r="BX7" s="202">
        <f>('Expenditure DATA'!AR9/'Expenditure DATA'!M9)*100</f>
        <v>38.965429426723638</v>
      </c>
      <c r="BY7" s="202">
        <f>('Expenditure DATA'!AS9/'Expenditure DATA'!N9)*100</f>
        <v>37.286165425441247</v>
      </c>
      <c r="BZ7" s="202">
        <f>('Expenditure DATA'!AT9/'Expenditure DATA'!O9)*100</f>
        <v>36.843644036468937</v>
      </c>
      <c r="CA7" s="202">
        <f>('Expenditure DATA'!AU9/'Expenditure DATA'!P9)*100</f>
        <v>37.163668542236735</v>
      </c>
      <c r="CB7" s="202">
        <f>('Expenditure DATA'!AV9/'Expenditure DATA'!Q9)*100</f>
        <v>37.09576734936185</v>
      </c>
      <c r="CC7" s="202">
        <f>('Expenditure DATA'!AW9/'Expenditure DATA'!R9)*100</f>
        <v>37.538776435013915</v>
      </c>
      <c r="CD7" s="202">
        <f>('Expenditure DATA'!AX9/'Expenditure DATA'!S9)*100</f>
        <v>37.830520973466051</v>
      </c>
      <c r="CE7" s="202">
        <f>('Expenditure DATA'!AY9/'Expenditure DATA'!T9)*100</f>
        <v>38.353449297813782</v>
      </c>
      <c r="CF7" s="202">
        <f>('Expenditure DATA'!AZ9/'Expenditure DATA'!U9)*100</f>
        <v>37.637628617957404</v>
      </c>
      <c r="CG7" s="202">
        <f>('Expenditure DATA'!BA9/'Expenditure DATA'!V9)*100</f>
        <v>37.031857016397893</v>
      </c>
      <c r="CH7" s="202">
        <f>('Expenditure DATA'!BB9/'Expenditure DATA'!W9)*100</f>
        <v>37.403922063692704</v>
      </c>
      <c r="CI7" s="202">
        <f>('Expenditure DATA'!BC9/'Expenditure DATA'!X9)*100</f>
        <v>37.73746295544624</v>
      </c>
      <c r="CJ7" s="202">
        <f>('Expenditure DATA'!BD9/'Expenditure DATA'!Y9)*100</f>
        <v>38.565748995045382</v>
      </c>
      <c r="CK7" s="202">
        <f>('Expenditure DATA'!BE9/'Expenditure DATA'!Z9)*100</f>
        <v>40.165545220481633</v>
      </c>
      <c r="CL7" s="202">
        <f>('Expenditure DATA'!BF9/'Expenditure DATA'!AA9)*100</f>
        <v>40.138257362855178</v>
      </c>
      <c r="CM7" s="202">
        <f>('Expenditure DATA'!BG9/'Expenditure DATA'!AB9)*100</f>
        <v>39.585337382637867</v>
      </c>
      <c r="CN7" s="202">
        <f>('Expenditure DATA'!BH9/'Expenditure DATA'!AC9)*100</f>
        <v>41.444916966442449</v>
      </c>
      <c r="CO7" s="202">
        <f>('Expenditure DATA'!BI9/'Expenditure DATA'!AD9)*100</f>
        <v>40.91321439679912</v>
      </c>
      <c r="CP7" s="202">
        <f>('Expenditure DATA'!BJ9/'Expenditure DATA'!AE9)*100</f>
        <v>41.017397595395302</v>
      </c>
      <c r="CQ7" s="464">
        <f>('Expenditure DATA'!BK9/'Expenditure DATA'!AF9)*100</f>
        <v>39.253581212484839</v>
      </c>
      <c r="CR7" s="203">
        <f>('Expenditure DATA'!FA9/'Expenditure DATA'!B9)*100</f>
        <v>23.782941711021678</v>
      </c>
      <c r="CS7" s="202">
        <f>('Expenditure DATA'!FB9/'Expenditure DATA'!C9)*100</f>
        <v>23.711404772342959</v>
      </c>
      <c r="CT7" s="202">
        <f>('Expenditure DATA'!FC9/'Expenditure DATA'!D9)*100</f>
        <v>24.438177999021669</v>
      </c>
      <c r="CU7" s="202">
        <f>('Expenditure DATA'!FD9/'Expenditure DATA'!E9)*100</f>
        <v>22.397507661634606</v>
      </c>
      <c r="CV7" s="202">
        <f>('Expenditure DATA'!FE9/'Expenditure DATA'!F9)*100</f>
        <v>20.943011851639039</v>
      </c>
      <c r="CW7" s="202">
        <f>('Expenditure DATA'!FF9/'Expenditure DATA'!G9)*100</f>
        <v>21.788883832562586</v>
      </c>
      <c r="CX7" s="202">
        <f>('Expenditure DATA'!FG9/'Expenditure DATA'!H9)*100</f>
        <v>21.697585164264119</v>
      </c>
      <c r="CY7" s="202">
        <f>('Expenditure DATA'!FH9/'Expenditure DATA'!I9)*100</f>
        <v>22.837215233880652</v>
      </c>
      <c r="CZ7" s="202">
        <f>('Expenditure DATA'!FI9/'Expenditure DATA'!J9)*100</f>
        <v>25.325245590176916</v>
      </c>
      <c r="DA7" s="202">
        <f>('Expenditure DATA'!FJ9/'Expenditure DATA'!K9)*100</f>
        <v>26.086761897390954</v>
      </c>
      <c r="DB7" s="202">
        <f>('Expenditure DATA'!FK9/'Expenditure DATA'!L9)*100</f>
        <v>26.704271430677533</v>
      </c>
      <c r="DC7" s="202">
        <f>('Expenditure DATA'!FL9/'Expenditure DATA'!M9)*100</f>
        <v>28.647506318709283</v>
      </c>
      <c r="DD7" s="202">
        <f>('Expenditure DATA'!FM9/'Expenditure DATA'!N9)*100</f>
        <v>29.443897908594451</v>
      </c>
      <c r="DE7" s="202">
        <f>('Expenditure DATA'!FN9/'Expenditure DATA'!O9)*100</f>
        <v>30.204857579902512</v>
      </c>
      <c r="DF7" s="202">
        <f>('Expenditure DATA'!FO9/'Expenditure DATA'!P9)*100</f>
        <v>28.891070641557391</v>
      </c>
      <c r="DG7" s="202">
        <f>('Expenditure DATA'!FP9/'Expenditure DATA'!Q9)*100</f>
        <v>28.176479566783367</v>
      </c>
      <c r="DH7" s="202">
        <f>('Expenditure DATA'!FQ9/'Expenditure DATA'!R9)*100</f>
        <v>28.503167989825844</v>
      </c>
      <c r="DI7" s="202">
        <f>('Expenditure DATA'!FR9/'Expenditure DATA'!S9)*100</f>
        <v>28.41855371690805</v>
      </c>
      <c r="DJ7" s="202">
        <f>('Expenditure DATA'!FS9/'Expenditure DATA'!T9)*100</f>
        <v>27.282915637373168</v>
      </c>
      <c r="DK7" s="202">
        <f>('Expenditure DATA'!FT9/'Expenditure DATA'!U9)*100</f>
        <v>27.241970678713706</v>
      </c>
      <c r="DL7" s="202">
        <f>('Expenditure DATA'!FU9/'Expenditure DATA'!V9)*100</f>
        <v>27.207320529757538</v>
      </c>
      <c r="DM7" s="202">
        <f>('Expenditure DATA'!FV9/'Expenditure DATA'!W9)*100</f>
        <v>27.825918204460447</v>
      </c>
      <c r="DN7" s="202">
        <f>('Expenditure DATA'!FW9/'Expenditure DATA'!X9)*100</f>
        <v>28.380465377212182</v>
      </c>
      <c r="DO7" s="202">
        <f>('Expenditure DATA'!FX9/'Expenditure DATA'!Y9)*100</f>
        <v>28.970890482632978</v>
      </c>
      <c r="DP7" s="202">
        <f>('Expenditure DATA'!FY9/'Expenditure DATA'!Z9)*100</f>
        <v>28.066120832922635</v>
      </c>
      <c r="DQ7" s="202">
        <f>('Expenditure DATA'!FZ9/'Expenditure DATA'!AA9)*100</f>
        <v>28.666709004590263</v>
      </c>
      <c r="DR7" s="202">
        <f>('Expenditure DATA'!GA9/'Expenditure DATA'!AB9)*100</f>
        <v>28.614909003281809</v>
      </c>
      <c r="DS7" s="202">
        <f>('Expenditure DATA'!GB9/'Expenditure DATA'!AC9)*100</f>
        <v>28.644905020006671</v>
      </c>
      <c r="DT7" s="202">
        <f>('Expenditure DATA'!GC9/'Expenditure DATA'!AD9)*100</f>
        <v>28.797878203009965</v>
      </c>
      <c r="DU7" s="202">
        <f>('Expenditure DATA'!GD9/'Expenditure DATA'!AE9)*100</f>
        <v>28.610867914847667</v>
      </c>
      <c r="DV7" s="464">
        <f>('Expenditure DATA'!GE9/'Expenditure DATA'!AF9)*100</f>
        <v>31.491814157050669</v>
      </c>
      <c r="DW7" s="203">
        <f>('Expenditure DATA'!GF9/'Expenditure DATA'!B9)*100</f>
        <v>24.159418408412304</v>
      </c>
      <c r="DX7" s="202">
        <f>('Expenditure DATA'!GG9/'Expenditure DATA'!C9)*100</f>
        <v>24.068391056554137</v>
      </c>
      <c r="DY7" s="202">
        <f>('Expenditure DATA'!GH9/'Expenditure DATA'!D9)*100</f>
        <v>23.431070698932466</v>
      </c>
      <c r="DZ7" s="202">
        <f>('Expenditure DATA'!GI9/'Expenditure DATA'!E9)*100</f>
        <v>23.188155340485693</v>
      </c>
      <c r="EA7" s="202">
        <f>('Expenditure DATA'!GJ9/'Expenditure DATA'!F9)*100</f>
        <v>24.197408980821265</v>
      </c>
      <c r="EB7" s="202">
        <f>('Expenditure DATA'!GK9/'Expenditure DATA'!G9)*100</f>
        <v>24.297761199274699</v>
      </c>
      <c r="EC7" s="202">
        <f>('Expenditure DATA'!GL9/'Expenditure DATA'!H9)*100</f>
        <v>24.043333754770639</v>
      </c>
      <c r="ED7" s="202">
        <f>('Expenditure DATA'!GM9/'Expenditure DATA'!I9)*100</f>
        <v>23.365585030598705</v>
      </c>
      <c r="EE7" s="202">
        <f>('Expenditure DATA'!GN9/'Expenditure DATA'!J9)*100</f>
        <v>22.730101001494457</v>
      </c>
      <c r="EF7" s="202">
        <f>('Expenditure DATA'!GO9/'Expenditure DATA'!K9)*100</f>
        <v>22.436855085165888</v>
      </c>
      <c r="EG7" s="202">
        <f>('Expenditure DATA'!GP9/'Expenditure DATA'!L9)*100</f>
        <v>22.199063527434543</v>
      </c>
      <c r="EH7" s="202">
        <f>('Expenditure DATA'!GQ9/'Expenditure DATA'!M9)*100</f>
        <v>22.677182545021584</v>
      </c>
      <c r="EI7" s="202">
        <f>('Expenditure DATA'!GR9/'Expenditure DATA'!N9)*100</f>
        <v>22.938046992539228</v>
      </c>
      <c r="EJ7" s="202">
        <f>('Expenditure DATA'!GS9/'Expenditure DATA'!O9)*100</f>
        <v>22.749987127127749</v>
      </c>
      <c r="EK7" s="202">
        <f>('Expenditure DATA'!GT9/'Expenditure DATA'!P9)*100</f>
        <v>23.142428822911032</v>
      </c>
      <c r="EL7" s="202">
        <f>('Expenditure DATA'!GU9/'Expenditure DATA'!Q9)*100</f>
        <v>23.963585483266037</v>
      </c>
      <c r="EM7" s="202">
        <f>('Expenditure DATA'!GV9/'Expenditure DATA'!R9)*100</f>
        <v>23.445223209429226</v>
      </c>
      <c r="EN7" s="202">
        <f>('Expenditure DATA'!GW9/'Expenditure DATA'!S9)*100</f>
        <v>22.16468907814874</v>
      </c>
      <c r="EO7" s="202">
        <f>('Expenditure DATA'!GX9/'Expenditure DATA'!T9)*100</f>
        <v>22.791453916873387</v>
      </c>
      <c r="EP7" s="202">
        <f>('Expenditure DATA'!GY9/'Expenditure DATA'!U9)*100</f>
        <v>23.852126190529386</v>
      </c>
      <c r="EQ7" s="202">
        <f>('Expenditure DATA'!GZ9/'Expenditure DATA'!V9)*100</f>
        <v>24.749732476605477</v>
      </c>
      <c r="ER7" s="202">
        <f>('Expenditure DATA'!HA9/'Expenditure DATA'!W9)*100</f>
        <v>23.993330534796119</v>
      </c>
      <c r="ES7" s="202">
        <f>('Expenditure DATA'!HB9/'Expenditure DATA'!X9)*100</f>
        <v>23.315247548959245</v>
      </c>
      <c r="ET7" s="202">
        <f>('Expenditure DATA'!HC9/'Expenditure DATA'!Y9)*100</f>
        <v>21.83442439497788</v>
      </c>
      <c r="EU7" s="202">
        <f>('Expenditure DATA'!HD9/'Expenditure DATA'!Z9)*100</f>
        <v>21.070354249820912</v>
      </c>
      <c r="EV7" s="202">
        <f>('Expenditure DATA'!HE9/'Expenditure DATA'!AA9)*100</f>
        <v>20.801390044336955</v>
      </c>
      <c r="EW7" s="202">
        <f>('Expenditure DATA'!HF9/'Expenditure DATA'!AB9)*100</f>
        <v>20.889935120088683</v>
      </c>
      <c r="EX7" s="202">
        <f>('Expenditure DATA'!HG9/'Expenditure DATA'!AC9)*100</f>
        <v>20.149762339760517</v>
      </c>
      <c r="EY7" s="202">
        <f>('Expenditure DATA'!HH9/'Expenditure DATA'!AD9)*100</f>
        <v>20.398730721673495</v>
      </c>
      <c r="EZ7" s="202">
        <f>('Expenditure DATA'!HI9/'Expenditure DATA'!AE9)*100</f>
        <v>20.762721751971501</v>
      </c>
      <c r="FA7" s="464">
        <f>('Expenditure DATA'!HJ9/'Expenditure DATA'!AF9)*100</f>
        <v>19.79950763370379</v>
      </c>
      <c r="FB7" s="203">
        <f>('Expenditure DATA'!HK9/'Expenditure DATA'!B9)*100</f>
        <v>4.4852654809814352</v>
      </c>
      <c r="FC7" s="202">
        <f>('Expenditure DATA'!HL9/'Expenditure DATA'!C9)*100</f>
        <v>4.6815306569800219</v>
      </c>
      <c r="FD7" s="202">
        <f>('Expenditure DATA'!HM9/'Expenditure DATA'!D9)*100</f>
        <v>4.520473052686099</v>
      </c>
      <c r="FE7" s="202">
        <f>('Expenditure DATA'!HN9/'Expenditure DATA'!E9)*100</f>
        <v>4.3483871677686654</v>
      </c>
      <c r="FF7" s="202">
        <f>('Expenditure DATA'!HO9/'Expenditure DATA'!F9)*100</f>
        <v>4.3142784206476366</v>
      </c>
      <c r="FG7" s="202">
        <f>('Expenditure DATA'!HP9/'Expenditure DATA'!G9)*100</f>
        <v>4.5225373543426626</v>
      </c>
      <c r="FH7" s="202">
        <f>('Expenditure DATA'!HQ9/'Expenditure DATA'!H9)*100</f>
        <v>4.4759427159562586</v>
      </c>
      <c r="FI7" s="202">
        <f>('Expenditure DATA'!HR9/'Expenditure DATA'!I9)*100</f>
        <v>4.5354634643220937</v>
      </c>
      <c r="FJ7" s="202">
        <f>('Expenditure DATA'!HS9/'Expenditure DATA'!J9)*100</f>
        <v>4.2384602419895208</v>
      </c>
      <c r="FK7" s="202">
        <f>('Expenditure DATA'!HT9/'Expenditure DATA'!K9)*100</f>
        <v>4.1031068866916147</v>
      </c>
      <c r="FL7" s="202">
        <f>('Expenditure DATA'!HU9/'Expenditure DATA'!L9)*100</f>
        <v>3.9933495689992817</v>
      </c>
      <c r="FM7" s="202">
        <f>('Expenditure DATA'!HV9/'Expenditure DATA'!M9)*100</f>
        <v>3.9930691852547633</v>
      </c>
      <c r="FN7" s="202">
        <f>('Expenditure DATA'!HW9/'Expenditure DATA'!N9)*100</f>
        <v>4.1289657588206641</v>
      </c>
      <c r="FO7" s="202">
        <f>('Expenditure DATA'!HX9/'Expenditure DATA'!O9)*100</f>
        <v>4.3464676526850443</v>
      </c>
      <c r="FP7" s="202">
        <f>('Expenditure DATA'!HY9/'Expenditure DATA'!P9)*100</f>
        <v>4.6252119836509094</v>
      </c>
      <c r="FQ7" s="202">
        <f>('Expenditure DATA'!HZ9/'Expenditure DATA'!Q9)*100</f>
        <v>4.7291137368917653</v>
      </c>
      <c r="FR7" s="202">
        <f>('Expenditure DATA'!IA9/'Expenditure DATA'!R9)*100</f>
        <v>4.5938302372401658</v>
      </c>
      <c r="FS7" s="202">
        <f>('Expenditure DATA'!IB9/'Expenditure DATA'!S9)*100</f>
        <v>4.7699652606836578</v>
      </c>
      <c r="FT7" s="202">
        <f>('Expenditure DATA'!IC9/'Expenditure DATA'!T9)*100</f>
        <v>4.9899262688420727</v>
      </c>
      <c r="FU7" s="202">
        <f>('Expenditure DATA'!ID9/'Expenditure DATA'!U9)*100</f>
        <v>5.0710331426933433</v>
      </c>
      <c r="FV7" s="202">
        <f>('Expenditure DATA'!IE9/'Expenditure DATA'!V9)*100</f>
        <v>5.139670780935683</v>
      </c>
      <c r="FW7" s="202">
        <f>('Expenditure DATA'!IF9/'Expenditure DATA'!W9)*100</f>
        <v>5.1679673956548635</v>
      </c>
      <c r="FX7" s="202">
        <f>('Expenditure DATA'!IG9/'Expenditure DATA'!X9)*100</f>
        <v>5.1933341377760707</v>
      </c>
      <c r="FY7" s="202">
        <f>('Expenditure DATA'!IH9/'Expenditure DATA'!Y9)*100</f>
        <v>5.3339231672715171</v>
      </c>
      <c r="FZ7" s="202">
        <f>('Expenditure DATA'!II9/'Expenditure DATA'!Z9)*100</f>
        <v>5.2333585826181954</v>
      </c>
      <c r="GA7" s="202">
        <f>('Expenditure DATA'!IJ9/'Expenditure DATA'!AA9)*100</f>
        <v>5.189949211497221</v>
      </c>
      <c r="GB7" s="202">
        <f>('Expenditure DATA'!IK9/'Expenditure DATA'!AB9)*100</f>
        <v>5.3418701059110649</v>
      </c>
      <c r="GC7" s="202">
        <f>('Expenditure DATA'!IL9/'Expenditure DATA'!AC9)*100</f>
        <v>4.8255384597791204</v>
      </c>
      <c r="GD7" s="202">
        <f>('Expenditure DATA'!IM9/'Expenditure DATA'!AD9)*100</f>
        <v>4.9381423448757715</v>
      </c>
      <c r="GE7" s="202">
        <f>('Expenditure DATA'!IN9/'Expenditure DATA'!AE9)*100</f>
        <v>4.7984610098881673</v>
      </c>
      <c r="GF7" s="464">
        <f>('Expenditure DATA'!IO9/'Expenditure DATA'!AF9)*100</f>
        <v>4.7765149681680423</v>
      </c>
      <c r="GG7" s="203">
        <f>('Expenditure DATA'!IP9/'Expenditure DATA'!B9)*100</f>
        <v>7.003764766973906</v>
      </c>
      <c r="GH7" s="202">
        <f>('Expenditure DATA'!IQ9/'Expenditure DATA'!C9)*100</f>
        <v>7.7002567796079422</v>
      </c>
      <c r="GI7" s="202">
        <f>('Expenditure DATA'!IR9/'Expenditure DATA'!D9)*100</f>
        <v>7.3662705377952982</v>
      </c>
      <c r="GJ7" s="202">
        <f>('Expenditure DATA'!IS9/'Expenditure DATA'!E9)*100</f>
        <v>7.1990854556740622</v>
      </c>
      <c r="GK7" s="202">
        <f>('Expenditure DATA'!IT9/'Expenditure DATA'!F9)*100</f>
        <v>7.3666953663046746</v>
      </c>
      <c r="GL7" s="202">
        <f>('Expenditure DATA'!IU9/'Expenditure DATA'!G9)*100</f>
        <v>7.5748184993604433</v>
      </c>
      <c r="GM7" s="202">
        <f>('Expenditure DATA'!IV9/'Expenditure DATA'!H9)*100</f>
        <v>7.5476634873150941</v>
      </c>
      <c r="GN7" s="202">
        <f>('Expenditure DATA'!IW9/'Expenditure DATA'!I9)*100</f>
        <v>7.5565470823606251</v>
      </c>
      <c r="GO7" s="202">
        <f>('Expenditure DATA'!IX9/'Expenditure DATA'!J9)*100</f>
        <v>6.9135778939504862</v>
      </c>
      <c r="GP7" s="202">
        <f>('Expenditure DATA'!IY9/'Expenditure DATA'!K9)*100</f>
        <v>6.7576469407007815</v>
      </c>
      <c r="GQ7" s="202">
        <f>('Expenditure DATA'!IZ9/'Expenditure DATA'!L9)*100</f>
        <v>6.6312033580040106</v>
      </c>
      <c r="GR7" s="202">
        <f>('Expenditure DATA'!JA9/'Expenditure DATA'!M9)*100</f>
        <v>5.7168125242907246</v>
      </c>
      <c r="GS7" s="202">
        <f>('Expenditure DATA'!JB9/'Expenditure DATA'!N9)*100</f>
        <v>6.2029239146044075</v>
      </c>
      <c r="GT7" s="202">
        <f>('Expenditure DATA'!JC9/'Expenditure DATA'!O9)*100</f>
        <v>5.8550436038157558</v>
      </c>
      <c r="GU7" s="202">
        <f>('Expenditure DATA'!JD9/'Expenditure DATA'!P9)*100</f>
        <v>6.1776200096439453</v>
      </c>
      <c r="GV7" s="202">
        <f>('Expenditure DATA'!JE9/'Expenditure DATA'!Q9)*100</f>
        <v>6.035053863696981</v>
      </c>
      <c r="GW7" s="202">
        <f>('Expenditure DATA'!JF9/'Expenditure DATA'!R9)*100</f>
        <v>5.9190021284908445</v>
      </c>
      <c r="GX7" s="202">
        <f>('Expenditure DATA'!JG9/'Expenditure DATA'!S9)*100</f>
        <v>6.8162709707935045</v>
      </c>
      <c r="GY7" s="202">
        <f>('Expenditure DATA'!JH9/'Expenditure DATA'!T9)*100</f>
        <v>6.5822548790975937</v>
      </c>
      <c r="GZ7" s="202">
        <f>('Expenditure DATA'!JI9/'Expenditure DATA'!U9)*100</f>
        <v>6.1972413701061679</v>
      </c>
      <c r="HA7" s="202">
        <f>('Expenditure DATA'!JJ9/'Expenditure DATA'!V9)*100</f>
        <v>5.8714191963034024</v>
      </c>
      <c r="HB7" s="202">
        <f>('Expenditure DATA'!JK9/'Expenditure DATA'!W9)*100</f>
        <v>5.6088618013958564</v>
      </c>
      <c r="HC7" s="202">
        <f>('Expenditure DATA'!JL9/'Expenditure DATA'!X9)*100</f>
        <v>5.3734899806062524</v>
      </c>
      <c r="HD7" s="202">
        <f>('Expenditure DATA'!JM9/'Expenditure DATA'!Y9)*100</f>
        <v>5.2950129600722455</v>
      </c>
      <c r="HE7" s="202">
        <f>('Expenditure DATA'!JN9/'Expenditure DATA'!Z9)*100</f>
        <v>5.4646211141566239</v>
      </c>
      <c r="HF7" s="202">
        <f>('Expenditure DATA'!JO9/'Expenditure DATA'!AA9)*100</f>
        <v>5.2036943767203807</v>
      </c>
      <c r="HG7" s="202">
        <f>('Expenditure DATA'!JP9/'Expenditure DATA'!AB9)*100</f>
        <v>5.5679483880805734</v>
      </c>
      <c r="HH7" s="202">
        <f>('Expenditure DATA'!JQ9/'Expenditure DATA'!AC9)*100</f>
        <v>4.9348883166467195</v>
      </c>
      <c r="HI7" s="202">
        <f>('Expenditure DATA'!JR9/'Expenditure DATA'!AD9)*100</f>
        <v>4.9520343336416461</v>
      </c>
      <c r="HJ7" s="202">
        <f>('Expenditure DATA'!JS9/'Expenditure DATA'!AE9)*100</f>
        <v>4.8105517278973569</v>
      </c>
      <c r="HK7" s="464">
        <f>('Expenditure DATA'!JT9/'Expenditure DATA'!AF9)*100</f>
        <v>4.6785820285926665</v>
      </c>
      <c r="HL7" s="203">
        <f t="shared" si="1"/>
        <v>99.999999999999986</v>
      </c>
      <c r="HM7" s="204">
        <f t="shared" si="2"/>
        <v>100.00626291726685</v>
      </c>
      <c r="HN7" s="204">
        <f t="shared" si="3"/>
        <v>100.00000000000001</v>
      </c>
      <c r="HO7" s="204">
        <f t="shared" si="4"/>
        <v>100.00207578153176</v>
      </c>
      <c r="HP7" s="204">
        <f t="shared" si="5"/>
        <v>100.00000000000001</v>
      </c>
      <c r="HQ7" s="204">
        <f t="shared" si="6"/>
        <v>100</v>
      </c>
      <c r="HR7" s="204">
        <f t="shared" si="7"/>
        <v>100.00000000000001</v>
      </c>
      <c r="HS7" s="204">
        <f t="shared" si="8"/>
        <v>100.00000000000001</v>
      </c>
      <c r="HT7" s="204">
        <f t="shared" si="9"/>
        <v>100.00000000000001</v>
      </c>
      <c r="HU7" s="204">
        <f t="shared" si="10"/>
        <v>100.00000000000001</v>
      </c>
      <c r="HV7" s="204">
        <f t="shared" si="11"/>
        <v>100.00000000000001</v>
      </c>
      <c r="HW7" s="204">
        <f t="shared" si="12"/>
        <v>100</v>
      </c>
      <c r="HX7" s="204">
        <f t="shared" si="13"/>
        <v>100</v>
      </c>
      <c r="HY7" s="204">
        <f t="shared" si="14"/>
        <v>100.00000000000001</v>
      </c>
      <c r="HZ7" s="204">
        <f t="shared" si="15"/>
        <v>100.00000000000001</v>
      </c>
      <c r="IA7" s="204">
        <f t="shared" si="16"/>
        <v>100.00000000000001</v>
      </c>
      <c r="IB7" s="204">
        <f t="shared" si="17"/>
        <v>100</v>
      </c>
      <c r="IC7" s="204">
        <f t="shared" si="18"/>
        <v>100.00000000000001</v>
      </c>
      <c r="ID7" s="204">
        <f t="shared" si="19"/>
        <v>100</v>
      </c>
      <c r="IE7" s="204">
        <f t="shared" si="20"/>
        <v>100</v>
      </c>
      <c r="IF7" s="204">
        <f t="shared" si="21"/>
        <v>100</v>
      </c>
      <c r="IG7" s="204">
        <f t="shared" si="22"/>
        <v>100</v>
      </c>
      <c r="IH7" s="204">
        <f t="shared" si="23"/>
        <v>100</v>
      </c>
      <c r="II7" s="204">
        <f t="shared" si="24"/>
        <v>100</v>
      </c>
      <c r="IJ7" s="204">
        <f t="shared" si="25"/>
        <v>100</v>
      </c>
      <c r="IK7" s="204">
        <f t="shared" si="26"/>
        <v>100</v>
      </c>
      <c r="IL7" s="204">
        <f t="shared" si="27"/>
        <v>100</v>
      </c>
      <c r="IM7" s="204">
        <f t="shared" si="28"/>
        <v>100.00001110263548</v>
      </c>
      <c r="IN7" s="204">
        <f t="shared" si="29"/>
        <v>100.00000000000001</v>
      </c>
      <c r="IO7" s="204">
        <f t="shared" si="30"/>
        <v>100</v>
      </c>
      <c r="IP7" s="204">
        <f t="shared" si="31"/>
        <v>100.00000000000003</v>
      </c>
    </row>
    <row r="8" spans="1:250" s="164" customFormat="1">
      <c r="A8" s="168" t="s">
        <v>40</v>
      </c>
      <c r="B8" s="62"/>
      <c r="C8" s="202" t="e">
        <f>('Expenditure DATA'!CQ10/'Expenditure DATA'!B10)*100</f>
        <v>#DIV/0!</v>
      </c>
      <c r="D8" s="202" t="e">
        <f>('Expenditure DATA'!CR10/'Expenditure DATA'!C10)*100</f>
        <v>#DIV/0!</v>
      </c>
      <c r="E8" s="202" t="e">
        <f>('Expenditure DATA'!CS10/'Expenditure DATA'!D10)*100</f>
        <v>#DIV/0!</v>
      </c>
      <c r="F8" s="202">
        <f>('Expenditure DATA'!CT10/'Expenditure DATA'!E10)*100</f>
        <v>13.199525386669919</v>
      </c>
      <c r="G8" s="202">
        <f>('Expenditure DATA'!CU10/'Expenditure DATA'!F10)*100</f>
        <v>13.555349905075051</v>
      </c>
      <c r="H8" s="202">
        <f>('Expenditure DATA'!CV10/'Expenditure DATA'!G10)*100</f>
        <v>13.333534093174718</v>
      </c>
      <c r="I8" s="202">
        <f>('Expenditure DATA'!CW10/'Expenditure DATA'!H10)*100</f>
        <v>12.581729098041814</v>
      </c>
      <c r="J8" s="202">
        <f>('Expenditure DATA'!CX10/'Expenditure DATA'!I10)*100</f>
        <v>12.48445700849328</v>
      </c>
      <c r="K8" s="202">
        <f>('Expenditure DATA'!CY10/'Expenditure DATA'!J10)*100</f>
        <v>12.917117936454742</v>
      </c>
      <c r="L8" s="202">
        <f>('Expenditure DATA'!CZ10/'Expenditure DATA'!K10)*100</f>
        <v>13.117245649678425</v>
      </c>
      <c r="M8" s="202">
        <f>('Expenditure DATA'!DA10/'Expenditure DATA'!L10)*100</f>
        <v>13.293213211982771</v>
      </c>
      <c r="N8" s="202">
        <f>('Expenditure DATA'!DB10/'Expenditure DATA'!M10)*100</f>
        <v>12.918690744611499</v>
      </c>
      <c r="O8" s="202">
        <f>('Expenditure DATA'!DC10/'Expenditure DATA'!N10)*100</f>
        <v>13.05463042968471</v>
      </c>
      <c r="P8" s="202">
        <f>('Expenditure DATA'!DD10/'Expenditure DATA'!O10)*100</f>
        <v>12.542877945053815</v>
      </c>
      <c r="Q8" s="202">
        <f>('Expenditure DATA'!DE10/'Expenditure DATA'!P10)*100</f>
        <v>11.993140796799672</v>
      </c>
      <c r="R8" s="202">
        <f>('Expenditure DATA'!DF10/'Expenditure DATA'!Q10)*100</f>
        <v>12.644764315515387</v>
      </c>
      <c r="S8" s="202">
        <f>('Expenditure DATA'!DG10/'Expenditure DATA'!R10)*100</f>
        <v>12.237768706368785</v>
      </c>
      <c r="T8" s="202">
        <f>('Expenditure DATA'!DH10/'Expenditure DATA'!S10)*100</f>
        <v>12.017786717719483</v>
      </c>
      <c r="U8" s="202">
        <f>('Expenditure DATA'!DI10/'Expenditure DATA'!T10)*100</f>
        <v>11.812959555395175</v>
      </c>
      <c r="V8" s="202">
        <f>('Expenditure DATA'!DJ10/'Expenditure DATA'!U10)*100</f>
        <v>11.77893264956503</v>
      </c>
      <c r="W8" s="202">
        <f>('Expenditure DATA'!DK10/'Expenditure DATA'!V10)*100</f>
        <v>11.749136442866927</v>
      </c>
      <c r="X8" s="202">
        <f>('Expenditure DATA'!DL10/'Expenditure DATA'!W10)*100</f>
        <v>11.466846550313742</v>
      </c>
      <c r="Y8" s="202">
        <f>('Expenditure DATA'!DM10/'Expenditure DATA'!X10)*100</f>
        <v>11.222584576932439</v>
      </c>
      <c r="Z8" s="202">
        <f>('Expenditure DATA'!DN10/'Expenditure DATA'!Y10)*100</f>
        <v>11.440136153818761</v>
      </c>
      <c r="AA8" s="202">
        <f>('Expenditure DATA'!DO10/'Expenditure DATA'!Z10)*100</f>
        <v>11.541518277896721</v>
      </c>
      <c r="AB8" s="202">
        <f>('Expenditure DATA'!DP10/'Expenditure DATA'!AA10)*100</f>
        <v>11.118015010734947</v>
      </c>
      <c r="AC8" s="202">
        <f>('Expenditure DATA'!DQ10/'Expenditure DATA'!AB10)*100</f>
        <v>11.949148827788656</v>
      </c>
      <c r="AD8" s="202">
        <f>('Expenditure DATA'!DR10/'Expenditure DATA'!AC10)*100</f>
        <v>11.793576657930494</v>
      </c>
      <c r="AE8" s="202">
        <f>('Expenditure DATA'!DS10/'Expenditure DATA'!AD10)*100</f>
        <v>12.25686121907199</v>
      </c>
      <c r="AF8" s="202">
        <f>('Expenditure DATA'!DT10/'Expenditure DATA'!AE10)*100</f>
        <v>12.45290665176076</v>
      </c>
      <c r="AG8" s="464">
        <f>('Expenditure DATA'!DU10/'Expenditure DATA'!AF10)*100</f>
        <v>12.73743396057837</v>
      </c>
      <c r="AH8" s="203" t="e">
        <f>('Expenditure DATA'!BL10/'Expenditure DATA'!B10)*100</f>
        <v>#DIV/0!</v>
      </c>
      <c r="AI8" s="202" t="e">
        <f>('Expenditure DATA'!BM10/'Expenditure DATA'!C10)*100</f>
        <v>#DIV/0!</v>
      </c>
      <c r="AJ8" s="202" t="e">
        <f>('Expenditure DATA'!BN10/'Expenditure DATA'!D10)*100</f>
        <v>#DIV/0!</v>
      </c>
      <c r="AK8" s="202">
        <f>('Expenditure DATA'!BO10/'Expenditure DATA'!E10)*100</f>
        <v>21.950986126411248</v>
      </c>
      <c r="AL8" s="202">
        <f>('Expenditure DATA'!BP10/'Expenditure DATA'!F10)*100</f>
        <v>22.790059197070022</v>
      </c>
      <c r="AM8" s="202">
        <f>('Expenditure DATA'!BQ10/'Expenditure DATA'!G10)*100</f>
        <v>22.104385425666244</v>
      </c>
      <c r="AN8" s="202">
        <f>('Expenditure DATA'!BR10/'Expenditure DATA'!H10)*100</f>
        <v>21.574780630364696</v>
      </c>
      <c r="AO8" s="202">
        <f>('Expenditure DATA'!BS10/'Expenditure DATA'!I10)*100</f>
        <v>21.396399504966439</v>
      </c>
      <c r="AP8" s="202">
        <f>('Expenditure DATA'!BT10/'Expenditure DATA'!J10)*100</f>
        <v>21.353821014072626</v>
      </c>
      <c r="AQ8" s="202">
        <f>('Expenditure DATA'!BU10/'Expenditure DATA'!K10)*100</f>
        <v>21.328867123099009</v>
      </c>
      <c r="AR8" s="202">
        <f>('Expenditure DATA'!BV10/'Expenditure DATA'!L10)*100</f>
        <v>21.306925757288635</v>
      </c>
      <c r="AS8" s="202">
        <f>('Expenditure DATA'!BW10/'Expenditure DATA'!M10)*100</f>
        <v>22.223241447457976</v>
      </c>
      <c r="AT8" s="202">
        <f>('Expenditure DATA'!BX10/'Expenditure DATA'!N10)*100</f>
        <v>22.667876897754645</v>
      </c>
      <c r="AU8" s="202">
        <f>('Expenditure DATA'!BY10/'Expenditure DATA'!O10)*100</f>
        <v>21.638599584340533</v>
      </c>
      <c r="AV8" s="202">
        <f>('Expenditure DATA'!BZ10/'Expenditure DATA'!P10)*100</f>
        <v>21.216279746402922</v>
      </c>
      <c r="AW8" s="202">
        <f>('Expenditure DATA'!CA10/'Expenditure DATA'!Q10)*100</f>
        <v>21.865856531763381</v>
      </c>
      <c r="AX8" s="202">
        <f>('Expenditure DATA'!CB10/'Expenditure DATA'!R10)*100</f>
        <v>21.925467814929771</v>
      </c>
      <c r="AY8" s="202">
        <f>('Expenditure DATA'!CC10/'Expenditure DATA'!S10)*100</f>
        <v>20.767420156570392</v>
      </c>
      <c r="AZ8" s="202">
        <f>('Expenditure DATA'!CD10/'Expenditure DATA'!T10)*100</f>
        <v>21.423207769927146</v>
      </c>
      <c r="BA8" s="202">
        <f>('Expenditure DATA'!CE10/'Expenditure DATA'!U10)*100</f>
        <v>21.979294700742567</v>
      </c>
      <c r="BB8" s="202">
        <f>('Expenditure DATA'!CF10/'Expenditure DATA'!V10)*100</f>
        <v>22.466241154686987</v>
      </c>
      <c r="BC8" s="202">
        <f>('Expenditure DATA'!CG10/'Expenditure DATA'!W10)*100</f>
        <v>22.09945411512415</v>
      </c>
      <c r="BD8" s="202">
        <f>('Expenditure DATA'!CH10/'Expenditure DATA'!X10)*100</f>
        <v>21.782077799295113</v>
      </c>
      <c r="BE8" s="202">
        <f>('Expenditure DATA'!CI10/'Expenditure DATA'!Y10)*100</f>
        <v>21.281493740931104</v>
      </c>
      <c r="BF8" s="202">
        <f>('Expenditure DATA'!CJ10/'Expenditure DATA'!Z10)*100</f>
        <v>21.627565364324791</v>
      </c>
      <c r="BG8" s="202">
        <f>('Expenditure DATA'!CK10/'Expenditure DATA'!AA10)*100</f>
        <v>21.537513354981701</v>
      </c>
      <c r="BH8" s="202">
        <f>('Expenditure DATA'!CL10/'Expenditure DATA'!AB10)*100</f>
        <v>21.28425806256697</v>
      </c>
      <c r="BI8" s="202">
        <f>('Expenditure DATA'!CM10/'Expenditure DATA'!AC10)*100</f>
        <v>21.613502636557648</v>
      </c>
      <c r="BJ8" s="202">
        <f>('Expenditure DATA'!CN10/'Expenditure DATA'!AD10)*100</f>
        <v>20.695002817062804</v>
      </c>
      <c r="BK8" s="202">
        <f>('Expenditure DATA'!CO10/'Expenditure DATA'!AE10)*100</f>
        <v>20.18719722377492</v>
      </c>
      <c r="BL8" s="464">
        <f>('Expenditure DATA'!CP10/'Expenditure DATA'!AF10)*100</f>
        <v>20.336205316061481</v>
      </c>
      <c r="BM8" s="203" t="e">
        <f>('Expenditure DATA'!AG10/'Expenditure DATA'!B10)*100</f>
        <v>#DIV/0!</v>
      </c>
      <c r="BN8" s="202" t="e">
        <f>('Expenditure DATA'!AH10/'Expenditure DATA'!C10)*100</f>
        <v>#DIV/0!</v>
      </c>
      <c r="BO8" s="202" t="e">
        <f>('Expenditure DATA'!AI10/'Expenditure DATA'!D10)*100</f>
        <v>#DIV/0!</v>
      </c>
      <c r="BP8" s="202">
        <f>('Expenditure DATA'!AJ10/'Expenditure DATA'!E10)*100</f>
        <v>38.321557707742002</v>
      </c>
      <c r="BQ8" s="202">
        <f>('Expenditure DATA'!AK10/'Expenditure DATA'!F10)*100</f>
        <v>39.594325466735356</v>
      </c>
      <c r="BR8" s="202">
        <f>('Expenditure DATA'!AL10/'Expenditure DATA'!G10)*100</f>
        <v>38.724808101282647</v>
      </c>
      <c r="BS8" s="202">
        <f>('Expenditure DATA'!AM10/'Expenditure DATA'!H10)*100</f>
        <v>37.231730845274285</v>
      </c>
      <c r="BT8" s="202">
        <f>('Expenditure DATA'!AN10/'Expenditure DATA'!I10)*100</f>
        <v>36.981299057403568</v>
      </c>
      <c r="BU8" s="202">
        <f>('Expenditure DATA'!AO10/'Expenditure DATA'!J10)*100</f>
        <v>37.335625505554837</v>
      </c>
      <c r="BV8" s="202">
        <f>('Expenditure DATA'!AP10/'Expenditure DATA'!K10)*100</f>
        <v>37.439365127585333</v>
      </c>
      <c r="BW8" s="202">
        <f>('Expenditure DATA'!AQ10/'Expenditure DATA'!L10)*100</f>
        <v>37.53058092228477</v>
      </c>
      <c r="BX8" s="202">
        <f>('Expenditure DATA'!AR10/'Expenditure DATA'!M10)*100</f>
        <v>38.155026769896409</v>
      </c>
      <c r="BY8" s="202">
        <f>('Expenditure DATA'!AS10/'Expenditure DATA'!N10)*100</f>
        <v>38.767574318913169</v>
      </c>
      <c r="BZ8" s="202">
        <f>('Expenditure DATA'!AT10/'Expenditure DATA'!O10)*100</f>
        <v>37.332278199236541</v>
      </c>
      <c r="CA8" s="202">
        <f>('Expenditure DATA'!AU10/'Expenditure DATA'!P10)*100</f>
        <v>36.325765113251116</v>
      </c>
      <c r="CB8" s="202">
        <f>('Expenditure DATA'!AV10/'Expenditure DATA'!Q10)*100</f>
        <v>38.082274951325715</v>
      </c>
      <c r="CC8" s="202">
        <f>('Expenditure DATA'!AW10/'Expenditure DATA'!R10)*100</f>
        <v>37.487034432846315</v>
      </c>
      <c r="CD8" s="202">
        <f>('Expenditure DATA'!AX10/'Expenditure DATA'!S10)*100</f>
        <v>36.284079036716328</v>
      </c>
      <c r="CE8" s="202">
        <f>('Expenditure DATA'!AY10/'Expenditure DATA'!T10)*100</f>
        <v>36.996057018173012</v>
      </c>
      <c r="CF8" s="202">
        <f>('Expenditure DATA'!AZ10/'Expenditure DATA'!U10)*100</f>
        <v>36.76325013373922</v>
      </c>
      <c r="CG8" s="202">
        <f>('Expenditure DATA'!BA10/'Expenditure DATA'!V10)*100</f>
        <v>36.559389045576893</v>
      </c>
      <c r="CH8" s="202">
        <f>('Expenditure DATA'!BB10/'Expenditure DATA'!W10)*100</f>
        <v>36.139885337162355</v>
      </c>
      <c r="CI8" s="202">
        <f>('Expenditure DATA'!BC10/'Expenditure DATA'!X10)*100</f>
        <v>35.776893935906983</v>
      </c>
      <c r="CJ8" s="202">
        <f>('Expenditure DATA'!BD10/'Expenditure DATA'!Y10)*100</f>
        <v>35.458804691286339</v>
      </c>
      <c r="CK8" s="202">
        <f>('Expenditure DATA'!BE10/'Expenditure DATA'!Z10)*100</f>
        <v>35.805723420595498</v>
      </c>
      <c r="CL8" s="202">
        <f>('Expenditure DATA'!BF10/'Expenditure DATA'!AA10)*100</f>
        <v>35.491783936555116</v>
      </c>
      <c r="CM8" s="202">
        <f>('Expenditure DATA'!BG10/'Expenditure DATA'!AB10)*100</f>
        <v>36.113039255478455</v>
      </c>
      <c r="CN8" s="202">
        <f>('Expenditure DATA'!BH10/'Expenditure DATA'!AC10)*100</f>
        <v>36.552333741276719</v>
      </c>
      <c r="CO8" s="202">
        <f>('Expenditure DATA'!BI10/'Expenditure DATA'!AD10)*100</f>
        <v>36.225875915545409</v>
      </c>
      <c r="CP8" s="202">
        <f>('Expenditure DATA'!BJ10/'Expenditure DATA'!AE10)*100</f>
        <v>36.912253120924163</v>
      </c>
      <c r="CQ8" s="464">
        <f>('Expenditure DATA'!BK10/'Expenditure DATA'!AF10)*100</f>
        <v>37.483764514076576</v>
      </c>
      <c r="CR8" s="203" t="e">
        <f>('Expenditure DATA'!FA10/'Expenditure DATA'!B10)*100</f>
        <v>#DIV/0!</v>
      </c>
      <c r="CS8" s="202" t="e">
        <f>('Expenditure DATA'!FB10/'Expenditure DATA'!C10)*100</f>
        <v>#DIV/0!</v>
      </c>
      <c r="CT8" s="202" t="e">
        <f>('Expenditure DATA'!FC10/'Expenditure DATA'!D10)*100</f>
        <v>#DIV/0!</v>
      </c>
      <c r="CU8" s="202">
        <f>('Expenditure DATA'!FD10/'Expenditure DATA'!E10)*100</f>
        <v>12.216927476738801</v>
      </c>
      <c r="CV8" s="202">
        <f>('Expenditure DATA'!FE10/'Expenditure DATA'!F10)*100</f>
        <v>12.379536120526378</v>
      </c>
      <c r="CW8" s="202">
        <f>('Expenditure DATA'!FF10/'Expenditure DATA'!G10)*100</f>
        <v>12.468276483684456</v>
      </c>
      <c r="CX8" s="202">
        <f>('Expenditure DATA'!FG10/'Expenditure DATA'!H10)*100</f>
        <v>11.650592127890061</v>
      </c>
      <c r="CY8" s="202">
        <f>('Expenditure DATA'!FH10/'Expenditure DATA'!I10)*100</f>
        <v>13.761188548982014</v>
      </c>
      <c r="CZ8" s="202">
        <f>('Expenditure DATA'!FI10/'Expenditure DATA'!J10)*100</f>
        <v>14.90935836134798</v>
      </c>
      <c r="DA8" s="202">
        <f>('Expenditure DATA'!FJ10/'Expenditure DATA'!K10)*100</f>
        <v>15.314254795646537</v>
      </c>
      <c r="DB8" s="202">
        <f>('Expenditure DATA'!FK10/'Expenditure DATA'!L10)*100</f>
        <v>15.670270648631391</v>
      </c>
      <c r="DC8" s="202">
        <f>('Expenditure DATA'!FL10/'Expenditure DATA'!M10)*100</f>
        <v>15.978727717460316</v>
      </c>
      <c r="DD8" s="202">
        <f>('Expenditure DATA'!FM10/'Expenditure DATA'!N10)*100</f>
        <v>16.912052397275211</v>
      </c>
      <c r="DE8" s="202">
        <f>('Expenditure DATA'!FN10/'Expenditure DATA'!O10)*100</f>
        <v>17.754224950275756</v>
      </c>
      <c r="DF8" s="202">
        <f>('Expenditure DATA'!FO10/'Expenditure DATA'!P10)*100</f>
        <v>17.970499295343455</v>
      </c>
      <c r="DG8" s="202">
        <f>('Expenditure DATA'!FP10/'Expenditure DATA'!Q10)*100</f>
        <v>18.589481687639026</v>
      </c>
      <c r="DH8" s="202">
        <f>('Expenditure DATA'!FQ10/'Expenditure DATA'!R10)*100</f>
        <v>18.50023939277855</v>
      </c>
      <c r="DI8" s="202">
        <f>('Expenditure DATA'!FR10/'Expenditure DATA'!S10)*100</f>
        <v>17.314308205729169</v>
      </c>
      <c r="DJ8" s="202">
        <f>('Expenditure DATA'!FS10/'Expenditure DATA'!T10)*100</f>
        <v>17.885692958967113</v>
      </c>
      <c r="DK8" s="202">
        <f>('Expenditure DATA'!FT10/'Expenditure DATA'!U10)*100</f>
        <v>18.2858433053967</v>
      </c>
      <c r="DL8" s="202">
        <f>('Expenditure DATA'!FU10/'Expenditure DATA'!V10)*100</f>
        <v>18.636241384259641</v>
      </c>
      <c r="DM8" s="202">
        <f>('Expenditure DATA'!FV10/'Expenditure DATA'!W10)*100</f>
        <v>20.615240861917655</v>
      </c>
      <c r="DN8" s="202">
        <f>('Expenditure DATA'!FW10/'Expenditure DATA'!X10)*100</f>
        <v>22.327644778902524</v>
      </c>
      <c r="DO8" s="202">
        <f>('Expenditure DATA'!FX10/'Expenditure DATA'!Y10)*100</f>
        <v>22.063868193536447</v>
      </c>
      <c r="DP8" s="202">
        <f>('Expenditure DATA'!FY10/'Expenditure DATA'!Z10)*100</f>
        <v>22.161945592055638</v>
      </c>
      <c r="DQ8" s="202">
        <f>('Expenditure DATA'!FZ10/'Expenditure DATA'!AA10)*100</f>
        <v>22.984167032970436</v>
      </c>
      <c r="DR8" s="202">
        <f>('Expenditure DATA'!GA10/'Expenditure DATA'!AB10)*100</f>
        <v>23.998962888084279</v>
      </c>
      <c r="DS8" s="202">
        <f>('Expenditure DATA'!GB10/'Expenditure DATA'!AC10)*100</f>
        <v>24.378236723924186</v>
      </c>
      <c r="DT8" s="202">
        <f>('Expenditure DATA'!GC10/'Expenditure DATA'!AD10)*100</f>
        <v>25.482469752384951</v>
      </c>
      <c r="DU8" s="202">
        <f>('Expenditure DATA'!GD10/'Expenditure DATA'!AE10)*100</f>
        <v>25.943078069685111</v>
      </c>
      <c r="DV8" s="464">
        <f>('Expenditure DATA'!GE10/'Expenditure DATA'!AF10)*100</f>
        <v>26.610572367086853</v>
      </c>
      <c r="DW8" s="203" t="e">
        <f>('Expenditure DATA'!GF10/'Expenditure DATA'!B10)*100</f>
        <v>#DIV/0!</v>
      </c>
      <c r="DX8" s="202" t="e">
        <f>('Expenditure DATA'!GG10/'Expenditure DATA'!C10)*100</f>
        <v>#DIV/0!</v>
      </c>
      <c r="DY8" s="202" t="e">
        <f>('Expenditure DATA'!GH10/'Expenditure DATA'!D10)*100</f>
        <v>#DIV/0!</v>
      </c>
      <c r="DZ8" s="202">
        <f>('Expenditure DATA'!GI10/'Expenditure DATA'!E10)*100</f>
        <v>26.090336810402263</v>
      </c>
      <c r="EA8" s="202">
        <f>('Expenditure DATA'!GJ10/'Expenditure DATA'!F10)*100</f>
        <v>27.210641459473184</v>
      </c>
      <c r="EB8" s="202">
        <f>('Expenditure DATA'!GK10/'Expenditure DATA'!G10)*100</f>
        <v>26.291526134777698</v>
      </c>
      <c r="EC8" s="202">
        <f>('Expenditure DATA'!GL10/'Expenditure DATA'!H10)*100</f>
        <v>26.772889205229923</v>
      </c>
      <c r="ED8" s="202">
        <f>('Expenditure DATA'!GM10/'Expenditure DATA'!I10)*100</f>
        <v>28.15292170598369</v>
      </c>
      <c r="EE8" s="202">
        <f>('Expenditure DATA'!GN10/'Expenditure DATA'!J10)*100</f>
        <v>26.964659410882746</v>
      </c>
      <c r="EF8" s="202">
        <f>('Expenditure DATA'!GO10/'Expenditure DATA'!K10)*100</f>
        <v>27.70866045307227</v>
      </c>
      <c r="EG8" s="202">
        <f>('Expenditure DATA'!GP10/'Expenditure DATA'!L10)*100</f>
        <v>28.362842963016078</v>
      </c>
      <c r="EH8" s="202">
        <f>('Expenditure DATA'!GQ10/'Expenditure DATA'!M10)*100</f>
        <v>27.815099194373179</v>
      </c>
      <c r="EI8" s="202">
        <f>('Expenditure DATA'!GR10/'Expenditure DATA'!N10)*100</f>
        <v>27.044208620747419</v>
      </c>
      <c r="EJ8" s="202">
        <f>('Expenditure DATA'!GS10/'Expenditure DATA'!O10)*100</f>
        <v>27.335006698135544</v>
      </c>
      <c r="EK8" s="202">
        <f>('Expenditure DATA'!GT10/'Expenditure DATA'!P10)*100</f>
        <v>27.108281385888848</v>
      </c>
      <c r="EL8" s="202">
        <f>('Expenditure DATA'!GU10/'Expenditure DATA'!Q10)*100</f>
        <v>25.241494712084332</v>
      </c>
      <c r="EM8" s="202">
        <f>('Expenditure DATA'!GV10/'Expenditure DATA'!R10)*100</f>
        <v>25.625436759235988</v>
      </c>
      <c r="EN8" s="202">
        <f>('Expenditure DATA'!GW10/'Expenditure DATA'!S10)*100</f>
        <v>26.834974449433517</v>
      </c>
      <c r="EO8" s="202">
        <f>('Expenditure DATA'!GX10/'Expenditure DATA'!T10)*100</f>
        <v>26.71073382432149</v>
      </c>
      <c r="EP8" s="202">
        <f>('Expenditure DATA'!GY10/'Expenditure DATA'!U10)*100</f>
        <v>26.833361726382293</v>
      </c>
      <c r="EQ8" s="202">
        <f>('Expenditure DATA'!GZ10/'Expenditure DATA'!V10)*100</f>
        <v>26.940742818715435</v>
      </c>
      <c r="ER8" s="202">
        <f>('Expenditure DATA'!HA10/'Expenditure DATA'!W10)*100</f>
        <v>25.841979454336773</v>
      </c>
      <c r="ES8" s="202">
        <f>('Expenditure DATA'!HB10/'Expenditure DATA'!X10)*100</f>
        <v>24.891233024010212</v>
      </c>
      <c r="ET8" s="202">
        <f>('Expenditure DATA'!HC10/'Expenditure DATA'!Y10)*100</f>
        <v>25.69661516248577</v>
      </c>
      <c r="EU8" s="202">
        <f>('Expenditure DATA'!HD10/'Expenditure DATA'!Z10)*100</f>
        <v>25.202317909198047</v>
      </c>
      <c r="EV8" s="202">
        <f>('Expenditure DATA'!HE10/'Expenditure DATA'!AA10)*100</f>
        <v>24.190163327829854</v>
      </c>
      <c r="EW8" s="202">
        <f>('Expenditure DATA'!HF10/'Expenditure DATA'!AB10)*100</f>
        <v>24.088632951284218</v>
      </c>
      <c r="EX8" s="202">
        <f>('Expenditure DATA'!HG10/'Expenditure DATA'!AC10)*100</f>
        <v>23.42432634036167</v>
      </c>
      <c r="EY8" s="202">
        <f>('Expenditure DATA'!HH10/'Expenditure DATA'!AD10)*100</f>
        <v>22.865227418138062</v>
      </c>
      <c r="EZ8" s="202">
        <f>('Expenditure DATA'!HI10/'Expenditure DATA'!AE10)*100</f>
        <v>22.593103689211848</v>
      </c>
      <c r="FA8" s="464">
        <f>('Expenditure DATA'!HJ10/'Expenditure DATA'!AF10)*100</f>
        <v>22.767674591876428</v>
      </c>
      <c r="FB8" s="203" t="e">
        <f>('Expenditure DATA'!HK10/'Expenditure DATA'!B10)*100</f>
        <v>#DIV/0!</v>
      </c>
      <c r="FC8" s="202" t="e">
        <f>('Expenditure DATA'!HL10/'Expenditure DATA'!C10)*100</f>
        <v>#DIV/0!</v>
      </c>
      <c r="FD8" s="202" t="e">
        <f>('Expenditure DATA'!HM10/'Expenditure DATA'!D10)*100</f>
        <v>#DIV/0!</v>
      </c>
      <c r="FE8" s="202">
        <f>('Expenditure DATA'!HN10/'Expenditure DATA'!E10)*100</f>
        <v>7.3251687401097287</v>
      </c>
      <c r="FF8" s="202">
        <f>('Expenditure DATA'!HO10/'Expenditure DATA'!F10)*100</f>
        <v>6.3804587450624739</v>
      </c>
      <c r="FG8" s="202">
        <f>('Expenditure DATA'!HP10/'Expenditure DATA'!G10)*100</f>
        <v>6.6588751079949491</v>
      </c>
      <c r="FH8" s="202">
        <f>('Expenditure DATA'!HQ10/'Expenditure DATA'!H10)*100</f>
        <v>7.0405652205099338</v>
      </c>
      <c r="FI8" s="202">
        <f>('Expenditure DATA'!HR10/'Expenditure DATA'!I10)*100</f>
        <v>6.6293760343696162</v>
      </c>
      <c r="FJ8" s="202">
        <f>('Expenditure DATA'!HS10/'Expenditure DATA'!J10)*100</f>
        <v>6.7548922563851841</v>
      </c>
      <c r="FK8" s="202">
        <f>('Expenditure DATA'!HT10/'Expenditure DATA'!K10)*100</f>
        <v>6.4804502160852611</v>
      </c>
      <c r="FL8" s="202">
        <f>('Expenditure DATA'!HU10/'Expenditure DATA'!L10)*100</f>
        <v>6.2391398245982446</v>
      </c>
      <c r="FM8" s="202">
        <f>('Expenditure DATA'!HV10/'Expenditure DATA'!M10)*100</f>
        <v>5.8220648190253144</v>
      </c>
      <c r="FN8" s="202">
        <f>('Expenditure DATA'!HW10/'Expenditure DATA'!N10)*100</f>
        <v>6.0895967111380234</v>
      </c>
      <c r="FO8" s="202">
        <f>('Expenditure DATA'!HX10/'Expenditure DATA'!O10)*100</f>
        <v>7.2870389430946219</v>
      </c>
      <c r="FP8" s="202">
        <f>('Expenditure DATA'!HY10/'Expenditure DATA'!P10)*100</f>
        <v>7.0366291915701247</v>
      </c>
      <c r="FQ8" s="202">
        <f>('Expenditure DATA'!HZ10/'Expenditure DATA'!Q10)*100</f>
        <v>7.9058910532894986</v>
      </c>
      <c r="FR8" s="202">
        <f>('Expenditure DATA'!IA10/'Expenditure DATA'!R10)*100</f>
        <v>8.1908344016179555</v>
      </c>
      <c r="FS8" s="202">
        <f>('Expenditure DATA'!IB10/'Expenditure DATA'!S10)*100</f>
        <v>8.2682146046881915</v>
      </c>
      <c r="FT8" s="202">
        <f>('Expenditure DATA'!IC10/'Expenditure DATA'!T10)*100</f>
        <v>8.0198191373696144</v>
      </c>
      <c r="FU8" s="202">
        <f>('Expenditure DATA'!ID10/'Expenditure DATA'!U10)*100</f>
        <v>7.8072061558252983</v>
      </c>
      <c r="FV8" s="202">
        <f>('Expenditure DATA'!IE10/'Expenditure DATA'!V10)*100</f>
        <v>7.6210281831228261</v>
      </c>
      <c r="FW8" s="202">
        <f>('Expenditure DATA'!IF10/'Expenditure DATA'!W10)*100</f>
        <v>7.8590607815553115</v>
      </c>
      <c r="FX8" s="202">
        <f>('Expenditure DATA'!IG10/'Expenditure DATA'!X10)*100</f>
        <v>8.0650274624602716</v>
      </c>
      <c r="FY8" s="202">
        <f>('Expenditure DATA'!IH10/'Expenditure DATA'!Y10)*100</f>
        <v>7.9913574625420924</v>
      </c>
      <c r="FZ8" s="202">
        <f>('Expenditure DATA'!II10/'Expenditure DATA'!Z10)*100</f>
        <v>8.1537646888322115</v>
      </c>
      <c r="GA8" s="202">
        <f>('Expenditure DATA'!IJ10/'Expenditure DATA'!AA10)*100</f>
        <v>8.4699967861601806</v>
      </c>
      <c r="GB8" s="202">
        <f>('Expenditure DATA'!IK10/'Expenditure DATA'!AB10)*100</f>
        <v>7.6784418161147077</v>
      </c>
      <c r="GC8" s="202">
        <f>('Expenditure DATA'!IL10/'Expenditure DATA'!AC10)*100</f>
        <v>7.2788009226943426</v>
      </c>
      <c r="GD8" s="202">
        <f>('Expenditure DATA'!IM10/'Expenditure DATA'!AD10)*100</f>
        <v>6.803564778120494</v>
      </c>
      <c r="GE8" s="202">
        <f>('Expenditure DATA'!IN10/'Expenditure DATA'!AE10)*100</f>
        <v>6.7713573691075082</v>
      </c>
      <c r="GF8" s="464">
        <f>('Expenditure DATA'!IO10/'Expenditure DATA'!AF10)*100</f>
        <v>6.1107018528966019</v>
      </c>
      <c r="GG8" s="203" t="e">
        <f>('Expenditure DATA'!IP10/'Expenditure DATA'!B10)*100</f>
        <v>#DIV/0!</v>
      </c>
      <c r="GH8" s="202" t="e">
        <f>('Expenditure DATA'!IQ10/'Expenditure DATA'!C10)*100</f>
        <v>#DIV/0!</v>
      </c>
      <c r="GI8" s="202" t="e">
        <f>('Expenditure DATA'!IR10/'Expenditure DATA'!D10)*100</f>
        <v>#DIV/0!</v>
      </c>
      <c r="GJ8" s="202">
        <f>('Expenditure DATA'!IS10/'Expenditure DATA'!E10)*100</f>
        <v>16.046009265007193</v>
      </c>
      <c r="GK8" s="202">
        <f>('Expenditure DATA'!IT10/'Expenditure DATA'!F10)*100</f>
        <v>14.435038208202613</v>
      </c>
      <c r="GL8" s="202">
        <f>('Expenditure DATA'!IU10/'Expenditure DATA'!G10)*100</f>
        <v>15.856514172260249</v>
      </c>
      <c r="GM8" s="202">
        <f>('Expenditure DATA'!IV10/'Expenditure DATA'!H10)*100</f>
        <v>17.304222601095791</v>
      </c>
      <c r="GN8" s="202">
        <f>('Expenditure DATA'!IW10/'Expenditure DATA'!I10)*100</f>
        <v>14.475214653261112</v>
      </c>
      <c r="GO8" s="202">
        <f>('Expenditure DATA'!IX10/'Expenditure DATA'!J10)*100</f>
        <v>14.035464465829248</v>
      </c>
      <c r="GP8" s="202">
        <f>('Expenditure DATA'!IY10/'Expenditure DATA'!K10)*100</f>
        <v>13.057269407610608</v>
      </c>
      <c r="GQ8" s="202">
        <f>('Expenditure DATA'!IZ10/'Expenditure DATA'!L10)*100</f>
        <v>12.197165641469523</v>
      </c>
      <c r="GR8" s="202">
        <f>('Expenditure DATA'!JA10/'Expenditure DATA'!M10)*100</f>
        <v>12.229081499244776</v>
      </c>
      <c r="GS8" s="202">
        <f>('Expenditure DATA'!JB10/'Expenditure DATA'!N10)*100</f>
        <v>11.186567951926184</v>
      </c>
      <c r="GT8" s="202">
        <f>('Expenditure DATA'!JC10/'Expenditure DATA'!O10)*100</f>
        <v>10.291451209257543</v>
      </c>
      <c r="GU8" s="202">
        <f>('Expenditure DATA'!JD10/'Expenditure DATA'!P10)*100</f>
        <v>11.558825013946466</v>
      </c>
      <c r="GV8" s="202">
        <f>('Expenditure DATA'!JE10/'Expenditure DATA'!Q10)*100</f>
        <v>10.180857595661426</v>
      </c>
      <c r="GW8" s="202">
        <f>('Expenditure DATA'!JF10/'Expenditure DATA'!R10)*100</f>
        <v>10.19645501352119</v>
      </c>
      <c r="GX8" s="202">
        <f>('Expenditure DATA'!JG10/'Expenditure DATA'!S10)*100</f>
        <v>11.298423703432798</v>
      </c>
      <c r="GY8" s="202">
        <f>('Expenditure DATA'!JH10/'Expenditure DATA'!T10)*100</f>
        <v>10.387697061168758</v>
      </c>
      <c r="GZ8" s="202">
        <f>('Expenditure DATA'!JI10/'Expenditure DATA'!U10)*100</f>
        <v>10.310338678656494</v>
      </c>
      <c r="HA8" s="202">
        <f>('Expenditure DATA'!JJ10/'Expenditure DATA'!V10)*100</f>
        <v>10.242598568325207</v>
      </c>
      <c r="HB8" s="202">
        <f>('Expenditure DATA'!JK10/'Expenditure DATA'!W10)*100</f>
        <v>9.5438335650279029</v>
      </c>
      <c r="HC8" s="202">
        <f>('Expenditure DATA'!JL10/'Expenditure DATA'!X10)*100</f>
        <v>8.9392007987200053</v>
      </c>
      <c r="HD8" s="202">
        <f>('Expenditure DATA'!JM10/'Expenditure DATA'!Y10)*100</f>
        <v>8.7893544901493517</v>
      </c>
      <c r="HE8" s="202">
        <f>('Expenditure DATA'!JN10/'Expenditure DATA'!Z10)*100</f>
        <v>8.6762483893186033</v>
      </c>
      <c r="HF8" s="202">
        <f>('Expenditure DATA'!JO10/'Expenditure DATA'!AA10)*100</f>
        <v>8.8638889164844183</v>
      </c>
      <c r="HG8" s="202">
        <f>('Expenditure DATA'!JP10/'Expenditure DATA'!AB10)*100</f>
        <v>8.120923089038337</v>
      </c>
      <c r="HH8" s="202">
        <f>('Expenditure DATA'!JQ10/'Expenditure DATA'!AC10)*100</f>
        <v>8.3663267165675155</v>
      </c>
      <c r="HI8" s="202">
        <f>('Expenditure DATA'!JR10/'Expenditure DATA'!AD10)*100</f>
        <v>8.6228501991042688</v>
      </c>
      <c r="HJ8" s="202">
        <f>('Expenditure DATA'!JS10/'Expenditure DATA'!AE10)*100</f>
        <v>7.7802077510713605</v>
      </c>
      <c r="HK8" s="464">
        <f>('Expenditure DATA'!JT10/'Expenditure DATA'!AF10)*100</f>
        <v>7.0272866740635394</v>
      </c>
      <c r="HL8" s="203" t="e">
        <f t="shared" si="1"/>
        <v>#DIV/0!</v>
      </c>
      <c r="HM8" s="204" t="e">
        <f t="shared" si="2"/>
        <v>#DIV/0!</v>
      </c>
      <c r="HN8" s="204" t="e">
        <f t="shared" si="3"/>
        <v>#DIV/0!</v>
      </c>
      <c r="HO8" s="204">
        <f t="shared" si="4"/>
        <v>100</v>
      </c>
      <c r="HP8" s="204">
        <f t="shared" si="5"/>
        <v>100</v>
      </c>
      <c r="HQ8" s="204">
        <f t="shared" si="6"/>
        <v>100</v>
      </c>
      <c r="HR8" s="204">
        <f t="shared" si="7"/>
        <v>99.999999999999986</v>
      </c>
      <c r="HS8" s="204">
        <f t="shared" si="8"/>
        <v>100</v>
      </c>
      <c r="HT8" s="204">
        <f t="shared" si="9"/>
        <v>100</v>
      </c>
      <c r="HU8" s="204">
        <f t="shared" si="10"/>
        <v>100</v>
      </c>
      <c r="HV8" s="204">
        <f t="shared" si="11"/>
        <v>100</v>
      </c>
      <c r="HW8" s="204">
        <f t="shared" si="12"/>
        <v>99.999999999999986</v>
      </c>
      <c r="HX8" s="204">
        <f t="shared" si="13"/>
        <v>100</v>
      </c>
      <c r="HY8" s="204">
        <f t="shared" si="14"/>
        <v>100.00000000000001</v>
      </c>
      <c r="HZ8" s="204">
        <f t="shared" si="15"/>
        <v>100</v>
      </c>
      <c r="IA8" s="204">
        <f t="shared" si="16"/>
        <v>99.999999999999986</v>
      </c>
      <c r="IB8" s="204">
        <f t="shared" si="17"/>
        <v>100</v>
      </c>
      <c r="IC8" s="204">
        <f t="shared" si="18"/>
        <v>100.00000000000001</v>
      </c>
      <c r="ID8" s="204">
        <f t="shared" si="19"/>
        <v>99.999999999999972</v>
      </c>
      <c r="IE8" s="204">
        <f t="shared" si="20"/>
        <v>100</v>
      </c>
      <c r="IF8" s="204">
        <f t="shared" si="21"/>
        <v>100</v>
      </c>
      <c r="IG8" s="204">
        <f t="shared" si="22"/>
        <v>100</v>
      </c>
      <c r="IH8" s="204">
        <f t="shared" si="23"/>
        <v>100</v>
      </c>
      <c r="II8" s="204">
        <f t="shared" si="24"/>
        <v>100</v>
      </c>
      <c r="IJ8" s="204">
        <f t="shared" si="25"/>
        <v>100</v>
      </c>
      <c r="IK8" s="204">
        <f t="shared" si="26"/>
        <v>100</v>
      </c>
      <c r="IL8" s="204">
        <f t="shared" si="27"/>
        <v>100</v>
      </c>
      <c r="IM8" s="204">
        <f t="shared" si="28"/>
        <v>100.00002444482443</v>
      </c>
      <c r="IN8" s="204">
        <f t="shared" si="29"/>
        <v>99.999988063293173</v>
      </c>
      <c r="IO8" s="204">
        <f t="shared" si="30"/>
        <v>99.999999999999986</v>
      </c>
      <c r="IP8" s="204">
        <f t="shared" si="31"/>
        <v>100</v>
      </c>
    </row>
    <row r="9" spans="1:250" s="164" customFormat="1">
      <c r="A9" s="168" t="s">
        <v>27</v>
      </c>
      <c r="B9" s="62"/>
      <c r="C9" s="202">
        <f>('Expenditure DATA'!CQ11/'Expenditure DATA'!B11)*100</f>
        <v>8.8506427083718453</v>
      </c>
      <c r="D9" s="202">
        <f>('Expenditure DATA'!CR11/'Expenditure DATA'!C11)*100</f>
        <v>7.7516335405140815</v>
      </c>
      <c r="E9" s="202">
        <f>('Expenditure DATA'!CS11/'Expenditure DATA'!D11)*100</f>
        <v>7.7758187797743838</v>
      </c>
      <c r="F9" s="202">
        <f>('Expenditure DATA'!CT11/'Expenditure DATA'!E11)*100</f>
        <v>7.6482687085168202</v>
      </c>
      <c r="G9" s="202">
        <f>('Expenditure DATA'!CU11/'Expenditure DATA'!F11)*100</f>
        <v>6.258823827443198</v>
      </c>
      <c r="H9" s="202">
        <f>('Expenditure DATA'!CV11/'Expenditure DATA'!G11)*100</f>
        <v>5.7390154709265779</v>
      </c>
      <c r="I9" s="202">
        <f>('Expenditure DATA'!CW11/'Expenditure DATA'!H11)*100</f>
        <v>5.8286540051511082</v>
      </c>
      <c r="J9" s="202">
        <f>('Expenditure DATA'!CX11/'Expenditure DATA'!I11)*100</f>
        <v>6.5901509838186394</v>
      </c>
      <c r="K9" s="202">
        <f>('Expenditure DATA'!CY11/'Expenditure DATA'!J11)*100</f>
        <v>6.5092331817689963</v>
      </c>
      <c r="L9" s="202">
        <f>('Expenditure DATA'!CZ11/'Expenditure DATA'!K11)*100</f>
        <v>6.5025658708865643</v>
      </c>
      <c r="M9" s="202">
        <f>('Expenditure DATA'!DA11/'Expenditure DATA'!L11)*100</f>
        <v>6.496798792275718</v>
      </c>
      <c r="N9" s="202">
        <f>('Expenditure DATA'!DB11/'Expenditure DATA'!M11)*100</f>
        <v>6.3314730338600089</v>
      </c>
      <c r="O9" s="202">
        <f>('Expenditure DATA'!DC11/'Expenditure DATA'!N11)*100</f>
        <v>6.65548625728308</v>
      </c>
      <c r="P9" s="202">
        <f>('Expenditure DATA'!DD11/'Expenditure DATA'!O11)*100</f>
        <v>6.2502731281265973</v>
      </c>
      <c r="Q9" s="202">
        <f>('Expenditure DATA'!DE11/'Expenditure DATA'!P11)*100</f>
        <v>6.0957303009302972</v>
      </c>
      <c r="R9" s="202">
        <f>('Expenditure DATA'!DF11/'Expenditure DATA'!Q11)*100</f>
        <v>5.9871170763800459</v>
      </c>
      <c r="S9" s="202">
        <f>('Expenditure DATA'!DG11/'Expenditure DATA'!R11)*100</f>
        <v>6.2398559783925469</v>
      </c>
      <c r="T9" s="202">
        <f>('Expenditure DATA'!DH11/'Expenditure DATA'!S11)*100</f>
        <v>6.6563040055915543</v>
      </c>
      <c r="U9" s="202">
        <f>('Expenditure DATA'!DI11/'Expenditure DATA'!T11)*100</f>
        <v>6.7302577625584874</v>
      </c>
      <c r="V9" s="202">
        <f>('Expenditure DATA'!DJ11/'Expenditure DATA'!U11)*100</f>
        <v>6.6876242160334236</v>
      </c>
      <c r="W9" s="202">
        <f>('Expenditure DATA'!DK11/'Expenditure DATA'!V11)*100</f>
        <v>6.6507635607249487</v>
      </c>
      <c r="X9" s="202">
        <f>('Expenditure DATA'!DL11/'Expenditure DATA'!W11)*100</f>
        <v>6.6802625387659296</v>
      </c>
      <c r="Y9" s="202">
        <f>('Expenditure DATA'!DM11/'Expenditure DATA'!X11)*100</f>
        <v>6.7057542408837145</v>
      </c>
      <c r="Z9" s="202">
        <f>('Expenditure DATA'!DN11/'Expenditure DATA'!Y11)*100</f>
        <v>6.3618198318459926</v>
      </c>
      <c r="AA9" s="202">
        <f>('Expenditure DATA'!DO11/'Expenditure DATA'!Z11)*100</f>
        <v>6.0642065808801178</v>
      </c>
      <c r="AB9" s="202">
        <f>('Expenditure DATA'!DP11/'Expenditure DATA'!AA11)*100</f>
        <v>6.2321161235596323</v>
      </c>
      <c r="AC9" s="202">
        <f>('Expenditure DATA'!DQ11/'Expenditure DATA'!AB11)*100</f>
        <v>6.0863858443320034</v>
      </c>
      <c r="AD9" s="202">
        <f>('Expenditure DATA'!DR11/'Expenditure DATA'!AC11)*100</f>
        <v>6.4733013455036392</v>
      </c>
      <c r="AE9" s="202">
        <f>('Expenditure DATA'!DS11/'Expenditure DATA'!AD11)*100</f>
        <v>6.6791488524105382</v>
      </c>
      <c r="AF9" s="202">
        <f>('Expenditure DATA'!DT11/'Expenditure DATA'!AE11)*100</f>
        <v>6.9302305210235557</v>
      </c>
      <c r="AG9" s="464">
        <f>('Expenditure DATA'!DU11/'Expenditure DATA'!AF11)*100</f>
        <v>7.1031654140342031</v>
      </c>
      <c r="AH9" s="203">
        <f>('Expenditure DATA'!BL11/'Expenditure DATA'!B11)*100</f>
        <v>24.769228873196038</v>
      </c>
      <c r="AI9" s="202">
        <f>('Expenditure DATA'!BM11/'Expenditure DATA'!C11)*100</f>
        <v>25.599344307082848</v>
      </c>
      <c r="AJ9" s="202">
        <f>('Expenditure DATA'!BN11/'Expenditure DATA'!D11)*100</f>
        <v>24.642959984238207</v>
      </c>
      <c r="AK9" s="202">
        <f>('Expenditure DATA'!BO11/'Expenditure DATA'!E11)*100</f>
        <v>24.453136908010748</v>
      </c>
      <c r="AL9" s="202">
        <f>('Expenditure DATA'!BP11/'Expenditure DATA'!F11)*100</f>
        <v>24.67582146936677</v>
      </c>
      <c r="AM9" s="202">
        <f>('Expenditure DATA'!BQ11/'Expenditure DATA'!G11)*100</f>
        <v>24.380694781215663</v>
      </c>
      <c r="AN9" s="202">
        <f>('Expenditure DATA'!BR11/'Expenditure DATA'!H11)*100</f>
        <v>24.11134175223685</v>
      </c>
      <c r="AO9" s="202">
        <f>('Expenditure DATA'!BS11/'Expenditure DATA'!I11)*100</f>
        <v>23.959872424082572</v>
      </c>
      <c r="AP9" s="202">
        <f>('Expenditure DATA'!BT11/'Expenditure DATA'!J11)*100</f>
        <v>24.518805079208789</v>
      </c>
      <c r="AQ9" s="202">
        <f>('Expenditure DATA'!BU11/'Expenditure DATA'!K11)*100</f>
        <v>23.908114481241622</v>
      </c>
      <c r="AR9" s="202">
        <f>('Expenditure DATA'!BV11/'Expenditure DATA'!L11)*100</f>
        <v>23.37988042294046</v>
      </c>
      <c r="AS9" s="202">
        <f>('Expenditure DATA'!BW11/'Expenditure DATA'!M11)*100</f>
        <v>22.12832895795238</v>
      </c>
      <c r="AT9" s="202">
        <f>('Expenditure DATA'!BX11/'Expenditure DATA'!N11)*100</f>
        <v>20.953751441815875</v>
      </c>
      <c r="AU9" s="202">
        <f>('Expenditure DATA'!BY11/'Expenditure DATA'!O11)*100</f>
        <v>22.829573669367758</v>
      </c>
      <c r="AV9" s="202">
        <f>('Expenditure DATA'!BZ11/'Expenditure DATA'!P11)*100</f>
        <v>22.456143387761426</v>
      </c>
      <c r="AW9" s="202">
        <f>('Expenditure DATA'!CA11/'Expenditure DATA'!Q11)*100</f>
        <v>22.464261634150432</v>
      </c>
      <c r="AX9" s="202">
        <f>('Expenditure DATA'!CB11/'Expenditure DATA'!R11)*100</f>
        <v>22.242542893011869</v>
      </c>
      <c r="AY9" s="202">
        <f>('Expenditure DATA'!CC11/'Expenditure DATA'!S11)*100</f>
        <v>22.016578796525685</v>
      </c>
      <c r="AZ9" s="202">
        <f>('Expenditure DATA'!CD11/'Expenditure DATA'!T11)*100</f>
        <v>22.32470228780118</v>
      </c>
      <c r="BA9" s="202">
        <f>('Expenditure DATA'!CE11/'Expenditure DATA'!U11)*100</f>
        <v>21.817240860876591</v>
      </c>
      <c r="BB9" s="202">
        <f>('Expenditure DATA'!CF11/'Expenditure DATA'!V11)*100</f>
        <v>21.378493389346936</v>
      </c>
      <c r="BC9" s="202">
        <f>('Expenditure DATA'!CG11/'Expenditure DATA'!W11)*100</f>
        <v>21.29801682906519</v>
      </c>
      <c r="BD9" s="202">
        <f>('Expenditure DATA'!CH11/'Expenditure DATA'!X11)*100</f>
        <v>21.228472572334812</v>
      </c>
      <c r="BE9" s="202">
        <f>('Expenditure DATA'!CI11/'Expenditure DATA'!Y11)*100</f>
        <v>20.698472494260777</v>
      </c>
      <c r="BF9" s="202">
        <f>('Expenditure DATA'!CJ11/'Expenditure DATA'!Z11)*100</f>
        <v>21.190639451060722</v>
      </c>
      <c r="BG9" s="202">
        <f>('Expenditure DATA'!CK11/'Expenditure DATA'!AA11)*100</f>
        <v>22.350318650576426</v>
      </c>
      <c r="BH9" s="202">
        <f>('Expenditure DATA'!CL11/'Expenditure DATA'!AB11)*100</f>
        <v>22.012592599626366</v>
      </c>
      <c r="BI9" s="202">
        <f>('Expenditure DATA'!CM11/'Expenditure DATA'!AC11)*100</f>
        <v>20.390955986406887</v>
      </c>
      <c r="BJ9" s="202">
        <f>('Expenditure DATA'!CN11/'Expenditure DATA'!AD11)*100</f>
        <v>19.423494210255001</v>
      </c>
      <c r="BK9" s="202">
        <f>('Expenditure DATA'!CO11/'Expenditure DATA'!AE11)*100</f>
        <v>19.06445412896543</v>
      </c>
      <c r="BL9" s="464">
        <f>('Expenditure DATA'!CP11/'Expenditure DATA'!AF11)*100</f>
        <v>18.373687201889716</v>
      </c>
      <c r="BM9" s="203">
        <f>('Expenditure DATA'!AG11/'Expenditure DATA'!B11)*100</f>
        <v>35.17334023489974</v>
      </c>
      <c r="BN9" s="202">
        <f>('Expenditure DATA'!AH11/'Expenditure DATA'!C11)*100</f>
        <v>34.931584818887593</v>
      </c>
      <c r="BO9" s="202">
        <f>('Expenditure DATA'!AI11/'Expenditure DATA'!D11)*100</f>
        <v>34.749705729311373</v>
      </c>
      <c r="BP9" s="202">
        <f>('Expenditure DATA'!AJ11/'Expenditure DATA'!E11)*100</f>
        <v>34.775165959710421</v>
      </c>
      <c r="BQ9" s="202">
        <f>('Expenditure DATA'!AK11/'Expenditure DATA'!F11)*100</f>
        <v>33.633131520414928</v>
      </c>
      <c r="BR9" s="202">
        <f>('Expenditure DATA'!AL11/'Expenditure DATA'!G11)*100</f>
        <v>32.409106436031529</v>
      </c>
      <c r="BS9" s="202">
        <f>('Expenditure DATA'!AM11/'Expenditure DATA'!H11)*100</f>
        <v>32.121485307694883</v>
      </c>
      <c r="BT9" s="202">
        <f>('Expenditure DATA'!AN11/'Expenditure DATA'!I11)*100</f>
        <v>32.624493103940083</v>
      </c>
      <c r="BU9" s="202">
        <f>('Expenditure DATA'!AO11/'Expenditure DATA'!J11)*100</f>
        <v>33.203718984573079</v>
      </c>
      <c r="BV9" s="202">
        <f>('Expenditure DATA'!AP11/'Expenditure DATA'!K11)*100</f>
        <v>32.335194975296709</v>
      </c>
      <c r="BW9" s="202">
        <f>('Expenditure DATA'!AQ11/'Expenditure DATA'!L11)*100</f>
        <v>31.583940635244272</v>
      </c>
      <c r="BX9" s="202">
        <f>('Expenditure DATA'!AR11/'Expenditure DATA'!M11)*100</f>
        <v>29.960098595825819</v>
      </c>
      <c r="BY9" s="202">
        <f>('Expenditure DATA'!AS11/'Expenditure DATA'!N11)*100</f>
        <v>29.152806666249649</v>
      </c>
      <c r="BZ9" s="202">
        <f>('Expenditure DATA'!AT11/'Expenditure DATA'!O11)*100</f>
        <v>30.604937188096759</v>
      </c>
      <c r="CA9" s="202">
        <f>('Expenditure DATA'!AU11/'Expenditure DATA'!P11)*100</f>
        <v>30.083826647752215</v>
      </c>
      <c r="CB9" s="202">
        <f>('Expenditure DATA'!AV11/'Expenditure DATA'!Q11)*100</f>
        <v>29.997934366656654</v>
      </c>
      <c r="CC9" s="202">
        <f>('Expenditure DATA'!AW11/'Expenditure DATA'!R11)*100</f>
        <v>30.02874037311501</v>
      </c>
      <c r="CD9" s="202">
        <f>('Expenditure DATA'!AX11/'Expenditure DATA'!S11)*100</f>
        <v>30.208718743740921</v>
      </c>
      <c r="CE9" s="202">
        <f>('Expenditure DATA'!AY11/'Expenditure DATA'!T11)*100</f>
        <v>30.738001643369877</v>
      </c>
      <c r="CF9" s="202">
        <f>('Expenditure DATA'!AZ11/'Expenditure DATA'!U11)*100</f>
        <v>30.380090069026284</v>
      </c>
      <c r="CG9" s="202">
        <f>('Expenditure DATA'!BA11/'Expenditure DATA'!V11)*100</f>
        <v>30.070642316068717</v>
      </c>
      <c r="CH9" s="202">
        <f>('Expenditure DATA'!BB11/'Expenditure DATA'!W11)*100</f>
        <v>29.829662748810907</v>
      </c>
      <c r="CI9" s="202">
        <f>('Expenditure DATA'!BC11/'Expenditure DATA'!X11)*100</f>
        <v>29.621418946721413</v>
      </c>
      <c r="CJ9" s="202">
        <f>('Expenditure DATA'!BD11/'Expenditure DATA'!Y11)*100</f>
        <v>28.947313330353857</v>
      </c>
      <c r="CK9" s="202">
        <f>('Expenditure DATA'!BE11/'Expenditure DATA'!Z11)*100</f>
        <v>29.273502559572819</v>
      </c>
      <c r="CL9" s="202">
        <f>('Expenditure DATA'!BF11/'Expenditure DATA'!AA11)*100</f>
        <v>30.682785415774642</v>
      </c>
      <c r="CM9" s="202">
        <f>('Expenditure DATA'!BG11/'Expenditure DATA'!AB11)*100</f>
        <v>30.322116126328353</v>
      </c>
      <c r="CN9" s="202">
        <f>('Expenditure DATA'!BH11/'Expenditure DATA'!AC11)*100</f>
        <v>29.076511055528538</v>
      </c>
      <c r="CO9" s="202">
        <f>('Expenditure DATA'!BI11/'Expenditure DATA'!AD11)*100</f>
        <v>28.538715502687197</v>
      </c>
      <c r="CP9" s="202">
        <f>('Expenditure DATA'!BJ11/'Expenditure DATA'!AE11)*100</f>
        <v>28.50457132407583</v>
      </c>
      <c r="CQ9" s="464">
        <f>('Expenditure DATA'!BK11/'Expenditure DATA'!AF11)*100</f>
        <v>28.182949720250022</v>
      </c>
      <c r="CR9" s="203">
        <f>('Expenditure DATA'!FA11/'Expenditure DATA'!B11)*100</f>
        <v>19.622015996845001</v>
      </c>
      <c r="CS9" s="202">
        <f>('Expenditure DATA'!FB11/'Expenditure DATA'!C11)*100</f>
        <v>19.961068233044191</v>
      </c>
      <c r="CT9" s="202">
        <f>('Expenditure DATA'!FC11/'Expenditure DATA'!D11)*100</f>
        <v>19.240503771211483</v>
      </c>
      <c r="CU9" s="202">
        <f>('Expenditure DATA'!FD11/'Expenditure DATA'!E11)*100</f>
        <v>18.713753533656497</v>
      </c>
      <c r="CV9" s="202">
        <f>('Expenditure DATA'!FE11/'Expenditure DATA'!F11)*100</f>
        <v>18.301443546806411</v>
      </c>
      <c r="CW9" s="202">
        <f>('Expenditure DATA'!FF11/'Expenditure DATA'!G11)*100</f>
        <v>17.697465744428889</v>
      </c>
      <c r="CX9" s="202">
        <f>('Expenditure DATA'!FG11/'Expenditure DATA'!H11)*100</f>
        <v>17.40054811247396</v>
      </c>
      <c r="CY9" s="202">
        <f>('Expenditure DATA'!FH11/'Expenditure DATA'!I11)*100</f>
        <v>17.877153138939235</v>
      </c>
      <c r="CZ9" s="202">
        <f>('Expenditure DATA'!FI11/'Expenditure DATA'!J11)*100</f>
        <v>18.784249466928845</v>
      </c>
      <c r="DA9" s="202">
        <f>('Expenditure DATA'!FJ11/'Expenditure DATA'!K11)*100</f>
        <v>20.208287268179753</v>
      </c>
      <c r="DB9" s="202">
        <f>('Expenditure DATA'!FK11/'Expenditure DATA'!L11)*100</f>
        <v>21.440048931832358</v>
      </c>
      <c r="DC9" s="202">
        <f>('Expenditure DATA'!FL11/'Expenditure DATA'!M11)*100</f>
        <v>22.708481926983637</v>
      </c>
      <c r="DD9" s="202">
        <f>('Expenditure DATA'!FM11/'Expenditure DATA'!N11)*100</f>
        <v>21.84876214820579</v>
      </c>
      <c r="DE9" s="202">
        <f>('Expenditure DATA'!FN11/'Expenditure DATA'!O11)*100</f>
        <v>22.243667037466651</v>
      </c>
      <c r="DF9" s="202">
        <f>('Expenditure DATA'!FO11/'Expenditure DATA'!P11)*100</f>
        <v>22.122580655352529</v>
      </c>
      <c r="DG9" s="202">
        <f>('Expenditure DATA'!FP11/'Expenditure DATA'!Q11)*100</f>
        <v>21.859487203566204</v>
      </c>
      <c r="DH9" s="202">
        <f>('Expenditure DATA'!FQ11/'Expenditure DATA'!R11)*100</f>
        <v>21.504784382230564</v>
      </c>
      <c r="DI9" s="202">
        <f>('Expenditure DATA'!FR11/'Expenditure DATA'!S11)*100</f>
        <v>21.684304563953994</v>
      </c>
      <c r="DJ9" s="202">
        <f>('Expenditure DATA'!FS11/'Expenditure DATA'!T11)*100</f>
        <v>22.368865943958475</v>
      </c>
      <c r="DK9" s="202">
        <f>('Expenditure DATA'!FT11/'Expenditure DATA'!U11)*100</f>
        <v>22.779502565079493</v>
      </c>
      <c r="DL9" s="202">
        <f>('Expenditure DATA'!FU11/'Expenditure DATA'!V11)*100</f>
        <v>23.13453601131835</v>
      </c>
      <c r="DM9" s="202">
        <f>('Expenditure DATA'!FV11/'Expenditure DATA'!W11)*100</f>
        <v>24.051745199876823</v>
      </c>
      <c r="DN9" s="202">
        <f>('Expenditure DATA'!FW11/'Expenditure DATA'!X11)*100</f>
        <v>24.844356502612282</v>
      </c>
      <c r="DO9" s="202">
        <f>('Expenditure DATA'!FX11/'Expenditure DATA'!Y11)*100</f>
        <v>23.400813691957243</v>
      </c>
      <c r="DP9" s="202">
        <f>('Expenditure DATA'!FY11/'Expenditure DATA'!Z11)*100</f>
        <v>22.855717445252445</v>
      </c>
      <c r="DQ9" s="202">
        <f>('Expenditure DATA'!FZ11/'Expenditure DATA'!AA11)*100</f>
        <v>22.508347914184277</v>
      </c>
      <c r="DR9" s="202">
        <f>('Expenditure DATA'!GA11/'Expenditure DATA'!AB11)*100</f>
        <v>23.016035528101703</v>
      </c>
      <c r="DS9" s="202">
        <f>('Expenditure DATA'!GB11/'Expenditure DATA'!AC11)*100</f>
        <v>23.819206637898301</v>
      </c>
      <c r="DT9" s="202">
        <f>('Expenditure DATA'!GC11/'Expenditure DATA'!AD11)*100</f>
        <v>26.072369838363478</v>
      </c>
      <c r="DU9" s="202">
        <f>('Expenditure DATA'!GD11/'Expenditure DATA'!AE11)*100</f>
        <v>26.810199956213605</v>
      </c>
      <c r="DV9" s="464">
        <f>('Expenditure DATA'!GE11/'Expenditure DATA'!AF11)*100</f>
        <v>27.164016986858748</v>
      </c>
      <c r="DW9" s="203">
        <f>('Expenditure DATA'!GF11/'Expenditure DATA'!B11)*100</f>
        <v>31.748437904388659</v>
      </c>
      <c r="DX9" s="202">
        <f>('Expenditure DATA'!GG11/'Expenditure DATA'!C11)*100</f>
        <v>31.058898526967649</v>
      </c>
      <c r="DY9" s="202">
        <f>('Expenditure DATA'!GH11/'Expenditure DATA'!D11)*100</f>
        <v>30.72337544898382</v>
      </c>
      <c r="DZ9" s="202">
        <f>('Expenditure DATA'!GI11/'Expenditure DATA'!E11)*100</f>
        <v>30.044529155624129</v>
      </c>
      <c r="EA9" s="202">
        <f>('Expenditure DATA'!GJ11/'Expenditure DATA'!F11)*100</f>
        <v>31.597231816657935</v>
      </c>
      <c r="EB9" s="202">
        <f>('Expenditure DATA'!GK11/'Expenditure DATA'!G11)*100</f>
        <v>31.32831238883514</v>
      </c>
      <c r="EC9" s="202">
        <f>('Expenditure DATA'!GL11/'Expenditure DATA'!H11)*100</f>
        <v>32.083546138247279</v>
      </c>
      <c r="ED9" s="202">
        <f>('Expenditure DATA'!GM11/'Expenditure DATA'!I11)*100</f>
        <v>31.517466406673606</v>
      </c>
      <c r="EE9" s="202">
        <f>('Expenditure DATA'!GN11/'Expenditure DATA'!J11)*100</f>
        <v>30.647937053283247</v>
      </c>
      <c r="EF9" s="202">
        <f>('Expenditure DATA'!GO11/'Expenditure DATA'!K11)*100</f>
        <v>30.708055486080866</v>
      </c>
      <c r="EG9" s="202">
        <f>('Expenditure DATA'!GP11/'Expenditure DATA'!L11)*100</f>
        <v>30.760056620274025</v>
      </c>
      <c r="EH9" s="202">
        <f>('Expenditure DATA'!GQ11/'Expenditure DATA'!M11)*100</f>
        <v>30.260501742118549</v>
      </c>
      <c r="EI9" s="202">
        <f>('Expenditure DATA'!GR11/'Expenditure DATA'!N11)*100</f>
        <v>31.607374318822533</v>
      </c>
      <c r="EJ9" s="202">
        <f>('Expenditure DATA'!GS11/'Expenditure DATA'!O11)*100</f>
        <v>31.472567646498057</v>
      </c>
      <c r="EK9" s="202">
        <f>('Expenditure DATA'!GT11/'Expenditure DATA'!P11)*100</f>
        <v>32.157060284194657</v>
      </c>
      <c r="EL9" s="202">
        <f>('Expenditure DATA'!GU11/'Expenditure DATA'!Q11)*100</f>
        <v>32.232957212315462</v>
      </c>
      <c r="EM9" s="202">
        <f>('Expenditure DATA'!GV11/'Expenditure DATA'!R11)*100</f>
        <v>32.659880639124005</v>
      </c>
      <c r="EN9" s="202">
        <f>('Expenditure DATA'!GW11/'Expenditure DATA'!S11)*100</f>
        <v>32.293359793797357</v>
      </c>
      <c r="EO9" s="202">
        <f>('Expenditure DATA'!GX11/'Expenditure DATA'!T11)*100</f>
        <v>31.988884640893534</v>
      </c>
      <c r="EP9" s="202">
        <f>('Expenditure DATA'!GY11/'Expenditure DATA'!U11)*100</f>
        <v>32.022258764293596</v>
      </c>
      <c r="EQ9" s="202">
        <f>('Expenditure DATA'!GZ11/'Expenditure DATA'!V11)*100</f>
        <v>32.051113789482486</v>
      </c>
      <c r="ER9" s="202">
        <f>('Expenditure DATA'!HA11/'Expenditure DATA'!W11)*100</f>
        <v>31.540880752904915</v>
      </c>
      <c r="ES9" s="202">
        <f>('Expenditure DATA'!HB11/'Expenditure DATA'!X11)*100</f>
        <v>31.099960102670256</v>
      </c>
      <c r="ET9" s="202">
        <f>('Expenditure DATA'!HC11/'Expenditure DATA'!Y11)*100</f>
        <v>30.245229773959263</v>
      </c>
      <c r="EU9" s="202">
        <f>('Expenditure DATA'!HD11/'Expenditure DATA'!Z11)*100</f>
        <v>30.314683534822461</v>
      </c>
      <c r="EV9" s="202">
        <f>('Expenditure DATA'!HE11/'Expenditure DATA'!AA11)*100</f>
        <v>31.691577132265152</v>
      </c>
      <c r="EW9" s="202">
        <f>('Expenditure DATA'!HF11/'Expenditure DATA'!AB11)*100</f>
        <v>31.855642734079261</v>
      </c>
      <c r="EX9" s="202">
        <f>('Expenditure DATA'!HG11/'Expenditure DATA'!AC11)*100</f>
        <v>31.903926191218691</v>
      </c>
      <c r="EY9" s="202">
        <f>('Expenditure DATA'!HH11/'Expenditure DATA'!AD11)*100</f>
        <v>31.188679403663883</v>
      </c>
      <c r="EZ9" s="202">
        <f>('Expenditure DATA'!HI11/'Expenditure DATA'!AE11)*100</f>
        <v>30.759507000275427</v>
      </c>
      <c r="FA9" s="464">
        <f>('Expenditure DATA'!HJ11/'Expenditure DATA'!AF11)*100</f>
        <v>30.323554415330495</v>
      </c>
      <c r="FB9" s="203">
        <f>('Expenditure DATA'!HK11/'Expenditure DATA'!B11)*100</f>
        <v>5.338854586460605</v>
      </c>
      <c r="FC9" s="202">
        <f>('Expenditure DATA'!HL11/'Expenditure DATA'!C11)*100</f>
        <v>5.4561391526079728</v>
      </c>
      <c r="FD9" s="202">
        <f>('Expenditure DATA'!HM11/'Expenditure DATA'!D11)*100</f>
        <v>5.8126670270324876</v>
      </c>
      <c r="FE9" s="202">
        <f>('Expenditure DATA'!HN11/'Expenditure DATA'!E11)*100</f>
        <v>5.6086725004728333</v>
      </c>
      <c r="FF9" s="202">
        <f>('Expenditure DATA'!HO11/'Expenditure DATA'!F11)*100</f>
        <v>5.8707337491414426</v>
      </c>
      <c r="FG9" s="202">
        <f>('Expenditure DATA'!HP11/'Expenditure DATA'!G11)*100</f>
        <v>6.663777672784196</v>
      </c>
      <c r="FH9" s="202">
        <f>('Expenditure DATA'!HQ11/'Expenditure DATA'!H11)*100</f>
        <v>5.9370801912380387</v>
      </c>
      <c r="FI9" s="202">
        <f>('Expenditure DATA'!HR11/'Expenditure DATA'!I11)*100</f>
        <v>6.0029515994033948</v>
      </c>
      <c r="FJ9" s="202">
        <f>('Expenditure DATA'!HS11/'Expenditure DATA'!J11)*100</f>
        <v>5.698810444652862</v>
      </c>
      <c r="FK9" s="202">
        <f>('Expenditure DATA'!HT11/'Expenditure DATA'!K11)*100</f>
        <v>5.7518909075517906</v>
      </c>
      <c r="FL9" s="202">
        <f>('Expenditure DATA'!HU11/'Expenditure DATA'!L11)*100</f>
        <v>5.7978043511629096</v>
      </c>
      <c r="FM9" s="202">
        <f>('Expenditure DATA'!HV11/'Expenditure DATA'!M11)*100</f>
        <v>5.7643473628079294</v>
      </c>
      <c r="FN9" s="202">
        <f>('Expenditure DATA'!HW11/'Expenditure DATA'!N11)*100</f>
        <v>5.7708979122994695</v>
      </c>
      <c r="FO9" s="202">
        <f>('Expenditure DATA'!HX11/'Expenditure DATA'!O11)*100</f>
        <v>5.4856959546773751</v>
      </c>
      <c r="FP9" s="202">
        <f>('Expenditure DATA'!HY11/'Expenditure DATA'!P11)*100</f>
        <v>5.5170993250388545</v>
      </c>
      <c r="FQ9" s="202">
        <f>('Expenditure DATA'!HZ11/'Expenditure DATA'!Q11)*100</f>
        <v>5.8784967064413687</v>
      </c>
      <c r="FR9" s="202">
        <f>('Expenditure DATA'!IA11/'Expenditure DATA'!R11)*100</f>
        <v>5.9625378024083631</v>
      </c>
      <c r="FS9" s="202">
        <f>('Expenditure DATA'!IB11/'Expenditure DATA'!S11)*100</f>
        <v>5.9861573972001159</v>
      </c>
      <c r="FT9" s="202">
        <f>('Expenditure DATA'!IC11/'Expenditure DATA'!T11)*100</f>
        <v>5.9057769836970628</v>
      </c>
      <c r="FU9" s="202">
        <f>('Expenditure DATA'!ID11/'Expenditure DATA'!U11)*100</f>
        <v>5.7476520202736978</v>
      </c>
      <c r="FV9" s="202">
        <f>('Expenditure DATA'!IE11/'Expenditure DATA'!V11)*100</f>
        <v>5.6109383230215313</v>
      </c>
      <c r="FW9" s="202">
        <f>('Expenditure DATA'!IF11/'Expenditure DATA'!W11)*100</f>
        <v>5.7201804116126995</v>
      </c>
      <c r="FX9" s="202">
        <f>('Expenditure DATA'!IG11/'Expenditure DATA'!X11)*100</f>
        <v>5.8145825558911168</v>
      </c>
      <c r="FY9" s="202">
        <f>('Expenditure DATA'!IH11/'Expenditure DATA'!Y11)*100</f>
        <v>5.7412665191843333</v>
      </c>
      <c r="FZ9" s="202">
        <f>('Expenditure DATA'!II11/'Expenditure DATA'!Z11)*100</f>
        <v>5.9270636181994512</v>
      </c>
      <c r="GA9" s="202">
        <f>('Expenditure DATA'!IJ11/'Expenditure DATA'!AA11)*100</f>
        <v>6.0910982354804899</v>
      </c>
      <c r="GB9" s="202">
        <f>('Expenditure DATA'!IK11/'Expenditure DATA'!AB11)*100</f>
        <v>6.0144078102727221</v>
      </c>
      <c r="GC9" s="202">
        <f>('Expenditure DATA'!IL11/'Expenditure DATA'!AC11)*100</f>
        <v>5.3544157769469702</v>
      </c>
      <c r="GD9" s="202">
        <f>('Expenditure DATA'!IM11/'Expenditure DATA'!AD11)*100</f>
        <v>5.2464728667536615</v>
      </c>
      <c r="GE9" s="202">
        <f>('Expenditure DATA'!IN11/'Expenditure DATA'!AE11)*100</f>
        <v>5.0501137686041186</v>
      </c>
      <c r="GF9" s="464">
        <f>('Expenditure DATA'!IO11/'Expenditure DATA'!AF11)*100</f>
        <v>4.869910418858062</v>
      </c>
      <c r="GG9" s="203">
        <f>('Expenditure DATA'!IP11/'Expenditure DATA'!B11)*100</f>
        <v>8.117967488692523</v>
      </c>
      <c r="GH9" s="202">
        <f>('Expenditure DATA'!IQ11/'Expenditure DATA'!C11)*100</f>
        <v>8.5923092684925884</v>
      </c>
      <c r="GI9" s="202">
        <f>('Expenditure DATA'!IR11/'Expenditure DATA'!D11)*100</f>
        <v>9.4752635806554277</v>
      </c>
      <c r="GJ9" s="202">
        <f>('Expenditure DATA'!IS11/'Expenditure DATA'!E11)*100</f>
        <v>10.857878850536114</v>
      </c>
      <c r="GK9" s="202">
        <f>('Expenditure DATA'!IT11/'Expenditure DATA'!F11)*100</f>
        <v>10.597471468574115</v>
      </c>
      <c r="GL9" s="202">
        <f>('Expenditure DATA'!IU11/'Expenditure DATA'!G11)*100</f>
        <v>11.901337757920258</v>
      </c>
      <c r="GM9" s="202">
        <f>('Expenditure DATA'!IV11/'Expenditure DATA'!H11)*100</f>
        <v>12.457340250345842</v>
      </c>
      <c r="GN9" s="202">
        <f>('Expenditure DATA'!IW11/'Expenditure DATA'!I11)*100</f>
        <v>11.977935751043688</v>
      </c>
      <c r="GO9" s="202">
        <f>('Expenditure DATA'!IX11/'Expenditure DATA'!J11)*100</f>
        <v>11.665284050561976</v>
      </c>
      <c r="GP9" s="202">
        <f>('Expenditure DATA'!IY11/'Expenditure DATA'!K11)*100</f>
        <v>10.996571362890881</v>
      </c>
      <c r="GQ9" s="202">
        <f>('Expenditure DATA'!IZ11/'Expenditure DATA'!L11)*100</f>
        <v>10.41814946148644</v>
      </c>
      <c r="GR9" s="202">
        <f>('Expenditure DATA'!JA11/'Expenditure DATA'!M11)*100</f>
        <v>11.306570372264062</v>
      </c>
      <c r="GS9" s="202">
        <f>('Expenditure DATA'!JB11/'Expenditure DATA'!N11)*100</f>
        <v>11.620158954422575</v>
      </c>
      <c r="GT9" s="202">
        <f>('Expenditure DATA'!JC11/'Expenditure DATA'!O11)*100</f>
        <v>10.193132173261157</v>
      </c>
      <c r="GU9" s="202">
        <f>('Expenditure DATA'!JD11/'Expenditure DATA'!P11)*100</f>
        <v>10.119433087661756</v>
      </c>
      <c r="GV9" s="202">
        <f>('Expenditure DATA'!JE11/'Expenditure DATA'!Q11)*100</f>
        <v>10.031124511020312</v>
      </c>
      <c r="GW9" s="202">
        <f>('Expenditure DATA'!JF11/'Expenditure DATA'!R11)*100</f>
        <v>9.8440568031220526</v>
      </c>
      <c r="GX9" s="202">
        <f>('Expenditure DATA'!JG11/'Expenditure DATA'!S11)*100</f>
        <v>9.8274595013076276</v>
      </c>
      <c r="GY9" s="202">
        <f>('Expenditure DATA'!JH11/'Expenditure DATA'!T11)*100</f>
        <v>8.998470788081061</v>
      </c>
      <c r="GZ9" s="202">
        <f>('Expenditure DATA'!JI11/'Expenditure DATA'!U11)*100</f>
        <v>9.0704965813269336</v>
      </c>
      <c r="HA9" s="202">
        <f>('Expenditure DATA'!JJ11/'Expenditure DATA'!V11)*100</f>
        <v>9.1327695601089101</v>
      </c>
      <c r="HB9" s="202">
        <f>('Expenditure DATA'!JK11/'Expenditure DATA'!W11)*100</f>
        <v>8.8575308867946472</v>
      </c>
      <c r="HC9" s="202">
        <f>('Expenditure DATA'!JL11/'Expenditure DATA'!X11)*100</f>
        <v>8.6196818921049392</v>
      </c>
      <c r="HD9" s="202">
        <f>('Expenditure DATA'!JM11/'Expenditure DATA'!Y11)*100</f>
        <v>11.665376684545304</v>
      </c>
      <c r="HE9" s="202">
        <f>('Expenditure DATA'!JN11/'Expenditure DATA'!Z11)*100</f>
        <v>11.629032842152826</v>
      </c>
      <c r="HF9" s="202">
        <f>('Expenditure DATA'!JO11/'Expenditure DATA'!AA11)*100</f>
        <v>9.0261913022954339</v>
      </c>
      <c r="HG9" s="202">
        <f>('Expenditure DATA'!JP11/'Expenditure DATA'!AB11)*100</f>
        <v>8.7917978012179709</v>
      </c>
      <c r="HH9" s="202">
        <f>('Expenditure DATA'!JQ11/'Expenditure DATA'!AC11)*100</f>
        <v>9.8459381627626179</v>
      </c>
      <c r="HI9" s="202">
        <f>('Expenditure DATA'!JR11/'Expenditure DATA'!AD11)*100</f>
        <v>8.9537616566934535</v>
      </c>
      <c r="HJ9" s="202">
        <f>('Expenditure DATA'!JS11/'Expenditure DATA'!AE11)*100</f>
        <v>8.8756079508310375</v>
      </c>
      <c r="HK9" s="464">
        <f>('Expenditure DATA'!JT11/'Expenditure DATA'!AF11)*100</f>
        <v>9.459568458702666</v>
      </c>
      <c r="HL9" s="203">
        <f t="shared" si="1"/>
        <v>100.00061621128653</v>
      </c>
      <c r="HM9" s="204">
        <f t="shared" si="2"/>
        <v>100</v>
      </c>
      <c r="HN9" s="204">
        <f t="shared" si="3"/>
        <v>100.00151555719458</v>
      </c>
      <c r="HO9" s="204">
        <f t="shared" si="4"/>
        <v>100</v>
      </c>
      <c r="HP9" s="204">
        <f t="shared" si="5"/>
        <v>100.00001210159482</v>
      </c>
      <c r="HQ9" s="204">
        <f t="shared" si="6"/>
        <v>100.00000000000001</v>
      </c>
      <c r="HR9" s="204">
        <f t="shared" si="7"/>
        <v>99.999999999999986</v>
      </c>
      <c r="HS9" s="204">
        <f t="shared" si="8"/>
        <v>100</v>
      </c>
      <c r="HT9" s="204">
        <f t="shared" si="9"/>
        <v>100.00000000000001</v>
      </c>
      <c r="HU9" s="204">
        <f t="shared" si="10"/>
        <v>100</v>
      </c>
      <c r="HV9" s="204">
        <f t="shared" si="11"/>
        <v>100</v>
      </c>
      <c r="HW9" s="204">
        <f t="shared" si="12"/>
        <v>100</v>
      </c>
      <c r="HX9" s="204">
        <f t="shared" si="13"/>
        <v>100.00000000000003</v>
      </c>
      <c r="HY9" s="204">
        <f t="shared" si="14"/>
        <v>99.999999999999986</v>
      </c>
      <c r="HZ9" s="204">
        <f t="shared" si="15"/>
        <v>100.00000000000001</v>
      </c>
      <c r="IA9" s="204">
        <f t="shared" si="16"/>
        <v>100</v>
      </c>
      <c r="IB9" s="204">
        <f t="shared" si="17"/>
        <v>100</v>
      </c>
      <c r="IC9" s="204">
        <f t="shared" si="18"/>
        <v>100.00000000000003</v>
      </c>
      <c r="ID9" s="204">
        <f t="shared" si="19"/>
        <v>100.00000000000001</v>
      </c>
      <c r="IE9" s="204">
        <f t="shared" si="20"/>
        <v>100.00000000000001</v>
      </c>
      <c r="IF9" s="204">
        <f t="shared" si="21"/>
        <v>100</v>
      </c>
      <c r="IG9" s="204">
        <f t="shared" si="22"/>
        <v>100</v>
      </c>
      <c r="IH9" s="204">
        <f t="shared" si="23"/>
        <v>100</v>
      </c>
      <c r="II9" s="204">
        <f t="shared" si="24"/>
        <v>100.00000000000001</v>
      </c>
      <c r="IJ9" s="204">
        <f t="shared" si="25"/>
        <v>100</v>
      </c>
      <c r="IK9" s="204">
        <f t="shared" si="26"/>
        <v>99.999999999999986</v>
      </c>
      <c r="IL9" s="204">
        <f t="shared" si="27"/>
        <v>100</v>
      </c>
      <c r="IM9" s="204">
        <f t="shared" si="28"/>
        <v>99.99999782435512</v>
      </c>
      <c r="IN9" s="204">
        <f t="shared" si="29"/>
        <v>99.999999268161687</v>
      </c>
      <c r="IO9" s="204">
        <f t="shared" si="30"/>
        <v>100.00000000000003</v>
      </c>
      <c r="IP9" s="204">
        <f t="shared" si="31"/>
        <v>99.999999999999986</v>
      </c>
    </row>
    <row r="10" spans="1:250" s="164" customFormat="1">
      <c r="A10" s="168" t="s">
        <v>28</v>
      </c>
      <c r="B10" s="62"/>
      <c r="C10" s="202">
        <f>('Expenditure DATA'!CQ12/'Expenditure DATA'!B12)*100</f>
        <v>8.2273391039343071</v>
      </c>
      <c r="D10" s="202">
        <f>('Expenditure DATA'!CR12/'Expenditure DATA'!C12)*100</f>
        <v>8.2821396829737584</v>
      </c>
      <c r="E10" s="202">
        <f>('Expenditure DATA'!CS12/'Expenditure DATA'!D12)*100</f>
        <v>9.4205958245367114</v>
      </c>
      <c r="F10" s="202">
        <f>('Expenditure DATA'!CT12/'Expenditure DATA'!E12)*100</f>
        <v>9.8139353943969994</v>
      </c>
      <c r="G10" s="202">
        <f>('Expenditure DATA'!CU12/'Expenditure DATA'!F12)*100</f>
        <v>9.5662506453506122</v>
      </c>
      <c r="H10" s="202">
        <f>('Expenditure DATA'!CV12/'Expenditure DATA'!G12)*100</f>
        <v>7.9218608421444543</v>
      </c>
      <c r="I10" s="202">
        <f>('Expenditure DATA'!CW12/'Expenditure DATA'!H12)*100</f>
        <v>7.4959476364336242</v>
      </c>
      <c r="J10" s="202">
        <f>('Expenditure DATA'!CX12/'Expenditure DATA'!I12)*100</f>
        <v>7.6338202534496604</v>
      </c>
      <c r="K10" s="202">
        <f>('Expenditure DATA'!CY12/'Expenditure DATA'!J12)*100</f>
        <v>7.6267955899239626</v>
      </c>
      <c r="L10" s="202">
        <f>('Expenditure DATA'!CZ12/'Expenditure DATA'!K12)*100</f>
        <v>7.3055760015971121</v>
      </c>
      <c r="M10" s="202">
        <f>('Expenditure DATA'!DA12/'Expenditure DATA'!L12)*100</f>
        <v>7.0232180116449525</v>
      </c>
      <c r="N10" s="202">
        <f>('Expenditure DATA'!DB12/'Expenditure DATA'!M12)*100</f>
        <v>7.0648078939605368</v>
      </c>
      <c r="O10" s="202">
        <f>('Expenditure DATA'!DC12/'Expenditure DATA'!N12)*100</f>
        <v>7.6273297278431089</v>
      </c>
      <c r="P10" s="202">
        <f>('Expenditure DATA'!DD12/'Expenditure DATA'!O12)*100</f>
        <v>8.1938020744157711</v>
      </c>
      <c r="Q10" s="202">
        <f>('Expenditure DATA'!DE12/'Expenditure DATA'!P12)*100</f>
        <v>7.7784215988534706</v>
      </c>
      <c r="R10" s="202">
        <f>('Expenditure DATA'!DF12/'Expenditure DATA'!Q12)*100</f>
        <v>7.7762403793228856</v>
      </c>
      <c r="S10" s="202">
        <f>('Expenditure DATA'!DG12/'Expenditure DATA'!R12)*100</f>
        <v>8.2980667076619952</v>
      </c>
      <c r="T10" s="202">
        <f>('Expenditure DATA'!DH12/'Expenditure DATA'!S12)*100</f>
        <v>8.7545956857096865</v>
      </c>
      <c r="U10" s="202">
        <f>('Expenditure DATA'!DI12/'Expenditure DATA'!T12)*100</f>
        <v>8.8327899579940841</v>
      </c>
      <c r="V10" s="202">
        <f>('Expenditure DATA'!DJ12/'Expenditure DATA'!U12)*100</f>
        <v>8.7370839280027131</v>
      </c>
      <c r="W10" s="202">
        <f>('Expenditure DATA'!DK12/'Expenditure DATA'!V12)*100</f>
        <v>8.6560117219460224</v>
      </c>
      <c r="X10" s="202">
        <f>('Expenditure DATA'!DL12/'Expenditure DATA'!W12)*100</f>
        <v>8.7954965111542478</v>
      </c>
      <c r="Y10" s="202">
        <f>('Expenditure DATA'!DM12/'Expenditure DATA'!X12)*100</f>
        <v>8.9203682984568751</v>
      </c>
      <c r="Z10" s="202">
        <f>('Expenditure DATA'!DN12/'Expenditure DATA'!Y12)*100</f>
        <v>8.7485262573911982</v>
      </c>
      <c r="AA10" s="202">
        <f>('Expenditure DATA'!DO12/'Expenditure DATA'!Z12)*100</f>
        <v>8.1919078101984244</v>
      </c>
      <c r="AB10" s="202">
        <f>('Expenditure DATA'!DP12/'Expenditure DATA'!AA12)*100</f>
        <v>7.517262859968425</v>
      </c>
      <c r="AC10" s="202">
        <f>('Expenditure DATA'!DQ12/'Expenditure DATA'!AB12)*100</f>
        <v>8.4284157384418084</v>
      </c>
      <c r="AD10" s="202">
        <f>('Expenditure DATA'!DR12/'Expenditure DATA'!AC12)*100</f>
        <v>8.6857273648411404</v>
      </c>
      <c r="AE10" s="202">
        <f>('Expenditure DATA'!DS12/'Expenditure DATA'!AD12)*100</f>
        <v>8.5326831253775435</v>
      </c>
      <c r="AF10" s="202">
        <f>('Expenditure DATA'!DT12/'Expenditure DATA'!AE12)*100</f>
        <v>8.9956782293503093</v>
      </c>
      <c r="AG10" s="464">
        <f>('Expenditure DATA'!DU12/'Expenditure DATA'!AF12)*100</f>
        <v>9.7132948053479691</v>
      </c>
      <c r="AH10" s="203">
        <f>('Expenditure DATA'!BL12/'Expenditure DATA'!B12)*100</f>
        <v>23.282046940805483</v>
      </c>
      <c r="AI10" s="202">
        <f>('Expenditure DATA'!BM12/'Expenditure DATA'!C12)*100</f>
        <v>22.938010919141703</v>
      </c>
      <c r="AJ10" s="202">
        <f>('Expenditure DATA'!BN12/'Expenditure DATA'!D12)*100</f>
        <v>22.612244897959187</v>
      </c>
      <c r="AK10" s="202">
        <f>('Expenditure DATA'!BO12/'Expenditure DATA'!E12)*100</f>
        <v>23.467695626786391</v>
      </c>
      <c r="AL10" s="202">
        <f>('Expenditure DATA'!BP12/'Expenditure DATA'!F12)*100</f>
        <v>23.936829793473652</v>
      </c>
      <c r="AM10" s="202">
        <f>('Expenditure DATA'!BQ12/'Expenditure DATA'!G12)*100</f>
        <v>25.980162840988889</v>
      </c>
      <c r="AN10" s="202">
        <f>('Expenditure DATA'!BR12/'Expenditure DATA'!H12)*100</f>
        <v>26.450511043431142</v>
      </c>
      <c r="AO10" s="202">
        <f>('Expenditure DATA'!BS12/'Expenditure DATA'!I12)*100</f>
        <v>26.059709481922784</v>
      </c>
      <c r="AP10" s="202">
        <f>('Expenditure DATA'!BT12/'Expenditure DATA'!J12)*100</f>
        <v>25.939993316462644</v>
      </c>
      <c r="AQ10" s="202">
        <f>('Expenditure DATA'!BU12/'Expenditure DATA'!K12)*100</f>
        <v>25.087825123310164</v>
      </c>
      <c r="AR10" s="202">
        <f>('Expenditure DATA'!BV12/'Expenditure DATA'!L12)*100</f>
        <v>24.338753438818543</v>
      </c>
      <c r="AS10" s="202">
        <f>('Expenditure DATA'!BW12/'Expenditure DATA'!M12)*100</f>
        <v>24.511834550808583</v>
      </c>
      <c r="AT10" s="202">
        <f>('Expenditure DATA'!BX12/'Expenditure DATA'!N12)*100</f>
        <v>24.638664100046505</v>
      </c>
      <c r="AU10" s="202">
        <f>('Expenditure DATA'!BY12/'Expenditure DATA'!O12)*100</f>
        <v>24.253780611434465</v>
      </c>
      <c r="AV10" s="202">
        <f>('Expenditure DATA'!BZ12/'Expenditure DATA'!P12)*100</f>
        <v>25.640304858379416</v>
      </c>
      <c r="AW10" s="202">
        <f>('Expenditure DATA'!CA12/'Expenditure DATA'!Q12)*100</f>
        <v>24.985030088167935</v>
      </c>
      <c r="AX10" s="202">
        <f>('Expenditure DATA'!CB12/'Expenditure DATA'!R12)*100</f>
        <v>26.153264206477921</v>
      </c>
      <c r="AY10" s="202">
        <f>('Expenditure DATA'!CC12/'Expenditure DATA'!S12)*100</f>
        <v>27.340107423002241</v>
      </c>
      <c r="AZ10" s="202">
        <f>('Expenditure DATA'!CD12/'Expenditure DATA'!T12)*100</f>
        <v>27.824336486856321</v>
      </c>
      <c r="BA10" s="202">
        <f>('Expenditure DATA'!CE12/'Expenditure DATA'!U12)*100</f>
        <v>27.601713139211299</v>
      </c>
      <c r="BB10" s="202">
        <f>('Expenditure DATA'!CF12/'Expenditure DATA'!V12)*100</f>
        <v>27.413129766617789</v>
      </c>
      <c r="BC10" s="202">
        <f>('Expenditure DATA'!CG12/'Expenditure DATA'!W12)*100</f>
        <v>27.11536139186121</v>
      </c>
      <c r="BD10" s="202">
        <f>('Expenditure DATA'!CH12/'Expenditure DATA'!X12)*100</f>
        <v>26.848788460367256</v>
      </c>
      <c r="BE10" s="202">
        <f>('Expenditure DATA'!CI12/'Expenditure DATA'!Y12)*100</f>
        <v>27.966382337431519</v>
      </c>
      <c r="BF10" s="202">
        <f>('Expenditure DATA'!CJ12/'Expenditure DATA'!Z12)*100</f>
        <v>27.851636105924619</v>
      </c>
      <c r="BG10" s="202">
        <f>('Expenditure DATA'!CK12/'Expenditure DATA'!AA12)*100</f>
        <v>26.635999459774162</v>
      </c>
      <c r="BH10" s="202">
        <f>('Expenditure DATA'!CL12/'Expenditure DATA'!AB12)*100</f>
        <v>28.512292359872564</v>
      </c>
      <c r="BI10" s="202">
        <f>('Expenditure DATA'!CM12/'Expenditure DATA'!AC12)*100</f>
        <v>28.951014425567529</v>
      </c>
      <c r="BJ10" s="202">
        <f>('Expenditure DATA'!CN12/'Expenditure DATA'!AD12)*100</f>
        <v>27.274048920746917</v>
      </c>
      <c r="BK10" s="202">
        <f>('Expenditure DATA'!CO12/'Expenditure DATA'!AE12)*100</f>
        <v>26.359735589593992</v>
      </c>
      <c r="BL10" s="464">
        <f>('Expenditure DATA'!CP12/'Expenditure DATA'!AF12)*100</f>
        <v>26.499961621873553</v>
      </c>
      <c r="BM10" s="203">
        <f>('Expenditure DATA'!AG12/'Expenditure DATA'!B12)*100</f>
        <v>32.976021671499019</v>
      </c>
      <c r="BN10" s="202">
        <f>('Expenditure DATA'!AH12/'Expenditure DATA'!C12)*100</f>
        <v>32.662688374727757</v>
      </c>
      <c r="BO10" s="202">
        <f>('Expenditure DATA'!AI12/'Expenditure DATA'!D12)*100</f>
        <v>33.776213933849405</v>
      </c>
      <c r="BP10" s="202">
        <f>('Expenditure DATA'!AJ12/'Expenditure DATA'!E12)*100</f>
        <v>34.743673404958749</v>
      </c>
      <c r="BQ10" s="202">
        <f>('Expenditure DATA'!AK12/'Expenditure DATA'!F12)*100</f>
        <v>34.842951586953561</v>
      </c>
      <c r="BR10" s="202">
        <f>('Expenditure DATA'!AL12/'Expenditure DATA'!G12)*100</f>
        <v>35.266146895940885</v>
      </c>
      <c r="BS10" s="202">
        <f>('Expenditure DATA'!AM12/'Expenditure DATA'!H12)*100</f>
        <v>35.357187271778308</v>
      </c>
      <c r="BT10" s="202">
        <f>('Expenditure DATA'!AN12/'Expenditure DATA'!I12)*100</f>
        <v>35.228578708831115</v>
      </c>
      <c r="BU10" s="202">
        <f>('Expenditure DATA'!AO12/'Expenditure DATA'!J12)*100</f>
        <v>35.861962050821965</v>
      </c>
      <c r="BV10" s="202">
        <f>('Expenditure DATA'!AP12/'Expenditure DATA'!K12)*100</f>
        <v>34.374470768946161</v>
      </c>
      <c r="BW10" s="202">
        <f>('Expenditure DATA'!AQ12/'Expenditure DATA'!L12)*100</f>
        <v>33.066938278136639</v>
      </c>
      <c r="BX10" s="202">
        <f>('Expenditure DATA'!AR12/'Expenditure DATA'!M12)*100</f>
        <v>33.276790041736291</v>
      </c>
      <c r="BY10" s="202">
        <f>('Expenditure DATA'!AS12/'Expenditure DATA'!N12)*100</f>
        <v>34.276884826696588</v>
      </c>
      <c r="BZ10" s="202">
        <f>('Expenditure DATA'!AT12/'Expenditure DATA'!O12)*100</f>
        <v>34.870007232913352</v>
      </c>
      <c r="CA10" s="202">
        <f>('Expenditure DATA'!AU12/'Expenditure DATA'!P12)*100</f>
        <v>36.639970534037289</v>
      </c>
      <c r="CB10" s="202">
        <f>('Expenditure DATA'!AV12/'Expenditure DATA'!Q12)*100</f>
        <v>35.871965636302164</v>
      </c>
      <c r="CC10" s="202">
        <f>('Expenditure DATA'!AW12/'Expenditure DATA'!R12)*100</f>
        <v>37.250428608029395</v>
      </c>
      <c r="CD10" s="202">
        <f>('Expenditure DATA'!AX12/'Expenditure DATA'!S12)*100</f>
        <v>38.875875795307316</v>
      </c>
      <c r="CE10" s="202">
        <f>('Expenditure DATA'!AY12/'Expenditure DATA'!T12)*100</f>
        <v>39.040338301670339</v>
      </c>
      <c r="CF10" s="202">
        <f>('Expenditure DATA'!AZ12/'Expenditure DATA'!U12)*100</f>
        <v>38.958381451776106</v>
      </c>
      <c r="CG10" s="202">
        <f>('Expenditure DATA'!BA12/'Expenditure DATA'!V12)*100</f>
        <v>38.888956122745313</v>
      </c>
      <c r="CH10" s="202">
        <f>('Expenditure DATA'!BB12/'Expenditure DATA'!W12)*100</f>
        <v>38.724211223010435</v>
      </c>
      <c r="CI10" s="202">
        <f>('Expenditure DATA'!BC12/'Expenditure DATA'!X12)*100</f>
        <v>38.576725678560294</v>
      </c>
      <c r="CJ10" s="202">
        <f>('Expenditure DATA'!BD12/'Expenditure DATA'!Y12)*100</f>
        <v>39.583162396021464</v>
      </c>
      <c r="CK10" s="202">
        <f>('Expenditure DATA'!BE12/'Expenditure DATA'!Z12)*100</f>
        <v>38.76061377305728</v>
      </c>
      <c r="CL10" s="202">
        <f>('Expenditure DATA'!BF12/'Expenditure DATA'!AA12)*100</f>
        <v>36.750047222674979</v>
      </c>
      <c r="CM10" s="202">
        <f>('Expenditure DATA'!BG12/'Expenditure DATA'!AB12)*100</f>
        <v>39.634378616799268</v>
      </c>
      <c r="CN10" s="202">
        <f>('Expenditure DATA'!BH12/'Expenditure DATA'!AC12)*100</f>
        <v>40.444077712037121</v>
      </c>
      <c r="CO10" s="202">
        <f>('Expenditure DATA'!BI12/'Expenditure DATA'!AD12)*100</f>
        <v>39.208055758980109</v>
      </c>
      <c r="CP10" s="202">
        <f>('Expenditure DATA'!BJ12/'Expenditure DATA'!AE12)*100</f>
        <v>39.071338300071275</v>
      </c>
      <c r="CQ10" s="464">
        <f>('Expenditure DATA'!BK12/'Expenditure DATA'!AF12)*100</f>
        <v>39.394707125355097</v>
      </c>
      <c r="CR10" s="203">
        <f>('Expenditure DATA'!FA12/'Expenditure DATA'!B12)*100</f>
        <v>29.223720132907239</v>
      </c>
      <c r="CS10" s="202">
        <f>('Expenditure DATA'!FB12/'Expenditure DATA'!C12)*100</f>
        <v>29.877232905878564</v>
      </c>
      <c r="CT10" s="202">
        <f>('Expenditure DATA'!FC12/'Expenditure DATA'!D12)*100</f>
        <v>28.942059582453677</v>
      </c>
      <c r="CU10" s="202">
        <f>('Expenditure DATA'!FD12/'Expenditure DATA'!E12)*100</f>
        <v>26.752323099549223</v>
      </c>
      <c r="CV10" s="202">
        <f>('Expenditure DATA'!FE12/'Expenditure DATA'!F12)*100</f>
        <v>27.949754161547745</v>
      </c>
      <c r="CW10" s="202">
        <f>('Expenditure DATA'!FF12/'Expenditure DATA'!G12)*100</f>
        <v>27.225960246283982</v>
      </c>
      <c r="CX10" s="202">
        <f>('Expenditure DATA'!FG12/'Expenditure DATA'!H12)*100</f>
        <v>27.960199869417934</v>
      </c>
      <c r="CY10" s="202">
        <f>('Expenditure DATA'!FH12/'Expenditure DATA'!I12)*100</f>
        <v>27.583318275079748</v>
      </c>
      <c r="CZ10" s="202">
        <f>('Expenditure DATA'!FI12/'Expenditure DATA'!J12)*100</f>
        <v>26.931561127137961</v>
      </c>
      <c r="DA10" s="202">
        <f>('Expenditure DATA'!FJ12/'Expenditure DATA'!K12)*100</f>
        <v>29.392298407684901</v>
      </c>
      <c r="DB10" s="202">
        <f>('Expenditure DATA'!FK12/'Expenditure DATA'!L12)*100</f>
        <v>31.555332225001777</v>
      </c>
      <c r="DC10" s="202">
        <f>('Expenditure DATA'!FL12/'Expenditure DATA'!M12)*100</f>
        <v>30.931289876376045</v>
      </c>
      <c r="DD10" s="202">
        <f>('Expenditure DATA'!FM12/'Expenditure DATA'!N12)*100</f>
        <v>30.910087823969757</v>
      </c>
      <c r="DE10" s="202">
        <f>('Expenditure DATA'!FN12/'Expenditure DATA'!O12)*100</f>
        <v>30.116330788353185</v>
      </c>
      <c r="DF10" s="202">
        <f>('Expenditure DATA'!FO12/'Expenditure DATA'!P12)*100</f>
        <v>28.08877221653124</v>
      </c>
      <c r="DG10" s="202">
        <f>('Expenditure DATA'!FP12/'Expenditure DATA'!Q12)*100</f>
        <v>28.477112407879208</v>
      </c>
      <c r="DH10" s="202">
        <f>('Expenditure DATA'!FQ12/'Expenditure DATA'!R12)*100</f>
        <v>26.511549432832808</v>
      </c>
      <c r="DI10" s="202">
        <f>('Expenditure DATA'!FR12/'Expenditure DATA'!S12)*100</f>
        <v>24.376419005525651</v>
      </c>
      <c r="DJ10" s="202">
        <f>('Expenditure DATA'!FS12/'Expenditure DATA'!T12)*100</f>
        <v>24.368671021915674</v>
      </c>
      <c r="DK10" s="202">
        <f>('Expenditure DATA'!FT12/'Expenditure DATA'!U12)*100</f>
        <v>24.596609923548179</v>
      </c>
      <c r="DL10" s="202">
        <f>('Expenditure DATA'!FU12/'Expenditure DATA'!V12)*100</f>
        <v>24.789696081266275</v>
      </c>
      <c r="DM10" s="202">
        <f>('Expenditure DATA'!FV12/'Expenditure DATA'!W12)*100</f>
        <v>26.400546595572283</v>
      </c>
      <c r="DN10" s="202">
        <f>('Expenditure DATA'!FW12/'Expenditure DATA'!X12)*100</f>
        <v>27.842637765086597</v>
      </c>
      <c r="DO10" s="202">
        <f>('Expenditure DATA'!FX12/'Expenditure DATA'!Y12)*100</f>
        <v>27.535590726214288</v>
      </c>
      <c r="DP10" s="202">
        <f>('Expenditure DATA'!FY12/'Expenditure DATA'!Z12)*100</f>
        <v>25.64756366049124</v>
      </c>
      <c r="DQ10" s="202">
        <f>('Expenditure DATA'!FZ12/'Expenditure DATA'!AA12)*100</f>
        <v>25.554160347094314</v>
      </c>
      <c r="DR10" s="202">
        <f>('Expenditure DATA'!GA12/'Expenditure DATA'!AB12)*100</f>
        <v>25.90028985320787</v>
      </c>
      <c r="DS10" s="202">
        <f>('Expenditure DATA'!GB12/'Expenditure DATA'!AC12)*100</f>
        <v>25.208657526441495</v>
      </c>
      <c r="DT10" s="202">
        <f>('Expenditure DATA'!GC12/'Expenditure DATA'!AD12)*100</f>
        <v>26.426892511474193</v>
      </c>
      <c r="DU10" s="202">
        <f>('Expenditure DATA'!GD12/'Expenditure DATA'!AE12)*100</f>
        <v>27.338842125502826</v>
      </c>
      <c r="DV10" s="464">
        <f>('Expenditure DATA'!GE12/'Expenditure DATA'!AF12)*100</f>
        <v>27.072647177018656</v>
      </c>
      <c r="DW10" s="203">
        <f>('Expenditure DATA'!GF12/'Expenditure DATA'!B12)*100</f>
        <v>26.332776025904209</v>
      </c>
      <c r="DX10" s="202">
        <f>('Expenditure DATA'!GG12/'Expenditure DATA'!C12)*100</f>
        <v>26.417876920372308</v>
      </c>
      <c r="DY10" s="202">
        <f>('Expenditure DATA'!GH12/'Expenditure DATA'!D12)*100</f>
        <v>25.093126905934788</v>
      </c>
      <c r="DZ10" s="202">
        <f>('Expenditure DATA'!GI12/'Expenditure DATA'!E12)*100</f>
        <v>26.183320138015194</v>
      </c>
      <c r="EA10" s="202">
        <f>('Expenditure DATA'!GJ12/'Expenditure DATA'!F12)*100</f>
        <v>25.035328080943486</v>
      </c>
      <c r="EB10" s="202">
        <f>('Expenditure DATA'!GK12/'Expenditure DATA'!G12)*100</f>
        <v>24.43607308263239</v>
      </c>
      <c r="EC10" s="202">
        <f>('Expenditure DATA'!GL12/'Expenditure DATA'!H12)*100</f>
        <v>24.239297498375926</v>
      </c>
      <c r="ED10" s="202">
        <f>('Expenditure DATA'!GM12/'Expenditure DATA'!I12)*100</f>
        <v>24.424299434051495</v>
      </c>
      <c r="EE10" s="202">
        <f>('Expenditure DATA'!GN12/'Expenditure DATA'!J12)*100</f>
        <v>24.694382886887087</v>
      </c>
      <c r="EF10" s="202">
        <f>('Expenditure DATA'!GO12/'Expenditure DATA'!K12)*100</f>
        <v>23.853229444823601</v>
      </c>
      <c r="EG10" s="202">
        <f>('Expenditure DATA'!GP12/'Expenditure DATA'!L12)*100</f>
        <v>23.113839931315116</v>
      </c>
      <c r="EH10" s="202">
        <f>('Expenditure DATA'!GQ12/'Expenditure DATA'!M12)*100</f>
        <v>23.584171173044627</v>
      </c>
      <c r="EI10" s="202">
        <f>('Expenditure DATA'!GR12/'Expenditure DATA'!N12)*100</f>
        <v>22.43038472197766</v>
      </c>
      <c r="EJ10" s="202">
        <f>('Expenditure DATA'!GS12/'Expenditure DATA'!O12)*100</f>
        <v>22.422773717450085</v>
      </c>
      <c r="EK10" s="202">
        <f>('Expenditure DATA'!GT12/'Expenditure DATA'!P12)*100</f>
        <v>22.561740856803524</v>
      </c>
      <c r="EL10" s="202">
        <f>('Expenditure DATA'!GU12/'Expenditure DATA'!Q12)*100</f>
        <v>22.774183001963259</v>
      </c>
      <c r="EM10" s="202">
        <f>('Expenditure DATA'!GV12/'Expenditure DATA'!R12)*100</f>
        <v>23.454042269924237</v>
      </c>
      <c r="EN10" s="202">
        <f>('Expenditure DATA'!GW12/'Expenditure DATA'!S12)*100</f>
        <v>23.914567522726976</v>
      </c>
      <c r="EO10" s="202">
        <f>('Expenditure DATA'!GX12/'Expenditure DATA'!T12)*100</f>
        <v>24.401172958546297</v>
      </c>
      <c r="EP10" s="202">
        <f>('Expenditure DATA'!GY12/'Expenditure DATA'!U12)*100</f>
        <v>24.450184526110867</v>
      </c>
      <c r="EQ10" s="202">
        <f>('Expenditure DATA'!GZ12/'Expenditure DATA'!V12)*100</f>
        <v>24.491702034517751</v>
      </c>
      <c r="ER10" s="202">
        <f>('Expenditure DATA'!HA12/'Expenditure DATA'!W12)*100</f>
        <v>23.415545166642545</v>
      </c>
      <c r="ES10" s="202">
        <f>('Expenditure DATA'!HB12/'Expenditure DATA'!X12)*100</f>
        <v>22.452130931496328</v>
      </c>
      <c r="ET10" s="202">
        <f>('Expenditure DATA'!HC12/'Expenditure DATA'!Y12)*100</f>
        <v>21.628143182141649</v>
      </c>
      <c r="EU10" s="202">
        <f>('Expenditure DATA'!HD12/'Expenditure DATA'!Z12)*100</f>
        <v>25.14443391327104</v>
      </c>
      <c r="EV10" s="202">
        <f>('Expenditure DATA'!HE12/'Expenditure DATA'!AA12)*100</f>
        <v>27.512989080359691</v>
      </c>
      <c r="EW10" s="202">
        <f>('Expenditure DATA'!HF12/'Expenditure DATA'!AB12)*100</f>
        <v>23.878355235251004</v>
      </c>
      <c r="EX10" s="202">
        <f>('Expenditure DATA'!HG12/'Expenditure DATA'!AC12)*100</f>
        <v>23.358753757680919</v>
      </c>
      <c r="EY10" s="202">
        <f>('Expenditure DATA'!HH12/'Expenditure DATA'!AD12)*100</f>
        <v>23.049868085689358</v>
      </c>
      <c r="EZ10" s="202">
        <f>('Expenditure DATA'!HI12/'Expenditure DATA'!AE12)*100</f>
        <v>22.486649423849538</v>
      </c>
      <c r="FA10" s="464">
        <f>('Expenditure DATA'!HJ12/'Expenditure DATA'!AF12)*100</f>
        <v>22.559755702712472</v>
      </c>
      <c r="FB10" s="203">
        <f>('Expenditure DATA'!HK12/'Expenditure DATA'!B12)*100</f>
        <v>4.746989481704091</v>
      </c>
      <c r="FC10" s="202">
        <f>('Expenditure DATA'!HL12/'Expenditure DATA'!C12)*100</f>
        <v>4.5512701559737865</v>
      </c>
      <c r="FD10" s="202">
        <f>('Expenditure DATA'!HM12/'Expenditure DATA'!D12)*100</f>
        <v>4.756274923762609</v>
      </c>
      <c r="FE10" s="202">
        <f>('Expenditure DATA'!HN12/'Expenditure DATA'!E12)*100</f>
        <v>5.0866953217039521</v>
      </c>
      <c r="FF10" s="202">
        <f>('Expenditure DATA'!HO12/'Expenditure DATA'!F12)*100</f>
        <v>5.2370551289386498</v>
      </c>
      <c r="FG10" s="202">
        <f>('Expenditure DATA'!HP12/'Expenditure DATA'!G12)*100</f>
        <v>5.1318462661753292</v>
      </c>
      <c r="FH10" s="202">
        <f>('Expenditure DATA'!HQ12/'Expenditure DATA'!H12)*100</f>
        <v>5.3556083065357791</v>
      </c>
      <c r="FI10" s="202">
        <f>('Expenditure DATA'!HR12/'Expenditure DATA'!I12)*100</f>
        <v>5.4230695867661787</v>
      </c>
      <c r="FJ10" s="202">
        <f>('Expenditure DATA'!HS12/'Expenditure DATA'!J12)*100</f>
        <v>5.1673077915530312</v>
      </c>
      <c r="FK10" s="202">
        <f>('Expenditure DATA'!HT12/'Expenditure DATA'!K12)*100</f>
        <v>4.9835437638739926</v>
      </c>
      <c r="FL10" s="202">
        <f>('Expenditure DATA'!HU12/'Expenditure DATA'!L12)*100</f>
        <v>4.8220117671759288</v>
      </c>
      <c r="FM10" s="202">
        <f>('Expenditure DATA'!HV12/'Expenditure DATA'!M12)*100</f>
        <v>4.7082933374112708</v>
      </c>
      <c r="FN10" s="202">
        <f>('Expenditure DATA'!HW12/'Expenditure DATA'!N12)*100</f>
        <v>4.7065782465485029</v>
      </c>
      <c r="FO10" s="202">
        <f>('Expenditure DATA'!HX12/'Expenditure DATA'!O12)*100</f>
        <v>4.5441776490948955</v>
      </c>
      <c r="FP10" s="202">
        <f>('Expenditure DATA'!HY12/'Expenditure DATA'!P12)*100</f>
        <v>5.0294375748322357</v>
      </c>
      <c r="FQ10" s="202">
        <f>('Expenditure DATA'!HZ12/'Expenditure DATA'!Q12)*100</f>
        <v>4.973323597213553</v>
      </c>
      <c r="FR10" s="202">
        <f>('Expenditure DATA'!IA12/'Expenditure DATA'!R12)*100</f>
        <v>5.2824988847743244</v>
      </c>
      <c r="FS10" s="202">
        <f>('Expenditure DATA'!IB12/'Expenditure DATA'!S12)*100</f>
        <v>5.5397702218543765</v>
      </c>
      <c r="FT10" s="202">
        <f>('Expenditure DATA'!IC12/'Expenditure DATA'!T12)*100</f>
        <v>5.4522313842702435</v>
      </c>
      <c r="FU10" s="202">
        <f>('Expenditure DATA'!ID12/'Expenditure DATA'!U12)*100</f>
        <v>5.391557169997351</v>
      </c>
      <c r="FV10" s="202">
        <f>('Expenditure DATA'!IE12/'Expenditure DATA'!V12)*100</f>
        <v>5.3401602788891998</v>
      </c>
      <c r="FW10" s="202">
        <f>('Expenditure DATA'!IF12/'Expenditure DATA'!W12)*100</f>
        <v>5.2203338613725041</v>
      </c>
      <c r="FX10" s="202">
        <f>('Expenditure DATA'!IG12/'Expenditure DATA'!X12)*100</f>
        <v>5.1130609536503329</v>
      </c>
      <c r="FY10" s="202">
        <f>('Expenditure DATA'!IH12/'Expenditure DATA'!Y12)*100</f>
        <v>5.4057636274643777</v>
      </c>
      <c r="FZ10" s="202">
        <f>('Expenditure DATA'!II12/'Expenditure DATA'!Z12)*100</f>
        <v>5.0185190458304918</v>
      </c>
      <c r="GA10" s="202">
        <f>('Expenditure DATA'!IJ12/'Expenditure DATA'!AA12)*100</f>
        <v>4.9165353443378574</v>
      </c>
      <c r="GB10" s="202">
        <f>('Expenditure DATA'!IK12/'Expenditure DATA'!AB12)*100</f>
        <v>5.1804990799119217</v>
      </c>
      <c r="GC10" s="202">
        <f>('Expenditure DATA'!IL12/'Expenditure DATA'!AC12)*100</f>
        <v>5.3427573556579215</v>
      </c>
      <c r="GD10" s="202">
        <f>('Expenditure DATA'!IM12/'Expenditure DATA'!AD12)*100</f>
        <v>5.0677334836868599</v>
      </c>
      <c r="GE10" s="202">
        <f>('Expenditure DATA'!IN12/'Expenditure DATA'!AE12)*100</f>
        <v>5.188485882408993</v>
      </c>
      <c r="GF10" s="464">
        <f>('Expenditure DATA'!IO12/'Expenditure DATA'!AF12)*100</f>
        <v>5.1922214674575624</v>
      </c>
      <c r="GG10" s="203">
        <f>('Expenditure DATA'!IP12/'Expenditure DATA'!B12)*100</f>
        <v>6.7204926879854394</v>
      </c>
      <c r="GH10" s="202">
        <f>('Expenditure DATA'!IQ12/'Expenditure DATA'!C12)*100</f>
        <v>6.4909316430475945</v>
      </c>
      <c r="GI10" s="202">
        <f>('Expenditure DATA'!IR12/'Expenditure DATA'!D12)*100</f>
        <v>7.4304480412854801</v>
      </c>
      <c r="GJ10" s="202">
        <f>('Expenditure DATA'!IS12/'Expenditure DATA'!E12)*100</f>
        <v>7.234591234134502</v>
      </c>
      <c r="GK10" s="202">
        <f>('Expenditure DATA'!IT12/'Expenditure DATA'!F12)*100</f>
        <v>6.9349110416165569</v>
      </c>
      <c r="GL10" s="202">
        <f>('Expenditure DATA'!IU12/'Expenditure DATA'!G12)*100</f>
        <v>7.9399735089674115</v>
      </c>
      <c r="GM10" s="202">
        <f>('Expenditure DATA'!IV12/'Expenditure DATA'!H12)*100</f>
        <v>7.0877070538920446</v>
      </c>
      <c r="GN10" s="202">
        <f>('Expenditure DATA'!IW12/'Expenditure DATA'!I12)*100</f>
        <v>7.3407339952714663</v>
      </c>
      <c r="GO10" s="202">
        <f>('Expenditure DATA'!IX12/'Expenditure DATA'!J12)*100</f>
        <v>7.344786143599964</v>
      </c>
      <c r="GP10" s="202">
        <f>('Expenditure DATA'!IY12/'Expenditure DATA'!K12)*100</f>
        <v>7.3964576146713412</v>
      </c>
      <c r="GQ10" s="202">
        <f>('Expenditure DATA'!IZ12/'Expenditure DATA'!L12)*100</f>
        <v>7.4418777983705358</v>
      </c>
      <c r="GR10" s="202">
        <f>('Expenditure DATA'!JA12/'Expenditure DATA'!M12)*100</f>
        <v>7.4994555714317723</v>
      </c>
      <c r="GS10" s="202">
        <f>('Expenditure DATA'!JB12/'Expenditure DATA'!N12)*100</f>
        <v>7.6760643808074862</v>
      </c>
      <c r="GT10" s="202">
        <f>('Expenditure DATA'!JC12/'Expenditure DATA'!O12)*100</f>
        <v>8.0467106121884786</v>
      </c>
      <c r="GU10" s="202">
        <f>('Expenditure DATA'!JD12/'Expenditure DATA'!P12)*100</f>
        <v>7.6800788177957129</v>
      </c>
      <c r="GV10" s="202">
        <f>('Expenditure DATA'!JE12/'Expenditure DATA'!Q12)*100</f>
        <v>7.9034153566418253</v>
      </c>
      <c r="GW10" s="202">
        <f>('Expenditure DATA'!JF12/'Expenditure DATA'!R12)*100</f>
        <v>7.5014808044392325</v>
      </c>
      <c r="GX10" s="202">
        <f>('Expenditure DATA'!JG12/'Expenditure DATA'!S12)*100</f>
        <v>7.2933674545856837</v>
      </c>
      <c r="GY10" s="202">
        <f>('Expenditure DATA'!JH12/'Expenditure DATA'!T12)*100</f>
        <v>6.7375863335974504</v>
      </c>
      <c r="GZ10" s="202">
        <f>('Expenditure DATA'!JI12/'Expenditure DATA'!U12)*100</f>
        <v>6.6032669285674945</v>
      </c>
      <c r="HA10" s="202">
        <f>('Expenditure DATA'!JJ12/'Expenditure DATA'!V12)*100</f>
        <v>6.4894854825814603</v>
      </c>
      <c r="HB10" s="202">
        <f>('Expenditure DATA'!JK12/'Expenditure DATA'!W12)*100</f>
        <v>6.2393631534022385</v>
      </c>
      <c r="HC10" s="202">
        <f>('Expenditure DATA'!JL12/'Expenditure DATA'!X12)*100</f>
        <v>6.0154446712064482</v>
      </c>
      <c r="HD10" s="202">
        <f>('Expenditure DATA'!JM12/'Expenditure DATA'!Y12)*100</f>
        <v>5.8473400681582284</v>
      </c>
      <c r="HE10" s="202">
        <f>('Expenditure DATA'!JN12/'Expenditure DATA'!Z12)*100</f>
        <v>5.4288696073499452</v>
      </c>
      <c r="HF10" s="202">
        <f>('Expenditure DATA'!JO12/'Expenditure DATA'!AA12)*100</f>
        <v>5.2662680055331554</v>
      </c>
      <c r="HG10" s="202">
        <f>('Expenditure DATA'!JP12/'Expenditure DATA'!AB12)*100</f>
        <v>5.4064772148299403</v>
      </c>
      <c r="HH10" s="202">
        <f>('Expenditure DATA'!JQ12/'Expenditure DATA'!AC12)*100</f>
        <v>5.6457536481825432</v>
      </c>
      <c r="HI10" s="202">
        <f>('Expenditure DATA'!JR12/'Expenditure DATA'!AD12)*100</f>
        <v>6.2474486021233702</v>
      </c>
      <c r="HJ10" s="202">
        <f>('Expenditure DATA'!JS12/'Expenditure DATA'!AE12)*100</f>
        <v>5.9146842681673704</v>
      </c>
      <c r="HK10" s="464">
        <f>('Expenditure DATA'!JT12/'Expenditure DATA'!AF12)*100</f>
        <v>5.7806685274562124</v>
      </c>
      <c r="HL10" s="203">
        <f t="shared" si="1"/>
        <v>100</v>
      </c>
      <c r="HM10" s="204">
        <f t="shared" si="2"/>
        <v>100</v>
      </c>
      <c r="HN10" s="204">
        <f t="shared" si="3"/>
        <v>99.998123387285972</v>
      </c>
      <c r="HO10" s="204">
        <f t="shared" si="4"/>
        <v>100.00060319836162</v>
      </c>
      <c r="HP10" s="204">
        <f t="shared" si="5"/>
        <v>100</v>
      </c>
      <c r="HQ10" s="204">
        <f t="shared" si="6"/>
        <v>100</v>
      </c>
      <c r="HR10" s="204">
        <f t="shared" si="7"/>
        <v>100</v>
      </c>
      <c r="HS10" s="204">
        <f t="shared" si="8"/>
        <v>100</v>
      </c>
      <c r="HT10" s="204">
        <f t="shared" si="9"/>
        <v>100</v>
      </c>
      <c r="HU10" s="204">
        <f t="shared" si="10"/>
        <v>100</v>
      </c>
      <c r="HV10" s="204">
        <f t="shared" si="11"/>
        <v>100</v>
      </c>
      <c r="HW10" s="204">
        <f t="shared" si="12"/>
        <v>100</v>
      </c>
      <c r="HX10" s="204">
        <f t="shared" si="13"/>
        <v>100</v>
      </c>
      <c r="HY10" s="204">
        <f t="shared" si="14"/>
        <v>99.999999999999986</v>
      </c>
      <c r="HZ10" s="204">
        <f t="shared" si="15"/>
        <v>100</v>
      </c>
      <c r="IA10" s="204">
        <f t="shared" si="16"/>
        <v>100</v>
      </c>
      <c r="IB10" s="204">
        <f t="shared" si="17"/>
        <v>100</v>
      </c>
      <c r="IC10" s="204">
        <f t="shared" si="18"/>
        <v>100</v>
      </c>
      <c r="ID10" s="204">
        <f t="shared" si="19"/>
        <v>100</v>
      </c>
      <c r="IE10" s="204">
        <f t="shared" si="20"/>
        <v>100</v>
      </c>
      <c r="IF10" s="204">
        <f t="shared" si="21"/>
        <v>100</v>
      </c>
      <c r="IG10" s="204">
        <f t="shared" si="22"/>
        <v>100.00000000000001</v>
      </c>
      <c r="IH10" s="204">
        <f t="shared" si="23"/>
        <v>100</v>
      </c>
      <c r="II10" s="204">
        <f t="shared" si="24"/>
        <v>100.00000000000001</v>
      </c>
      <c r="IJ10" s="204">
        <f t="shared" si="25"/>
        <v>100</v>
      </c>
      <c r="IK10" s="204">
        <f t="shared" si="26"/>
        <v>99.999999999999986</v>
      </c>
      <c r="IL10" s="204">
        <f t="shared" si="27"/>
        <v>100</v>
      </c>
      <c r="IM10" s="204">
        <f t="shared" si="28"/>
        <v>100</v>
      </c>
      <c r="IN10" s="204">
        <f t="shared" si="29"/>
        <v>99.999998441953892</v>
      </c>
      <c r="IO10" s="204">
        <f t="shared" si="30"/>
        <v>100</v>
      </c>
      <c r="IP10" s="204">
        <f t="shared" si="31"/>
        <v>100</v>
      </c>
    </row>
    <row r="11" spans="1:250" s="164" customFormat="1">
      <c r="A11" s="168" t="s">
        <v>29</v>
      </c>
      <c r="B11" s="62"/>
      <c r="C11" s="202">
        <f>('Expenditure DATA'!CQ13/'Expenditure DATA'!B13)*100</f>
        <v>10.968805003183162</v>
      </c>
      <c r="D11" s="202">
        <f>('Expenditure DATA'!CR13/'Expenditure DATA'!C13)*100</f>
        <v>10.764592754301159</v>
      </c>
      <c r="E11" s="202">
        <f>('Expenditure DATA'!CS13/'Expenditure DATA'!D13)*100</f>
        <v>10.909659757528352</v>
      </c>
      <c r="F11" s="202">
        <f>('Expenditure DATA'!CT13/'Expenditure DATA'!E13)*100</f>
        <v>10.833591627564205</v>
      </c>
      <c r="G11" s="202">
        <f>('Expenditure DATA'!CU13/'Expenditure DATA'!F13)*100</f>
        <v>10.914176551636318</v>
      </c>
      <c r="H11" s="202">
        <f>('Expenditure DATA'!CV13/'Expenditure DATA'!G13)*100</f>
        <v>10.666029801238055</v>
      </c>
      <c r="I11" s="202">
        <f>('Expenditure DATA'!CW13/'Expenditure DATA'!H13)*100</f>
        <v>10.44832838416888</v>
      </c>
      <c r="J11" s="202">
        <f>('Expenditure DATA'!CX13/'Expenditure DATA'!I13)*100</f>
        <v>10.192649035835819</v>
      </c>
      <c r="K11" s="202">
        <f>('Expenditure DATA'!CY13/'Expenditure DATA'!J13)*100</f>
        <v>11.132846334768065</v>
      </c>
      <c r="L11" s="202">
        <f>('Expenditure DATA'!CZ13/'Expenditure DATA'!K13)*100</f>
        <v>10.487593566631539</v>
      </c>
      <c r="M11" s="202">
        <f>('Expenditure DATA'!DA13/'Expenditure DATA'!L13)*100</f>
        <v>9.9691251730848212</v>
      </c>
      <c r="N11" s="202">
        <f>('Expenditure DATA'!DB13/'Expenditure DATA'!M13)*100</f>
        <v>10.027131505655401</v>
      </c>
      <c r="O11" s="202">
        <f>('Expenditure DATA'!DC13/'Expenditure DATA'!N13)*100</f>
        <v>10.080355598050014</v>
      </c>
      <c r="P11" s="202">
        <f>('Expenditure DATA'!DD13/'Expenditure DATA'!O13)*100</f>
        <v>9.6358142246803329</v>
      </c>
      <c r="Q11" s="202">
        <f>('Expenditure DATA'!DE13/'Expenditure DATA'!P13)*100</f>
        <v>9.6562223787037524</v>
      </c>
      <c r="R11" s="202">
        <f>('Expenditure DATA'!DF13/'Expenditure DATA'!Q13)*100</f>
        <v>10.008891143698499</v>
      </c>
      <c r="S11" s="202">
        <f>('Expenditure DATA'!DG13/'Expenditure DATA'!R13)*100</f>
        <v>10.063400563876321</v>
      </c>
      <c r="T11" s="202">
        <f>('Expenditure DATA'!DH13/'Expenditure DATA'!S13)*100</f>
        <v>10.218042674636584</v>
      </c>
      <c r="U11" s="202">
        <f>('Expenditure DATA'!DI13/'Expenditure DATA'!T13)*100</f>
        <v>10.689057045962231</v>
      </c>
      <c r="V11" s="202">
        <f>('Expenditure DATA'!DJ13/'Expenditure DATA'!U13)*100</f>
        <v>10.922195099417925</v>
      </c>
      <c r="W11" s="202">
        <f>('Expenditure DATA'!DK13/'Expenditure DATA'!V13)*100</f>
        <v>11.127568581972316</v>
      </c>
      <c r="X11" s="202">
        <f>('Expenditure DATA'!DL13/'Expenditure DATA'!W13)*100</f>
        <v>10.955010842435197</v>
      </c>
      <c r="Y11" s="202">
        <f>('Expenditure DATA'!DM13/'Expenditure DATA'!X13)*100</f>
        <v>10.795420546204221</v>
      </c>
      <c r="Z11" s="202">
        <f>('Expenditure DATA'!DN13/'Expenditure DATA'!Y13)*100</f>
        <v>10.944084035932649</v>
      </c>
      <c r="AA11" s="202">
        <f>('Expenditure DATA'!DO13/'Expenditure DATA'!Z13)*100</f>
        <v>10.679007639087928</v>
      </c>
      <c r="AB11" s="202">
        <f>('Expenditure DATA'!DP13/'Expenditure DATA'!AA13)*100</f>
        <v>11.060690079450842</v>
      </c>
      <c r="AC11" s="202">
        <f>('Expenditure DATA'!DQ13/'Expenditure DATA'!AB13)*100</f>
        <v>11.632271021867604</v>
      </c>
      <c r="AD11" s="202">
        <f>('Expenditure DATA'!DR13/'Expenditure DATA'!AC13)*100</f>
        <v>11.64985010773321</v>
      </c>
      <c r="AE11" s="202">
        <f>('Expenditure DATA'!DS13/'Expenditure DATA'!AD13)*100</f>
        <v>11.725360291039111</v>
      </c>
      <c r="AF11" s="202">
        <f>('Expenditure DATA'!DT13/'Expenditure DATA'!AE13)*100</f>
        <v>11.675156468980056</v>
      </c>
      <c r="AG11" s="464">
        <f>('Expenditure DATA'!DU13/'Expenditure DATA'!AF13)*100</f>
        <v>11.456512984285256</v>
      </c>
      <c r="AH11" s="203">
        <f>('Expenditure DATA'!BL13/'Expenditure DATA'!B13)*100</f>
        <v>21.797176347226902</v>
      </c>
      <c r="AI11" s="202">
        <f>('Expenditure DATA'!BM13/'Expenditure DATA'!C13)*100</f>
        <v>23.712251156505015</v>
      </c>
      <c r="AJ11" s="202">
        <f>('Expenditure DATA'!BN13/'Expenditure DATA'!D13)*100</f>
        <v>21.640985529917874</v>
      </c>
      <c r="AK11" s="202">
        <f>('Expenditure DATA'!BO13/'Expenditure DATA'!E13)*100</f>
        <v>22.001845982584101</v>
      </c>
      <c r="AL11" s="202">
        <f>('Expenditure DATA'!BP13/'Expenditure DATA'!F13)*100</f>
        <v>22.367974988173785</v>
      </c>
      <c r="AM11" s="202">
        <f>('Expenditure DATA'!BQ13/'Expenditure DATA'!G13)*100</f>
        <v>21.223951953184734</v>
      </c>
      <c r="AN11" s="202">
        <f>('Expenditure DATA'!BR13/'Expenditure DATA'!H13)*100</f>
        <v>21.965099826328387</v>
      </c>
      <c r="AO11" s="202">
        <f>('Expenditure DATA'!BS13/'Expenditure DATA'!I13)*100</f>
        <v>20.857511833242306</v>
      </c>
      <c r="AP11" s="202">
        <f>('Expenditure DATA'!BT13/'Expenditure DATA'!J13)*100</f>
        <v>20.807060202150765</v>
      </c>
      <c r="AQ11" s="202">
        <f>('Expenditure DATA'!BU13/'Expenditure DATA'!K13)*100</f>
        <v>20.671605062416099</v>
      </c>
      <c r="AR11" s="202">
        <f>('Expenditure DATA'!BV13/'Expenditure DATA'!L13)*100</f>
        <v>20.562765221405112</v>
      </c>
      <c r="AS11" s="202">
        <f>('Expenditure DATA'!BW13/'Expenditure DATA'!M13)*100</f>
        <v>20.932732110115566</v>
      </c>
      <c r="AT11" s="202">
        <f>('Expenditure DATA'!BX13/'Expenditure DATA'!N13)*100</f>
        <v>21.594301203551858</v>
      </c>
      <c r="AU11" s="202">
        <f>('Expenditure DATA'!BY13/'Expenditure DATA'!O13)*100</f>
        <v>22.07011717188519</v>
      </c>
      <c r="AV11" s="202">
        <f>('Expenditure DATA'!BZ13/'Expenditure DATA'!P13)*100</f>
        <v>23.514117333131068</v>
      </c>
      <c r="AW11" s="202">
        <f>('Expenditure DATA'!CA13/'Expenditure DATA'!Q13)*100</f>
        <v>21.876729960652249</v>
      </c>
      <c r="AX11" s="202">
        <f>('Expenditure DATA'!CB13/'Expenditure DATA'!R13)*100</f>
        <v>21.115119972429934</v>
      </c>
      <c r="AY11" s="202">
        <f>('Expenditure DATA'!CC13/'Expenditure DATA'!S13)*100</f>
        <v>20.854412899445979</v>
      </c>
      <c r="AZ11" s="202">
        <f>('Expenditure DATA'!CD13/'Expenditure DATA'!T13)*100</f>
        <v>20.75816106486581</v>
      </c>
      <c r="BA11" s="202">
        <f>('Expenditure DATA'!CE13/'Expenditure DATA'!U13)*100</f>
        <v>19.316139429949658</v>
      </c>
      <c r="BB11" s="202">
        <f>('Expenditure DATA'!CF13/'Expenditure DATA'!V13)*100</f>
        <v>18.045849141891694</v>
      </c>
      <c r="BC11" s="202">
        <f>('Expenditure DATA'!CG13/'Expenditure DATA'!W13)*100</f>
        <v>18.820004983334403</v>
      </c>
      <c r="BD11" s="202">
        <f>('Expenditure DATA'!CH13/'Expenditure DATA'!X13)*100</f>
        <v>19.535984228288548</v>
      </c>
      <c r="BE11" s="202">
        <f>('Expenditure DATA'!CI13/'Expenditure DATA'!Y13)*100</f>
        <v>21.134050851618404</v>
      </c>
      <c r="BF11" s="202">
        <f>('Expenditure DATA'!CJ13/'Expenditure DATA'!Z13)*100</f>
        <v>21.899445068742704</v>
      </c>
      <c r="BG11" s="202">
        <f>('Expenditure DATA'!CK13/'Expenditure DATA'!AA13)*100</f>
        <v>21.671530420510816</v>
      </c>
      <c r="BH11" s="202">
        <f>('Expenditure DATA'!CL13/'Expenditure DATA'!AB13)*100</f>
        <v>21.480558950674265</v>
      </c>
      <c r="BI11" s="202">
        <f>('Expenditure DATA'!CM13/'Expenditure DATA'!AC13)*100</f>
        <v>20.801057024510179</v>
      </c>
      <c r="BJ11" s="202">
        <f>('Expenditure DATA'!CN13/'Expenditure DATA'!AD13)*100</f>
        <v>20.72948014607227</v>
      </c>
      <c r="BK11" s="202">
        <f>('Expenditure DATA'!CO13/'Expenditure DATA'!AE13)*100</f>
        <v>20.893258991899398</v>
      </c>
      <c r="BL11" s="464">
        <f>('Expenditure DATA'!CP13/'Expenditure DATA'!AF13)*100</f>
        <v>21.168807711217706</v>
      </c>
      <c r="BM11" s="203">
        <f>('Expenditure DATA'!AG13/'Expenditure DATA'!B13)*100</f>
        <v>36.02216979365614</v>
      </c>
      <c r="BN11" s="202">
        <f>('Expenditure DATA'!AH13/'Expenditure DATA'!C13)*100</f>
        <v>37.593776530311693</v>
      </c>
      <c r="BO11" s="202">
        <f>('Expenditure DATA'!AI13/'Expenditure DATA'!D13)*100</f>
        <v>35.780993351583888</v>
      </c>
      <c r="BP11" s="202">
        <f>('Expenditure DATA'!AJ13/'Expenditure DATA'!E13)*100</f>
        <v>36.392656799528439</v>
      </c>
      <c r="BQ11" s="202">
        <f>('Expenditure DATA'!AK13/'Expenditure DATA'!F13)*100</f>
        <v>36.264927984326278</v>
      </c>
      <c r="BR11" s="202">
        <f>('Expenditure DATA'!AL13/'Expenditure DATA'!G13)*100</f>
        <v>34.77610617750463</v>
      </c>
      <c r="BS11" s="202">
        <f>('Expenditure DATA'!AM13/'Expenditure DATA'!H13)*100</f>
        <v>35.735219662338544</v>
      </c>
      <c r="BT11" s="202">
        <f>('Expenditure DATA'!AN13/'Expenditure DATA'!I13)*100</f>
        <v>34.320505380974382</v>
      </c>
      <c r="BU11" s="202">
        <f>('Expenditure DATA'!AO13/'Expenditure DATA'!J13)*100</f>
        <v>35.56658765641032</v>
      </c>
      <c r="BV11" s="202">
        <f>('Expenditure DATA'!AP13/'Expenditure DATA'!K13)*100</f>
        <v>34.653866485391887</v>
      </c>
      <c r="BW11" s="202">
        <f>('Expenditure DATA'!AQ13/'Expenditure DATA'!L13)*100</f>
        <v>33.920483999237433</v>
      </c>
      <c r="BX11" s="202">
        <f>('Expenditure DATA'!AR13/'Expenditure DATA'!M13)*100</f>
        <v>33.945168048943977</v>
      </c>
      <c r="BY11" s="202">
        <f>('Expenditure DATA'!AS13/'Expenditure DATA'!N13)*100</f>
        <v>35.345589498231696</v>
      </c>
      <c r="BZ11" s="202">
        <f>('Expenditure DATA'!AT13/'Expenditure DATA'!O13)*100</f>
        <v>35.274130259900716</v>
      </c>
      <c r="CA11" s="202">
        <f>('Expenditure DATA'!AU13/'Expenditure DATA'!P13)*100</f>
        <v>36.930631874467643</v>
      </c>
      <c r="CB11" s="202">
        <f>('Expenditure DATA'!AV13/'Expenditure DATA'!Q13)*100</f>
        <v>34.712451790453343</v>
      </c>
      <c r="CC11" s="202">
        <f>('Expenditure DATA'!AW13/'Expenditure DATA'!R13)*100</f>
        <v>33.9440468228794</v>
      </c>
      <c r="CD11" s="202">
        <f>('Expenditure DATA'!AX13/'Expenditure DATA'!S13)*100</f>
        <v>33.476457628570337</v>
      </c>
      <c r="CE11" s="202">
        <f>('Expenditure DATA'!AY13/'Expenditure DATA'!T13)*100</f>
        <v>33.786480474137335</v>
      </c>
      <c r="CF11" s="202">
        <f>('Expenditure DATA'!AZ13/'Expenditure DATA'!U13)*100</f>
        <v>32.988187331466037</v>
      </c>
      <c r="CG11" s="202">
        <f>('Expenditure DATA'!BA13/'Expenditure DATA'!V13)*100</f>
        <v>32.284963467409668</v>
      </c>
      <c r="CH11" s="202">
        <f>('Expenditure DATA'!BB13/'Expenditure DATA'!W13)*100</f>
        <v>32.963947064322248</v>
      </c>
      <c r="CI11" s="202">
        <f>('Expenditure DATA'!BC13/'Expenditure DATA'!X13)*100</f>
        <v>33.591906109554984</v>
      </c>
      <c r="CJ11" s="202">
        <f>('Expenditure DATA'!BD13/'Expenditure DATA'!Y13)*100</f>
        <v>35.564277306463396</v>
      </c>
      <c r="CK11" s="202">
        <f>('Expenditure DATA'!BE13/'Expenditure DATA'!Z13)*100</f>
        <v>35.982783843187846</v>
      </c>
      <c r="CL11" s="202">
        <f>('Expenditure DATA'!BF13/'Expenditure DATA'!AA13)*100</f>
        <v>36.237074238947294</v>
      </c>
      <c r="CM11" s="202">
        <f>('Expenditure DATA'!BG13/'Expenditure DATA'!AB13)*100</f>
        <v>36.499392034077175</v>
      </c>
      <c r="CN11" s="202">
        <f>('Expenditure DATA'!BH13/'Expenditure DATA'!AC13)*100</f>
        <v>35.799932783026797</v>
      </c>
      <c r="CO11" s="202">
        <f>('Expenditure DATA'!BI13/'Expenditure DATA'!AD13)*100</f>
        <v>35.666743334802639</v>
      </c>
      <c r="CP11" s="202">
        <f>('Expenditure DATA'!BJ13/'Expenditure DATA'!AE13)*100</f>
        <v>35.738748280946872</v>
      </c>
      <c r="CQ11" s="464">
        <f>('Expenditure DATA'!BK13/'Expenditure DATA'!AF13)*100</f>
        <v>36.002802262211624</v>
      </c>
      <c r="CR11" s="203">
        <f>('Expenditure DATA'!FA13/'Expenditure DATA'!B13)*100</f>
        <v>20.887166236003441</v>
      </c>
      <c r="CS11" s="202">
        <f>('Expenditure DATA'!FB13/'Expenditure DATA'!C13)*100</f>
        <v>19.486459795207654</v>
      </c>
      <c r="CT11" s="202">
        <f>('Expenditure DATA'!FC13/'Expenditure DATA'!D13)*100</f>
        <v>19.494720375439968</v>
      </c>
      <c r="CU11" s="202">
        <f>('Expenditure DATA'!FD13/'Expenditure DATA'!E13)*100</f>
        <v>20.471057011658175</v>
      </c>
      <c r="CV11" s="202">
        <f>('Expenditure DATA'!FE13/'Expenditure DATA'!F13)*100</f>
        <v>20.332873874694013</v>
      </c>
      <c r="CW11" s="202">
        <f>('Expenditure DATA'!FF13/'Expenditure DATA'!G13)*100</f>
        <v>19.68661385262044</v>
      </c>
      <c r="CX11" s="202">
        <f>('Expenditure DATA'!FG13/'Expenditure DATA'!H13)*100</f>
        <v>20.98055118941782</v>
      </c>
      <c r="CY11" s="202">
        <f>('Expenditure DATA'!FH13/'Expenditure DATA'!I13)*100</f>
        <v>21.59653151213432</v>
      </c>
      <c r="CZ11" s="202">
        <f>('Expenditure DATA'!FI13/'Expenditure DATA'!J13)*100</f>
        <v>22.702692123182707</v>
      </c>
      <c r="DA11" s="202">
        <f>('Expenditure DATA'!FJ13/'Expenditure DATA'!K13)*100</f>
        <v>25.25060525550602</v>
      </c>
      <c r="DB11" s="202">
        <f>('Expenditure DATA'!FK13/'Expenditure DATA'!L13)*100</f>
        <v>27.297884234916371</v>
      </c>
      <c r="DC11" s="202">
        <f>('Expenditure DATA'!FL13/'Expenditure DATA'!M13)*100</f>
        <v>27.670748262229438</v>
      </c>
      <c r="DD11" s="202">
        <f>('Expenditure DATA'!FM13/'Expenditure DATA'!N13)*100</f>
        <v>27.191670631507712</v>
      </c>
      <c r="DE11" s="202">
        <f>('Expenditure DATA'!FN13/'Expenditure DATA'!O13)*100</f>
        <v>27.375211839775186</v>
      </c>
      <c r="DF11" s="202">
        <f>('Expenditure DATA'!FO13/'Expenditure DATA'!P13)*100</f>
        <v>25.783338680355044</v>
      </c>
      <c r="DG11" s="202">
        <f>('Expenditure DATA'!FP13/'Expenditure DATA'!Q13)*100</f>
        <v>27.577474169716719</v>
      </c>
      <c r="DH11" s="202">
        <f>('Expenditure DATA'!FQ13/'Expenditure DATA'!R13)*100</f>
        <v>26.913450258878818</v>
      </c>
      <c r="DI11" s="202">
        <f>('Expenditure DATA'!FR13/'Expenditure DATA'!S13)*100</f>
        <v>26.275590921298914</v>
      </c>
      <c r="DJ11" s="202">
        <f>('Expenditure DATA'!FS13/'Expenditure DATA'!T13)*100</f>
        <v>27.566656109531745</v>
      </c>
      <c r="DK11" s="202">
        <f>('Expenditure DATA'!FT13/'Expenditure DATA'!U13)*100</f>
        <v>28.453585827555568</v>
      </c>
      <c r="DL11" s="202">
        <f>('Expenditure DATA'!FU13/'Expenditure DATA'!V13)*100</f>
        <v>29.234890476331625</v>
      </c>
      <c r="DM11" s="202">
        <f>('Expenditure DATA'!FV13/'Expenditure DATA'!W13)*100</f>
        <v>29.325253985048615</v>
      </c>
      <c r="DN11" s="202">
        <f>('Expenditure DATA'!FW13/'Expenditure DATA'!X13)*100</f>
        <v>29.408826817906181</v>
      </c>
      <c r="DO11" s="202">
        <f>('Expenditure DATA'!FX13/'Expenditure DATA'!Y13)*100</f>
        <v>30.372662898853207</v>
      </c>
      <c r="DP11" s="202">
        <f>('Expenditure DATA'!FY13/'Expenditure DATA'!Z13)*100</f>
        <v>29.32900778862949</v>
      </c>
      <c r="DQ11" s="202">
        <f>('Expenditure DATA'!FZ13/'Expenditure DATA'!AA13)*100</f>
        <v>29.179015097869517</v>
      </c>
      <c r="DR11" s="202">
        <f>('Expenditure DATA'!GA13/'Expenditure DATA'!AB13)*100</f>
        <v>29.337449299557498</v>
      </c>
      <c r="DS11" s="202">
        <f>('Expenditure DATA'!GB13/'Expenditure DATA'!AC13)*100</f>
        <v>31.614716241845453</v>
      </c>
      <c r="DT11" s="202">
        <f>('Expenditure DATA'!GC13/'Expenditure DATA'!AD13)*100</f>
        <v>31.046949037379424</v>
      </c>
      <c r="DU11" s="202">
        <f>('Expenditure DATA'!GD13/'Expenditure DATA'!AE13)*100</f>
        <v>31.007912229951955</v>
      </c>
      <c r="DV11" s="464">
        <f>('Expenditure DATA'!GE13/'Expenditure DATA'!AF13)*100</f>
        <v>30.302932754686186</v>
      </c>
      <c r="DW11" s="203">
        <f>('Expenditure DATA'!GF13/'Expenditure DATA'!B13)*100</f>
        <v>27.985619593304119</v>
      </c>
      <c r="DX11" s="202">
        <f>('Expenditure DATA'!GG13/'Expenditure DATA'!C13)*100</f>
        <v>26.597016476947864</v>
      </c>
      <c r="DY11" s="202">
        <f>('Expenditure DATA'!GH13/'Expenditure DATA'!D13)*100</f>
        <v>27.701212358232297</v>
      </c>
      <c r="DZ11" s="202">
        <f>('Expenditure DATA'!GI13/'Expenditure DATA'!E13)*100</f>
        <v>26.001808358222149</v>
      </c>
      <c r="EA11" s="202">
        <f>('Expenditure DATA'!GJ13/'Expenditure DATA'!F13)*100</f>
        <v>26.404792928060289</v>
      </c>
      <c r="EB11" s="202">
        <f>('Expenditure DATA'!GK13/'Expenditure DATA'!G13)*100</f>
        <v>27.742498536765662</v>
      </c>
      <c r="EC11" s="202">
        <f>('Expenditure DATA'!GL13/'Expenditure DATA'!H13)*100</f>
        <v>25.476061266789223</v>
      </c>
      <c r="ED11" s="202">
        <f>('Expenditure DATA'!GM13/'Expenditure DATA'!I13)*100</f>
        <v>27.109054443417484</v>
      </c>
      <c r="EE11" s="202">
        <f>('Expenditure DATA'!GN13/'Expenditure DATA'!J13)*100</f>
        <v>23.393462748024469</v>
      </c>
      <c r="EF11" s="202">
        <f>('Expenditure DATA'!GO13/'Expenditure DATA'!K13)*100</f>
        <v>23.226319710251015</v>
      </c>
      <c r="EG11" s="202">
        <f>('Expenditure DATA'!GP13/'Expenditure DATA'!L13)*100</f>
        <v>23.092018260391008</v>
      </c>
      <c r="EH11" s="202">
        <f>('Expenditure DATA'!GQ13/'Expenditure DATA'!M13)*100</f>
        <v>22.692888438691096</v>
      </c>
      <c r="EI11" s="202">
        <f>('Expenditure DATA'!GR13/'Expenditure DATA'!N13)*100</f>
        <v>22.086652240336484</v>
      </c>
      <c r="EJ11" s="202">
        <f>('Expenditure DATA'!GS13/'Expenditure DATA'!O13)*100</f>
        <v>22.480054774510528</v>
      </c>
      <c r="EK11" s="202">
        <f>('Expenditure DATA'!GT13/'Expenditure DATA'!P13)*100</f>
        <v>21.872714916960582</v>
      </c>
      <c r="EL11" s="202">
        <f>('Expenditure DATA'!GU13/'Expenditure DATA'!Q13)*100</f>
        <v>21.790660558921196</v>
      </c>
      <c r="EM11" s="202">
        <f>('Expenditure DATA'!GV13/'Expenditure DATA'!R13)*100</f>
        <v>22.839411327955951</v>
      </c>
      <c r="EN11" s="202">
        <f>('Expenditure DATA'!GW13/'Expenditure DATA'!S13)*100</f>
        <v>24.056236979860895</v>
      </c>
      <c r="EO11" s="202">
        <f>('Expenditure DATA'!GX13/'Expenditure DATA'!T13)*100</f>
        <v>24.243351002864724</v>
      </c>
      <c r="EP11" s="202">
        <f>('Expenditure DATA'!GY13/'Expenditure DATA'!U13)*100</f>
        <v>23.850044095349965</v>
      </c>
      <c r="EQ11" s="202">
        <f>('Expenditure DATA'!GZ13/'Expenditure DATA'!V13)*100</f>
        <v>23.503576377567654</v>
      </c>
      <c r="ER11" s="202">
        <f>('Expenditure DATA'!HA13/'Expenditure DATA'!W13)*100</f>
        <v>23.028180985252433</v>
      </c>
      <c r="ES11" s="202">
        <f>('Expenditure DATA'!HB13/'Expenditure DATA'!X13)*100</f>
        <v>22.588510810562262</v>
      </c>
      <c r="ET11" s="202">
        <f>('Expenditure DATA'!HC13/'Expenditure DATA'!Y13)*100</f>
        <v>21.125668927653333</v>
      </c>
      <c r="EU11" s="202">
        <f>('Expenditure DATA'!HD13/'Expenditure DATA'!Z13)*100</f>
        <v>20.986383133793748</v>
      </c>
      <c r="EV11" s="202">
        <f>('Expenditure DATA'!HE13/'Expenditure DATA'!AA13)*100</f>
        <v>22.150934135466322</v>
      </c>
      <c r="EW11" s="202">
        <f>('Expenditure DATA'!HF13/'Expenditure DATA'!AB13)*100</f>
        <v>21.574397796156187</v>
      </c>
      <c r="EX11" s="202">
        <f>('Expenditure DATA'!HG13/'Expenditure DATA'!AC13)*100</f>
        <v>19.773820955043139</v>
      </c>
      <c r="EY11" s="202">
        <f>('Expenditure DATA'!HH13/'Expenditure DATA'!AD13)*100</f>
        <v>20.22840718995538</v>
      </c>
      <c r="EZ11" s="202">
        <f>('Expenditure DATA'!HI13/'Expenditure DATA'!AE13)*100</f>
        <v>19.788842852260551</v>
      </c>
      <c r="FA11" s="464">
        <f>('Expenditure DATA'!HJ13/'Expenditure DATA'!AF13)*100</f>
        <v>20.723473050827074</v>
      </c>
      <c r="FB11" s="203">
        <f>('Expenditure DATA'!HK13/'Expenditure DATA'!B13)*100</f>
        <v>4.1175148859678687</v>
      </c>
      <c r="FC11" s="202">
        <f>('Expenditure DATA'!HL13/'Expenditure DATA'!C13)*100</f>
        <v>4.878978463884124</v>
      </c>
      <c r="FD11" s="202">
        <f>('Expenditure DATA'!HM13/'Expenditure DATA'!D13)*100</f>
        <v>5.0606179116151742</v>
      </c>
      <c r="FE11" s="202">
        <f>('Expenditure DATA'!HN13/'Expenditure DATA'!E13)*100</f>
        <v>4.6409351863630208</v>
      </c>
      <c r="FF11" s="202">
        <f>('Expenditure DATA'!HO13/'Expenditure DATA'!F13)*100</f>
        <v>4.9732395129217162</v>
      </c>
      <c r="FG11" s="202">
        <f>('Expenditure DATA'!HP13/'Expenditure DATA'!G13)*100</f>
        <v>5.2156217739557285</v>
      </c>
      <c r="FH11" s="202">
        <f>('Expenditure DATA'!HQ13/'Expenditure DATA'!H13)*100</f>
        <v>4.7650424634293813</v>
      </c>
      <c r="FI11" s="202">
        <f>('Expenditure DATA'!HR13/'Expenditure DATA'!I13)*100</f>
        <v>4.5056142257978671</v>
      </c>
      <c r="FJ11" s="202">
        <f>('Expenditure DATA'!HS13/'Expenditure DATA'!J13)*100</f>
        <v>4.547861309515878</v>
      </c>
      <c r="FK11" s="202">
        <f>('Expenditure DATA'!HT13/'Expenditure DATA'!K13)*100</f>
        <v>4.3950986235884271</v>
      </c>
      <c r="FL11" s="202">
        <f>('Expenditure DATA'!HU13/'Expenditure DATA'!L13)*100</f>
        <v>4.2723519601445457</v>
      </c>
      <c r="FM11" s="202">
        <f>('Expenditure DATA'!HV13/'Expenditure DATA'!M13)*100</f>
        <v>4.1462834902380532</v>
      </c>
      <c r="FN11" s="202">
        <f>('Expenditure DATA'!HW13/'Expenditure DATA'!N13)*100</f>
        <v>4.1414656334239766</v>
      </c>
      <c r="FO11" s="202">
        <f>('Expenditure DATA'!HX13/'Expenditure DATA'!O13)*100</f>
        <v>4.1699966058780102</v>
      </c>
      <c r="FP11" s="202">
        <f>('Expenditure DATA'!HY13/'Expenditure DATA'!P13)*100</f>
        <v>4.2732577507044223</v>
      </c>
      <c r="FQ11" s="202">
        <f>('Expenditure DATA'!HZ13/'Expenditure DATA'!Q13)*100</f>
        <v>4.4078876165595329</v>
      </c>
      <c r="FR11" s="202">
        <f>('Expenditure DATA'!IA13/'Expenditure DATA'!R13)*100</f>
        <v>4.2705972961198411</v>
      </c>
      <c r="FS11" s="202">
        <f>('Expenditure DATA'!IB13/'Expenditure DATA'!S13)*100</f>
        <v>4.7913170707238644</v>
      </c>
      <c r="FT11" s="202">
        <f>('Expenditure DATA'!IC13/'Expenditure DATA'!T13)*100</f>
        <v>4.4678814942678109</v>
      </c>
      <c r="FU11" s="202">
        <f>('Expenditure DATA'!ID13/'Expenditure DATA'!U13)*100</f>
        <v>4.5809449583265955</v>
      </c>
      <c r="FV11" s="202">
        <f>('Expenditure DATA'!IE13/'Expenditure DATA'!V13)*100</f>
        <v>4.680543616800545</v>
      </c>
      <c r="FW11" s="202">
        <f>('Expenditure DATA'!IF13/'Expenditure DATA'!W13)*100</f>
        <v>4.4242836812844102</v>
      </c>
      <c r="FX11" s="202">
        <f>('Expenditure DATA'!IG13/'Expenditure DATA'!X13)*100</f>
        <v>4.1872812777361599</v>
      </c>
      <c r="FY11" s="202">
        <f>('Expenditure DATA'!IH13/'Expenditure DATA'!Y13)*100</f>
        <v>4.2030165968492925</v>
      </c>
      <c r="FZ11" s="202">
        <f>('Expenditure DATA'!II13/'Expenditure DATA'!Z13)*100</f>
        <v>4.8367217832842906</v>
      </c>
      <c r="GA11" s="202">
        <f>('Expenditure DATA'!IJ13/'Expenditure DATA'!AA13)*100</f>
        <v>4.5779781044576664</v>
      </c>
      <c r="GB11" s="202">
        <f>('Expenditure DATA'!IK13/'Expenditure DATA'!AB13)*100</f>
        <v>4.8005065268671334</v>
      </c>
      <c r="GC11" s="202">
        <f>('Expenditure DATA'!IL13/'Expenditure DATA'!AC13)*100</f>
        <v>4.5663634337554564</v>
      </c>
      <c r="GD11" s="202">
        <f>('Expenditure DATA'!IM13/'Expenditure DATA'!AD13)*100</f>
        <v>4.5500172911560606</v>
      </c>
      <c r="GE11" s="202">
        <f>('Expenditure DATA'!IN13/'Expenditure DATA'!AE13)*100</f>
        <v>4.7316990380107429</v>
      </c>
      <c r="GF11" s="464">
        <f>('Expenditure DATA'!IO13/'Expenditure DATA'!AF13)*100</f>
        <v>4.4595618401961659</v>
      </c>
      <c r="GG11" s="203">
        <f>('Expenditure DATA'!IP13/'Expenditure DATA'!B13)*100</f>
        <v>10.989401939856943</v>
      </c>
      <c r="GH11" s="202">
        <f>('Expenditure DATA'!IQ13/'Expenditure DATA'!C13)*100</f>
        <v>11.442036141864616</v>
      </c>
      <c r="GI11" s="202">
        <f>('Expenditure DATA'!IR13/'Expenditure DATA'!D13)*100</f>
        <v>11.959327336722723</v>
      </c>
      <c r="GJ11" s="202">
        <f>('Expenditure DATA'!IS13/'Expenditure DATA'!E13)*100</f>
        <v>12.493542644228215</v>
      </c>
      <c r="GK11" s="202">
        <f>('Expenditure DATA'!IT13/'Expenditure DATA'!F13)*100</f>
        <v>12.02416569999771</v>
      </c>
      <c r="GL11" s="202">
        <f>('Expenditure DATA'!IU13/'Expenditure DATA'!G13)*100</f>
        <v>12.579159659153532</v>
      </c>
      <c r="GM11" s="202">
        <f>('Expenditure DATA'!IV13/'Expenditure DATA'!H13)*100</f>
        <v>13.04312541802504</v>
      </c>
      <c r="GN11" s="202">
        <f>('Expenditure DATA'!IW13/'Expenditure DATA'!I13)*100</f>
        <v>12.468294437675921</v>
      </c>
      <c r="GO11" s="202">
        <f>('Expenditure DATA'!IX13/'Expenditure DATA'!J13)*100</f>
        <v>13.789396162866622</v>
      </c>
      <c r="GP11" s="202">
        <f>('Expenditure DATA'!IY13/'Expenditure DATA'!K13)*100</f>
        <v>12.474109925262651</v>
      </c>
      <c r="GQ11" s="202">
        <f>('Expenditure DATA'!IZ13/'Expenditure DATA'!L13)*100</f>
        <v>11.417261545310643</v>
      </c>
      <c r="GR11" s="202">
        <f>('Expenditure DATA'!JA13/'Expenditure DATA'!M13)*100</f>
        <v>11.544911759897426</v>
      </c>
      <c r="GS11" s="202">
        <f>('Expenditure DATA'!JB13/'Expenditure DATA'!N13)*100</f>
        <v>11.234621996500135</v>
      </c>
      <c r="GT11" s="202">
        <f>('Expenditure DATA'!JC13/'Expenditure DATA'!O13)*100</f>
        <v>10.700606519935562</v>
      </c>
      <c r="GU11" s="202">
        <f>('Expenditure DATA'!JD13/'Expenditure DATA'!P13)*100</f>
        <v>11.140056777512305</v>
      </c>
      <c r="GV11" s="202">
        <f>('Expenditure DATA'!JE13/'Expenditure DATA'!Q13)*100</f>
        <v>11.511525864349208</v>
      </c>
      <c r="GW11" s="202">
        <f>('Expenditure DATA'!JF13/'Expenditure DATA'!R13)*100</f>
        <v>12.032494294166</v>
      </c>
      <c r="GX11" s="202">
        <f>('Expenditure DATA'!JG13/'Expenditure DATA'!S13)*100</f>
        <v>11.400397399545994</v>
      </c>
      <c r="GY11" s="202">
        <f>('Expenditure DATA'!JH13/'Expenditure DATA'!T13)*100</f>
        <v>9.9356309191983812</v>
      </c>
      <c r="GZ11" s="202">
        <f>('Expenditure DATA'!JI13/'Expenditure DATA'!U13)*100</f>
        <v>10.127237787301839</v>
      </c>
      <c r="HA11" s="202">
        <f>('Expenditure DATA'!JJ13/'Expenditure DATA'!V13)*100</f>
        <v>10.296026061890506</v>
      </c>
      <c r="HB11" s="202">
        <f>('Expenditure DATA'!JK13/'Expenditure DATA'!W13)*100</f>
        <v>10.2583342840923</v>
      </c>
      <c r="HC11" s="202">
        <f>('Expenditure DATA'!JL13/'Expenditure DATA'!X13)*100</f>
        <v>10.223474984240411</v>
      </c>
      <c r="HD11" s="202">
        <f>('Expenditure DATA'!JM13/'Expenditure DATA'!Y13)*100</f>
        <v>8.7343742701807621</v>
      </c>
      <c r="HE11" s="202">
        <f>('Expenditure DATA'!JN13/'Expenditure DATA'!Z13)*100</f>
        <v>8.8651034511046269</v>
      </c>
      <c r="HF11" s="202">
        <f>('Expenditure DATA'!JO13/'Expenditure DATA'!AA13)*100</f>
        <v>7.8549984232592003</v>
      </c>
      <c r="HG11" s="202">
        <f>('Expenditure DATA'!JP13/'Expenditure DATA'!AB13)*100</f>
        <v>7.7882543433420075</v>
      </c>
      <c r="HH11" s="202">
        <f>('Expenditure DATA'!JQ13/'Expenditure DATA'!AC13)*100</f>
        <v>8.2451665863291428</v>
      </c>
      <c r="HI11" s="202">
        <f>('Expenditure DATA'!JR13/'Expenditure DATA'!AD13)*100</f>
        <v>8.507889427547795</v>
      </c>
      <c r="HJ11" s="202">
        <f>('Expenditure DATA'!JS13/'Expenditure DATA'!AE13)*100</f>
        <v>8.7327975988298743</v>
      </c>
      <c r="HK11" s="464">
        <f>('Expenditure DATA'!JT13/'Expenditure DATA'!AF13)*100</f>
        <v>8.5112300920789554</v>
      </c>
      <c r="HL11" s="203">
        <f t="shared" si="1"/>
        <v>100.00187244878852</v>
      </c>
      <c r="HM11" s="204">
        <f t="shared" si="2"/>
        <v>99.998267408215966</v>
      </c>
      <c r="HN11" s="204">
        <f t="shared" si="3"/>
        <v>99.996871333594044</v>
      </c>
      <c r="HO11" s="204">
        <f t="shared" si="4"/>
        <v>100</v>
      </c>
      <c r="HP11" s="204">
        <f t="shared" si="5"/>
        <v>100.00000000000001</v>
      </c>
      <c r="HQ11" s="204">
        <f t="shared" si="6"/>
        <v>100</v>
      </c>
      <c r="HR11" s="204">
        <f t="shared" si="7"/>
        <v>100.00000000000001</v>
      </c>
      <c r="HS11" s="204">
        <f t="shared" si="8"/>
        <v>99.999999999999972</v>
      </c>
      <c r="HT11" s="204">
        <f t="shared" si="9"/>
        <v>100</v>
      </c>
      <c r="HU11" s="204">
        <f t="shared" si="10"/>
        <v>100</v>
      </c>
      <c r="HV11" s="204">
        <f t="shared" si="11"/>
        <v>100</v>
      </c>
      <c r="HW11" s="204">
        <f t="shared" si="12"/>
        <v>99.999999999999986</v>
      </c>
      <c r="HX11" s="204">
        <f t="shared" si="13"/>
        <v>100</v>
      </c>
      <c r="HY11" s="204">
        <f t="shared" si="14"/>
        <v>100</v>
      </c>
      <c r="HZ11" s="204">
        <f t="shared" si="15"/>
        <v>99.999999999999986</v>
      </c>
      <c r="IA11" s="204">
        <f t="shared" si="16"/>
        <v>100.00000000000001</v>
      </c>
      <c r="IB11" s="204">
        <f t="shared" si="17"/>
        <v>100.00000000000001</v>
      </c>
      <c r="IC11" s="204">
        <f t="shared" si="18"/>
        <v>100</v>
      </c>
      <c r="ID11" s="204">
        <f t="shared" si="19"/>
        <v>100</v>
      </c>
      <c r="IE11" s="204">
        <f t="shared" si="20"/>
        <v>100.00000000000001</v>
      </c>
      <c r="IF11" s="204">
        <f t="shared" si="21"/>
        <v>100</v>
      </c>
      <c r="IG11" s="204">
        <f t="shared" si="22"/>
        <v>100</v>
      </c>
      <c r="IH11" s="204">
        <f t="shared" si="23"/>
        <v>100</v>
      </c>
      <c r="II11" s="204">
        <f t="shared" si="24"/>
        <v>100</v>
      </c>
      <c r="IJ11" s="204">
        <f t="shared" si="25"/>
        <v>100</v>
      </c>
      <c r="IK11" s="204">
        <f t="shared" si="26"/>
        <v>100</v>
      </c>
      <c r="IL11" s="204">
        <f t="shared" si="27"/>
        <v>100.00000000000001</v>
      </c>
      <c r="IM11" s="204">
        <f t="shared" si="28"/>
        <v>99.999999999999986</v>
      </c>
      <c r="IN11" s="204">
        <f t="shared" si="29"/>
        <v>100.0000062808413</v>
      </c>
      <c r="IO11" s="204">
        <f t="shared" si="30"/>
        <v>100.00000000000001</v>
      </c>
      <c r="IP11" s="204">
        <f t="shared" si="31"/>
        <v>100</v>
      </c>
    </row>
    <row r="12" spans="1:250" s="164" customFormat="1">
      <c r="A12" s="168" t="s">
        <v>30</v>
      </c>
      <c r="B12" s="62"/>
      <c r="C12" s="202">
        <f>('Expenditure DATA'!CQ14/'Expenditure DATA'!B14)*100</f>
        <v>8.5453086290519558</v>
      </c>
      <c r="D12" s="202">
        <f>('Expenditure DATA'!CR14/'Expenditure DATA'!C14)*100</f>
        <v>8.8010122705909861</v>
      </c>
      <c r="E12" s="202">
        <f>('Expenditure DATA'!CS14/'Expenditure DATA'!D14)*100</f>
        <v>9.5781414202071762</v>
      </c>
      <c r="F12" s="202">
        <f>('Expenditure DATA'!CT14/'Expenditure DATA'!E14)*100</f>
        <v>8.5913614909644824</v>
      </c>
      <c r="G12" s="202">
        <f>('Expenditure DATA'!CU14/'Expenditure DATA'!F14)*100</f>
        <v>8.7709052744063953</v>
      </c>
      <c r="H12" s="202">
        <f>('Expenditure DATA'!CV14/'Expenditure DATA'!G14)*100</f>
        <v>8.4339618255790558</v>
      </c>
      <c r="I12" s="202">
        <f>('Expenditure DATA'!CW14/'Expenditure DATA'!H14)*100</f>
        <v>8.7100607004047657</v>
      </c>
      <c r="J12" s="202">
        <f>('Expenditure DATA'!CX14/'Expenditure DATA'!I14)*100</f>
        <v>7.9447506848755731</v>
      </c>
      <c r="K12" s="202">
        <f>('Expenditure DATA'!CY14/'Expenditure DATA'!J14)*100</f>
        <v>7.8259850414192398</v>
      </c>
      <c r="L12" s="202">
        <f>('Expenditure DATA'!CZ14/'Expenditure DATA'!K14)*100</f>
        <v>7.8437384063107993</v>
      </c>
      <c r="M12" s="202">
        <f>('Expenditure DATA'!DA14/'Expenditure DATA'!L14)*100</f>
        <v>7.8582812790122176</v>
      </c>
      <c r="N12" s="202">
        <f>('Expenditure DATA'!DB14/'Expenditure DATA'!M14)*100</f>
        <v>7.8743597507387335</v>
      </c>
      <c r="O12" s="202">
        <f>('Expenditure DATA'!DC14/'Expenditure DATA'!N14)*100</f>
        <v>8.0143505108537632</v>
      </c>
      <c r="P12" s="202">
        <f>('Expenditure DATA'!DD14/'Expenditure DATA'!O14)*100</f>
        <v>7.955381201143358</v>
      </c>
      <c r="Q12" s="202">
        <f>('Expenditure DATA'!DE14/'Expenditure DATA'!P14)*100</f>
        <v>8.4933493777566156</v>
      </c>
      <c r="R12" s="202">
        <f>('Expenditure DATA'!DF14/'Expenditure DATA'!Q14)*100</f>
        <v>8.7289878971499295</v>
      </c>
      <c r="S12" s="202">
        <f>('Expenditure DATA'!DG14/'Expenditure DATA'!R14)*100</f>
        <v>8.5407782687066689</v>
      </c>
      <c r="T12" s="202">
        <f>('Expenditure DATA'!DH14/'Expenditure DATA'!S14)*100</f>
        <v>8.5457992103701983</v>
      </c>
      <c r="U12" s="202">
        <f>('Expenditure DATA'!DI14/'Expenditure DATA'!T14)*100</f>
        <v>8.8002710597523244</v>
      </c>
      <c r="V12" s="202">
        <f>('Expenditure DATA'!DJ14/'Expenditure DATA'!U14)*100</f>
        <v>8.6976707533759932</v>
      </c>
      <c r="W12" s="202">
        <f>('Expenditure DATA'!DK14/'Expenditure DATA'!V14)*100</f>
        <v>8.6036914709450034</v>
      </c>
      <c r="X12" s="202">
        <f>('Expenditure DATA'!DL14/'Expenditure DATA'!W14)*100</f>
        <v>8.4994334242354661</v>
      </c>
      <c r="Y12" s="202">
        <f>('Expenditure DATA'!DM14/'Expenditure DATA'!X14)*100</f>
        <v>8.4063856790283822</v>
      </c>
      <c r="Z12" s="202">
        <f>('Expenditure DATA'!DN14/'Expenditure DATA'!Y14)*100</f>
        <v>8.332780073504221</v>
      </c>
      <c r="AA12" s="202">
        <f>('Expenditure DATA'!DO14/'Expenditure DATA'!Z14)*100</f>
        <v>8.0461303694330581</v>
      </c>
      <c r="AB12" s="202">
        <f>('Expenditure DATA'!DP14/'Expenditure DATA'!AA14)*100</f>
        <v>7.7682679802136692</v>
      </c>
      <c r="AC12" s="202">
        <f>('Expenditure DATA'!DQ14/'Expenditure DATA'!AB14)*100</f>
        <v>8.2048743852185346</v>
      </c>
      <c r="AD12" s="202">
        <f>('Expenditure DATA'!DR14/'Expenditure DATA'!AC14)*100</f>
        <v>8.2036105207319139</v>
      </c>
      <c r="AE12" s="202">
        <f>('Expenditure DATA'!DS14/'Expenditure DATA'!AD14)*100</f>
        <v>7.3889447860392936</v>
      </c>
      <c r="AF12" s="202">
        <f>('Expenditure DATA'!DT14/'Expenditure DATA'!AE14)*100</f>
        <v>7.3274326323405168</v>
      </c>
      <c r="AG12" s="464">
        <f>('Expenditure DATA'!DU14/'Expenditure DATA'!AF14)*100</f>
        <v>7.4576334955665597</v>
      </c>
      <c r="AH12" s="203">
        <f>('Expenditure DATA'!BL14/'Expenditure DATA'!B14)*100</f>
        <v>23.266687602498344</v>
      </c>
      <c r="AI12" s="202">
        <f>('Expenditure DATA'!BM14/'Expenditure DATA'!C14)*100</f>
        <v>21.040767284095015</v>
      </c>
      <c r="AJ12" s="202">
        <f>('Expenditure DATA'!BN14/'Expenditure DATA'!D14)*100</f>
        <v>20.378321573337335</v>
      </c>
      <c r="AK12" s="202">
        <f>('Expenditure DATA'!BO14/'Expenditure DATA'!E14)*100</f>
        <v>21.254871002597319</v>
      </c>
      <c r="AL12" s="202">
        <f>('Expenditure DATA'!BP14/'Expenditure DATA'!F14)*100</f>
        <v>21.51113337478435</v>
      </c>
      <c r="AM12" s="202">
        <f>('Expenditure DATA'!BQ14/'Expenditure DATA'!G14)*100</f>
        <v>20.875578656202855</v>
      </c>
      <c r="AN12" s="202">
        <f>('Expenditure DATA'!BR14/'Expenditure DATA'!H14)*100</f>
        <v>20.130159821880316</v>
      </c>
      <c r="AO12" s="202">
        <f>('Expenditure DATA'!BS14/'Expenditure DATA'!I14)*100</f>
        <v>21.640532721964181</v>
      </c>
      <c r="AP12" s="202">
        <f>('Expenditure DATA'!BT14/'Expenditure DATA'!J14)*100</f>
        <v>22.396560207204502</v>
      </c>
      <c r="AQ12" s="202">
        <f>('Expenditure DATA'!BU14/'Expenditure DATA'!K14)*100</f>
        <v>22.244475525449943</v>
      </c>
      <c r="AR12" s="202">
        <f>('Expenditure DATA'!BV14/'Expenditure DATA'!L14)*100</f>
        <v>22.119893612099879</v>
      </c>
      <c r="AS12" s="202">
        <f>('Expenditure DATA'!BW14/'Expenditure DATA'!M14)*100</f>
        <v>20.394472538401047</v>
      </c>
      <c r="AT12" s="202">
        <f>('Expenditure DATA'!BX14/'Expenditure DATA'!N14)*100</f>
        <v>20.61904750884505</v>
      </c>
      <c r="AU12" s="202">
        <f>('Expenditure DATA'!BY14/'Expenditure DATA'!O14)*100</f>
        <v>19.706194107173559</v>
      </c>
      <c r="AV12" s="202">
        <f>('Expenditure DATA'!BZ14/'Expenditure DATA'!P14)*100</f>
        <v>20.515618219500737</v>
      </c>
      <c r="AW12" s="202">
        <f>('Expenditure DATA'!CA14/'Expenditure DATA'!Q14)*100</f>
        <v>21.118565393511229</v>
      </c>
      <c r="AX12" s="202">
        <f>('Expenditure DATA'!CB14/'Expenditure DATA'!R14)*100</f>
        <v>21.580339619421448</v>
      </c>
      <c r="AY12" s="202">
        <f>('Expenditure DATA'!CC14/'Expenditure DATA'!S14)*100</f>
        <v>21.839079969905878</v>
      </c>
      <c r="AZ12" s="202">
        <f>('Expenditure DATA'!CD14/'Expenditure DATA'!T14)*100</f>
        <v>21.204114179252176</v>
      </c>
      <c r="BA12" s="202">
        <f>('Expenditure DATA'!CE14/'Expenditure DATA'!U14)*100</f>
        <v>21.346295500991509</v>
      </c>
      <c r="BB12" s="202">
        <f>('Expenditure DATA'!CF14/'Expenditure DATA'!V14)*100</f>
        <v>21.476529991160973</v>
      </c>
      <c r="BC12" s="202">
        <f>('Expenditure DATA'!CG14/'Expenditure DATA'!W14)*100</f>
        <v>21.054990095831368</v>
      </c>
      <c r="BD12" s="202">
        <f>('Expenditure DATA'!CH14/'Expenditure DATA'!X14)*100</f>
        <v>20.678776095922796</v>
      </c>
      <c r="BE12" s="202">
        <f>('Expenditure DATA'!CI14/'Expenditure DATA'!Y14)*100</f>
        <v>20.583656286343828</v>
      </c>
      <c r="BF12" s="202">
        <f>('Expenditure DATA'!CJ14/'Expenditure DATA'!Z14)*100</f>
        <v>19.546636026730173</v>
      </c>
      <c r="BG12" s="202">
        <f>('Expenditure DATA'!CK14/'Expenditure DATA'!AA14)*100</f>
        <v>19.124701914845346</v>
      </c>
      <c r="BH12" s="202">
        <f>('Expenditure DATA'!CL14/'Expenditure DATA'!AB14)*100</f>
        <v>18.157465482928568</v>
      </c>
      <c r="BI12" s="202">
        <f>('Expenditure DATA'!CM14/'Expenditure DATA'!AC14)*100</f>
        <v>19.310554376090671</v>
      </c>
      <c r="BJ12" s="202">
        <f>('Expenditure DATA'!CN14/'Expenditure DATA'!AD14)*100</f>
        <v>18.724225541069547</v>
      </c>
      <c r="BK12" s="202">
        <f>('Expenditure DATA'!CO14/'Expenditure DATA'!AE14)*100</f>
        <v>19.085252415438209</v>
      </c>
      <c r="BL12" s="464">
        <f>('Expenditure DATA'!CP14/'Expenditure DATA'!AF14)*100</f>
        <v>20.527349888216037</v>
      </c>
      <c r="BM12" s="203">
        <f>('Expenditure DATA'!AG14/'Expenditure DATA'!B14)*100</f>
        <v>34.549937774055849</v>
      </c>
      <c r="BN12" s="202">
        <f>('Expenditure DATA'!AH14/'Expenditure DATA'!C14)*100</f>
        <v>32.613827276013865</v>
      </c>
      <c r="BO12" s="202">
        <f>('Expenditure DATA'!AI14/'Expenditure DATA'!D14)*100</f>
        <v>32.278436671170496</v>
      </c>
      <c r="BP12" s="202">
        <f>('Expenditure DATA'!AJ14/'Expenditure DATA'!E14)*100</f>
        <v>32.112089154392301</v>
      </c>
      <c r="BQ12" s="202">
        <f>('Expenditure DATA'!AK14/'Expenditure DATA'!F14)*100</f>
        <v>32.701486497463158</v>
      </c>
      <c r="BR12" s="202">
        <f>('Expenditure DATA'!AL14/'Expenditure DATA'!G14)*100</f>
        <v>31.392993365928636</v>
      </c>
      <c r="BS12" s="202">
        <f>('Expenditure DATA'!AM14/'Expenditure DATA'!H14)*100</f>
        <v>30.891581214640539</v>
      </c>
      <c r="BT12" s="202">
        <f>('Expenditure DATA'!AN14/'Expenditure DATA'!I14)*100</f>
        <v>31.659165859388189</v>
      </c>
      <c r="BU12" s="202">
        <f>('Expenditure DATA'!AO14/'Expenditure DATA'!J14)*100</f>
        <v>32.376523630782373</v>
      </c>
      <c r="BV12" s="202">
        <f>('Expenditure DATA'!AP14/'Expenditure DATA'!K14)*100</f>
        <v>32.164392198938572</v>
      </c>
      <c r="BW12" s="202">
        <f>('Expenditure DATA'!AQ14/'Expenditure DATA'!L14)*100</f>
        <v>31.990622300774589</v>
      </c>
      <c r="BX12" s="202">
        <f>('Expenditure DATA'!AR14/'Expenditure DATA'!M14)*100</f>
        <v>30.248029790575394</v>
      </c>
      <c r="BY12" s="202">
        <f>('Expenditure DATA'!AS14/'Expenditure DATA'!N14)*100</f>
        <v>30.629507343394881</v>
      </c>
      <c r="BZ12" s="202">
        <f>('Expenditure DATA'!AT14/'Expenditure DATA'!O14)*100</f>
        <v>29.718943531956839</v>
      </c>
      <c r="CA12" s="202">
        <f>('Expenditure DATA'!AU14/'Expenditure DATA'!P14)*100</f>
        <v>31.155113110519856</v>
      </c>
      <c r="CB12" s="202">
        <f>('Expenditure DATA'!AV14/'Expenditure DATA'!Q14)*100</f>
        <v>31.914449235103898</v>
      </c>
      <c r="CC12" s="202">
        <f>('Expenditure DATA'!AW14/'Expenditure DATA'!R14)*100</f>
        <v>32.313991775451761</v>
      </c>
      <c r="CD12" s="202">
        <f>('Expenditure DATA'!AX14/'Expenditure DATA'!S14)*100</f>
        <v>33.047805674697074</v>
      </c>
      <c r="CE12" s="202">
        <f>('Expenditure DATA'!AY14/'Expenditure DATA'!T14)*100</f>
        <v>32.677648303472722</v>
      </c>
      <c r="CF12" s="202">
        <f>('Expenditure DATA'!AZ14/'Expenditure DATA'!U14)*100</f>
        <v>33.02171040901802</v>
      </c>
      <c r="CG12" s="202">
        <f>('Expenditure DATA'!BA14/'Expenditure DATA'!V14)*100</f>
        <v>33.336862584804315</v>
      </c>
      <c r="CH12" s="202">
        <f>('Expenditure DATA'!BB14/'Expenditure DATA'!W14)*100</f>
        <v>32.683168947700167</v>
      </c>
      <c r="CI12" s="202">
        <f>('Expenditure DATA'!BC14/'Expenditure DATA'!X14)*100</f>
        <v>32.099763436965659</v>
      </c>
      <c r="CJ12" s="202">
        <f>('Expenditure DATA'!BD14/'Expenditure DATA'!Y14)*100</f>
        <v>31.960580605236576</v>
      </c>
      <c r="CK12" s="202">
        <f>('Expenditure DATA'!BE14/'Expenditure DATA'!Z14)*100</f>
        <v>30.423250728982438</v>
      </c>
      <c r="CL12" s="202">
        <f>('Expenditure DATA'!BF14/'Expenditure DATA'!AA14)*100</f>
        <v>29.624728757662471</v>
      </c>
      <c r="CM12" s="202">
        <f>('Expenditure DATA'!BG14/'Expenditure DATA'!AB14)*100</f>
        <v>28.951745197482936</v>
      </c>
      <c r="CN12" s="202">
        <f>('Expenditure DATA'!BH14/'Expenditure DATA'!AC14)*100</f>
        <v>30.064035500621078</v>
      </c>
      <c r="CO12" s="202">
        <f>('Expenditure DATA'!BI14/'Expenditure DATA'!AD14)*100</f>
        <v>28.532270664726806</v>
      </c>
      <c r="CP12" s="202">
        <f>('Expenditure DATA'!BJ14/'Expenditure DATA'!AE14)*100</f>
        <v>28.768575702566007</v>
      </c>
      <c r="CQ12" s="464">
        <f>('Expenditure DATA'!BK14/'Expenditure DATA'!AF14)*100</f>
        <v>30.622170202034155</v>
      </c>
      <c r="CR12" s="203">
        <f>('Expenditure DATA'!FA14/'Expenditure DATA'!B14)*100</f>
        <v>21.993091175546947</v>
      </c>
      <c r="CS12" s="202">
        <f>('Expenditure DATA'!FB14/'Expenditure DATA'!C14)*100</f>
        <v>21.906301171767009</v>
      </c>
      <c r="CT12" s="202">
        <f>('Expenditure DATA'!FC14/'Expenditure DATA'!D14)*100</f>
        <v>22.413051093429416</v>
      </c>
      <c r="CU12" s="202">
        <f>('Expenditure DATA'!FD14/'Expenditure DATA'!E14)*100</f>
        <v>23.362241535604323</v>
      </c>
      <c r="CV12" s="202">
        <f>('Expenditure DATA'!FE14/'Expenditure DATA'!F14)*100</f>
        <v>21.395975706600154</v>
      </c>
      <c r="CW12" s="202">
        <f>('Expenditure DATA'!FF14/'Expenditure DATA'!G14)*100</f>
        <v>21.936472574256495</v>
      </c>
      <c r="CX12" s="202">
        <f>('Expenditure DATA'!FG14/'Expenditure DATA'!H14)*100</f>
        <v>22.524460552642477</v>
      </c>
      <c r="CY12" s="202">
        <f>('Expenditure DATA'!FH14/'Expenditure DATA'!I14)*100</f>
        <v>22.736983230345047</v>
      </c>
      <c r="CZ12" s="202">
        <f>('Expenditure DATA'!FI14/'Expenditure DATA'!J14)*100</f>
        <v>23.008000705535043</v>
      </c>
      <c r="DA12" s="202">
        <f>('Expenditure DATA'!FJ14/'Expenditure DATA'!K14)*100</f>
        <v>26.051991980868344</v>
      </c>
      <c r="DB12" s="202">
        <f>('Expenditure DATA'!FK14/'Expenditure DATA'!L14)*100</f>
        <v>28.545512386256267</v>
      </c>
      <c r="DC12" s="202">
        <f>('Expenditure DATA'!FL14/'Expenditure DATA'!M14)*100</f>
        <v>32.591226257958773</v>
      </c>
      <c r="DD12" s="202">
        <f>('Expenditure DATA'!FM14/'Expenditure DATA'!N14)*100</f>
        <v>31.666032027020048</v>
      </c>
      <c r="DE12" s="202">
        <f>('Expenditure DATA'!FN14/'Expenditure DATA'!O14)*100</f>
        <v>35.669799025554369</v>
      </c>
      <c r="DF12" s="202">
        <f>('Expenditure DATA'!FO14/'Expenditure DATA'!P14)*100</f>
        <v>31.049944601936215</v>
      </c>
      <c r="DG12" s="202">
        <f>('Expenditure DATA'!FP14/'Expenditure DATA'!Q14)*100</f>
        <v>30.445646121747444</v>
      </c>
      <c r="DH12" s="202">
        <f>('Expenditure DATA'!FQ14/'Expenditure DATA'!R14)*100</f>
        <v>30.020683452558323</v>
      </c>
      <c r="DI12" s="202">
        <f>('Expenditure DATA'!FR14/'Expenditure DATA'!S14)*100</f>
        <v>29.08324866519833</v>
      </c>
      <c r="DJ12" s="202">
        <f>('Expenditure DATA'!FS14/'Expenditure DATA'!T14)*100</f>
        <v>29.311832599415172</v>
      </c>
      <c r="DK12" s="202">
        <f>('Expenditure DATA'!FT14/'Expenditure DATA'!U14)*100</f>
        <v>29.23795402488491</v>
      </c>
      <c r="DL12" s="202">
        <f>('Expenditure DATA'!FU14/'Expenditure DATA'!V14)*100</f>
        <v>29.170283121487099</v>
      </c>
      <c r="DM12" s="202">
        <f>('Expenditure DATA'!FV14/'Expenditure DATA'!W14)*100</f>
        <v>29.031335194087148</v>
      </c>
      <c r="DN12" s="202">
        <f>('Expenditure DATA'!FW14/'Expenditure DATA'!X14)*100</f>
        <v>28.907327582647984</v>
      </c>
      <c r="DO12" s="202">
        <f>('Expenditure DATA'!FX14/'Expenditure DATA'!Y14)*100</f>
        <v>29.704111268532131</v>
      </c>
      <c r="DP12" s="202">
        <f>('Expenditure DATA'!FY14/'Expenditure DATA'!Z14)*100</f>
        <v>28.967265861002435</v>
      </c>
      <c r="DQ12" s="202">
        <f>('Expenditure DATA'!FZ14/'Expenditure DATA'!AA14)*100</f>
        <v>24.601574663151506</v>
      </c>
      <c r="DR12" s="202">
        <f>('Expenditure DATA'!GA14/'Expenditure DATA'!AB14)*100</f>
        <v>23.720461066395192</v>
      </c>
      <c r="DS12" s="202">
        <f>('Expenditure DATA'!GB14/'Expenditure DATA'!AC14)*100</f>
        <v>25.012180006821964</v>
      </c>
      <c r="DT12" s="202">
        <f>('Expenditure DATA'!GC14/'Expenditure DATA'!AD14)*100</f>
        <v>27.814155222568321</v>
      </c>
      <c r="DU12" s="202">
        <f>('Expenditure DATA'!GD14/'Expenditure DATA'!AE14)*100</f>
        <v>27.824591967028368</v>
      </c>
      <c r="DV12" s="464">
        <f>('Expenditure DATA'!GE14/'Expenditure DATA'!AF14)*100</f>
        <v>27.405395141468585</v>
      </c>
      <c r="DW12" s="203">
        <f>('Expenditure DATA'!GF14/'Expenditure DATA'!B14)*100</f>
        <v>25.761540877211349</v>
      </c>
      <c r="DX12" s="202">
        <f>('Expenditure DATA'!GG14/'Expenditure DATA'!C14)*100</f>
        <v>29.092146396444292</v>
      </c>
      <c r="DY12" s="202">
        <f>('Expenditure DATA'!GH14/'Expenditure DATA'!D14)*100</f>
        <v>28.110894260121107</v>
      </c>
      <c r="DZ12" s="202">
        <f>('Expenditure DATA'!GI14/'Expenditure DATA'!E14)*100</f>
        <v>27.243459885386123</v>
      </c>
      <c r="EA12" s="202">
        <f>('Expenditure DATA'!GJ14/'Expenditure DATA'!F14)*100</f>
        <v>27.565542508040679</v>
      </c>
      <c r="EB12" s="202">
        <f>('Expenditure DATA'!GK14/'Expenditure DATA'!G14)*100</f>
        <v>26.60736219937662</v>
      </c>
      <c r="EC12" s="202">
        <f>('Expenditure DATA'!GL14/'Expenditure DATA'!H14)*100</f>
        <v>26.258018763511341</v>
      </c>
      <c r="ED12" s="202">
        <f>('Expenditure DATA'!GM14/'Expenditure DATA'!I14)*100</f>
        <v>25.164504695741286</v>
      </c>
      <c r="EE12" s="202">
        <f>('Expenditure DATA'!GN14/'Expenditure DATA'!J14)*100</f>
        <v>24.801947338616593</v>
      </c>
      <c r="EF12" s="202">
        <f>('Expenditure DATA'!GO14/'Expenditure DATA'!K14)*100</f>
        <v>24.192730876617894</v>
      </c>
      <c r="EG12" s="202">
        <f>('Expenditure DATA'!GP14/'Expenditure DATA'!L14)*100</f>
        <v>23.69368421652992</v>
      </c>
      <c r="EH12" s="202">
        <f>('Expenditure DATA'!GQ14/'Expenditure DATA'!M14)*100</f>
        <v>21.828391362881565</v>
      </c>
      <c r="EI12" s="202">
        <f>('Expenditure DATA'!GR14/'Expenditure DATA'!N14)*100</f>
        <v>22.856438577949088</v>
      </c>
      <c r="EJ12" s="202">
        <f>('Expenditure DATA'!GS14/'Expenditure DATA'!O14)*100</f>
        <v>21.24043108583156</v>
      </c>
      <c r="EK12" s="202">
        <f>('Expenditure DATA'!GT14/'Expenditure DATA'!P14)*100</f>
        <v>23.418480024154718</v>
      </c>
      <c r="EL12" s="202">
        <f>('Expenditure DATA'!GU14/'Expenditure DATA'!Q14)*100</f>
        <v>23.681856066892866</v>
      </c>
      <c r="EM12" s="202">
        <f>('Expenditure DATA'!GV14/'Expenditure DATA'!R14)*100</f>
        <v>24.383603159632099</v>
      </c>
      <c r="EN12" s="202">
        <f>('Expenditure DATA'!GW14/'Expenditure DATA'!S14)*100</f>
        <v>24.922794783382162</v>
      </c>
      <c r="EO12" s="202">
        <f>('Expenditure DATA'!GX14/'Expenditure DATA'!T14)*100</f>
        <v>25.111928186762249</v>
      </c>
      <c r="EP12" s="202">
        <f>('Expenditure DATA'!GY14/'Expenditure DATA'!U14)*100</f>
        <v>24.485623237407559</v>
      </c>
      <c r="EQ12" s="202">
        <f>('Expenditure DATA'!GZ14/'Expenditure DATA'!V14)*100</f>
        <v>23.911943764098417</v>
      </c>
      <c r="ER12" s="202">
        <f>('Expenditure DATA'!HA14/'Expenditure DATA'!W14)*100</f>
        <v>24.192476834072586</v>
      </c>
      <c r="ES12" s="202">
        <f>('Expenditure DATA'!HB14/'Expenditure DATA'!X14)*100</f>
        <v>24.4428457067011</v>
      </c>
      <c r="ET12" s="202">
        <f>('Expenditure DATA'!HC14/'Expenditure DATA'!Y14)*100</f>
        <v>24.865011028156804</v>
      </c>
      <c r="EU12" s="202">
        <f>('Expenditure DATA'!HD14/'Expenditure DATA'!Z14)*100</f>
        <v>25.835245870738589</v>
      </c>
      <c r="EV12" s="202">
        <f>('Expenditure DATA'!HE14/'Expenditure DATA'!AA14)*100</f>
        <v>31.350831578929139</v>
      </c>
      <c r="EW12" s="202">
        <f>('Expenditure DATA'!HF14/'Expenditure DATA'!AB14)*100</f>
        <v>34.639863321400597</v>
      </c>
      <c r="EX12" s="202">
        <f>('Expenditure DATA'!HG14/'Expenditure DATA'!AC14)*100</f>
        <v>29.650206308263698</v>
      </c>
      <c r="EY12" s="202">
        <f>('Expenditure DATA'!HH14/'Expenditure DATA'!AD14)*100</f>
        <v>27.249494011368203</v>
      </c>
      <c r="EZ12" s="202">
        <f>('Expenditure DATA'!HI14/'Expenditure DATA'!AE14)*100</f>
        <v>26.875529673198862</v>
      </c>
      <c r="FA12" s="464">
        <f>('Expenditure DATA'!HJ14/'Expenditure DATA'!AF14)*100</f>
        <v>26.991274207856446</v>
      </c>
      <c r="FB12" s="203">
        <f>('Expenditure DATA'!HK14/'Expenditure DATA'!B14)*100</f>
        <v>4.9757493283087335</v>
      </c>
      <c r="FC12" s="202">
        <f>('Expenditure DATA'!HL14/'Expenditure DATA'!C14)*100</f>
        <v>4.9124896327329175</v>
      </c>
      <c r="FD12" s="202">
        <f>('Expenditure DATA'!HM14/'Expenditure DATA'!D14)*100</f>
        <v>5.1763999399489569</v>
      </c>
      <c r="FE12" s="202">
        <f>('Expenditure DATA'!HN14/'Expenditure DATA'!E14)*100</f>
        <v>5.1921753057267397</v>
      </c>
      <c r="FF12" s="202">
        <f>('Expenditure DATA'!HO14/'Expenditure DATA'!F14)*100</f>
        <v>5.054863309745615</v>
      </c>
      <c r="FG12" s="202">
        <f>('Expenditure DATA'!HP14/'Expenditure DATA'!G14)*100</f>
        <v>4.8905392752569412</v>
      </c>
      <c r="FH12" s="202">
        <f>('Expenditure DATA'!HQ14/'Expenditure DATA'!H14)*100</f>
        <v>4.8913109878800425</v>
      </c>
      <c r="FI12" s="202">
        <f>('Expenditure DATA'!HR14/'Expenditure DATA'!I14)*100</f>
        <v>4.812633920138949</v>
      </c>
      <c r="FJ12" s="202">
        <f>('Expenditure DATA'!HS14/'Expenditure DATA'!J14)*100</f>
        <v>4.7314944036836355</v>
      </c>
      <c r="FK12" s="202">
        <f>('Expenditure DATA'!HT14/'Expenditure DATA'!K14)*100</f>
        <v>4.5991252806434817</v>
      </c>
      <c r="FL12" s="202">
        <f>('Expenditure DATA'!HU14/'Expenditure DATA'!L14)*100</f>
        <v>4.4906935935954326</v>
      </c>
      <c r="FM12" s="202">
        <f>('Expenditure DATA'!HV14/'Expenditure DATA'!M14)*100</f>
        <v>4.4983751903917826</v>
      </c>
      <c r="FN12" s="202">
        <f>('Expenditure DATA'!HW14/'Expenditure DATA'!N14)*100</f>
        <v>4.4627658195132325</v>
      </c>
      <c r="FO12" s="202">
        <f>('Expenditure DATA'!HX14/'Expenditure DATA'!O14)*100</f>
        <v>4.2278469214267975</v>
      </c>
      <c r="FP12" s="202">
        <f>('Expenditure DATA'!HY14/'Expenditure DATA'!P14)*100</f>
        <v>4.3591971633320439</v>
      </c>
      <c r="FQ12" s="202">
        <f>('Expenditure DATA'!HZ14/'Expenditure DATA'!Q14)*100</f>
        <v>5.1768511183044517</v>
      </c>
      <c r="FR12" s="202">
        <f>('Expenditure DATA'!IA14/'Expenditure DATA'!R14)*100</f>
        <v>5.0538154891043732</v>
      </c>
      <c r="FS12" s="202">
        <f>('Expenditure DATA'!IB14/'Expenditure DATA'!S14)*100</f>
        <v>5.2932027208967023</v>
      </c>
      <c r="FT12" s="202">
        <f>('Expenditure DATA'!IC14/'Expenditure DATA'!T14)*100</f>
        <v>4.951643638662949</v>
      </c>
      <c r="FU12" s="202">
        <f>('Expenditure DATA'!ID14/'Expenditure DATA'!U14)*100</f>
        <v>5.3740822801951245</v>
      </c>
      <c r="FV12" s="202">
        <f>('Expenditure DATA'!IE14/'Expenditure DATA'!V14)*100</f>
        <v>5.7610253781688892</v>
      </c>
      <c r="FW12" s="202">
        <f>('Expenditure DATA'!IF14/'Expenditure DATA'!W14)*100</f>
        <v>5.7678145796606612</v>
      </c>
      <c r="FX12" s="202">
        <f>('Expenditure DATA'!IG14/'Expenditure DATA'!X14)*100</f>
        <v>5.7738737751904408</v>
      </c>
      <c r="FY12" s="202">
        <f>('Expenditure DATA'!IH14/'Expenditure DATA'!Y14)*100</f>
        <v>5.2986751279081803</v>
      </c>
      <c r="FZ12" s="202">
        <f>('Expenditure DATA'!II14/'Expenditure DATA'!Z14)*100</f>
        <v>5.3314800761190435</v>
      </c>
      <c r="GA12" s="202">
        <f>('Expenditure DATA'!IJ14/'Expenditure DATA'!AA14)*100</f>
        <v>5.1611261745175652</v>
      </c>
      <c r="GB12" s="202">
        <f>('Expenditure DATA'!IK14/'Expenditure DATA'!AB14)*100</f>
        <v>4.8705169197936309</v>
      </c>
      <c r="GC12" s="202">
        <f>('Expenditure DATA'!IL14/'Expenditure DATA'!AC14)*100</f>
        <v>5.0972479684466521</v>
      </c>
      <c r="GD12" s="202">
        <f>('Expenditure DATA'!IM14/'Expenditure DATA'!AD14)*100</f>
        <v>5.2425929074209838</v>
      </c>
      <c r="GE12" s="202">
        <f>('Expenditure DATA'!IN14/'Expenditure DATA'!AE14)*100</f>
        <v>5.1542369828086718</v>
      </c>
      <c r="GF12" s="464">
        <f>('Expenditure DATA'!IO14/'Expenditure DATA'!AF14)*100</f>
        <v>5.0083895290494276</v>
      </c>
      <c r="GG12" s="203">
        <f>('Expenditure DATA'!IP14/'Expenditure DATA'!B14)*100</f>
        <v>12.718517743117344</v>
      </c>
      <c r="GH12" s="202">
        <f>('Expenditure DATA'!IQ14/'Expenditure DATA'!C14)*100</f>
        <v>11.477362141930545</v>
      </c>
      <c r="GI12" s="202">
        <f>('Expenditure DATA'!IR14/'Expenditure DATA'!D14)*100</f>
        <v>12.02121803533003</v>
      </c>
      <c r="GJ12" s="202">
        <f>('Expenditure DATA'!IS14/'Expenditure DATA'!E14)*100</f>
        <v>12.090034118890502</v>
      </c>
      <c r="GK12" s="202">
        <f>('Expenditure DATA'!IT14/'Expenditure DATA'!F14)*100</f>
        <v>13.282104474527703</v>
      </c>
      <c r="GL12" s="202">
        <f>('Expenditure DATA'!IU14/'Expenditure DATA'!G14)*100</f>
        <v>15.172632585181317</v>
      </c>
      <c r="GM12" s="202">
        <f>('Expenditure DATA'!IV14/'Expenditure DATA'!H14)*100</f>
        <v>15.434601530518377</v>
      </c>
      <c r="GN12" s="202">
        <f>('Expenditure DATA'!IW14/'Expenditure DATA'!I14)*100</f>
        <v>15.626712294386531</v>
      </c>
      <c r="GO12" s="202">
        <f>('Expenditure DATA'!IX14/'Expenditure DATA'!J14)*100</f>
        <v>15.082033921382354</v>
      </c>
      <c r="GP12" s="202">
        <f>('Expenditure DATA'!IY14/'Expenditure DATA'!K14)*100</f>
        <v>12.99175966293172</v>
      </c>
      <c r="GQ12" s="202">
        <f>('Expenditure DATA'!IZ14/'Expenditure DATA'!L14)*100</f>
        <v>11.279487502843793</v>
      </c>
      <c r="GR12" s="202">
        <f>('Expenditure DATA'!JA14/'Expenditure DATA'!M14)*100</f>
        <v>10.83397739819249</v>
      </c>
      <c r="GS12" s="202">
        <f>('Expenditure DATA'!JB14/'Expenditure DATA'!N14)*100</f>
        <v>10.38525623212276</v>
      </c>
      <c r="GT12" s="202">
        <f>('Expenditure DATA'!JC14/'Expenditure DATA'!O14)*100</f>
        <v>9.1429794352304423</v>
      </c>
      <c r="GU12" s="202">
        <f>('Expenditure DATA'!JD14/'Expenditure DATA'!P14)*100</f>
        <v>10.017265100057161</v>
      </c>
      <c r="GV12" s="202">
        <f>('Expenditure DATA'!JE14/'Expenditure DATA'!Q14)*100</f>
        <v>8.7811974579513485</v>
      </c>
      <c r="GW12" s="202">
        <f>('Expenditure DATA'!JF14/'Expenditure DATA'!R14)*100</f>
        <v>8.2279061232534403</v>
      </c>
      <c r="GX12" s="202">
        <f>('Expenditure DATA'!JG14/'Expenditure DATA'!S14)*100</f>
        <v>7.6529481558257366</v>
      </c>
      <c r="GY12" s="202">
        <f>('Expenditure DATA'!JH14/'Expenditure DATA'!T14)*100</f>
        <v>7.9469472716869012</v>
      </c>
      <c r="GZ12" s="202">
        <f>('Expenditure DATA'!JI14/'Expenditure DATA'!U14)*100</f>
        <v>7.8806300484943899</v>
      </c>
      <c r="HA12" s="202">
        <f>('Expenditure DATA'!JJ14/'Expenditure DATA'!V14)*100</f>
        <v>7.8198851514412775</v>
      </c>
      <c r="HB12" s="202">
        <f>('Expenditure DATA'!JK14/'Expenditure DATA'!W14)*100</f>
        <v>8.325204444479434</v>
      </c>
      <c r="HC12" s="202">
        <f>('Expenditure DATA'!JL14/'Expenditure DATA'!X14)*100</f>
        <v>8.7761894984948068</v>
      </c>
      <c r="HD12" s="202">
        <f>('Expenditure DATA'!JM14/'Expenditure DATA'!Y14)*100</f>
        <v>8.1716219701663135</v>
      </c>
      <c r="HE12" s="202">
        <f>('Expenditure DATA'!JN14/'Expenditure DATA'!Z14)*100</f>
        <v>9.4427574631574966</v>
      </c>
      <c r="HF12" s="202">
        <f>('Expenditure DATA'!JO14/'Expenditure DATA'!AA14)*100</f>
        <v>9.2617388257393181</v>
      </c>
      <c r="HG12" s="202">
        <f>('Expenditure DATA'!JP14/'Expenditure DATA'!AB14)*100</f>
        <v>7.8174134949276457</v>
      </c>
      <c r="HH12" s="202">
        <f>('Expenditure DATA'!JQ14/'Expenditure DATA'!AC14)*100</f>
        <v>10.176325365186775</v>
      </c>
      <c r="HI12" s="202">
        <f>('Expenditure DATA'!JR14/'Expenditure DATA'!AD14)*100</f>
        <v>11.161487193915697</v>
      </c>
      <c r="HJ12" s="202">
        <f>('Expenditure DATA'!JS14/'Expenditure DATA'!AE14)*100</f>
        <v>11.377065674398102</v>
      </c>
      <c r="HK12" s="464">
        <f>('Expenditure DATA'!JT14/'Expenditure DATA'!AF14)*100</f>
        <v>9.9727709195913814</v>
      </c>
      <c r="HL12" s="203">
        <f t="shared" si="1"/>
        <v>99.998836898240228</v>
      </c>
      <c r="HM12" s="204">
        <f t="shared" si="2"/>
        <v>100.00212661888862</v>
      </c>
      <c r="HN12" s="204">
        <f t="shared" si="3"/>
        <v>100</v>
      </c>
      <c r="HO12" s="204">
        <f t="shared" si="4"/>
        <v>99.999999999999972</v>
      </c>
      <c r="HP12" s="204">
        <f t="shared" si="5"/>
        <v>99.99997249637731</v>
      </c>
      <c r="HQ12" s="204">
        <f t="shared" si="6"/>
        <v>100.00000000000001</v>
      </c>
      <c r="HR12" s="204">
        <f t="shared" si="7"/>
        <v>99.999973049192789</v>
      </c>
      <c r="HS12" s="204">
        <f t="shared" si="8"/>
        <v>100.00000000000001</v>
      </c>
      <c r="HT12" s="204">
        <f t="shared" si="9"/>
        <v>100</v>
      </c>
      <c r="HU12" s="204">
        <f t="shared" si="10"/>
        <v>100</v>
      </c>
      <c r="HV12" s="204">
        <f t="shared" si="11"/>
        <v>100</v>
      </c>
      <c r="HW12" s="204">
        <f t="shared" si="12"/>
        <v>100</v>
      </c>
      <c r="HX12" s="204">
        <f t="shared" si="13"/>
        <v>100.00000000000001</v>
      </c>
      <c r="HY12" s="204">
        <f t="shared" si="14"/>
        <v>100.00000000000001</v>
      </c>
      <c r="HZ12" s="204">
        <f t="shared" si="15"/>
        <v>99.999999999999986</v>
      </c>
      <c r="IA12" s="204">
        <f t="shared" si="16"/>
        <v>100.00000000000001</v>
      </c>
      <c r="IB12" s="204">
        <f t="shared" si="17"/>
        <v>100</v>
      </c>
      <c r="IC12" s="204">
        <f t="shared" si="18"/>
        <v>100</v>
      </c>
      <c r="ID12" s="204">
        <f t="shared" si="19"/>
        <v>99.999999999999972</v>
      </c>
      <c r="IE12" s="204">
        <f t="shared" si="20"/>
        <v>100</v>
      </c>
      <c r="IF12" s="204">
        <f t="shared" si="21"/>
        <v>100</v>
      </c>
      <c r="IG12" s="204">
        <f t="shared" si="22"/>
        <v>100.00000000000001</v>
      </c>
      <c r="IH12" s="204">
        <f t="shared" si="23"/>
        <v>99.999999999999986</v>
      </c>
      <c r="II12" s="204">
        <f t="shared" si="24"/>
        <v>100</v>
      </c>
      <c r="IJ12" s="204">
        <f t="shared" si="25"/>
        <v>100</v>
      </c>
      <c r="IK12" s="204">
        <f t="shared" si="26"/>
        <v>100</v>
      </c>
      <c r="IL12" s="204">
        <f t="shared" si="27"/>
        <v>100</v>
      </c>
      <c r="IM12" s="204">
        <f t="shared" si="28"/>
        <v>99.999995149340165</v>
      </c>
      <c r="IN12" s="204">
        <f t="shared" si="29"/>
        <v>100</v>
      </c>
      <c r="IO12" s="204">
        <f t="shared" si="30"/>
        <v>100</v>
      </c>
      <c r="IP12" s="204">
        <f t="shared" si="31"/>
        <v>100</v>
      </c>
    </row>
    <row r="13" spans="1:250" s="164" customFormat="1">
      <c r="A13" s="168" t="s">
        <v>31</v>
      </c>
      <c r="B13" s="62"/>
      <c r="C13" s="202">
        <f>('Expenditure DATA'!CQ15/'Expenditure DATA'!B15)*100</f>
        <v>9.1667342423224376</v>
      </c>
      <c r="D13" s="202">
        <f>('Expenditure DATA'!CR15/'Expenditure DATA'!C15)*100</f>
        <v>9.5570802123329344</v>
      </c>
      <c r="E13" s="202">
        <f>('Expenditure DATA'!CS15/'Expenditure DATA'!D15)*100</f>
        <v>9.4481965080794428</v>
      </c>
      <c r="F13" s="202">
        <f>('Expenditure DATA'!CT15/'Expenditure DATA'!E15)*100</f>
        <v>9.9738485710405858</v>
      </c>
      <c r="G13" s="202">
        <f>('Expenditure DATA'!CU15/'Expenditure DATA'!F15)*100</f>
        <v>9.6622764900252474</v>
      </c>
      <c r="H13" s="202">
        <f>('Expenditure DATA'!CV15/'Expenditure DATA'!G15)*100</f>
        <v>9.5749855018437504</v>
      </c>
      <c r="I13" s="202">
        <f>('Expenditure DATA'!CW15/'Expenditure DATA'!H15)*100</f>
        <v>9.0839138253623641</v>
      </c>
      <c r="J13" s="202">
        <f>('Expenditure DATA'!CX15/'Expenditure DATA'!I15)*100</f>
        <v>8.6888677622701529</v>
      </c>
      <c r="K13" s="202">
        <f>('Expenditure DATA'!CY15/'Expenditure DATA'!J15)*100</f>
        <v>8.7712351498244434</v>
      </c>
      <c r="L13" s="202">
        <f>('Expenditure DATA'!CZ15/'Expenditure DATA'!K15)*100</f>
        <v>9.1471326894145282</v>
      </c>
      <c r="M13" s="202">
        <f>('Expenditure DATA'!DA15/'Expenditure DATA'!L15)*100</f>
        <v>9.495536146400779</v>
      </c>
      <c r="N13" s="202">
        <f>('Expenditure DATA'!DB15/'Expenditure DATA'!M15)*100</f>
        <v>9.8349018053831561</v>
      </c>
      <c r="O13" s="202">
        <f>('Expenditure DATA'!DC15/'Expenditure DATA'!N15)*100</f>
        <v>9.8192604090457767</v>
      </c>
      <c r="P13" s="202">
        <f>('Expenditure DATA'!DD15/'Expenditure DATA'!O15)*100</f>
        <v>9.1116676001260224</v>
      </c>
      <c r="Q13" s="202">
        <f>('Expenditure DATA'!DE15/'Expenditure DATA'!P15)*100</f>
        <v>9.4819413706555409</v>
      </c>
      <c r="R13" s="202">
        <f>('Expenditure DATA'!DF15/'Expenditure DATA'!Q15)*100</f>
        <v>9.8113364429059686</v>
      </c>
      <c r="S13" s="202">
        <f>('Expenditure DATA'!DG15/'Expenditure DATA'!R15)*100</f>
        <v>9.9439287427523695</v>
      </c>
      <c r="T13" s="202">
        <f>('Expenditure DATA'!DH15/'Expenditure DATA'!S15)*100</f>
        <v>10.089694228715338</v>
      </c>
      <c r="U13" s="202">
        <f>('Expenditure DATA'!DI15/'Expenditure DATA'!T15)*100</f>
        <v>10.536093289655103</v>
      </c>
      <c r="V13" s="202">
        <f>('Expenditure DATA'!DJ15/'Expenditure DATA'!U15)*100</f>
        <v>10.841924791034302</v>
      </c>
      <c r="W13" s="202">
        <f>('Expenditure DATA'!DK15/'Expenditure DATA'!V15)*100</f>
        <v>11.105916949549988</v>
      </c>
      <c r="X13" s="202">
        <f>('Expenditure DATA'!DL15/'Expenditure DATA'!W15)*100</f>
        <v>10.948158371739911</v>
      </c>
      <c r="Y13" s="202">
        <f>('Expenditure DATA'!DM15/'Expenditure DATA'!X15)*100</f>
        <v>10.801103394802949</v>
      </c>
      <c r="Z13" s="202">
        <f>('Expenditure DATA'!DN15/'Expenditure DATA'!Y15)*100</f>
        <v>10.551089049031514</v>
      </c>
      <c r="AA13" s="202">
        <f>('Expenditure DATA'!DO15/'Expenditure DATA'!Z15)*100</f>
        <v>10.277462895562669</v>
      </c>
      <c r="AB13" s="202">
        <f>('Expenditure DATA'!DP15/'Expenditure DATA'!AA15)*100</f>
        <v>10.11924264656392</v>
      </c>
      <c r="AC13" s="202">
        <f>('Expenditure DATA'!DQ15/'Expenditure DATA'!AB15)*100</f>
        <v>10.539990463836265</v>
      </c>
      <c r="AD13" s="202">
        <f>('Expenditure DATA'!DR15/'Expenditure DATA'!AC15)*100</f>
        <v>10.306599454017354</v>
      </c>
      <c r="AE13" s="202">
        <f>('Expenditure DATA'!DS15/'Expenditure DATA'!AD15)*100</f>
        <v>10.769656473884028</v>
      </c>
      <c r="AF13" s="202">
        <f>('Expenditure DATA'!DT15/'Expenditure DATA'!AE15)*100</f>
        <v>11.143353328510543</v>
      </c>
      <c r="AG13" s="464">
        <f>('Expenditure DATA'!DU15/'Expenditure DATA'!AF15)*100</f>
        <v>11.040362867142033</v>
      </c>
      <c r="AH13" s="203">
        <f>('Expenditure DATA'!BL15/'Expenditure DATA'!B15)*100</f>
        <v>23.615954033108206</v>
      </c>
      <c r="AI13" s="202">
        <f>('Expenditure DATA'!BM15/'Expenditure DATA'!C15)*100</f>
        <v>22.771238538847271</v>
      </c>
      <c r="AJ13" s="202">
        <f>('Expenditure DATA'!BN15/'Expenditure DATA'!D15)*100</f>
        <v>23.221771974586023</v>
      </c>
      <c r="AK13" s="202">
        <f>('Expenditure DATA'!BO15/'Expenditure DATA'!E15)*100</f>
        <v>23.129752764996521</v>
      </c>
      <c r="AL13" s="202">
        <f>('Expenditure DATA'!BP15/'Expenditure DATA'!F15)*100</f>
        <v>22.665972117221024</v>
      </c>
      <c r="AM13" s="202">
        <f>('Expenditure DATA'!BQ15/'Expenditure DATA'!G15)*100</f>
        <v>22.820964034594414</v>
      </c>
      <c r="AN13" s="202">
        <f>('Expenditure DATA'!BR15/'Expenditure DATA'!H15)*100</f>
        <v>23.251189608118057</v>
      </c>
      <c r="AO13" s="202">
        <f>('Expenditure DATA'!BS15/'Expenditure DATA'!I15)*100</f>
        <v>23.67550443488593</v>
      </c>
      <c r="AP13" s="202">
        <f>('Expenditure DATA'!BT15/'Expenditure DATA'!J15)*100</f>
        <v>23.812484969457941</v>
      </c>
      <c r="AQ13" s="202">
        <f>('Expenditure DATA'!BU15/'Expenditure DATA'!K15)*100</f>
        <v>23.909302427204874</v>
      </c>
      <c r="AR13" s="202">
        <f>('Expenditure DATA'!BV15/'Expenditure DATA'!L15)*100</f>
        <v>23.999038414869041</v>
      </c>
      <c r="AS13" s="202">
        <f>('Expenditure DATA'!BW15/'Expenditure DATA'!M15)*100</f>
        <v>24.369046963547657</v>
      </c>
      <c r="AT13" s="202">
        <f>('Expenditure DATA'!BX15/'Expenditure DATA'!N15)*100</f>
        <v>24.39356264860734</v>
      </c>
      <c r="AU13" s="202">
        <f>('Expenditure DATA'!BY15/'Expenditure DATA'!O15)*100</f>
        <v>24.340721914246704</v>
      </c>
      <c r="AV13" s="202">
        <f>('Expenditure DATA'!BZ15/'Expenditure DATA'!P15)*100</f>
        <v>24.55812689637677</v>
      </c>
      <c r="AW13" s="202">
        <f>('Expenditure DATA'!CA15/'Expenditure DATA'!Q15)*100</f>
        <v>24.913883517674801</v>
      </c>
      <c r="AX13" s="202">
        <f>('Expenditure DATA'!CB15/'Expenditure DATA'!R15)*100</f>
        <v>24.8944457750674</v>
      </c>
      <c r="AY13" s="202">
        <f>('Expenditure DATA'!CC15/'Expenditure DATA'!S15)*100</f>
        <v>25.15145212336078</v>
      </c>
      <c r="AZ13" s="202">
        <f>('Expenditure DATA'!CD15/'Expenditure DATA'!T15)*100</f>
        <v>24.480759331080534</v>
      </c>
      <c r="BA13" s="202">
        <f>('Expenditure DATA'!CE15/'Expenditure DATA'!U15)*100</f>
        <v>24.83727447513208</v>
      </c>
      <c r="BB13" s="202">
        <f>('Expenditure DATA'!CF15/'Expenditure DATA'!V15)*100</f>
        <v>25.145016489925396</v>
      </c>
      <c r="BC13" s="202">
        <f>('Expenditure DATA'!CG15/'Expenditure DATA'!W15)*100</f>
        <v>24.562616246938575</v>
      </c>
      <c r="BD13" s="202">
        <f>('Expenditure DATA'!CH15/'Expenditure DATA'!X15)*100</f>
        <v>24.019730684141365</v>
      </c>
      <c r="BE13" s="202">
        <f>('Expenditure DATA'!CI15/'Expenditure DATA'!Y15)*100</f>
        <v>24.445201179400712</v>
      </c>
      <c r="BF13" s="202">
        <f>('Expenditure DATA'!CJ15/'Expenditure DATA'!Z15)*100</f>
        <v>24.666634513880958</v>
      </c>
      <c r="BG13" s="202">
        <f>('Expenditure DATA'!CK15/'Expenditure DATA'!AA15)*100</f>
        <v>24.927084097782732</v>
      </c>
      <c r="BH13" s="202">
        <f>('Expenditure DATA'!CL15/'Expenditure DATA'!AB15)*100</f>
        <v>25.524950859285571</v>
      </c>
      <c r="BI13" s="202">
        <f>('Expenditure DATA'!CM15/'Expenditure DATA'!AC15)*100</f>
        <v>24.400480655379159</v>
      </c>
      <c r="BJ13" s="202">
        <f>('Expenditure DATA'!CN15/'Expenditure DATA'!AD15)*100</f>
        <v>24.402416628990117</v>
      </c>
      <c r="BK13" s="202">
        <f>('Expenditure DATA'!CO15/'Expenditure DATA'!AE15)*100</f>
        <v>24.129675307943405</v>
      </c>
      <c r="BL13" s="464">
        <f>('Expenditure DATA'!CP15/'Expenditure DATA'!AF15)*100</f>
        <v>22.503216346537496</v>
      </c>
      <c r="BM13" s="203">
        <f>('Expenditure DATA'!AG15/'Expenditure DATA'!B15)*100</f>
        <v>36.050646988635698</v>
      </c>
      <c r="BN13" s="202">
        <f>('Expenditure DATA'!AH15/'Expenditure DATA'!C15)*100</f>
        <v>35.218522481693626</v>
      </c>
      <c r="BO13" s="202">
        <f>('Expenditure DATA'!AI15/'Expenditure DATA'!D15)*100</f>
        <v>36.063835109310119</v>
      </c>
      <c r="BP13" s="202">
        <f>('Expenditure DATA'!AJ15/'Expenditure DATA'!E15)*100</f>
        <v>35.347084022269605</v>
      </c>
      <c r="BQ13" s="202">
        <f>('Expenditure DATA'!AK15/'Expenditure DATA'!F15)*100</f>
        <v>34.524564374459537</v>
      </c>
      <c r="BR13" s="202">
        <f>('Expenditure DATA'!AL15/'Expenditure DATA'!G15)*100</f>
        <v>34.587703567883501</v>
      </c>
      <c r="BS13" s="202">
        <f>('Expenditure DATA'!AM15/'Expenditure DATA'!H15)*100</f>
        <v>34.498093227293403</v>
      </c>
      <c r="BT13" s="202">
        <f>('Expenditure DATA'!AN15/'Expenditure DATA'!I15)*100</f>
        <v>34.596362377228047</v>
      </c>
      <c r="BU13" s="202">
        <f>('Expenditure DATA'!AO15/'Expenditure DATA'!J15)*100</f>
        <v>34.777054975710648</v>
      </c>
      <c r="BV13" s="202">
        <f>('Expenditure DATA'!AP15/'Expenditure DATA'!K15)*100</f>
        <v>35.174757229048197</v>
      </c>
      <c r="BW13" s="202">
        <f>('Expenditure DATA'!AQ15/'Expenditure DATA'!L15)*100</f>
        <v>35.543370548691421</v>
      </c>
      <c r="BX13" s="202">
        <f>('Expenditure DATA'!AR15/'Expenditure DATA'!M15)*100</f>
        <v>36.591379502456327</v>
      </c>
      <c r="BY13" s="202">
        <f>('Expenditure DATA'!AS15/'Expenditure DATA'!N15)*100</f>
        <v>36.672682746198269</v>
      </c>
      <c r="BZ13" s="202">
        <f>('Expenditure DATA'!AT15/'Expenditure DATA'!O15)*100</f>
        <v>35.594065237199665</v>
      </c>
      <c r="CA13" s="202">
        <f>('Expenditure DATA'!AU15/'Expenditure DATA'!P15)*100</f>
        <v>36.128419599424113</v>
      </c>
      <c r="CB13" s="202">
        <f>('Expenditure DATA'!AV15/'Expenditure DATA'!Q15)*100</f>
        <v>36.938000995403193</v>
      </c>
      <c r="CC13" s="202">
        <f>('Expenditure DATA'!AW15/'Expenditure DATA'!R15)*100</f>
        <v>37.106608999514833</v>
      </c>
      <c r="CD13" s="202">
        <f>('Expenditure DATA'!AX15/'Expenditure DATA'!S15)*100</f>
        <v>37.58285546687695</v>
      </c>
      <c r="CE13" s="202">
        <f>('Expenditure DATA'!AY15/'Expenditure DATA'!T15)*100</f>
        <v>37.33935139862961</v>
      </c>
      <c r="CF13" s="202">
        <f>('Expenditure DATA'!AZ15/'Expenditure DATA'!U15)*100</f>
        <v>38.105133923571579</v>
      </c>
      <c r="CG13" s="202">
        <f>('Expenditure DATA'!BA15/'Expenditure DATA'!V15)*100</f>
        <v>38.766153409142376</v>
      </c>
      <c r="CH13" s="202">
        <f>('Expenditure DATA'!BB15/'Expenditure DATA'!W15)*100</f>
        <v>37.965230520190296</v>
      </c>
      <c r="CI13" s="202">
        <f>('Expenditure DATA'!BC15/'Expenditure DATA'!X15)*100</f>
        <v>37.218648631597659</v>
      </c>
      <c r="CJ13" s="202">
        <f>('Expenditure DATA'!BD15/'Expenditure DATA'!Y15)*100</f>
        <v>37.420172252567404</v>
      </c>
      <c r="CK13" s="202">
        <f>('Expenditure DATA'!BE15/'Expenditure DATA'!Z15)*100</f>
        <v>37.036305053283854</v>
      </c>
      <c r="CL13" s="202">
        <f>('Expenditure DATA'!BF15/'Expenditure DATA'!AA15)*100</f>
        <v>37.199479302089685</v>
      </c>
      <c r="CM13" s="202">
        <f>('Expenditure DATA'!BG15/'Expenditure DATA'!AB15)*100</f>
        <v>38.134103893025483</v>
      </c>
      <c r="CN13" s="202">
        <f>('Expenditure DATA'!BH15/'Expenditure DATA'!AC15)*100</f>
        <v>36.557031288928684</v>
      </c>
      <c r="CO13" s="202">
        <f>('Expenditure DATA'!BI15/'Expenditure DATA'!AD15)*100</f>
        <v>36.903072609174906</v>
      </c>
      <c r="CP13" s="202">
        <f>('Expenditure DATA'!BJ15/'Expenditure DATA'!AE15)*100</f>
        <v>37.08049145750438</v>
      </c>
      <c r="CQ13" s="464">
        <f>('Expenditure DATA'!BK15/'Expenditure DATA'!AF15)*100</f>
        <v>35.20971886818252</v>
      </c>
      <c r="CR13" s="203">
        <f>('Expenditure DATA'!FA15/'Expenditure DATA'!B15)*100</f>
        <v>18.193297267240478</v>
      </c>
      <c r="CS13" s="202">
        <f>('Expenditure DATA'!FB15/'Expenditure DATA'!C15)*100</f>
        <v>19.451962820754918</v>
      </c>
      <c r="CT13" s="202">
        <f>('Expenditure DATA'!FC15/'Expenditure DATA'!D15)*100</f>
        <v>16.854269848416628</v>
      </c>
      <c r="CU13" s="202">
        <f>('Expenditure DATA'!FD15/'Expenditure DATA'!E15)*100</f>
        <v>16.081255942241725</v>
      </c>
      <c r="CV13" s="202">
        <f>('Expenditure DATA'!FE15/'Expenditure DATA'!F15)*100</f>
        <v>15.641266832481953</v>
      </c>
      <c r="CW13" s="202">
        <f>('Expenditure DATA'!FF15/'Expenditure DATA'!G15)*100</f>
        <v>15.588369704780419</v>
      </c>
      <c r="CX13" s="202">
        <f>('Expenditure DATA'!FG15/'Expenditure DATA'!H15)*100</f>
        <v>15.79756498150085</v>
      </c>
      <c r="CY13" s="202">
        <f>('Expenditure DATA'!FH15/'Expenditure DATA'!I15)*100</f>
        <v>15.941769435494294</v>
      </c>
      <c r="CZ13" s="202">
        <f>('Expenditure DATA'!FI15/'Expenditure DATA'!J15)*100</f>
        <v>16.454728007310855</v>
      </c>
      <c r="DA13" s="202">
        <f>('Expenditure DATA'!FJ15/'Expenditure DATA'!K15)*100</f>
        <v>18.456651073687567</v>
      </c>
      <c r="DB13" s="202">
        <f>('Expenditure DATA'!FK15/'Expenditure DATA'!L15)*100</f>
        <v>20.312148499147607</v>
      </c>
      <c r="DC13" s="202">
        <f>('Expenditure DATA'!FL15/'Expenditure DATA'!M15)*100</f>
        <v>19.661034879390382</v>
      </c>
      <c r="DD13" s="202">
        <f>('Expenditure DATA'!FM15/'Expenditure DATA'!N15)*100</f>
        <v>19.387802072990699</v>
      </c>
      <c r="DE13" s="202">
        <f>('Expenditure DATA'!FN15/'Expenditure DATA'!O15)*100</f>
        <v>19.11243399951562</v>
      </c>
      <c r="DF13" s="202">
        <f>('Expenditure DATA'!FO15/'Expenditure DATA'!P15)*100</f>
        <v>18.563627177171472</v>
      </c>
      <c r="DG13" s="202">
        <f>('Expenditure DATA'!FP15/'Expenditure DATA'!Q15)*100</f>
        <v>18.410884932363444</v>
      </c>
      <c r="DH13" s="202">
        <f>('Expenditure DATA'!FQ15/'Expenditure DATA'!R15)*100</f>
        <v>18.97457247766771</v>
      </c>
      <c r="DI13" s="202">
        <f>('Expenditure DATA'!FR15/'Expenditure DATA'!S15)*100</f>
        <v>19.782529624718723</v>
      </c>
      <c r="DJ13" s="202">
        <f>('Expenditure DATA'!FS15/'Expenditure DATA'!T15)*100</f>
        <v>19.474287279097755</v>
      </c>
      <c r="DK13" s="202">
        <f>('Expenditure DATA'!FT15/'Expenditure DATA'!U15)*100</f>
        <v>19.615531033555655</v>
      </c>
      <c r="DL13" s="202">
        <f>('Expenditure DATA'!FU15/'Expenditure DATA'!V15)*100</f>
        <v>19.737451906480942</v>
      </c>
      <c r="DM13" s="202">
        <f>('Expenditure DATA'!FV15/'Expenditure DATA'!W15)*100</f>
        <v>20.741584003862894</v>
      </c>
      <c r="DN13" s="202">
        <f>('Expenditure DATA'!FW15/'Expenditure DATA'!X15)*100</f>
        <v>21.677587766523189</v>
      </c>
      <c r="DO13" s="202">
        <f>('Expenditure DATA'!FX15/'Expenditure DATA'!Y15)*100</f>
        <v>21.475144093988007</v>
      </c>
      <c r="DP13" s="202">
        <f>('Expenditure DATA'!FY15/'Expenditure DATA'!Z15)*100</f>
        <v>21.695156428080566</v>
      </c>
      <c r="DQ13" s="202">
        <f>('Expenditure DATA'!FZ15/'Expenditure DATA'!AA15)*100</f>
        <v>21.402251483844516</v>
      </c>
      <c r="DR13" s="202">
        <f>('Expenditure DATA'!GA15/'Expenditure DATA'!AB15)*100</f>
        <v>21.019833878182535</v>
      </c>
      <c r="DS13" s="202">
        <f>('Expenditure DATA'!GB15/'Expenditure DATA'!AC15)*100</f>
        <v>22.570517203652926</v>
      </c>
      <c r="DT13" s="202">
        <f>('Expenditure DATA'!GC15/'Expenditure DATA'!AD15)*100</f>
        <v>22.606462517724534</v>
      </c>
      <c r="DU13" s="202">
        <f>('Expenditure DATA'!GD15/'Expenditure DATA'!AE15)*100</f>
        <v>23.432962928699492</v>
      </c>
      <c r="DV13" s="464">
        <f>('Expenditure DATA'!GE15/'Expenditure DATA'!AF15)*100</f>
        <v>23.004354865520718</v>
      </c>
      <c r="DW13" s="203">
        <f>('Expenditure DATA'!GF15/'Expenditure DATA'!B15)*100</f>
        <v>29.095374349825647</v>
      </c>
      <c r="DX13" s="202">
        <f>('Expenditure DATA'!GG15/'Expenditure DATA'!C15)*100</f>
        <v>27.428085856360546</v>
      </c>
      <c r="DY13" s="202">
        <f>('Expenditure DATA'!GH15/'Expenditure DATA'!D15)*100</f>
        <v>29.290109560258138</v>
      </c>
      <c r="DZ13" s="202">
        <f>('Expenditure DATA'!GI15/'Expenditure DATA'!E15)*100</f>
        <v>29.932279616936107</v>
      </c>
      <c r="EA13" s="202">
        <f>('Expenditure DATA'!GJ15/'Expenditure DATA'!F15)*100</f>
        <v>31.277097003331217</v>
      </c>
      <c r="EB13" s="202">
        <f>('Expenditure DATA'!GK15/'Expenditure DATA'!G15)*100</f>
        <v>31.14039523590386</v>
      </c>
      <c r="EC13" s="202">
        <f>('Expenditure DATA'!GL15/'Expenditure DATA'!H15)*100</f>
        <v>31.488317280413408</v>
      </c>
      <c r="ED13" s="202">
        <f>('Expenditure DATA'!GM15/'Expenditure DATA'!I15)*100</f>
        <v>31.453947488247636</v>
      </c>
      <c r="EE13" s="202">
        <f>('Expenditure DATA'!GN15/'Expenditure DATA'!J15)*100</f>
        <v>30.628240584868454</v>
      </c>
      <c r="EF13" s="202">
        <f>('Expenditure DATA'!GO15/'Expenditure DATA'!K15)*100</f>
        <v>28.893244752201895</v>
      </c>
      <c r="EG13" s="202">
        <f>('Expenditure DATA'!GP15/'Expenditure DATA'!L15)*100</f>
        <v>27.285150837522487</v>
      </c>
      <c r="EH13" s="202">
        <f>('Expenditure DATA'!GQ15/'Expenditure DATA'!M15)*100</f>
        <v>26.774291553706476</v>
      </c>
      <c r="EI13" s="202">
        <f>('Expenditure DATA'!GR15/'Expenditure DATA'!N15)*100</f>
        <v>27.61651999176944</v>
      </c>
      <c r="EJ13" s="202">
        <f>('Expenditure DATA'!GS15/'Expenditure DATA'!O15)*100</f>
        <v>27.552176036276744</v>
      </c>
      <c r="EK13" s="202">
        <f>('Expenditure DATA'!GT15/'Expenditure DATA'!P15)*100</f>
        <v>27.939008316512194</v>
      </c>
      <c r="EL13" s="202">
        <f>('Expenditure DATA'!GU15/'Expenditure DATA'!Q15)*100</f>
        <v>28.197859799900389</v>
      </c>
      <c r="EM13" s="202">
        <f>('Expenditure DATA'!GV15/'Expenditure DATA'!R15)*100</f>
        <v>27.80954640086961</v>
      </c>
      <c r="EN13" s="202">
        <f>('Expenditure DATA'!GW15/'Expenditure DATA'!S15)*100</f>
        <v>27.333142572667267</v>
      </c>
      <c r="EO13" s="202">
        <f>('Expenditure DATA'!GX15/'Expenditure DATA'!T15)*100</f>
        <v>26.955266711318426</v>
      </c>
      <c r="EP13" s="202">
        <f>('Expenditure DATA'!GY15/'Expenditure DATA'!U15)*100</f>
        <v>26.728756514899338</v>
      </c>
      <c r="EQ13" s="202">
        <f>('Expenditure DATA'!GZ15/'Expenditure DATA'!V15)*100</f>
        <v>26.533234093537178</v>
      </c>
      <c r="ER13" s="202">
        <f>('Expenditure DATA'!HA15/'Expenditure DATA'!W15)*100</f>
        <v>26.660593169368429</v>
      </c>
      <c r="ES13" s="202">
        <f>('Expenditure DATA'!HB15/'Expenditure DATA'!X15)*100</f>
        <v>26.779311189136738</v>
      </c>
      <c r="ET13" s="202">
        <f>('Expenditure DATA'!HC15/'Expenditure DATA'!Y15)*100</f>
        <v>26.339817367274588</v>
      </c>
      <c r="EU13" s="202">
        <f>('Expenditure DATA'!HD15/'Expenditure DATA'!Z15)*100</f>
        <v>27.099531451373789</v>
      </c>
      <c r="EV13" s="202">
        <f>('Expenditure DATA'!HE15/'Expenditure DATA'!AA15)*100</f>
        <v>27.108085415523934</v>
      </c>
      <c r="EW13" s="202">
        <f>('Expenditure DATA'!HF15/'Expenditure DATA'!AB15)*100</f>
        <v>26.353581353317136</v>
      </c>
      <c r="EX13" s="202">
        <f>('Expenditure DATA'!HG15/'Expenditure DATA'!AC15)*100</f>
        <v>26.183163079694101</v>
      </c>
      <c r="EY13" s="202">
        <f>('Expenditure DATA'!HH15/'Expenditure DATA'!AD15)*100</f>
        <v>26.020106994037612</v>
      </c>
      <c r="EZ13" s="202">
        <f>('Expenditure DATA'!HI15/'Expenditure DATA'!AE15)*100</f>
        <v>25.254538198601079</v>
      </c>
      <c r="FA13" s="464">
        <f>('Expenditure DATA'!HJ15/'Expenditure DATA'!AF15)*100</f>
        <v>27.618777049378274</v>
      </c>
      <c r="FB13" s="203">
        <f>('Expenditure DATA'!HK15/'Expenditure DATA'!B15)*100</f>
        <v>4.6349176928512668</v>
      </c>
      <c r="FC13" s="202">
        <f>('Expenditure DATA'!HL15/'Expenditure DATA'!C15)*100</f>
        <v>4.765951196995446</v>
      </c>
      <c r="FD13" s="202">
        <f>('Expenditure DATA'!HM15/'Expenditure DATA'!D15)*100</f>
        <v>4.6445545049777381</v>
      </c>
      <c r="FE13" s="202">
        <f>('Expenditure DATA'!HN15/'Expenditure DATA'!E15)*100</f>
        <v>5.0979461463881863</v>
      </c>
      <c r="FF13" s="202">
        <f>('Expenditure DATA'!HO15/'Expenditure DATA'!F15)*100</f>
        <v>5.1554490070232815</v>
      </c>
      <c r="FG13" s="202">
        <f>('Expenditure DATA'!HP15/'Expenditure DATA'!G15)*100</f>
        <v>5.1991805199060774</v>
      </c>
      <c r="FH13" s="202">
        <f>('Expenditure DATA'!HQ15/'Expenditure DATA'!H15)*100</f>
        <v>5.5214053260680975</v>
      </c>
      <c r="FI13" s="202">
        <f>('Expenditure DATA'!HR15/'Expenditure DATA'!I15)*100</f>
        <v>5.9111251553999278</v>
      </c>
      <c r="FJ13" s="202">
        <f>('Expenditure DATA'!HS15/'Expenditure DATA'!J15)*100</f>
        <v>5.979829012553509</v>
      </c>
      <c r="FK13" s="202">
        <f>('Expenditure DATA'!HT15/'Expenditure DATA'!K15)*100</f>
        <v>5.8936116600043231</v>
      </c>
      <c r="FL13" s="202">
        <f>('Expenditure DATA'!HU15/'Expenditure DATA'!L15)*100</f>
        <v>5.8137004594332948</v>
      </c>
      <c r="FM13" s="202">
        <f>('Expenditure DATA'!HV15/'Expenditure DATA'!M15)*100</f>
        <v>5.6102538444763068</v>
      </c>
      <c r="FN13" s="202">
        <f>('Expenditure DATA'!HW15/'Expenditure DATA'!N15)*100</f>
        <v>5.7256947393002715</v>
      </c>
      <c r="FO13" s="202">
        <f>('Expenditure DATA'!HX15/'Expenditure DATA'!O15)*100</f>
        <v>5.6077169622872987</v>
      </c>
      <c r="FP13" s="202">
        <f>('Expenditure DATA'!HY15/'Expenditure DATA'!P15)*100</f>
        <v>5.5777029953306441</v>
      </c>
      <c r="FQ13" s="202">
        <f>('Expenditure DATA'!HZ15/'Expenditure DATA'!Q15)*100</f>
        <v>5.3839432028773375</v>
      </c>
      <c r="FR13" s="202">
        <f>('Expenditure DATA'!IA15/'Expenditure DATA'!R15)*100</f>
        <v>5.9237500162063048</v>
      </c>
      <c r="FS13" s="202">
        <f>('Expenditure DATA'!IB15/'Expenditure DATA'!S15)*100</f>
        <v>5.8901348810299847</v>
      </c>
      <c r="FT13" s="202">
        <f>('Expenditure DATA'!IC15/'Expenditure DATA'!T15)*100</f>
        <v>5.7144573730839658</v>
      </c>
      <c r="FU13" s="202">
        <f>('Expenditure DATA'!ID15/'Expenditure DATA'!U15)*100</f>
        <v>5.4245813972138439</v>
      </c>
      <c r="FV13" s="202">
        <f>('Expenditure DATA'!IE15/'Expenditure DATA'!V15)*100</f>
        <v>5.1743619651844686</v>
      </c>
      <c r="FW13" s="202">
        <f>('Expenditure DATA'!IF15/'Expenditure DATA'!W15)*100</f>
        <v>4.9635402018525721</v>
      </c>
      <c r="FX13" s="202">
        <f>('Expenditure DATA'!IG15/'Expenditure DATA'!X15)*100</f>
        <v>4.7670222693576045</v>
      </c>
      <c r="FY13" s="202">
        <f>('Expenditure DATA'!IH15/'Expenditure DATA'!Y15)*100</f>
        <v>6.3713212341344372</v>
      </c>
      <c r="FZ13" s="202">
        <f>('Expenditure DATA'!II15/'Expenditure DATA'!Z15)*100</f>
        <v>5.7251688293981733</v>
      </c>
      <c r="GA13" s="202">
        <f>('Expenditure DATA'!IJ15/'Expenditure DATA'!AA15)*100</f>
        <v>5.4445962858248178</v>
      </c>
      <c r="GB13" s="202">
        <f>('Expenditure DATA'!IK15/'Expenditure DATA'!AB15)*100</f>
        <v>5.6134571628104828</v>
      </c>
      <c r="GC13" s="202">
        <f>('Expenditure DATA'!IL15/'Expenditure DATA'!AC15)*100</f>
        <v>5.5603171505578564</v>
      </c>
      <c r="GD13" s="202">
        <f>('Expenditure DATA'!IM15/'Expenditure DATA'!AD15)*100</f>
        <v>5.5330626680339741</v>
      </c>
      <c r="GE13" s="202">
        <f>('Expenditure DATA'!IN15/'Expenditure DATA'!AE15)*100</f>
        <v>5.1628730883364868</v>
      </c>
      <c r="GF13" s="464">
        <f>('Expenditure DATA'!IO15/'Expenditure DATA'!AF15)*100</f>
        <v>5.0841386820174508</v>
      </c>
      <c r="GG13" s="203">
        <f>('Expenditure DATA'!IP15/'Expenditure DATA'!B15)*100</f>
        <v>12.023446821820368</v>
      </c>
      <c r="GH13" s="202">
        <f>('Expenditure DATA'!IQ15/'Expenditure DATA'!C15)*100</f>
        <v>13.135477644195461</v>
      </c>
      <c r="GI13" s="202">
        <f>('Expenditure DATA'!IR15/'Expenditure DATA'!D15)*100</f>
        <v>13.14522987643204</v>
      </c>
      <c r="GJ13" s="202">
        <f>('Expenditure DATA'!IS15/'Expenditure DATA'!E15)*100</f>
        <v>13.542102116495474</v>
      </c>
      <c r="GK13" s="202">
        <f>('Expenditure DATA'!IT15/'Expenditure DATA'!F15)*100</f>
        <v>13.401622782704017</v>
      </c>
      <c r="GL13" s="202">
        <f>('Expenditure DATA'!IU15/'Expenditure DATA'!G15)*100</f>
        <v>13.48435097152614</v>
      </c>
      <c r="GM13" s="202">
        <f>('Expenditure DATA'!IV15/'Expenditure DATA'!H15)*100</f>
        <v>12.694619184724248</v>
      </c>
      <c r="GN13" s="202">
        <f>('Expenditure DATA'!IW15/'Expenditure DATA'!I15)*100</f>
        <v>12.096795543630098</v>
      </c>
      <c r="GO13" s="202">
        <f>('Expenditure DATA'!IX15/'Expenditure DATA'!J15)*100</f>
        <v>12.160147419556539</v>
      </c>
      <c r="GP13" s="202">
        <f>('Expenditure DATA'!IY15/'Expenditure DATA'!K15)*100</f>
        <v>11.58173528505804</v>
      </c>
      <c r="GQ13" s="202">
        <f>('Expenditure DATA'!IZ15/'Expenditure DATA'!L15)*100</f>
        <v>11.045629655205197</v>
      </c>
      <c r="GR13" s="202">
        <f>('Expenditure DATA'!JA15/'Expenditure DATA'!M15)*100</f>
        <v>11.363040219970507</v>
      </c>
      <c r="GS13" s="202">
        <f>('Expenditure DATA'!JB15/'Expenditure DATA'!N15)*100</f>
        <v>10.597300449741326</v>
      </c>
      <c r="GT13" s="202">
        <f>('Expenditure DATA'!JC15/'Expenditure DATA'!O15)*100</f>
        <v>12.133607764720674</v>
      </c>
      <c r="GU13" s="202">
        <f>('Expenditure DATA'!JD15/'Expenditure DATA'!P15)*100</f>
        <v>11.791241911561592</v>
      </c>
      <c r="GV13" s="202">
        <f>('Expenditure DATA'!JE15/'Expenditure DATA'!Q15)*100</f>
        <v>11.069311069455635</v>
      </c>
      <c r="GW13" s="202">
        <f>('Expenditure DATA'!JF15/'Expenditure DATA'!R15)*100</f>
        <v>10.185522105741535</v>
      </c>
      <c r="GX13" s="202">
        <f>('Expenditure DATA'!JG15/'Expenditure DATA'!S15)*100</f>
        <v>9.4113374547070716</v>
      </c>
      <c r="GY13" s="202">
        <f>('Expenditure DATA'!JH15/'Expenditure DATA'!T15)*100</f>
        <v>10.516637237870235</v>
      </c>
      <c r="GZ13" s="202">
        <f>('Expenditure DATA'!JI15/'Expenditure DATA'!U15)*100</f>
        <v>10.125997130759579</v>
      </c>
      <c r="HA13" s="202">
        <f>('Expenditure DATA'!JJ15/'Expenditure DATA'!V15)*100</f>
        <v>9.7887986256550423</v>
      </c>
      <c r="HB13" s="202">
        <f>('Expenditure DATA'!JK15/'Expenditure DATA'!W15)*100</f>
        <v>9.6690521047258162</v>
      </c>
      <c r="HC13" s="202">
        <f>('Expenditure DATA'!JL15/'Expenditure DATA'!X15)*100</f>
        <v>9.557430143384801</v>
      </c>
      <c r="HD13" s="202">
        <f>('Expenditure DATA'!JM15/'Expenditure DATA'!Y15)*100</f>
        <v>8.3935450520355612</v>
      </c>
      <c r="HE13" s="202">
        <f>('Expenditure DATA'!JN15/'Expenditure DATA'!Z15)*100</f>
        <v>8.4438382378636199</v>
      </c>
      <c r="HF13" s="202">
        <f>('Expenditure DATA'!JO15/'Expenditure DATA'!AA15)*100</f>
        <v>8.8455875127170476</v>
      </c>
      <c r="HG13" s="202">
        <f>('Expenditure DATA'!JP15/'Expenditure DATA'!AB15)*100</f>
        <v>8.8790237126643543</v>
      </c>
      <c r="HH13" s="202">
        <f>('Expenditure DATA'!JQ15/'Expenditure DATA'!AC15)*100</f>
        <v>9.1289650277465917</v>
      </c>
      <c r="HI13" s="202">
        <f>('Expenditure DATA'!JR15/'Expenditure DATA'!AD15)*100</f>
        <v>8.937297221696209</v>
      </c>
      <c r="HJ13" s="202">
        <f>('Expenditure DATA'!JS15/'Expenditure DATA'!AE15)*100</f>
        <v>9.0691343268585598</v>
      </c>
      <c r="HK13" s="464">
        <f>('Expenditure DATA'!JT15/'Expenditure DATA'!AF15)*100</f>
        <v>9.0830105349010335</v>
      </c>
      <c r="HL13" s="203">
        <f t="shared" si="1"/>
        <v>99.997683120373452</v>
      </c>
      <c r="HM13" s="204">
        <f t="shared" si="2"/>
        <v>99.999999999999986</v>
      </c>
      <c r="HN13" s="204">
        <f t="shared" si="3"/>
        <v>99.997998899394659</v>
      </c>
      <c r="HO13" s="204">
        <f t="shared" si="4"/>
        <v>100.00066784433109</v>
      </c>
      <c r="HP13" s="204">
        <f t="shared" si="5"/>
        <v>100</v>
      </c>
      <c r="HQ13" s="204">
        <f t="shared" si="6"/>
        <v>100</v>
      </c>
      <c r="HR13" s="204">
        <f t="shared" si="7"/>
        <v>100</v>
      </c>
      <c r="HS13" s="204">
        <f t="shared" si="8"/>
        <v>100</v>
      </c>
      <c r="HT13" s="204">
        <f t="shared" si="9"/>
        <v>100</v>
      </c>
      <c r="HU13" s="204">
        <f t="shared" si="10"/>
        <v>100.00000000000003</v>
      </c>
      <c r="HV13" s="204">
        <f t="shared" si="11"/>
        <v>100</v>
      </c>
      <c r="HW13" s="204">
        <f t="shared" si="12"/>
        <v>100</v>
      </c>
      <c r="HX13" s="204">
        <f t="shared" si="13"/>
        <v>100</v>
      </c>
      <c r="HY13" s="204">
        <f t="shared" si="14"/>
        <v>100.00000000000001</v>
      </c>
      <c r="HZ13" s="204">
        <f t="shared" si="15"/>
        <v>100.00000000000003</v>
      </c>
      <c r="IA13" s="204">
        <f t="shared" si="16"/>
        <v>100</v>
      </c>
      <c r="IB13" s="204">
        <f t="shared" si="17"/>
        <v>99.999999999999986</v>
      </c>
      <c r="IC13" s="204">
        <f t="shared" si="18"/>
        <v>99.999999999999986</v>
      </c>
      <c r="ID13" s="204">
        <f t="shared" si="19"/>
        <v>100</v>
      </c>
      <c r="IE13" s="204">
        <f t="shared" si="20"/>
        <v>100</v>
      </c>
      <c r="IF13" s="204">
        <f t="shared" si="21"/>
        <v>100.00000000000001</v>
      </c>
      <c r="IG13" s="204">
        <f t="shared" si="22"/>
        <v>100</v>
      </c>
      <c r="IH13" s="204">
        <f t="shared" si="23"/>
        <v>100</v>
      </c>
      <c r="II13" s="204">
        <f t="shared" si="24"/>
        <v>100</v>
      </c>
      <c r="IJ13" s="204">
        <f t="shared" si="25"/>
        <v>100</v>
      </c>
      <c r="IK13" s="204">
        <f t="shared" si="26"/>
        <v>100</v>
      </c>
      <c r="IL13" s="204">
        <f t="shared" si="27"/>
        <v>99.999999999999986</v>
      </c>
      <c r="IM13" s="204">
        <f t="shared" si="28"/>
        <v>99.999993750580146</v>
      </c>
      <c r="IN13" s="204">
        <f t="shared" si="29"/>
        <v>100.00000201066723</v>
      </c>
      <c r="IO13" s="204">
        <f t="shared" si="30"/>
        <v>100</v>
      </c>
      <c r="IP13" s="204">
        <f t="shared" si="31"/>
        <v>100</v>
      </c>
    </row>
    <row r="14" spans="1:250" s="164" customFormat="1">
      <c r="A14" s="168" t="s">
        <v>32</v>
      </c>
      <c r="B14" s="62"/>
      <c r="C14" s="202">
        <f>('Expenditure DATA'!CQ16/'Expenditure DATA'!B16)*100</f>
        <v>12.426124789377061</v>
      </c>
      <c r="D14" s="202">
        <f>('Expenditure DATA'!CR16/'Expenditure DATA'!C16)*100</f>
        <v>12.194147608109459</v>
      </c>
      <c r="E14" s="202">
        <f>('Expenditure DATA'!CS16/'Expenditure DATA'!D16)*100</f>
        <v>11.789944542072712</v>
      </c>
      <c r="F14" s="202">
        <f>('Expenditure DATA'!CT16/'Expenditure DATA'!E16)*100</f>
        <v>11.564813217910007</v>
      </c>
      <c r="G14" s="202">
        <f>('Expenditure DATA'!CU16/'Expenditure DATA'!F16)*100</f>
        <v>11.32246958809435</v>
      </c>
      <c r="H14" s="202">
        <f>('Expenditure DATA'!CV16/'Expenditure DATA'!G16)*100</f>
        <v>11.136397944660436</v>
      </c>
      <c r="I14" s="202">
        <f>('Expenditure DATA'!CW16/'Expenditure DATA'!H16)*100</f>
        <v>10.780284332082134</v>
      </c>
      <c r="J14" s="202">
        <f>('Expenditure DATA'!CX16/'Expenditure DATA'!I16)*100</f>
        <v>11.54500997857251</v>
      </c>
      <c r="K14" s="202">
        <f>('Expenditure DATA'!CY16/'Expenditure DATA'!J16)*100</f>
        <v>12.008304812337816</v>
      </c>
      <c r="L14" s="202">
        <f>('Expenditure DATA'!CZ16/'Expenditure DATA'!K16)*100</f>
        <v>11.661586052673348</v>
      </c>
      <c r="M14" s="202">
        <f>('Expenditure DATA'!DA16/'Expenditure DATA'!L16)*100</f>
        <v>11.356845419222728</v>
      </c>
      <c r="N14" s="202">
        <f>('Expenditure DATA'!DB16/'Expenditure DATA'!M16)*100</f>
        <v>10.454480983575074</v>
      </c>
      <c r="O14" s="202">
        <f>('Expenditure DATA'!DC16/'Expenditure DATA'!N16)*100</f>
        <v>11.320886895400999</v>
      </c>
      <c r="P14" s="202">
        <f>('Expenditure DATA'!DD16/'Expenditure DATA'!O16)*100</f>
        <v>11.378674597084132</v>
      </c>
      <c r="Q14" s="202">
        <f>('Expenditure DATA'!DE16/'Expenditure DATA'!P16)*100</f>
        <v>10.969439909677618</v>
      </c>
      <c r="R14" s="202">
        <f>('Expenditure DATA'!DF16/'Expenditure DATA'!Q16)*100</f>
        <v>11.023838579361849</v>
      </c>
      <c r="S14" s="202">
        <f>('Expenditure DATA'!DG16/'Expenditure DATA'!R16)*100</f>
        <v>11.321159016417855</v>
      </c>
      <c r="T14" s="202">
        <f>('Expenditure DATA'!DH16/'Expenditure DATA'!S16)*100</f>
        <v>10.842550312033488</v>
      </c>
      <c r="U14" s="202">
        <f>('Expenditure DATA'!DI16/'Expenditure DATA'!T16)*100</f>
        <v>11.2112720011151</v>
      </c>
      <c r="V14" s="202">
        <f>('Expenditure DATA'!DJ16/'Expenditure DATA'!U16)*100</f>
        <v>11.608990669017832</v>
      </c>
      <c r="W14" s="202">
        <f>('Expenditure DATA'!DK16/'Expenditure DATA'!V16)*100</f>
        <v>11.96917661964906</v>
      </c>
      <c r="X14" s="202">
        <f>('Expenditure DATA'!DL16/'Expenditure DATA'!W16)*100</f>
        <v>11.489401564394671</v>
      </c>
      <c r="Y14" s="202">
        <f>('Expenditure DATA'!DM16/'Expenditure DATA'!X16)*100</f>
        <v>11.062301058981902</v>
      </c>
      <c r="Z14" s="202">
        <f>('Expenditure DATA'!DN16/'Expenditure DATA'!Y16)*100</f>
        <v>11.336403887685353</v>
      </c>
      <c r="AA14" s="202">
        <f>('Expenditure DATA'!DO16/'Expenditure DATA'!Z16)*100</f>
        <v>11.067036618260703</v>
      </c>
      <c r="AB14" s="202">
        <f>('Expenditure DATA'!DP16/'Expenditure DATA'!AA16)*100</f>
        <v>10.402243223108012</v>
      </c>
      <c r="AC14" s="202">
        <f>('Expenditure DATA'!DQ16/'Expenditure DATA'!AB16)*100</f>
        <v>11.29333837478951</v>
      </c>
      <c r="AD14" s="202">
        <f>('Expenditure DATA'!DR16/'Expenditure DATA'!AC16)*100</f>
        <v>11.228361109446638</v>
      </c>
      <c r="AE14" s="202">
        <f>('Expenditure DATA'!DS16/'Expenditure DATA'!AD16)*100</f>
        <v>11.344509446426212</v>
      </c>
      <c r="AF14" s="202">
        <f>('Expenditure DATA'!DT16/'Expenditure DATA'!AE16)*100</f>
        <v>10.858539234091978</v>
      </c>
      <c r="AG14" s="464">
        <f>('Expenditure DATA'!DU16/'Expenditure DATA'!AF16)*100</f>
        <v>11.07586932160492</v>
      </c>
      <c r="AH14" s="203">
        <f>('Expenditure DATA'!BL16/'Expenditure DATA'!B16)*100</f>
        <v>21.605512662525467</v>
      </c>
      <c r="AI14" s="202">
        <f>('Expenditure DATA'!BM16/'Expenditure DATA'!C16)*100</f>
        <v>21.509537601118549</v>
      </c>
      <c r="AJ14" s="202">
        <f>('Expenditure DATA'!BN16/'Expenditure DATA'!D16)*100</f>
        <v>21.459707419494716</v>
      </c>
      <c r="AK14" s="202">
        <f>('Expenditure DATA'!BO16/'Expenditure DATA'!E16)*100</f>
        <v>21.893107291696161</v>
      </c>
      <c r="AL14" s="202">
        <f>('Expenditure DATA'!BP16/'Expenditure DATA'!F16)*100</f>
        <v>22.932849063723353</v>
      </c>
      <c r="AM14" s="202">
        <f>('Expenditure DATA'!BQ16/'Expenditure DATA'!G16)*100</f>
        <v>23.404894487418069</v>
      </c>
      <c r="AN14" s="202">
        <f>('Expenditure DATA'!BR16/'Expenditure DATA'!H16)*100</f>
        <v>24.767942146045456</v>
      </c>
      <c r="AO14" s="202">
        <f>('Expenditure DATA'!BS16/'Expenditure DATA'!I16)*100</f>
        <v>24.051624547652011</v>
      </c>
      <c r="AP14" s="202">
        <f>('Expenditure DATA'!BT16/'Expenditure DATA'!J16)*100</f>
        <v>24.10371975262726</v>
      </c>
      <c r="AQ14" s="202">
        <f>('Expenditure DATA'!BU16/'Expenditure DATA'!K16)*100</f>
        <v>23.137359495533101</v>
      </c>
      <c r="AR14" s="202">
        <f>('Expenditure DATA'!BV16/'Expenditure DATA'!L16)*100</f>
        <v>22.287998944135857</v>
      </c>
      <c r="AS14" s="202">
        <f>('Expenditure DATA'!BW16/'Expenditure DATA'!M16)*100</f>
        <v>22.676162178482212</v>
      </c>
      <c r="AT14" s="202">
        <f>('Expenditure DATA'!BX16/'Expenditure DATA'!N16)*100</f>
        <v>22.067651134309791</v>
      </c>
      <c r="AU14" s="202">
        <f>('Expenditure DATA'!BY16/'Expenditure DATA'!O16)*100</f>
        <v>22.727001938114427</v>
      </c>
      <c r="AV14" s="202">
        <f>('Expenditure DATA'!BZ16/'Expenditure DATA'!P16)*100</f>
        <v>21.976698503272662</v>
      </c>
      <c r="AW14" s="202">
        <f>('Expenditure DATA'!CA16/'Expenditure DATA'!Q16)*100</f>
        <v>20.560080458997227</v>
      </c>
      <c r="AX14" s="202">
        <f>('Expenditure DATA'!CB16/'Expenditure DATA'!R16)*100</f>
        <v>21.102556882498124</v>
      </c>
      <c r="AY14" s="202">
        <f>('Expenditure DATA'!CC16/'Expenditure DATA'!S16)*100</f>
        <v>21.22050291824516</v>
      </c>
      <c r="AZ14" s="202">
        <f>('Expenditure DATA'!CD16/'Expenditure DATA'!T16)*100</f>
        <v>21.099724511895403</v>
      </c>
      <c r="BA14" s="202">
        <f>('Expenditure DATA'!CE16/'Expenditure DATA'!U16)*100</f>
        <v>20.099122924788364</v>
      </c>
      <c r="BB14" s="202">
        <f>('Expenditure DATA'!CF16/'Expenditure DATA'!V16)*100</f>
        <v>19.192948126014763</v>
      </c>
      <c r="BC14" s="202">
        <f>('Expenditure DATA'!CG16/'Expenditure DATA'!W16)*100</f>
        <v>19.468347044465951</v>
      </c>
      <c r="BD14" s="202">
        <f>('Expenditure DATA'!CH16/'Expenditure DATA'!X16)*100</f>
        <v>19.71350988895411</v>
      </c>
      <c r="BE14" s="202">
        <f>('Expenditure DATA'!CI16/'Expenditure DATA'!Y16)*100</f>
        <v>19.865008870643923</v>
      </c>
      <c r="BF14" s="202">
        <f>('Expenditure DATA'!CJ16/'Expenditure DATA'!Z16)*100</f>
        <v>20.750913676905654</v>
      </c>
      <c r="BG14" s="202">
        <f>('Expenditure DATA'!CK16/'Expenditure DATA'!AA16)*100</f>
        <v>18.44795151114775</v>
      </c>
      <c r="BH14" s="202">
        <f>('Expenditure DATA'!CL16/'Expenditure DATA'!AB16)*100</f>
        <v>19.119161408098307</v>
      </c>
      <c r="BI14" s="202">
        <f>('Expenditure DATA'!CM16/'Expenditure DATA'!AC16)*100</f>
        <v>19.465403911834912</v>
      </c>
      <c r="BJ14" s="202">
        <f>('Expenditure DATA'!CN16/'Expenditure DATA'!AD16)*100</f>
        <v>18.742297265160524</v>
      </c>
      <c r="BK14" s="202">
        <f>('Expenditure DATA'!CO16/'Expenditure DATA'!AE16)*100</f>
        <v>17.941274957975008</v>
      </c>
      <c r="BL14" s="464">
        <f>('Expenditure DATA'!CP16/'Expenditure DATA'!AF16)*100</f>
        <v>18.032459910283492</v>
      </c>
      <c r="BM14" s="203">
        <f>('Expenditure DATA'!AG16/'Expenditure DATA'!B16)*100</f>
        <v>36.370495183964998</v>
      </c>
      <c r="BN14" s="202">
        <f>('Expenditure DATA'!AH16/'Expenditure DATA'!C16)*100</f>
        <v>35.900828922400876</v>
      </c>
      <c r="BO14" s="202">
        <f>('Expenditure DATA'!AI16/'Expenditure DATA'!D16)*100</f>
        <v>35.436017983887538</v>
      </c>
      <c r="BP14" s="202">
        <f>('Expenditure DATA'!AJ16/'Expenditure DATA'!E16)*100</f>
        <v>35.587014103577239</v>
      </c>
      <c r="BQ14" s="202">
        <f>('Expenditure DATA'!AK16/'Expenditure DATA'!F16)*100</f>
        <v>36.439049046511457</v>
      </c>
      <c r="BR14" s="202">
        <f>('Expenditure DATA'!AL16/'Expenditure DATA'!G16)*100</f>
        <v>36.588247613035499</v>
      </c>
      <c r="BS14" s="202">
        <f>('Expenditure DATA'!AM16/'Expenditure DATA'!H16)*100</f>
        <v>37.743203364158759</v>
      </c>
      <c r="BT14" s="202">
        <f>('Expenditure DATA'!AN16/'Expenditure DATA'!I16)*100</f>
        <v>37.858623477147148</v>
      </c>
      <c r="BU14" s="202">
        <f>('Expenditure DATA'!AO16/'Expenditure DATA'!J16)*100</f>
        <v>38.426821121938396</v>
      </c>
      <c r="BV14" s="202">
        <f>('Expenditure DATA'!AP16/'Expenditure DATA'!K16)*100</f>
        <v>36.996796243786882</v>
      </c>
      <c r="BW14" s="202">
        <f>('Expenditure DATA'!AQ16/'Expenditure DATA'!L16)*100</f>
        <v>35.739908131820371</v>
      </c>
      <c r="BX14" s="202">
        <f>('Expenditure DATA'!AR16/'Expenditure DATA'!M16)*100</f>
        <v>35.255290569633807</v>
      </c>
      <c r="BY14" s="202">
        <f>('Expenditure DATA'!AS16/'Expenditure DATA'!N16)*100</f>
        <v>35.593424196265971</v>
      </c>
      <c r="BZ14" s="202">
        <f>('Expenditure DATA'!AT16/'Expenditure DATA'!O16)*100</f>
        <v>36.226372678834487</v>
      </c>
      <c r="CA14" s="202">
        <f>('Expenditure DATA'!AU16/'Expenditure DATA'!P16)*100</f>
        <v>35.287921669743525</v>
      </c>
      <c r="CB14" s="202">
        <f>('Expenditure DATA'!AV16/'Expenditure DATA'!Q16)*100</f>
        <v>33.881065536222437</v>
      </c>
      <c r="CC14" s="202">
        <f>('Expenditure DATA'!AW16/'Expenditure DATA'!R16)*100</f>
        <v>34.870388307163772</v>
      </c>
      <c r="CD14" s="202">
        <f>('Expenditure DATA'!AX16/'Expenditure DATA'!S16)*100</f>
        <v>34.503045140507226</v>
      </c>
      <c r="CE14" s="202">
        <f>('Expenditure DATA'!AY16/'Expenditure DATA'!T16)*100</f>
        <v>34.896832281561451</v>
      </c>
      <c r="CF14" s="202">
        <f>('Expenditure DATA'!AZ16/'Expenditure DATA'!U16)*100</f>
        <v>34.127509915225978</v>
      </c>
      <c r="CG14" s="202">
        <f>('Expenditure DATA'!BA16/'Expenditure DATA'!V16)*100</f>
        <v>33.430788513332473</v>
      </c>
      <c r="CH14" s="202">
        <f>('Expenditure DATA'!BB16/'Expenditure DATA'!W16)*100</f>
        <v>33.07551016097328</v>
      </c>
      <c r="CI14" s="202">
        <f>('Expenditure DATA'!BC16/'Expenditure DATA'!X16)*100</f>
        <v>32.759237853372021</v>
      </c>
      <c r="CJ14" s="202">
        <f>('Expenditure DATA'!BD16/'Expenditure DATA'!Y16)*100</f>
        <v>33.111708252584563</v>
      </c>
      <c r="CK14" s="202">
        <f>('Expenditure DATA'!BE16/'Expenditure DATA'!Z16)*100</f>
        <v>33.637806631288349</v>
      </c>
      <c r="CL14" s="202">
        <f>('Expenditure DATA'!BF16/'Expenditure DATA'!AA16)*100</f>
        <v>30.542539428553894</v>
      </c>
      <c r="CM14" s="202">
        <f>('Expenditure DATA'!BG16/'Expenditure DATA'!AB16)*100</f>
        <v>32.149695619856388</v>
      </c>
      <c r="CN14" s="202">
        <f>('Expenditure DATA'!BH16/'Expenditure DATA'!AC16)*100</f>
        <v>32.457969742151157</v>
      </c>
      <c r="CO14" s="202">
        <f>('Expenditure DATA'!BI16/'Expenditure DATA'!AD16)*100</f>
        <v>31.916780552252611</v>
      </c>
      <c r="CP14" s="202">
        <f>('Expenditure DATA'!BJ16/'Expenditure DATA'!AE16)*100</f>
        <v>30.640567393980795</v>
      </c>
      <c r="CQ14" s="464">
        <f>('Expenditure DATA'!BK16/'Expenditure DATA'!AF16)*100</f>
        <v>31.130702384337493</v>
      </c>
      <c r="CR14" s="203">
        <f>('Expenditure DATA'!FA16/'Expenditure DATA'!B16)*100</f>
        <v>26.61770993134321</v>
      </c>
      <c r="CS14" s="202">
        <f>('Expenditure DATA'!FB16/'Expenditure DATA'!C16)*100</f>
        <v>28.046040147807854</v>
      </c>
      <c r="CT14" s="202">
        <f>('Expenditure DATA'!FC16/'Expenditure DATA'!D16)*100</f>
        <v>28.904306547686971</v>
      </c>
      <c r="CU14" s="202">
        <f>('Expenditure DATA'!FD16/'Expenditure DATA'!E16)*100</f>
        <v>27.856366945271738</v>
      </c>
      <c r="CV14" s="202">
        <f>('Expenditure DATA'!FE16/'Expenditure DATA'!F16)*100</f>
        <v>26.267070250635609</v>
      </c>
      <c r="CW14" s="202">
        <f>('Expenditure DATA'!FF16/'Expenditure DATA'!G16)*100</f>
        <v>27.173186214343577</v>
      </c>
      <c r="CX14" s="202">
        <f>('Expenditure DATA'!FG16/'Expenditure DATA'!H16)*100</f>
        <v>27.416186783448261</v>
      </c>
      <c r="CY14" s="202">
        <f>('Expenditure DATA'!FH16/'Expenditure DATA'!I16)*100</f>
        <v>27.365256860298249</v>
      </c>
      <c r="CZ14" s="202">
        <f>('Expenditure DATA'!FI16/'Expenditure DATA'!J16)*100</f>
        <v>27.214050349441603</v>
      </c>
      <c r="DA14" s="202">
        <f>('Expenditure DATA'!FJ16/'Expenditure DATA'!K16)*100</f>
        <v>29.357838914487672</v>
      </c>
      <c r="DB14" s="202">
        <f>('Expenditure DATA'!FK16/'Expenditure DATA'!L16)*100</f>
        <v>31.242073519873774</v>
      </c>
      <c r="DC14" s="202">
        <f>('Expenditure DATA'!FL16/'Expenditure DATA'!M16)*100</f>
        <v>31.543349565411315</v>
      </c>
      <c r="DD14" s="202">
        <f>('Expenditure DATA'!FM16/'Expenditure DATA'!N16)*100</f>
        <v>32.537827434039393</v>
      </c>
      <c r="DE14" s="202">
        <f>('Expenditure DATA'!FN16/'Expenditure DATA'!O16)*100</f>
        <v>31.305706259733903</v>
      </c>
      <c r="DF14" s="202">
        <f>('Expenditure DATA'!FO16/'Expenditure DATA'!P16)*100</f>
        <v>31.044066490700768</v>
      </c>
      <c r="DG14" s="202">
        <f>('Expenditure DATA'!FP16/'Expenditure DATA'!Q16)*100</f>
        <v>32.031203515697399</v>
      </c>
      <c r="DH14" s="202">
        <f>('Expenditure DATA'!FQ16/'Expenditure DATA'!R16)*100</f>
        <v>30.49512345591247</v>
      </c>
      <c r="DI14" s="202">
        <f>('Expenditure DATA'!FR16/'Expenditure DATA'!S16)*100</f>
        <v>31.227228680635406</v>
      </c>
      <c r="DJ14" s="202">
        <f>('Expenditure DATA'!FS16/'Expenditure DATA'!T16)*100</f>
        <v>32.362559916258277</v>
      </c>
      <c r="DK14" s="202">
        <f>('Expenditure DATA'!FT16/'Expenditure DATA'!U16)*100</f>
        <v>34.042070056863487</v>
      </c>
      <c r="DL14" s="202">
        <f>('Expenditure DATA'!FU16/'Expenditure DATA'!V16)*100</f>
        <v>35.563084797706942</v>
      </c>
      <c r="DM14" s="202">
        <f>('Expenditure DATA'!FV16/'Expenditure DATA'!W16)*100</f>
        <v>36.074447577533228</v>
      </c>
      <c r="DN14" s="202">
        <f>('Expenditure DATA'!FW16/'Expenditure DATA'!X16)*100</f>
        <v>36.529667788173995</v>
      </c>
      <c r="DO14" s="202">
        <f>('Expenditure DATA'!FX16/'Expenditure DATA'!Y16)*100</f>
        <v>37.199203026071324</v>
      </c>
      <c r="DP14" s="202">
        <f>('Expenditure DATA'!FY16/'Expenditure DATA'!Z16)*100</f>
        <v>33.938339081830328</v>
      </c>
      <c r="DQ14" s="202">
        <f>('Expenditure DATA'!FZ16/'Expenditure DATA'!AA16)*100</f>
        <v>32.010263991152009</v>
      </c>
      <c r="DR14" s="202">
        <f>('Expenditure DATA'!GA16/'Expenditure DATA'!AB16)*100</f>
        <v>33.906825695215467</v>
      </c>
      <c r="DS14" s="202">
        <f>('Expenditure DATA'!GB16/'Expenditure DATA'!AC16)*100</f>
        <v>36.764223622737155</v>
      </c>
      <c r="DT14" s="202">
        <f>('Expenditure DATA'!GC16/'Expenditure DATA'!AD16)*100</f>
        <v>36.666626502840529</v>
      </c>
      <c r="DU14" s="202">
        <f>('Expenditure DATA'!GD16/'Expenditure DATA'!AE16)*100</f>
        <v>37.772734406274836</v>
      </c>
      <c r="DV14" s="464">
        <f>('Expenditure DATA'!GE16/'Expenditure DATA'!AF16)*100</f>
        <v>37.444165416829101</v>
      </c>
      <c r="DW14" s="203">
        <f>('Expenditure DATA'!GF16/'Expenditure DATA'!B16)*100</f>
        <v>26.464300983326204</v>
      </c>
      <c r="DX14" s="202">
        <f>('Expenditure DATA'!GG16/'Expenditure DATA'!C16)*100</f>
        <v>25.182263058024567</v>
      </c>
      <c r="DY14" s="202">
        <f>('Expenditure DATA'!GH16/'Expenditure DATA'!D16)*100</f>
        <v>24.374101376178199</v>
      </c>
      <c r="DZ14" s="202">
        <f>('Expenditure DATA'!GI16/'Expenditure DATA'!E16)*100</f>
        <v>25.163670825578809</v>
      </c>
      <c r="EA14" s="202">
        <f>('Expenditure DATA'!GJ16/'Expenditure DATA'!F16)*100</f>
        <v>24.553084492897369</v>
      </c>
      <c r="EB14" s="202">
        <f>('Expenditure DATA'!GK16/'Expenditure DATA'!G16)*100</f>
        <v>23.299751307146103</v>
      </c>
      <c r="EC14" s="202">
        <f>('Expenditure DATA'!GL16/'Expenditure DATA'!H16)*100</f>
        <v>21.286751278460578</v>
      </c>
      <c r="ED14" s="202">
        <f>('Expenditure DATA'!GM16/'Expenditure DATA'!I16)*100</f>
        <v>21.224849815487712</v>
      </c>
      <c r="EE14" s="202">
        <f>('Expenditure DATA'!GN16/'Expenditure DATA'!J16)*100</f>
        <v>21.55139148683929</v>
      </c>
      <c r="EF14" s="202">
        <f>('Expenditure DATA'!GO16/'Expenditure DATA'!K16)*100</f>
        <v>21.418961812131304</v>
      </c>
      <c r="EG14" s="202">
        <f>('Expenditure DATA'!GP16/'Expenditure DATA'!L16)*100</f>
        <v>21.302565736541897</v>
      </c>
      <c r="EH14" s="202">
        <f>('Expenditure DATA'!GQ16/'Expenditure DATA'!M16)*100</f>
        <v>21.636454227515983</v>
      </c>
      <c r="EI14" s="202">
        <f>('Expenditure DATA'!GR16/'Expenditure DATA'!N16)*100</f>
        <v>20.06421822877709</v>
      </c>
      <c r="EJ14" s="202">
        <f>('Expenditure DATA'!GS16/'Expenditure DATA'!O16)*100</f>
        <v>20.697586272246436</v>
      </c>
      <c r="EK14" s="202">
        <f>('Expenditure DATA'!GT16/'Expenditure DATA'!P16)*100</f>
        <v>21.716239720488844</v>
      </c>
      <c r="EL14" s="202">
        <f>('Expenditure DATA'!GU16/'Expenditure DATA'!Q16)*100</f>
        <v>21.571020790671852</v>
      </c>
      <c r="EM14" s="202">
        <f>('Expenditure DATA'!GV16/'Expenditure DATA'!R16)*100</f>
        <v>22.276134492990259</v>
      </c>
      <c r="EN14" s="202">
        <f>('Expenditure DATA'!GW16/'Expenditure DATA'!S16)*100</f>
        <v>21.295728209646565</v>
      </c>
      <c r="EO14" s="202">
        <f>('Expenditure DATA'!GX16/'Expenditure DATA'!T16)*100</f>
        <v>21.491854719250046</v>
      </c>
      <c r="EP14" s="202">
        <f>('Expenditure DATA'!GY16/'Expenditure DATA'!U16)*100</f>
        <v>20.873041309666686</v>
      </c>
      <c r="EQ14" s="202">
        <f>('Expenditure DATA'!GZ16/'Expenditure DATA'!V16)*100</f>
        <v>20.312625331785942</v>
      </c>
      <c r="ER14" s="202">
        <f>('Expenditure DATA'!HA16/'Expenditure DATA'!W16)*100</f>
        <v>20.225046662137956</v>
      </c>
      <c r="ES14" s="202">
        <f>('Expenditure DATA'!HB16/'Expenditure DATA'!X16)*100</f>
        <v>20.147083263123395</v>
      </c>
      <c r="ET14" s="202">
        <f>('Expenditure DATA'!HC16/'Expenditure DATA'!Y16)*100</f>
        <v>19.493182587112567</v>
      </c>
      <c r="EU14" s="202">
        <f>('Expenditure DATA'!HD16/'Expenditure DATA'!Z16)*100</f>
        <v>21.023398093554057</v>
      </c>
      <c r="EV14" s="202">
        <f>('Expenditure DATA'!HE16/'Expenditure DATA'!AA16)*100</f>
        <v>19.793935012772458</v>
      </c>
      <c r="EW14" s="202">
        <f>('Expenditure DATA'!HF16/'Expenditure DATA'!AB16)*100</f>
        <v>19.313448975074632</v>
      </c>
      <c r="EX14" s="202">
        <f>('Expenditure DATA'!HG16/'Expenditure DATA'!AC16)*100</f>
        <v>18.282833554195498</v>
      </c>
      <c r="EY14" s="202">
        <f>('Expenditure DATA'!HH16/'Expenditure DATA'!AD16)*100</f>
        <v>19.576157484476152</v>
      </c>
      <c r="EZ14" s="202">
        <f>('Expenditure DATA'!HI16/'Expenditure DATA'!AE16)*100</f>
        <v>20.41069931425627</v>
      </c>
      <c r="FA14" s="464">
        <f>('Expenditure DATA'!HJ16/'Expenditure DATA'!AF16)*100</f>
        <v>20.540932489381024</v>
      </c>
      <c r="FB14" s="203">
        <f>('Expenditure DATA'!HK16/'Expenditure DATA'!B16)*100</f>
        <v>4.1948545129894637</v>
      </c>
      <c r="FC14" s="202">
        <f>('Expenditure DATA'!HL16/'Expenditure DATA'!C16)*100</f>
        <v>4.0796963946869065</v>
      </c>
      <c r="FD14" s="202">
        <f>('Expenditure DATA'!HM16/'Expenditure DATA'!D16)*100</f>
        <v>4.3887075792500623</v>
      </c>
      <c r="FE14" s="202">
        <f>('Expenditure DATA'!HN16/'Expenditure DATA'!E16)*100</f>
        <v>4.3936929029069471</v>
      </c>
      <c r="FF14" s="202">
        <f>('Expenditure DATA'!HO16/'Expenditure DATA'!F16)*100</f>
        <v>4.4771574355206072</v>
      </c>
      <c r="FG14" s="202">
        <f>('Expenditure DATA'!HP16/'Expenditure DATA'!G16)*100</f>
        <v>4.6144941180540036</v>
      </c>
      <c r="FH14" s="202">
        <f>('Expenditure DATA'!HQ16/'Expenditure DATA'!H16)*100</f>
        <v>4.4493964931515047</v>
      </c>
      <c r="FI14" s="202">
        <f>('Expenditure DATA'!HR16/'Expenditure DATA'!I16)*100</f>
        <v>4.3601373775049792</v>
      </c>
      <c r="FJ14" s="202">
        <f>('Expenditure DATA'!HS16/'Expenditure DATA'!J16)*100</f>
        <v>4.795288924105737</v>
      </c>
      <c r="FK14" s="202">
        <f>('Expenditure DATA'!HT16/'Expenditure DATA'!K16)*100</f>
        <v>4.5848488080087018</v>
      </c>
      <c r="FL14" s="202">
        <f>('Expenditure DATA'!HU16/'Expenditure DATA'!L16)*100</f>
        <v>4.3998872145117325</v>
      </c>
      <c r="FM14" s="202">
        <f>('Expenditure DATA'!HV16/'Expenditure DATA'!M16)*100</f>
        <v>4.3645130773042178</v>
      </c>
      <c r="FN14" s="202">
        <f>('Expenditure DATA'!HW16/'Expenditure DATA'!N16)*100</f>
        <v>4.4646097456335072</v>
      </c>
      <c r="FO14" s="202">
        <f>('Expenditure DATA'!HX16/'Expenditure DATA'!O16)*100</f>
        <v>4.5678951354926101</v>
      </c>
      <c r="FP14" s="202">
        <f>('Expenditure DATA'!HY16/'Expenditure DATA'!P16)*100</f>
        <v>4.8567352730268682</v>
      </c>
      <c r="FQ14" s="202">
        <f>('Expenditure DATA'!HZ16/'Expenditure DATA'!Q16)*100</f>
        <v>5.2522485519063782</v>
      </c>
      <c r="FR14" s="202">
        <f>('Expenditure DATA'!IA16/'Expenditure DATA'!R16)*100</f>
        <v>5.0298370682635412</v>
      </c>
      <c r="FS14" s="202">
        <f>('Expenditure DATA'!IB16/'Expenditure DATA'!S16)*100</f>
        <v>4.7078250145655298</v>
      </c>
      <c r="FT14" s="202">
        <f>('Expenditure DATA'!IC16/'Expenditure DATA'!T16)*100</f>
        <v>4.5227937660534518</v>
      </c>
      <c r="FU14" s="202">
        <f>('Expenditure DATA'!ID16/'Expenditure DATA'!U16)*100</f>
        <v>4.3122125512270753</v>
      </c>
      <c r="FV14" s="202">
        <f>('Expenditure DATA'!IE16/'Expenditure DATA'!V16)*100</f>
        <v>4.1215038891286015</v>
      </c>
      <c r="FW14" s="202">
        <f>('Expenditure DATA'!IF16/'Expenditure DATA'!W16)*100</f>
        <v>4.265046453968341</v>
      </c>
      <c r="FX14" s="202">
        <f>('Expenditure DATA'!IG16/'Expenditure DATA'!X16)*100</f>
        <v>4.3928294666945655</v>
      </c>
      <c r="FY14" s="202">
        <f>('Expenditure DATA'!IH16/'Expenditure DATA'!Y16)*100</f>
        <v>4.2618874529277599</v>
      </c>
      <c r="FZ14" s="202">
        <f>('Expenditure DATA'!II16/'Expenditure DATA'!Z16)*100</f>
        <v>3.9252657488905531</v>
      </c>
      <c r="GA14" s="202">
        <f>('Expenditure DATA'!IJ16/'Expenditure DATA'!AA16)*100</f>
        <v>3.6399760479798489</v>
      </c>
      <c r="GB14" s="202">
        <f>('Expenditure DATA'!IK16/'Expenditure DATA'!AB16)*100</f>
        <v>3.9597164492650023</v>
      </c>
      <c r="GC14" s="202">
        <f>('Expenditure DATA'!IL16/'Expenditure DATA'!AC16)*100</f>
        <v>4.0282486889599491</v>
      </c>
      <c r="GD14" s="202">
        <f>('Expenditure DATA'!IM16/'Expenditure DATA'!AD16)*100</f>
        <v>4.2602996432818072</v>
      </c>
      <c r="GE14" s="202">
        <f>('Expenditure DATA'!IN16/'Expenditure DATA'!AE16)*100</f>
        <v>4.231939326240628</v>
      </c>
      <c r="GF14" s="464">
        <f>('Expenditure DATA'!IO16/'Expenditure DATA'!AF16)*100</f>
        <v>4.1575206758192387</v>
      </c>
      <c r="GG14" s="203">
        <f>('Expenditure DATA'!IP16/'Expenditure DATA'!B16)*100</f>
        <v>6.3526393883761285</v>
      </c>
      <c r="GH14" s="202">
        <f>('Expenditure DATA'!IQ16/'Expenditure DATA'!C16)*100</f>
        <v>6.7936682312993115</v>
      </c>
      <c r="GI14" s="202">
        <f>('Expenditure DATA'!IR16/'Expenditure DATA'!D16)*100</f>
        <v>6.8991487322272187</v>
      </c>
      <c r="GJ14" s="202">
        <f>('Expenditure DATA'!IS16/'Expenditure DATA'!E16)*100</f>
        <v>6.9997914966678083</v>
      </c>
      <c r="GK14" s="202">
        <f>('Expenditure DATA'!IT16/'Expenditure DATA'!F16)*100</f>
        <v>8.2636387744349573</v>
      </c>
      <c r="GL14" s="202">
        <f>('Expenditure DATA'!IU16/'Expenditure DATA'!G16)*100</f>
        <v>8.3243207474208152</v>
      </c>
      <c r="GM14" s="202">
        <f>('Expenditure DATA'!IV16/'Expenditure DATA'!H16)*100</f>
        <v>9.1044620807808894</v>
      </c>
      <c r="GN14" s="202">
        <f>('Expenditure DATA'!IW16/'Expenditure DATA'!I16)*100</f>
        <v>9.1911324695619161</v>
      </c>
      <c r="GO14" s="202">
        <f>('Expenditure DATA'!IX16/'Expenditure DATA'!J16)*100</f>
        <v>8.0124481176749676</v>
      </c>
      <c r="GP14" s="202">
        <f>('Expenditure DATA'!IY16/'Expenditure DATA'!K16)*100</f>
        <v>7.6415542215854408</v>
      </c>
      <c r="GQ14" s="202">
        <f>('Expenditure DATA'!IZ16/'Expenditure DATA'!L16)*100</f>
        <v>7.3155653972522199</v>
      </c>
      <c r="GR14" s="202">
        <f>('Expenditure DATA'!JA16/'Expenditure DATA'!M16)*100</f>
        <v>7.2003925601346825</v>
      </c>
      <c r="GS14" s="202">
        <f>('Expenditure DATA'!JB16/'Expenditure DATA'!N16)*100</f>
        <v>7.3399203952840288</v>
      </c>
      <c r="GT14" s="202">
        <f>('Expenditure DATA'!JC16/'Expenditure DATA'!O16)*100</f>
        <v>7.2024396536925579</v>
      </c>
      <c r="GU14" s="202">
        <f>('Expenditure DATA'!JD16/'Expenditure DATA'!P16)*100</f>
        <v>7.0950368460400055</v>
      </c>
      <c r="GV14" s="202">
        <f>('Expenditure DATA'!JE16/'Expenditure DATA'!Q16)*100</f>
        <v>7.264461605501932</v>
      </c>
      <c r="GW14" s="202">
        <f>('Expenditure DATA'!JF16/'Expenditure DATA'!R16)*100</f>
        <v>7.3285166756699622</v>
      </c>
      <c r="GX14" s="202">
        <f>('Expenditure DATA'!JG16/'Expenditure DATA'!S16)*100</f>
        <v>8.2661729546452687</v>
      </c>
      <c r="GY14" s="202">
        <f>('Expenditure DATA'!JH16/'Expenditure DATA'!T16)*100</f>
        <v>6.7259593168767795</v>
      </c>
      <c r="GZ14" s="202">
        <f>('Expenditure DATA'!JI16/'Expenditure DATA'!U16)*100</f>
        <v>6.6451661670167761</v>
      </c>
      <c r="HA14" s="202">
        <f>('Expenditure DATA'!JJ16/'Expenditure DATA'!V16)*100</f>
        <v>6.5719974680460425</v>
      </c>
      <c r="HB14" s="202">
        <f>('Expenditure DATA'!JK16/'Expenditure DATA'!W16)*100</f>
        <v>6.3599491453871906</v>
      </c>
      <c r="HC14" s="202">
        <f>('Expenditure DATA'!JL16/'Expenditure DATA'!X16)*100</f>
        <v>6.1711816286360257</v>
      </c>
      <c r="HD14" s="202">
        <f>('Expenditure DATA'!JM16/'Expenditure DATA'!Y16)*100</f>
        <v>5.9340186813037796</v>
      </c>
      <c r="HE14" s="202">
        <f>('Expenditure DATA'!JN16/'Expenditure DATA'!Z16)*100</f>
        <v>7.4751904444367261</v>
      </c>
      <c r="HF14" s="202">
        <f>('Expenditure DATA'!JO16/'Expenditure DATA'!AA16)*100</f>
        <v>14.013285519541787</v>
      </c>
      <c r="HG14" s="202">
        <f>('Expenditure DATA'!JP16/'Expenditure DATA'!AB16)*100</f>
        <v>10.670313260588502</v>
      </c>
      <c r="HH14" s="202">
        <f>('Expenditure DATA'!JQ16/'Expenditure DATA'!AC16)*100</f>
        <v>8.4667374277269722</v>
      </c>
      <c r="HI14" s="202">
        <f>('Expenditure DATA'!JR16/'Expenditure DATA'!AD16)*100</f>
        <v>7.5801358171488973</v>
      </c>
      <c r="HJ14" s="202">
        <f>('Expenditure DATA'!JS16/'Expenditure DATA'!AE16)*100</f>
        <v>6.944059559247469</v>
      </c>
      <c r="HK14" s="464">
        <f>('Expenditure DATA'!JT16/'Expenditure DATA'!AF16)*100</f>
        <v>6.7266790336331468</v>
      </c>
      <c r="HL14" s="203">
        <f t="shared" si="1"/>
        <v>100.00000000000001</v>
      </c>
      <c r="HM14" s="204">
        <f t="shared" si="2"/>
        <v>100.00249675421951</v>
      </c>
      <c r="HN14" s="204">
        <f t="shared" si="3"/>
        <v>100.00228221923</v>
      </c>
      <c r="HO14" s="204">
        <f t="shared" si="4"/>
        <v>100.00053627400254</v>
      </c>
      <c r="HP14" s="204">
        <f t="shared" si="5"/>
        <v>100</v>
      </c>
      <c r="HQ14" s="204">
        <f t="shared" si="6"/>
        <v>99.999999999999986</v>
      </c>
      <c r="HR14" s="204">
        <f t="shared" si="7"/>
        <v>99.999999999999986</v>
      </c>
      <c r="HS14" s="204">
        <f t="shared" si="8"/>
        <v>100.00000000000001</v>
      </c>
      <c r="HT14" s="204">
        <f t="shared" si="9"/>
        <v>99.999999999999986</v>
      </c>
      <c r="HU14" s="204">
        <f t="shared" si="10"/>
        <v>100</v>
      </c>
      <c r="HV14" s="204">
        <f t="shared" si="11"/>
        <v>99.999999999999986</v>
      </c>
      <c r="HW14" s="204">
        <f t="shared" si="12"/>
        <v>100.00000000000001</v>
      </c>
      <c r="HX14" s="204">
        <f t="shared" si="13"/>
        <v>100</v>
      </c>
      <c r="HY14" s="204">
        <f t="shared" si="14"/>
        <v>100</v>
      </c>
      <c r="HZ14" s="204">
        <f t="shared" si="15"/>
        <v>100.00000000000001</v>
      </c>
      <c r="IA14" s="204">
        <f t="shared" si="16"/>
        <v>100</v>
      </c>
      <c r="IB14" s="204">
        <f t="shared" si="17"/>
        <v>100.00000000000001</v>
      </c>
      <c r="IC14" s="204">
        <f t="shared" si="18"/>
        <v>100</v>
      </c>
      <c r="ID14" s="204">
        <f t="shared" si="19"/>
        <v>100</v>
      </c>
      <c r="IE14" s="204">
        <f t="shared" si="20"/>
        <v>100.00000000000001</v>
      </c>
      <c r="IF14" s="204">
        <f t="shared" si="21"/>
        <v>100</v>
      </c>
      <c r="IG14" s="204">
        <f t="shared" si="22"/>
        <v>100</v>
      </c>
      <c r="IH14" s="204">
        <f t="shared" si="23"/>
        <v>100</v>
      </c>
      <c r="II14" s="204">
        <f t="shared" si="24"/>
        <v>100</v>
      </c>
      <c r="IJ14" s="204">
        <f t="shared" si="25"/>
        <v>100</v>
      </c>
      <c r="IK14" s="204">
        <f t="shared" si="26"/>
        <v>99.999999999999986</v>
      </c>
      <c r="IL14" s="204">
        <f t="shared" si="27"/>
        <v>99.999999999999986</v>
      </c>
      <c r="IM14" s="204">
        <f t="shared" si="28"/>
        <v>100.00001303577072</v>
      </c>
      <c r="IN14" s="204">
        <f t="shared" si="29"/>
        <v>100.00000000000001</v>
      </c>
      <c r="IO14" s="204">
        <f t="shared" si="30"/>
        <v>99.999999999999986</v>
      </c>
      <c r="IP14" s="204">
        <f t="shared" si="31"/>
        <v>100</v>
      </c>
    </row>
    <row r="15" spans="1:250" s="164" customFormat="1">
      <c r="A15" s="168" t="s">
        <v>33</v>
      </c>
      <c r="B15" s="62"/>
      <c r="C15" s="202">
        <f>('Expenditure DATA'!CQ17/'Expenditure DATA'!B17)*100</f>
        <v>14.410079130824268</v>
      </c>
      <c r="D15" s="202">
        <f>('Expenditure DATA'!CR17/'Expenditure DATA'!C17)*100</f>
        <v>13.668914614590427</v>
      </c>
      <c r="E15" s="202">
        <f>('Expenditure DATA'!CS17/'Expenditure DATA'!D17)*100</f>
        <v>14.294390962373591</v>
      </c>
      <c r="F15" s="202">
        <f>('Expenditure DATA'!CT17/'Expenditure DATA'!E17)*100</f>
        <v>14.731096417166132</v>
      </c>
      <c r="G15" s="202">
        <f>('Expenditure DATA'!CU17/'Expenditure DATA'!F17)*100</f>
        <v>14.633782884353973</v>
      </c>
      <c r="H15" s="202">
        <f>('Expenditure DATA'!CV17/'Expenditure DATA'!G17)*100</f>
        <v>14.199812816620552</v>
      </c>
      <c r="I15" s="202">
        <f>('Expenditure DATA'!CW17/'Expenditure DATA'!H17)*100</f>
        <v>13.541494595126894</v>
      </c>
      <c r="J15" s="202">
        <f>('Expenditure DATA'!CX17/'Expenditure DATA'!I17)*100</f>
        <v>13.415160673906657</v>
      </c>
      <c r="K15" s="202">
        <f>('Expenditure DATA'!CY17/'Expenditure DATA'!J17)*100</f>
        <v>12.71327756323401</v>
      </c>
      <c r="L15" s="202">
        <f>('Expenditure DATA'!CZ17/'Expenditure DATA'!K17)*100</f>
        <v>12.343849197520782</v>
      </c>
      <c r="M15" s="202">
        <f>('Expenditure DATA'!DA17/'Expenditure DATA'!L17)*100</f>
        <v>12.018742802393065</v>
      </c>
      <c r="N15" s="202">
        <f>('Expenditure DATA'!DB17/'Expenditure DATA'!M17)*100</f>
        <v>12.401110788417173</v>
      </c>
      <c r="O15" s="202">
        <f>('Expenditure DATA'!DC17/'Expenditure DATA'!N17)*100</f>
        <v>11.940478450388074</v>
      </c>
      <c r="P15" s="202">
        <f>('Expenditure DATA'!DD17/'Expenditure DATA'!O17)*100</f>
        <v>11.773100306942318</v>
      </c>
      <c r="Q15" s="202">
        <f>('Expenditure DATA'!DE17/'Expenditure DATA'!P17)*100</f>
        <v>11.730359929062418</v>
      </c>
      <c r="R15" s="202">
        <f>('Expenditure DATA'!DF17/'Expenditure DATA'!Q17)*100</f>
        <v>11.646025511806979</v>
      </c>
      <c r="S15" s="202">
        <f>('Expenditure DATA'!DG17/'Expenditure DATA'!R17)*100</f>
        <v>11.648460889954446</v>
      </c>
      <c r="T15" s="202">
        <f>('Expenditure DATA'!DH17/'Expenditure DATA'!S17)*100</f>
        <v>11.210948585797697</v>
      </c>
      <c r="U15" s="202">
        <f>('Expenditure DATA'!DI17/'Expenditure DATA'!T17)*100</f>
        <v>11.108317013500519</v>
      </c>
      <c r="V15" s="202">
        <f>('Expenditure DATA'!DJ17/'Expenditure DATA'!U17)*100</f>
        <v>11.343672517475644</v>
      </c>
      <c r="W15" s="202">
        <f>('Expenditure DATA'!DK17/'Expenditure DATA'!V17)*100</f>
        <v>11.557333873731949</v>
      </c>
      <c r="X15" s="202">
        <f>('Expenditure DATA'!DL17/'Expenditure DATA'!W17)*100</f>
        <v>12.783579738604924</v>
      </c>
      <c r="Y15" s="202">
        <f>('Expenditure DATA'!DM17/'Expenditure DATA'!X17)*100</f>
        <v>13.909930378065431</v>
      </c>
      <c r="Z15" s="202">
        <f>('Expenditure DATA'!DN17/'Expenditure DATA'!Y17)*100</f>
        <v>14.073771659215234</v>
      </c>
      <c r="AA15" s="202">
        <f>('Expenditure DATA'!DO17/'Expenditure DATA'!Z17)*100</f>
        <v>14.06636105863539</v>
      </c>
      <c r="AB15" s="202">
        <f>('Expenditure DATA'!DP17/'Expenditure DATA'!AA17)*100</f>
        <v>14.086452170340918</v>
      </c>
      <c r="AC15" s="202">
        <f>('Expenditure DATA'!DQ17/'Expenditure DATA'!AB17)*100</f>
        <v>13.549305976603529</v>
      </c>
      <c r="AD15" s="202">
        <f>('Expenditure DATA'!DR17/'Expenditure DATA'!AC17)*100</f>
        <v>12.328372349963988</v>
      </c>
      <c r="AE15" s="202">
        <f>('Expenditure DATA'!DS17/'Expenditure DATA'!AD17)*100</f>
        <v>13.395665712223034</v>
      </c>
      <c r="AF15" s="202">
        <f>('Expenditure DATA'!DT17/'Expenditure DATA'!AE17)*100</f>
        <v>13.801420128333291</v>
      </c>
      <c r="AG15" s="464">
        <f>('Expenditure DATA'!DU17/'Expenditure DATA'!AF17)*100</f>
        <v>13.58397683489725</v>
      </c>
      <c r="AH15" s="203">
        <f>('Expenditure DATA'!BL17/'Expenditure DATA'!B17)*100</f>
        <v>27.281184320841611</v>
      </c>
      <c r="AI15" s="202">
        <f>('Expenditure DATA'!BM17/'Expenditure DATA'!C17)*100</f>
        <v>26.361399732003598</v>
      </c>
      <c r="AJ15" s="202">
        <f>('Expenditure DATA'!BN17/'Expenditure DATA'!D17)*100</f>
        <v>26.263577191330839</v>
      </c>
      <c r="AK15" s="202">
        <f>('Expenditure DATA'!BO17/'Expenditure DATA'!E17)*100</f>
        <v>26.557115163457816</v>
      </c>
      <c r="AL15" s="202">
        <f>('Expenditure DATA'!BP17/'Expenditure DATA'!F17)*100</f>
        <v>27.7391413373565</v>
      </c>
      <c r="AM15" s="202">
        <f>('Expenditure DATA'!BQ17/'Expenditure DATA'!G17)*100</f>
        <v>27.534898758347246</v>
      </c>
      <c r="AN15" s="202">
        <f>('Expenditure DATA'!BR17/'Expenditure DATA'!H17)*100</f>
        <v>26.816630930080127</v>
      </c>
      <c r="AO15" s="202">
        <f>('Expenditure DATA'!BS17/'Expenditure DATA'!I17)*100</f>
        <v>26.676600968654927</v>
      </c>
      <c r="AP15" s="202">
        <f>('Expenditure DATA'!BT17/'Expenditure DATA'!J17)*100</f>
        <v>26.309405965194216</v>
      </c>
      <c r="AQ15" s="202">
        <f>('Expenditure DATA'!BU17/'Expenditure DATA'!K17)*100</f>
        <v>25.815199387180911</v>
      </c>
      <c r="AR15" s="202">
        <f>('Expenditure DATA'!BV17/'Expenditure DATA'!L17)*100</f>
        <v>25.380284979035455</v>
      </c>
      <c r="AS15" s="202">
        <f>('Expenditure DATA'!BW17/'Expenditure DATA'!M17)*100</f>
        <v>23.29021366219207</v>
      </c>
      <c r="AT15" s="202">
        <f>('Expenditure DATA'!BX17/'Expenditure DATA'!N17)*100</f>
        <v>22.84068228966207</v>
      </c>
      <c r="AU15" s="202">
        <f>('Expenditure DATA'!BY17/'Expenditure DATA'!O17)*100</f>
        <v>22.239195608487091</v>
      </c>
      <c r="AV15" s="202">
        <f>('Expenditure DATA'!BZ17/'Expenditure DATA'!P17)*100</f>
        <v>22.013328994158151</v>
      </c>
      <c r="AW15" s="202">
        <f>('Expenditure DATA'!CA17/'Expenditure DATA'!Q17)*100</f>
        <v>22.235138613519219</v>
      </c>
      <c r="AX15" s="202">
        <f>('Expenditure DATA'!CB17/'Expenditure DATA'!R17)*100</f>
        <v>22.183750724561762</v>
      </c>
      <c r="AY15" s="202">
        <f>('Expenditure DATA'!CC17/'Expenditure DATA'!S17)*100</f>
        <v>22.60924088468877</v>
      </c>
      <c r="AZ15" s="202">
        <f>('Expenditure DATA'!CD17/'Expenditure DATA'!T17)*100</f>
        <v>22.503631928443578</v>
      </c>
      <c r="BA15" s="202">
        <f>('Expenditure DATA'!CE17/'Expenditure DATA'!U17)*100</f>
        <v>22.006123420484634</v>
      </c>
      <c r="BB15" s="202">
        <f>('Expenditure DATA'!CF17/'Expenditure DATA'!V17)*100</f>
        <v>21.55447329646292</v>
      </c>
      <c r="BC15" s="202">
        <f>('Expenditure DATA'!CG17/'Expenditure DATA'!W17)*100</f>
        <v>21.114734656045179</v>
      </c>
      <c r="BD15" s="202">
        <f>('Expenditure DATA'!CH17/'Expenditure DATA'!X17)*100</f>
        <v>20.710819003386625</v>
      </c>
      <c r="BE15" s="202">
        <f>('Expenditure DATA'!CI17/'Expenditure DATA'!Y17)*100</f>
        <v>20.408582515103653</v>
      </c>
      <c r="BF15" s="202">
        <f>('Expenditure DATA'!CJ17/'Expenditure DATA'!Z17)*100</f>
        <v>21.226617820628199</v>
      </c>
      <c r="BG15" s="202">
        <f>('Expenditure DATA'!CK17/'Expenditure DATA'!AA17)*100</f>
        <v>21.256935992327836</v>
      </c>
      <c r="BH15" s="202">
        <f>('Expenditure DATA'!CL17/'Expenditure DATA'!AB17)*100</f>
        <v>21.255186843299629</v>
      </c>
      <c r="BI15" s="202">
        <f>('Expenditure DATA'!CM17/'Expenditure DATA'!AC17)*100</f>
        <v>22.16936712705964</v>
      </c>
      <c r="BJ15" s="202">
        <f>('Expenditure DATA'!CN17/'Expenditure DATA'!AD17)*100</f>
        <v>21.050507896491354</v>
      </c>
      <c r="BK15" s="202">
        <f>('Expenditure DATA'!CO17/'Expenditure DATA'!AE17)*100</f>
        <v>19.51266919865078</v>
      </c>
      <c r="BL15" s="464">
        <f>('Expenditure DATA'!CP17/'Expenditure DATA'!AF17)*100</f>
        <v>18.269486851524487</v>
      </c>
      <c r="BM15" s="203">
        <f>('Expenditure DATA'!AG17/'Expenditure DATA'!B17)*100</f>
        <v>43.720641775103076</v>
      </c>
      <c r="BN15" s="202">
        <f>('Expenditure DATA'!AH17/'Expenditure DATA'!C17)*100</f>
        <v>41.975484919710908</v>
      </c>
      <c r="BO15" s="202">
        <f>('Expenditure DATA'!AI17/'Expenditure DATA'!D17)*100</f>
        <v>42.957069250002533</v>
      </c>
      <c r="BP15" s="202">
        <f>('Expenditure DATA'!AJ17/'Expenditure DATA'!E17)*100</f>
        <v>43.2834866199725</v>
      </c>
      <c r="BQ15" s="202">
        <f>('Expenditure DATA'!AK17/'Expenditure DATA'!F17)*100</f>
        <v>44.427124739973699</v>
      </c>
      <c r="BR15" s="202">
        <f>('Expenditure DATA'!AL17/'Expenditure DATA'!G17)*100</f>
        <v>43.710238447550189</v>
      </c>
      <c r="BS15" s="202">
        <f>('Expenditure DATA'!AM17/'Expenditure DATA'!H17)*100</f>
        <v>42.423750901445615</v>
      </c>
      <c r="BT15" s="202">
        <f>('Expenditure DATA'!AN17/'Expenditure DATA'!I17)*100</f>
        <v>41.932783051393677</v>
      </c>
      <c r="BU15" s="202">
        <f>('Expenditure DATA'!AO17/'Expenditure DATA'!J17)*100</f>
        <v>40.764741279879644</v>
      </c>
      <c r="BV15" s="202">
        <f>('Expenditure DATA'!AP17/'Expenditure DATA'!K17)*100</f>
        <v>39.835959791988273</v>
      </c>
      <c r="BW15" s="202">
        <f>('Expenditure DATA'!AQ17/'Expenditure DATA'!L17)*100</f>
        <v>39.018608366342427</v>
      </c>
      <c r="BX15" s="202">
        <f>('Expenditure DATA'!AR17/'Expenditure DATA'!M17)*100</f>
        <v>37.576123925897647</v>
      </c>
      <c r="BY15" s="202">
        <f>('Expenditure DATA'!AS17/'Expenditure DATA'!N17)*100</f>
        <v>36.676087393630539</v>
      </c>
      <c r="BZ15" s="202">
        <f>('Expenditure DATA'!AT17/'Expenditure DATA'!O17)*100</f>
        <v>35.982503340211771</v>
      </c>
      <c r="CA15" s="202">
        <f>('Expenditure DATA'!AU17/'Expenditure DATA'!P17)*100</f>
        <v>35.717092676745068</v>
      </c>
      <c r="CB15" s="202">
        <f>('Expenditure DATA'!AV17/'Expenditure DATA'!Q17)*100</f>
        <v>35.720181021364596</v>
      </c>
      <c r="CC15" s="202">
        <f>('Expenditure DATA'!AW17/'Expenditure DATA'!R17)*100</f>
        <v>35.729013562176057</v>
      </c>
      <c r="CD15" s="202">
        <f>('Expenditure DATA'!AX17/'Expenditure DATA'!S17)*100</f>
        <v>35.657536725935742</v>
      </c>
      <c r="CE15" s="202">
        <f>('Expenditure DATA'!AY17/'Expenditure DATA'!T17)*100</f>
        <v>35.433675577865024</v>
      </c>
      <c r="CF15" s="202">
        <f>('Expenditure DATA'!AZ17/'Expenditure DATA'!U17)*100</f>
        <v>35.015850596796774</v>
      </c>
      <c r="CG15" s="202">
        <f>('Expenditure DATA'!BA17/'Expenditure DATA'!V17)*100</f>
        <v>34.636539084531307</v>
      </c>
      <c r="CH15" s="202">
        <f>('Expenditure DATA'!BB17/'Expenditure DATA'!W17)*100</f>
        <v>35.322924756674823</v>
      </c>
      <c r="CI15" s="202">
        <f>('Expenditure DATA'!BC17/'Expenditure DATA'!X17)*100</f>
        <v>35.953394520432575</v>
      </c>
      <c r="CJ15" s="202">
        <f>('Expenditure DATA'!BD17/'Expenditure DATA'!Y17)*100</f>
        <v>35.820598441599884</v>
      </c>
      <c r="CK15" s="202">
        <f>('Expenditure DATA'!BE17/'Expenditure DATA'!Z17)*100</f>
        <v>36.744675185897222</v>
      </c>
      <c r="CL15" s="202">
        <f>('Expenditure DATA'!BF17/'Expenditure DATA'!AA17)*100</f>
        <v>36.797157940368393</v>
      </c>
      <c r="CM15" s="202">
        <f>('Expenditure DATA'!BG17/'Expenditure DATA'!AB17)*100</f>
        <v>36.305902793498987</v>
      </c>
      <c r="CN15" s="202">
        <f>('Expenditure DATA'!BH17/'Expenditure DATA'!AC17)*100</f>
        <v>36.03961090342527</v>
      </c>
      <c r="CO15" s="202">
        <f>('Expenditure DATA'!BI17/'Expenditure DATA'!AD17)*100</f>
        <v>36.249346673960098</v>
      </c>
      <c r="CP15" s="202">
        <f>('Expenditure DATA'!BJ17/'Expenditure DATA'!AE17)*100</f>
        <v>35.603744262918674</v>
      </c>
      <c r="CQ15" s="464">
        <f>('Expenditure DATA'!BK17/'Expenditure DATA'!AF17)*100</f>
        <v>34.045024522718521</v>
      </c>
      <c r="CR15" s="203">
        <f>('Expenditure DATA'!FA17/'Expenditure DATA'!B17)*100</f>
        <v>20.51658990938429</v>
      </c>
      <c r="CS15" s="202">
        <f>('Expenditure DATA'!FB17/'Expenditure DATA'!C17)*100</f>
        <v>21.668167739384486</v>
      </c>
      <c r="CT15" s="202">
        <f>('Expenditure DATA'!FC17/'Expenditure DATA'!D17)*100</f>
        <v>20.704141233158207</v>
      </c>
      <c r="CU15" s="202">
        <f>('Expenditure DATA'!FD17/'Expenditure DATA'!E17)*100</f>
        <v>19.344011482813627</v>
      </c>
      <c r="CV15" s="202">
        <f>('Expenditure DATA'!FE17/'Expenditure DATA'!F17)*100</f>
        <v>19.59229397309273</v>
      </c>
      <c r="CW15" s="202">
        <f>('Expenditure DATA'!FF17/'Expenditure DATA'!G17)*100</f>
        <v>19.582794648905836</v>
      </c>
      <c r="CX15" s="202">
        <f>('Expenditure DATA'!FG17/'Expenditure DATA'!H17)*100</f>
        <v>19.44899192149995</v>
      </c>
      <c r="CY15" s="202">
        <f>('Expenditure DATA'!FH17/'Expenditure DATA'!I17)*100</f>
        <v>21.599183093589058</v>
      </c>
      <c r="CZ15" s="202">
        <f>('Expenditure DATA'!FI17/'Expenditure DATA'!J17)*100</f>
        <v>22.63190184901379</v>
      </c>
      <c r="DA15" s="202">
        <f>('Expenditure DATA'!FJ17/'Expenditure DATA'!K17)*100</f>
        <v>24.697545379604509</v>
      </c>
      <c r="DB15" s="202">
        <f>('Expenditure DATA'!FK17/'Expenditure DATA'!L17)*100</f>
        <v>26.515364432434179</v>
      </c>
      <c r="DC15" s="202">
        <f>('Expenditure DATA'!FL17/'Expenditure DATA'!M17)*100</f>
        <v>27.428302549240293</v>
      </c>
      <c r="DD15" s="202">
        <f>('Expenditure DATA'!FM17/'Expenditure DATA'!N17)*100</f>
        <v>28.259845107837357</v>
      </c>
      <c r="DE15" s="202">
        <f>('Expenditure DATA'!FN17/'Expenditure DATA'!O17)*100</f>
        <v>29.150234088164094</v>
      </c>
      <c r="DF15" s="202">
        <f>('Expenditure DATA'!FO17/'Expenditure DATA'!P17)*100</f>
        <v>30.44582265570283</v>
      </c>
      <c r="DG15" s="202">
        <f>('Expenditure DATA'!FP17/'Expenditure DATA'!Q17)*100</f>
        <v>30.417458798749138</v>
      </c>
      <c r="DH15" s="202">
        <f>('Expenditure DATA'!FQ17/'Expenditure DATA'!R17)*100</f>
        <v>30.221927350390843</v>
      </c>
      <c r="DI15" s="202">
        <f>('Expenditure DATA'!FR17/'Expenditure DATA'!S17)*100</f>
        <v>30.169338210407233</v>
      </c>
      <c r="DJ15" s="202">
        <f>('Expenditure DATA'!FS17/'Expenditure DATA'!T17)*100</f>
        <v>29.550641505081238</v>
      </c>
      <c r="DK15" s="202">
        <f>('Expenditure DATA'!FT17/'Expenditure DATA'!U17)*100</f>
        <v>30.38149147102569</v>
      </c>
      <c r="DL15" s="202">
        <f>('Expenditure DATA'!FU17/'Expenditure DATA'!V17)*100</f>
        <v>31.135756944196689</v>
      </c>
      <c r="DM15" s="202">
        <f>('Expenditure DATA'!FV17/'Expenditure DATA'!W17)*100</f>
        <v>30.675361024667502</v>
      </c>
      <c r="DN15" s="202">
        <f>('Expenditure DATA'!FW17/'Expenditure DATA'!X17)*100</f>
        <v>30.252470923080548</v>
      </c>
      <c r="DO15" s="202">
        <f>('Expenditure DATA'!FX17/'Expenditure DATA'!Y17)*100</f>
        <v>31.982777064663598</v>
      </c>
      <c r="DP15" s="202">
        <f>('Expenditure DATA'!FY17/'Expenditure DATA'!Z17)*100</f>
        <v>29.764216214184213</v>
      </c>
      <c r="DQ15" s="202">
        <f>('Expenditure DATA'!FZ17/'Expenditure DATA'!AA17)*100</f>
        <v>29.794945435394478</v>
      </c>
      <c r="DR15" s="202">
        <f>('Expenditure DATA'!GA17/'Expenditure DATA'!AB17)*100</f>
        <v>30.180784390893891</v>
      </c>
      <c r="DS15" s="202">
        <f>('Expenditure DATA'!GB17/'Expenditure DATA'!AC17)*100</f>
        <v>31.342703796159743</v>
      </c>
      <c r="DT15" s="202">
        <f>('Expenditure DATA'!GC17/'Expenditure DATA'!AD17)*100</f>
        <v>31.934675123338991</v>
      </c>
      <c r="DU15" s="202">
        <f>('Expenditure DATA'!GD17/'Expenditure DATA'!AE17)*100</f>
        <v>32.297230861324607</v>
      </c>
      <c r="DV15" s="464">
        <f>('Expenditure DATA'!GE17/'Expenditure DATA'!AF17)*100</f>
        <v>33.852489611943</v>
      </c>
      <c r="DW15" s="203">
        <f>('Expenditure DATA'!GF17/'Expenditure DATA'!B17)*100</f>
        <v>24.049339045147068</v>
      </c>
      <c r="DX15" s="202">
        <f>('Expenditure DATA'!GG17/'Expenditure DATA'!C17)*100</f>
        <v>24.303099532104646</v>
      </c>
      <c r="DY15" s="202">
        <f>('Expenditure DATA'!GH17/'Expenditure DATA'!D17)*100</f>
        <v>23.775395547997203</v>
      </c>
      <c r="DZ15" s="202">
        <f>('Expenditure DATA'!GI17/'Expenditure DATA'!E17)*100</f>
        <v>24.941202271442727</v>
      </c>
      <c r="EA15" s="202">
        <f>('Expenditure DATA'!GJ17/'Expenditure DATA'!F17)*100</f>
        <v>23.528105899395314</v>
      </c>
      <c r="EB15" s="202">
        <f>('Expenditure DATA'!GK17/'Expenditure DATA'!G17)*100</f>
        <v>24.003502915331225</v>
      </c>
      <c r="EC15" s="202">
        <f>('Expenditure DATA'!GL17/'Expenditure DATA'!H17)*100</f>
        <v>25.013909375346543</v>
      </c>
      <c r="ED15" s="202">
        <f>('Expenditure DATA'!GM17/'Expenditure DATA'!I17)*100</f>
        <v>24.12225022343711</v>
      </c>
      <c r="EE15" s="202">
        <f>('Expenditure DATA'!GN17/'Expenditure DATA'!J17)*100</f>
        <v>25.214310148250885</v>
      </c>
      <c r="EF15" s="202">
        <f>('Expenditure DATA'!GO17/'Expenditure DATA'!K17)*100</f>
        <v>24.169857557378073</v>
      </c>
      <c r="EG15" s="202">
        <f>('Expenditure DATA'!GP17/'Expenditure DATA'!L17)*100</f>
        <v>23.250712607463615</v>
      </c>
      <c r="EH15" s="202">
        <f>('Expenditure DATA'!GQ17/'Expenditure DATA'!M17)*100</f>
        <v>23.684487378173479</v>
      </c>
      <c r="EI15" s="202">
        <f>('Expenditure DATA'!GR17/'Expenditure DATA'!N17)*100</f>
        <v>24.094255697686972</v>
      </c>
      <c r="EJ15" s="202">
        <f>('Expenditure DATA'!GS17/'Expenditure DATA'!O17)*100</f>
        <v>23.665238253861926</v>
      </c>
      <c r="EK15" s="202">
        <f>('Expenditure DATA'!GT17/'Expenditure DATA'!P17)*100</f>
        <v>22.777613650258687</v>
      </c>
      <c r="EL15" s="202">
        <f>('Expenditure DATA'!GU17/'Expenditure DATA'!Q17)*100</f>
        <v>23.341496656334375</v>
      </c>
      <c r="EM15" s="202">
        <f>('Expenditure DATA'!GV17/'Expenditure DATA'!R17)*100</f>
        <v>23.29918929199788</v>
      </c>
      <c r="EN15" s="202">
        <f>('Expenditure DATA'!GW17/'Expenditure DATA'!S17)*100</f>
        <v>23.077734790544778</v>
      </c>
      <c r="EO15" s="202">
        <f>('Expenditure DATA'!GX17/'Expenditure DATA'!T17)*100</f>
        <v>22.806670610169419</v>
      </c>
      <c r="EP15" s="202">
        <f>('Expenditure DATA'!GY17/'Expenditure DATA'!U17)*100</f>
        <v>22.818191497032345</v>
      </c>
      <c r="EQ15" s="202">
        <f>('Expenditure DATA'!GZ17/'Expenditure DATA'!V17)*100</f>
        <v>22.82865043370828</v>
      </c>
      <c r="ER15" s="202">
        <f>('Expenditure DATA'!HA17/'Expenditure DATA'!W17)*100</f>
        <v>22.938444711987373</v>
      </c>
      <c r="ES15" s="202">
        <f>('Expenditure DATA'!HB17/'Expenditure DATA'!X17)*100</f>
        <v>23.03929467942972</v>
      </c>
      <c r="ET15" s="202">
        <f>('Expenditure DATA'!HC17/'Expenditure DATA'!Y17)*100</f>
        <v>22.114736153784886</v>
      </c>
      <c r="EU15" s="202">
        <f>('Expenditure DATA'!HD17/'Expenditure DATA'!Z17)*100</f>
        <v>22.65303980869534</v>
      </c>
      <c r="EV15" s="202">
        <f>('Expenditure DATA'!HE17/'Expenditure DATA'!AA17)*100</f>
        <v>22.68938951247894</v>
      </c>
      <c r="EW15" s="202">
        <f>('Expenditure DATA'!HF17/'Expenditure DATA'!AB17)*100</f>
        <v>21.955403685713449</v>
      </c>
      <c r="EX15" s="202">
        <f>('Expenditure DATA'!HG17/'Expenditure DATA'!AC17)*100</f>
        <v>21.190784525798499</v>
      </c>
      <c r="EY15" s="202">
        <f>('Expenditure DATA'!HH17/'Expenditure DATA'!AD17)*100</f>
        <v>21.0231386334153</v>
      </c>
      <c r="EZ15" s="202">
        <f>('Expenditure DATA'!HI17/'Expenditure DATA'!AE17)*100</f>
        <v>21.485771892724014</v>
      </c>
      <c r="FA15" s="464">
        <f>('Expenditure DATA'!HJ17/'Expenditure DATA'!AF17)*100</f>
        <v>22.213237487433222</v>
      </c>
      <c r="FB15" s="203">
        <f>('Expenditure DATA'!HK17/'Expenditure DATA'!B17)*100</f>
        <v>4.3722938751134137</v>
      </c>
      <c r="FC15" s="202">
        <f>('Expenditure DATA'!HL17/'Expenditure DATA'!C17)*100</f>
        <v>4.6229378555894822</v>
      </c>
      <c r="FD15" s="202">
        <f>('Expenditure DATA'!HM17/'Expenditure DATA'!D17)*100</f>
        <v>4.4914816726897264</v>
      </c>
      <c r="FE15" s="202">
        <f>('Expenditure DATA'!HN17/'Expenditure DATA'!E17)*100</f>
        <v>4.7811670962777688</v>
      </c>
      <c r="FF15" s="202">
        <f>('Expenditure DATA'!HO17/'Expenditure DATA'!F17)*100</f>
        <v>4.8621332698363213</v>
      </c>
      <c r="FG15" s="202">
        <f>('Expenditure DATA'!HP17/'Expenditure DATA'!G17)*100</f>
        <v>5.1668601515313313</v>
      </c>
      <c r="FH15" s="202">
        <f>('Expenditure DATA'!HQ17/'Expenditure DATA'!H17)*100</f>
        <v>4.9324362018114289</v>
      </c>
      <c r="FI15" s="202">
        <f>('Expenditure DATA'!HR17/'Expenditure DATA'!I17)*100</f>
        <v>4.937948114200438</v>
      </c>
      <c r="FJ15" s="202">
        <f>('Expenditure DATA'!HS17/'Expenditure DATA'!J17)*100</f>
        <v>4.7868771241462671</v>
      </c>
      <c r="FK15" s="202">
        <f>('Expenditure DATA'!HT17/'Expenditure DATA'!K17)*100</f>
        <v>4.5844003505296405</v>
      </c>
      <c r="FL15" s="202">
        <f>('Expenditure DATA'!HU17/'Expenditure DATA'!L17)*100</f>
        <v>4.4062156195317757</v>
      </c>
      <c r="FM15" s="202">
        <f>('Expenditure DATA'!HV17/'Expenditure DATA'!M17)*100</f>
        <v>4.3859386050906046</v>
      </c>
      <c r="FN15" s="202">
        <f>('Expenditure DATA'!HW17/'Expenditure DATA'!N17)*100</f>
        <v>4.4355008630761157</v>
      </c>
      <c r="FO15" s="202">
        <f>('Expenditure DATA'!HX17/'Expenditure DATA'!O17)*100</f>
        <v>4.3802148669126959</v>
      </c>
      <c r="FP15" s="202">
        <f>('Expenditure DATA'!HY17/'Expenditure DATA'!P17)*100</f>
        <v>4.2432511252795413</v>
      </c>
      <c r="FQ15" s="202">
        <f>('Expenditure DATA'!HZ17/'Expenditure DATA'!Q17)*100</f>
        <v>4.0341717428938564</v>
      </c>
      <c r="FR15" s="202">
        <f>('Expenditure DATA'!IA17/'Expenditure DATA'!R17)*100</f>
        <v>4.0392963688262435</v>
      </c>
      <c r="FS15" s="202">
        <f>('Expenditure DATA'!IB17/'Expenditure DATA'!S17)*100</f>
        <v>4.0219759329212419</v>
      </c>
      <c r="FT15" s="202">
        <f>('Expenditure DATA'!IC17/'Expenditure DATA'!T17)*100</f>
        <v>3.8916154698017102</v>
      </c>
      <c r="FU15" s="202">
        <f>('Expenditure DATA'!ID17/'Expenditure DATA'!U17)*100</f>
        <v>3.903810892322479</v>
      </c>
      <c r="FV15" s="202">
        <f>('Expenditure DATA'!IE17/'Expenditure DATA'!V17)*100</f>
        <v>3.9148821886036225</v>
      </c>
      <c r="FW15" s="202">
        <f>('Expenditure DATA'!IF17/'Expenditure DATA'!W17)*100</f>
        <v>3.8225214303936488</v>
      </c>
      <c r="FX15" s="202">
        <f>('Expenditure DATA'!IG17/'Expenditure DATA'!X17)*100</f>
        <v>3.7376847740175343</v>
      </c>
      <c r="FY15" s="202">
        <f>('Expenditure DATA'!IH17/'Expenditure DATA'!Y17)*100</f>
        <v>3.7438053955693564</v>
      </c>
      <c r="FZ15" s="202">
        <f>('Expenditure DATA'!II17/'Expenditure DATA'!Z17)*100</f>
        <v>3.9099352279210673</v>
      </c>
      <c r="GA15" s="202">
        <f>('Expenditure DATA'!IJ17/'Expenditure DATA'!AA17)*100</f>
        <v>3.9154961899574148</v>
      </c>
      <c r="GB15" s="202">
        <f>('Expenditure DATA'!IK17/'Expenditure DATA'!AB17)*100</f>
        <v>4.1991358339873042</v>
      </c>
      <c r="GC15" s="202">
        <f>('Expenditure DATA'!IL17/'Expenditure DATA'!AC17)*100</f>
        <v>4.2561985242600482</v>
      </c>
      <c r="GD15" s="202">
        <f>('Expenditure DATA'!IM17/'Expenditure DATA'!AD17)*100</f>
        <v>3.7347649690429732</v>
      </c>
      <c r="GE15" s="202">
        <f>('Expenditure DATA'!IN17/'Expenditure DATA'!AE17)*100</f>
        <v>3.8172588087385115</v>
      </c>
      <c r="GF15" s="464">
        <f>('Expenditure DATA'!IO17/'Expenditure DATA'!AF17)*100</f>
        <v>3.7296441070123616</v>
      </c>
      <c r="GG15" s="203">
        <f>('Expenditure DATA'!IP17/'Expenditure DATA'!B17)*100</f>
        <v>7.3411353952521505</v>
      </c>
      <c r="GH15" s="202">
        <f>('Expenditure DATA'!IQ17/'Expenditure DATA'!C17)*100</f>
        <v>7.4314082991015535</v>
      </c>
      <c r="GI15" s="202">
        <f>('Expenditure DATA'!IR17/'Expenditure DATA'!D17)*100</f>
        <v>8.0709000172087411</v>
      </c>
      <c r="GJ15" s="202">
        <f>('Expenditure DATA'!IS17/'Expenditure DATA'!E17)*100</f>
        <v>7.6501325294933782</v>
      </c>
      <c r="GK15" s="202">
        <f>('Expenditure DATA'!IT17/'Expenditure DATA'!F17)*100</f>
        <v>7.5903421177019386</v>
      </c>
      <c r="GL15" s="202">
        <f>('Expenditure DATA'!IU17/'Expenditure DATA'!G17)*100</f>
        <v>7.5366038366814134</v>
      </c>
      <c r="GM15" s="202">
        <f>('Expenditure DATA'!IV17/'Expenditure DATA'!H17)*100</f>
        <v>8.1809115998964614</v>
      </c>
      <c r="GN15" s="202">
        <f>('Expenditure DATA'!IW17/'Expenditure DATA'!I17)*100</f>
        <v>7.4066257874736818</v>
      </c>
      <c r="GO15" s="202">
        <f>('Expenditure DATA'!IX17/'Expenditure DATA'!J17)*100</f>
        <v>6.6021695987094091</v>
      </c>
      <c r="GP15" s="202">
        <f>('Expenditure DATA'!IY17/'Expenditure DATA'!K17)*100</f>
        <v>6.7122369204995191</v>
      </c>
      <c r="GQ15" s="202">
        <f>('Expenditure DATA'!IZ17/'Expenditure DATA'!L17)*100</f>
        <v>6.8090989742280135</v>
      </c>
      <c r="GR15" s="202">
        <f>('Expenditure DATA'!JA17/'Expenditure DATA'!M17)*100</f>
        <v>6.9251475415979824</v>
      </c>
      <c r="GS15" s="202">
        <f>('Expenditure DATA'!JB17/'Expenditure DATA'!N17)*100</f>
        <v>6.5343109377690221</v>
      </c>
      <c r="GT15" s="202">
        <f>('Expenditure DATA'!JC17/'Expenditure DATA'!O17)*100</f>
        <v>6.8218094508495035</v>
      </c>
      <c r="GU15" s="202">
        <f>('Expenditure DATA'!JD17/'Expenditure DATA'!P17)*100</f>
        <v>6.8162198920138657</v>
      </c>
      <c r="GV15" s="202">
        <f>('Expenditure DATA'!JE17/'Expenditure DATA'!Q17)*100</f>
        <v>6.4866917806580462</v>
      </c>
      <c r="GW15" s="202">
        <f>('Expenditure DATA'!JF17/'Expenditure DATA'!R17)*100</f>
        <v>6.7105734266089856</v>
      </c>
      <c r="GX15" s="202">
        <f>('Expenditure DATA'!JG17/'Expenditure DATA'!S17)*100</f>
        <v>7.0734143401909995</v>
      </c>
      <c r="GY15" s="202">
        <f>('Expenditure DATA'!JH17/'Expenditure DATA'!T17)*100</f>
        <v>8.3173968370826028</v>
      </c>
      <c r="GZ15" s="202">
        <f>('Expenditure DATA'!JI17/'Expenditure DATA'!U17)*100</f>
        <v>7.8806555428227014</v>
      </c>
      <c r="HA15" s="202">
        <f>('Expenditure DATA'!JJ17/'Expenditure DATA'!V17)*100</f>
        <v>7.4841713489600945</v>
      </c>
      <c r="HB15" s="202">
        <f>('Expenditure DATA'!JK17/'Expenditure DATA'!W17)*100</f>
        <v>7.240748076276657</v>
      </c>
      <c r="HC15" s="202">
        <f>('Expenditure DATA'!JL17/'Expenditure DATA'!X17)*100</f>
        <v>7.0171551030396291</v>
      </c>
      <c r="HD15" s="202">
        <f>('Expenditure DATA'!JM17/'Expenditure DATA'!Y17)*100</f>
        <v>6.338082944382271</v>
      </c>
      <c r="HE15" s="202">
        <f>('Expenditure DATA'!JN17/'Expenditure DATA'!Z17)*100</f>
        <v>6.928133563302155</v>
      </c>
      <c r="HF15" s="202">
        <f>('Expenditure DATA'!JO17/'Expenditure DATA'!AA17)*100</f>
        <v>6.8030109218007686</v>
      </c>
      <c r="HG15" s="202">
        <f>('Expenditure DATA'!JP17/'Expenditure DATA'!AB17)*100</f>
        <v>7.3587732959063707</v>
      </c>
      <c r="HH15" s="202">
        <f>('Expenditure DATA'!JQ17/'Expenditure DATA'!AC17)*100</f>
        <v>7.170705312565838</v>
      </c>
      <c r="HI15" s="202">
        <f>('Expenditure DATA'!JR17/'Expenditure DATA'!AD17)*100</f>
        <v>7.0580761124401743</v>
      </c>
      <c r="HJ15" s="202">
        <f>('Expenditure DATA'!JS17/'Expenditure DATA'!AE17)*100</f>
        <v>6.7959941742941812</v>
      </c>
      <c r="HK15" s="464">
        <f>('Expenditure DATA'!JT17/'Expenditure DATA'!AF17)*100</f>
        <v>6.1596042708929</v>
      </c>
      <c r="HL15" s="203">
        <f t="shared" si="1"/>
        <v>100</v>
      </c>
      <c r="HM15" s="204">
        <f t="shared" si="2"/>
        <v>100.00109834589107</v>
      </c>
      <c r="HN15" s="204">
        <f t="shared" si="3"/>
        <v>99.998987721056423</v>
      </c>
      <c r="HO15" s="204">
        <f t="shared" si="4"/>
        <v>100</v>
      </c>
      <c r="HP15" s="204">
        <f t="shared" si="5"/>
        <v>100</v>
      </c>
      <c r="HQ15" s="204">
        <f t="shared" si="6"/>
        <v>99.999999999999986</v>
      </c>
      <c r="HR15" s="204">
        <f t="shared" si="7"/>
        <v>100</v>
      </c>
      <c r="HS15" s="204">
        <f t="shared" si="8"/>
        <v>99.998790270093963</v>
      </c>
      <c r="HT15" s="204">
        <f t="shared" si="9"/>
        <v>100</v>
      </c>
      <c r="HU15" s="204">
        <f t="shared" si="10"/>
        <v>100.00000000000001</v>
      </c>
      <c r="HV15" s="204">
        <f t="shared" si="11"/>
        <v>100</v>
      </c>
      <c r="HW15" s="204">
        <f t="shared" si="12"/>
        <v>100</v>
      </c>
      <c r="HX15" s="204">
        <f t="shared" si="13"/>
        <v>100.00000000000001</v>
      </c>
      <c r="HY15" s="204">
        <f t="shared" si="14"/>
        <v>99.999999999999986</v>
      </c>
      <c r="HZ15" s="204">
        <f t="shared" si="15"/>
        <v>99.999999999999986</v>
      </c>
      <c r="IA15" s="204">
        <f t="shared" si="16"/>
        <v>100.00000000000001</v>
      </c>
      <c r="IB15" s="204">
        <f t="shared" si="17"/>
        <v>100</v>
      </c>
      <c r="IC15" s="204">
        <f t="shared" si="18"/>
        <v>99.999999999999986</v>
      </c>
      <c r="ID15" s="204">
        <f t="shared" si="19"/>
        <v>99.999999999999986</v>
      </c>
      <c r="IE15" s="204">
        <f t="shared" si="20"/>
        <v>100</v>
      </c>
      <c r="IF15" s="204">
        <f t="shared" si="21"/>
        <v>99.999999999999986</v>
      </c>
      <c r="IG15" s="204">
        <f t="shared" si="22"/>
        <v>100.00000000000001</v>
      </c>
      <c r="IH15" s="204">
        <f t="shared" si="23"/>
        <v>100</v>
      </c>
      <c r="II15" s="204">
        <f t="shared" si="24"/>
        <v>99.999999999999986</v>
      </c>
      <c r="IJ15" s="204">
        <f t="shared" si="25"/>
        <v>100</v>
      </c>
      <c r="IK15" s="204">
        <f t="shared" si="26"/>
        <v>99.999999999999986</v>
      </c>
      <c r="IL15" s="204">
        <f t="shared" si="27"/>
        <v>100</v>
      </c>
      <c r="IM15" s="204">
        <f t="shared" si="28"/>
        <v>100.0000030622094</v>
      </c>
      <c r="IN15" s="204">
        <f t="shared" si="29"/>
        <v>100.00000151219754</v>
      </c>
      <c r="IO15" s="204">
        <f t="shared" si="30"/>
        <v>99.999999999999986</v>
      </c>
      <c r="IP15" s="204">
        <f t="shared" si="31"/>
        <v>100</v>
      </c>
    </row>
    <row r="16" spans="1:250" s="164" customFormat="1">
      <c r="A16" s="468" t="s">
        <v>34</v>
      </c>
      <c r="B16" s="62"/>
      <c r="C16" s="202">
        <f>('Expenditure DATA'!CQ18/'Expenditure DATA'!B18)*100</f>
        <v>13.630017785767562</v>
      </c>
      <c r="D16" s="202">
        <f>('Expenditure DATA'!CR18/'Expenditure DATA'!C18)*100</f>
        <v>13.234200743494423</v>
      </c>
      <c r="E16" s="202">
        <f>('Expenditure DATA'!CS18/'Expenditure DATA'!D18)*100</f>
        <v>11.389621811785402</v>
      </c>
      <c r="F16" s="202">
        <f>('Expenditure DATA'!CT18/'Expenditure DATA'!E18)*100</f>
        <v>11.700084342378219</v>
      </c>
      <c r="G16" s="202">
        <f>('Expenditure DATA'!CU18/'Expenditure DATA'!F18)*100</f>
        <v>11.387547113395188</v>
      </c>
      <c r="H16" s="202">
        <f>('Expenditure DATA'!CV18/'Expenditure DATA'!G18)*100</f>
        <v>10.568536574297514</v>
      </c>
      <c r="I16" s="202">
        <f>('Expenditure DATA'!CW18/'Expenditure DATA'!H18)*100</f>
        <v>11.186862907813858</v>
      </c>
      <c r="J16" s="202">
        <f>('Expenditure DATA'!CX18/'Expenditure DATA'!I18)*100</f>
        <v>11.390700346395596</v>
      </c>
      <c r="K16" s="202">
        <f>('Expenditure DATA'!CY18/'Expenditure DATA'!J18)*100</f>
        <v>11.41737842048788</v>
      </c>
      <c r="L16" s="202">
        <f>('Expenditure DATA'!CZ18/'Expenditure DATA'!K18)*100</f>
        <v>11.063868672601741</v>
      </c>
      <c r="M16" s="202">
        <f>('Expenditure DATA'!DA18/'Expenditure DATA'!L18)*100</f>
        <v>10.768177141704253</v>
      </c>
      <c r="N16" s="202">
        <f>('Expenditure DATA'!DB18/'Expenditure DATA'!M18)*100</f>
        <v>10.507449164514874</v>
      </c>
      <c r="O16" s="202">
        <f>('Expenditure DATA'!DC18/'Expenditure DATA'!N18)*100</f>
        <v>10.550235701677433</v>
      </c>
      <c r="P16" s="202">
        <f>('Expenditure DATA'!DD18/'Expenditure DATA'!O18)*100</f>
        <v>10.706968804041036</v>
      </c>
      <c r="Q16" s="202">
        <f>('Expenditure DATA'!DE18/'Expenditure DATA'!P18)*100</f>
        <v>10.862333010202359</v>
      </c>
      <c r="R16" s="202">
        <f>('Expenditure DATA'!DF18/'Expenditure DATA'!Q18)*100</f>
        <v>11.193371646107945</v>
      </c>
      <c r="S16" s="202">
        <f>('Expenditure DATA'!DG18/'Expenditure DATA'!R18)*100</f>
        <v>11.393364008304095</v>
      </c>
      <c r="T16" s="202">
        <f>('Expenditure DATA'!DH18/'Expenditure DATA'!S18)*100</f>
        <v>11.842730825864324</v>
      </c>
      <c r="U16" s="202">
        <f>('Expenditure DATA'!DI18/'Expenditure DATA'!T18)*100</f>
        <v>12.907778439292002</v>
      </c>
      <c r="V16" s="202">
        <f>('Expenditure DATA'!DJ18/'Expenditure DATA'!U18)*100</f>
        <v>12.530258038723227</v>
      </c>
      <c r="W16" s="202">
        <f>('Expenditure DATA'!DK18/'Expenditure DATA'!V18)*100</f>
        <v>12.243768080291414</v>
      </c>
      <c r="X16" s="202">
        <f>('Expenditure DATA'!DL18/'Expenditure DATA'!W18)*100</f>
        <v>12.398861931685229</v>
      </c>
      <c r="Y16" s="202">
        <f>('Expenditure DATA'!DM18/'Expenditure DATA'!X18)*100</f>
        <v>12.554012690137096</v>
      </c>
      <c r="Z16" s="202">
        <f>('Expenditure DATA'!DN18/'Expenditure DATA'!Y18)*100</f>
        <v>13.101307523309444</v>
      </c>
      <c r="AA16" s="202">
        <f>('Expenditure DATA'!DO18/'Expenditure DATA'!Z18)*100</f>
        <v>12.440420640930872</v>
      </c>
      <c r="AB16" s="202">
        <f>('Expenditure DATA'!DP18/'Expenditure DATA'!AA18)*100</f>
        <v>12.448133217947284</v>
      </c>
      <c r="AC16" s="202">
        <f>('Expenditure DATA'!DQ18/'Expenditure DATA'!AB18)*100</f>
        <v>12.963320960629055</v>
      </c>
      <c r="AD16" s="202">
        <f>('Expenditure DATA'!DR18/'Expenditure DATA'!AC18)*100</f>
        <v>12.928214979694284</v>
      </c>
      <c r="AE16" s="202">
        <f>('Expenditure DATA'!DS18/'Expenditure DATA'!AD18)*100</f>
        <v>13.928908205844055</v>
      </c>
      <c r="AF16" s="202">
        <f>('Expenditure DATA'!DT18/'Expenditure DATA'!AE18)*100</f>
        <v>13.009871438275001</v>
      </c>
      <c r="AG16" s="464">
        <f>('Expenditure DATA'!DU18/'Expenditure DATA'!AF18)*100</f>
        <v>12.840575016264259</v>
      </c>
      <c r="AH16" s="203">
        <f>('Expenditure DATA'!BL18/'Expenditure DATA'!B18)*100</f>
        <v>26.707338063455033</v>
      </c>
      <c r="AI16" s="202">
        <f>('Expenditure DATA'!BM18/'Expenditure DATA'!C18)*100</f>
        <v>27.498919339500304</v>
      </c>
      <c r="AJ16" s="202">
        <f>('Expenditure DATA'!BN18/'Expenditure DATA'!D18)*100</f>
        <v>26.796708129161956</v>
      </c>
      <c r="AK16" s="202">
        <f>('Expenditure DATA'!BO18/'Expenditure DATA'!E18)*100</f>
        <v>26.043830031785546</v>
      </c>
      <c r="AL16" s="202">
        <f>('Expenditure DATA'!BP18/'Expenditure DATA'!F18)*100</f>
        <v>26.292183776222224</v>
      </c>
      <c r="AM16" s="202">
        <f>('Expenditure DATA'!BQ18/'Expenditure DATA'!G18)*100</f>
        <v>26.312856567279447</v>
      </c>
      <c r="AN16" s="202">
        <f>('Expenditure DATA'!BR18/'Expenditure DATA'!H18)*100</f>
        <v>25.386853711015199</v>
      </c>
      <c r="AO16" s="202">
        <f>('Expenditure DATA'!BS18/'Expenditure DATA'!I18)*100</f>
        <v>25.501023779221782</v>
      </c>
      <c r="AP16" s="202">
        <f>('Expenditure DATA'!BT18/'Expenditure DATA'!J18)*100</f>
        <v>24.976638718553627</v>
      </c>
      <c r="AQ16" s="202">
        <f>('Expenditure DATA'!BU18/'Expenditure DATA'!K18)*100</f>
        <v>24.883087123552805</v>
      </c>
      <c r="AR16" s="202">
        <f>('Expenditure DATA'!BV18/'Expenditure DATA'!L18)*100</f>
        <v>24.804836341193599</v>
      </c>
      <c r="AS16" s="202">
        <f>('Expenditure DATA'!BW18/'Expenditure DATA'!M18)*100</f>
        <v>26.36909162962267</v>
      </c>
      <c r="AT16" s="202">
        <f>('Expenditure DATA'!BX18/'Expenditure DATA'!N18)*100</f>
        <v>27.571955613844484</v>
      </c>
      <c r="AU16" s="202">
        <f>('Expenditure DATA'!BY18/'Expenditure DATA'!O18)*100</f>
        <v>27.348835929965031</v>
      </c>
      <c r="AV16" s="202">
        <f>('Expenditure DATA'!BZ18/'Expenditure DATA'!P18)*100</f>
        <v>26.587138861723304</v>
      </c>
      <c r="AW16" s="202">
        <f>('Expenditure DATA'!CA18/'Expenditure DATA'!Q18)*100</f>
        <v>26.468460625059492</v>
      </c>
      <c r="AX16" s="202">
        <f>('Expenditure DATA'!CB18/'Expenditure DATA'!R18)*100</f>
        <v>27.201903002186462</v>
      </c>
      <c r="AY16" s="202">
        <f>('Expenditure DATA'!CC18/'Expenditure DATA'!S18)*100</f>
        <v>27.032504718237032</v>
      </c>
      <c r="AZ16" s="202">
        <f>('Expenditure DATA'!CD18/'Expenditure DATA'!T18)*100</f>
        <v>27.604085835659152</v>
      </c>
      <c r="BA16" s="202">
        <f>('Expenditure DATA'!CE18/'Expenditure DATA'!U18)*100</f>
        <v>25.609257879525899</v>
      </c>
      <c r="BB16" s="202">
        <f>('Expenditure DATA'!CF18/'Expenditure DATA'!V18)*100</f>
        <v>24.095437229382984</v>
      </c>
      <c r="BC16" s="202">
        <f>('Expenditure DATA'!CG18/'Expenditure DATA'!W18)*100</f>
        <v>23.911178408385265</v>
      </c>
      <c r="BD16" s="202">
        <f>('Expenditure DATA'!CH18/'Expenditure DATA'!X18)*100</f>
        <v>23.726851979114691</v>
      </c>
      <c r="BE16" s="202">
        <f>('Expenditure DATA'!CI18/'Expenditure DATA'!Y18)*100</f>
        <v>24.632930246510035</v>
      </c>
      <c r="BF16" s="202">
        <f>('Expenditure DATA'!CJ18/'Expenditure DATA'!Z18)*100</f>
        <v>23.836941922609824</v>
      </c>
      <c r="BG16" s="202">
        <f>('Expenditure DATA'!CK18/'Expenditure DATA'!AA18)*100</f>
        <v>23.846874529807863</v>
      </c>
      <c r="BH16" s="202">
        <f>('Expenditure DATA'!CL18/'Expenditure DATA'!AB18)*100</f>
        <v>23.218720007059108</v>
      </c>
      <c r="BI16" s="202">
        <f>('Expenditure DATA'!CM18/'Expenditure DATA'!AC18)*100</f>
        <v>23.113620835492714</v>
      </c>
      <c r="BJ16" s="202">
        <f>('Expenditure DATA'!CN18/'Expenditure DATA'!AD18)*100</f>
        <v>22.445244568324917</v>
      </c>
      <c r="BK16" s="202">
        <f>('Expenditure DATA'!CO18/'Expenditure DATA'!AE18)*100</f>
        <v>21.328183489263385</v>
      </c>
      <c r="BL16" s="464">
        <f>('Expenditure DATA'!CP18/'Expenditure DATA'!AF18)*100</f>
        <v>20.624671266881847</v>
      </c>
      <c r="BM16" s="203">
        <f>('Expenditure DATA'!AG18/'Expenditure DATA'!B18)*100</f>
        <v>42.418099409053532</v>
      </c>
      <c r="BN16" s="202">
        <f>('Expenditure DATA'!AH18/'Expenditure DATA'!C18)*100</f>
        <v>43.031036569551311</v>
      </c>
      <c r="BO16" s="202">
        <f>('Expenditure DATA'!AI18/'Expenditure DATA'!D18)*100</f>
        <v>40.055283327051136</v>
      </c>
      <c r="BP16" s="202">
        <f>('Expenditure DATA'!AJ18/'Expenditure DATA'!E18)*100</f>
        <v>39.706610076933011</v>
      </c>
      <c r="BQ16" s="202">
        <f>('Expenditure DATA'!AK18/'Expenditure DATA'!F18)*100</f>
        <v>39.642657194809694</v>
      </c>
      <c r="BR16" s="202">
        <f>('Expenditure DATA'!AL18/'Expenditure DATA'!G18)*100</f>
        <v>38.285572174576089</v>
      </c>
      <c r="BS16" s="202">
        <f>('Expenditure DATA'!AM18/'Expenditure DATA'!H18)*100</f>
        <v>38.017186250144363</v>
      </c>
      <c r="BT16" s="202">
        <f>('Expenditure DATA'!AN18/'Expenditure DATA'!I18)*100</f>
        <v>38.322667691840145</v>
      </c>
      <c r="BU16" s="202">
        <f>('Expenditure DATA'!AO18/'Expenditure DATA'!J18)*100</f>
        <v>38.230920987376606</v>
      </c>
      <c r="BV16" s="202">
        <f>('Expenditure DATA'!AP18/'Expenditure DATA'!K18)*100</f>
        <v>37.73685938933648</v>
      </c>
      <c r="BW16" s="202">
        <f>('Expenditure DATA'!AQ18/'Expenditure DATA'!L18)*100</f>
        <v>37.323603938374497</v>
      </c>
      <c r="BX16" s="202">
        <f>('Expenditure DATA'!AR18/'Expenditure DATA'!M18)*100</f>
        <v>38.665187329844528</v>
      </c>
      <c r="BY16" s="202">
        <f>('Expenditure DATA'!AS18/'Expenditure DATA'!N18)*100</f>
        <v>39.923839281263248</v>
      </c>
      <c r="BZ16" s="202">
        <f>('Expenditure DATA'!AT18/'Expenditure DATA'!O18)*100</f>
        <v>39.810849155795239</v>
      </c>
      <c r="CA16" s="202">
        <f>('Expenditure DATA'!AU18/'Expenditure DATA'!P18)*100</f>
        <v>39.229216957744448</v>
      </c>
      <c r="CB16" s="202">
        <f>('Expenditure DATA'!AV18/'Expenditure DATA'!Q18)*100</f>
        <v>39.546232513054981</v>
      </c>
      <c r="CC16" s="202">
        <f>('Expenditure DATA'!AW18/'Expenditure DATA'!R18)*100</f>
        <v>40.655476790320819</v>
      </c>
      <c r="CD16" s="202">
        <f>('Expenditure DATA'!AX18/'Expenditure DATA'!S18)*100</f>
        <v>40.791450245583682</v>
      </c>
      <c r="CE16" s="202">
        <f>('Expenditure DATA'!AY18/'Expenditure DATA'!T18)*100</f>
        <v>42.737692679094238</v>
      </c>
      <c r="CF16" s="202">
        <f>('Expenditure DATA'!AZ18/'Expenditure DATA'!U18)*100</f>
        <v>40.220117262349554</v>
      </c>
      <c r="CG16" s="202">
        <f>('Expenditure DATA'!BA18/'Expenditure DATA'!V18)*100</f>
        <v>38.309597790009825</v>
      </c>
      <c r="CH16" s="202">
        <f>('Expenditure DATA'!BB18/'Expenditure DATA'!W18)*100</f>
        <v>38.378355990279779</v>
      </c>
      <c r="CI16" s="202">
        <f>('Expenditure DATA'!BC18/'Expenditure DATA'!X18)*100</f>
        <v>38.447139419318361</v>
      </c>
      <c r="CJ16" s="202">
        <f>('Expenditure DATA'!BD18/'Expenditure DATA'!Y18)*100</f>
        <v>39.941030791306616</v>
      </c>
      <c r="CK16" s="202">
        <f>('Expenditure DATA'!BE18/'Expenditure DATA'!Z18)*100</f>
        <v>38.534775978094572</v>
      </c>
      <c r="CL16" s="202">
        <f>('Expenditure DATA'!BF18/'Expenditure DATA'!AA18)*100</f>
        <v>38.553816273952805</v>
      </c>
      <c r="CM16" s="202">
        <f>('Expenditure DATA'!BG18/'Expenditure DATA'!AB18)*100</f>
        <v>38.451159698286382</v>
      </c>
      <c r="CN16" s="202">
        <f>('Expenditure DATA'!BH18/'Expenditure DATA'!AC18)*100</f>
        <v>38.248399560611844</v>
      </c>
      <c r="CO16" s="202">
        <f>('Expenditure DATA'!BI18/'Expenditure DATA'!AD18)*100</f>
        <v>38.65746786662752</v>
      </c>
      <c r="CP16" s="202">
        <f>('Expenditure DATA'!BJ18/'Expenditure DATA'!AE18)*100</f>
        <v>36.717405908980474</v>
      </c>
      <c r="CQ16" s="464">
        <f>('Expenditure DATA'!BK18/'Expenditure DATA'!AF18)*100</f>
        <v>35.799932109515723</v>
      </c>
      <c r="CR16" s="203">
        <f>('Expenditure DATA'!FA18/'Expenditure DATA'!B18)*100</f>
        <v>23.423664633096827</v>
      </c>
      <c r="CS16" s="202">
        <f>('Expenditure DATA'!FB18/'Expenditure DATA'!C18)*100</f>
        <v>21.976311921846637</v>
      </c>
      <c r="CT16" s="202">
        <f>('Expenditure DATA'!FC18/'Expenditure DATA'!D18)*100</f>
        <v>22.289232315617539</v>
      </c>
      <c r="CU16" s="202">
        <f>('Expenditure DATA'!FD18/'Expenditure DATA'!E18)*100</f>
        <v>21.107477096322214</v>
      </c>
      <c r="CV16" s="202">
        <f>('Expenditure DATA'!FE18/'Expenditure DATA'!F18)*100</f>
        <v>21.007865800030498</v>
      </c>
      <c r="CW16" s="202">
        <f>('Expenditure DATA'!FF18/'Expenditure DATA'!G18)*100</f>
        <v>21.616268675018372</v>
      </c>
      <c r="CX16" s="202">
        <f>('Expenditure DATA'!FG18/'Expenditure DATA'!H18)*100</f>
        <v>23.211944502667077</v>
      </c>
      <c r="CY16" s="202">
        <f>('Expenditure DATA'!FH18/'Expenditure DATA'!I18)*100</f>
        <v>23.658845473702193</v>
      </c>
      <c r="CZ16" s="202">
        <f>('Expenditure DATA'!FI18/'Expenditure DATA'!J18)*100</f>
        <v>23.839256349546464</v>
      </c>
      <c r="DA16" s="202">
        <f>('Expenditure DATA'!FJ18/'Expenditure DATA'!K18)*100</f>
        <v>25.285729239186406</v>
      </c>
      <c r="DB16" s="202">
        <f>('Expenditure DATA'!FK18/'Expenditure DATA'!L18)*100</f>
        <v>26.495624541075248</v>
      </c>
      <c r="DC16" s="202">
        <f>('Expenditure DATA'!FL18/'Expenditure DATA'!M18)*100</f>
        <v>25.913418284715544</v>
      </c>
      <c r="DD16" s="202">
        <f>('Expenditure DATA'!FM18/'Expenditure DATA'!N18)*100</f>
        <v>25.54950017938074</v>
      </c>
      <c r="DE16" s="202">
        <f>('Expenditure DATA'!FN18/'Expenditure DATA'!O18)*100</f>
        <v>25.176768819479751</v>
      </c>
      <c r="DF16" s="202">
        <f>('Expenditure DATA'!FO18/'Expenditure DATA'!P18)*100</f>
        <v>24.762762631025272</v>
      </c>
      <c r="DG16" s="202">
        <f>('Expenditure DATA'!FP18/'Expenditure DATA'!Q18)*100</f>
        <v>24.583037377911484</v>
      </c>
      <c r="DH16" s="202">
        <f>('Expenditure DATA'!FQ18/'Expenditure DATA'!R18)*100</f>
        <v>23.64123051304535</v>
      </c>
      <c r="DI16" s="202">
        <f>('Expenditure DATA'!FR18/'Expenditure DATA'!S18)*100</f>
        <v>22.46897290268296</v>
      </c>
      <c r="DJ16" s="202">
        <f>('Expenditure DATA'!FS18/'Expenditure DATA'!T18)*100</f>
        <v>16.458642128150085</v>
      </c>
      <c r="DK16" s="202">
        <f>('Expenditure DATA'!FT18/'Expenditure DATA'!U18)*100</f>
        <v>21.371568606160952</v>
      </c>
      <c r="DL16" s="202">
        <f>('Expenditure DATA'!FU18/'Expenditure DATA'!V18)*100</f>
        <v>25.099854813590611</v>
      </c>
      <c r="DM16" s="202">
        <f>('Expenditure DATA'!FV18/'Expenditure DATA'!W18)*100</f>
        <v>25.955981726836892</v>
      </c>
      <c r="DN16" s="202">
        <f>('Expenditure DATA'!FW18/'Expenditure DATA'!X18)*100</f>
        <v>26.812422770292159</v>
      </c>
      <c r="DO16" s="202">
        <f>('Expenditure DATA'!FX18/'Expenditure DATA'!Y18)*100</f>
        <v>26.69996934973376</v>
      </c>
      <c r="DP16" s="202">
        <f>('Expenditure DATA'!FY18/'Expenditure DATA'!Z18)*100</f>
        <v>27.102745464322869</v>
      </c>
      <c r="DQ16" s="202">
        <f>('Expenditure DATA'!FZ18/'Expenditure DATA'!AA18)*100</f>
        <v>27.091109045355736</v>
      </c>
      <c r="DR16" s="202">
        <f>('Expenditure DATA'!GA18/'Expenditure DATA'!AB18)*100</f>
        <v>27.574404532332697</v>
      </c>
      <c r="DS16" s="202">
        <f>('Expenditure DATA'!GB18/'Expenditure DATA'!AC18)*100</f>
        <v>28.447351770637177</v>
      </c>
      <c r="DT16" s="202">
        <f>('Expenditure DATA'!GC18/'Expenditure DATA'!AD18)*100</f>
        <v>27.541951199942112</v>
      </c>
      <c r="DU16" s="202">
        <f>('Expenditure DATA'!GD18/'Expenditure DATA'!AE18)*100</f>
        <v>29.255899591210401</v>
      </c>
      <c r="DV16" s="464">
        <f>('Expenditure DATA'!GE18/'Expenditure DATA'!AF18)*100</f>
        <v>30.547107608294048</v>
      </c>
      <c r="DW16" s="203">
        <f>('Expenditure DATA'!GF18/'Expenditure DATA'!B18)*100</f>
        <v>23.83484097993842</v>
      </c>
      <c r="DX16" s="202">
        <f>('Expenditure DATA'!GG18/'Expenditure DATA'!C18)*100</f>
        <v>25.776778767182506</v>
      </c>
      <c r="DY16" s="202">
        <f>('Expenditure DATA'!GH18/'Expenditure DATA'!D18)*100</f>
        <v>25.494722955145114</v>
      </c>
      <c r="DZ16" s="202">
        <f>('Expenditure DATA'!GI18/'Expenditure DATA'!E18)*100</f>
        <v>25.760206068301532</v>
      </c>
      <c r="EA16" s="202">
        <f>('Expenditure DATA'!GJ18/'Expenditure DATA'!F18)*100</f>
        <v>25.491807697368422</v>
      </c>
      <c r="EB16" s="202">
        <f>('Expenditure DATA'!GK18/'Expenditure DATA'!G18)*100</f>
        <v>25.972436153585889</v>
      </c>
      <c r="EC16" s="202">
        <f>('Expenditure DATA'!GL18/'Expenditure DATA'!H18)*100</f>
        <v>25.34490668457547</v>
      </c>
      <c r="ED16" s="202">
        <f>('Expenditure DATA'!GM18/'Expenditure DATA'!I18)*100</f>
        <v>25.316432621043365</v>
      </c>
      <c r="EE16" s="202">
        <f>('Expenditure DATA'!GN18/'Expenditure DATA'!J18)*100</f>
        <v>24.397957590435094</v>
      </c>
      <c r="EF16" s="202">
        <f>('Expenditure DATA'!GO18/'Expenditure DATA'!K18)*100</f>
        <v>24.013598689090777</v>
      </c>
      <c r="EG16" s="202">
        <f>('Expenditure DATA'!GP18/'Expenditure DATA'!L18)*100</f>
        <v>23.692103531935505</v>
      </c>
      <c r="EH16" s="202">
        <f>('Expenditure DATA'!GQ18/'Expenditure DATA'!M18)*100</f>
        <v>22.536742824794821</v>
      </c>
      <c r="EI16" s="202">
        <f>('Expenditure DATA'!GR18/'Expenditure DATA'!N18)*100</f>
        <v>21.865047066359189</v>
      </c>
      <c r="EJ16" s="202">
        <f>('Expenditure DATA'!GS18/'Expenditure DATA'!O18)*100</f>
        <v>23.058746074884851</v>
      </c>
      <c r="EK16" s="202">
        <f>('Expenditure DATA'!GT18/'Expenditure DATA'!P18)*100</f>
        <v>23.198144975736046</v>
      </c>
      <c r="EL16" s="202">
        <f>('Expenditure DATA'!GU18/'Expenditure DATA'!Q18)*100</f>
        <v>23.645007026409328</v>
      </c>
      <c r="EM16" s="202">
        <f>('Expenditure DATA'!GV18/'Expenditure DATA'!R18)*100</f>
        <v>24.065333066503644</v>
      </c>
      <c r="EN16" s="202">
        <f>('Expenditure DATA'!GW18/'Expenditure DATA'!S18)*100</f>
        <v>24.33467341562115</v>
      </c>
      <c r="EO16" s="202">
        <f>('Expenditure DATA'!GX18/'Expenditure DATA'!T18)*100</f>
        <v>27.882916375388376</v>
      </c>
      <c r="EP16" s="202">
        <f>('Expenditure DATA'!GY18/'Expenditure DATA'!U18)*100</f>
        <v>25.447289044395742</v>
      </c>
      <c r="EQ16" s="202">
        <f>('Expenditure DATA'!GZ18/'Expenditure DATA'!V18)*100</f>
        <v>23.5989577442589</v>
      </c>
      <c r="ER16" s="202">
        <f>('Expenditure DATA'!HA18/'Expenditure DATA'!W18)*100</f>
        <v>23.100540269684661</v>
      </c>
      <c r="ES16" s="202">
        <f>('Expenditure DATA'!HB18/'Expenditure DATA'!X18)*100</f>
        <v>22.601939915699635</v>
      </c>
      <c r="ET16" s="202">
        <f>('Expenditure DATA'!HC18/'Expenditure DATA'!Y18)*100</f>
        <v>22.402410854451084</v>
      </c>
      <c r="EU16" s="202">
        <f>('Expenditure DATA'!HD18/'Expenditure DATA'!Z18)*100</f>
        <v>23.1296837933861</v>
      </c>
      <c r="EV16" s="202">
        <f>('Expenditure DATA'!HE18/'Expenditure DATA'!AA18)*100</f>
        <v>23.12397349169397</v>
      </c>
      <c r="EW16" s="202">
        <f>('Expenditure DATA'!HF18/'Expenditure DATA'!AB18)*100</f>
        <v>23.122921402521847</v>
      </c>
      <c r="EX16" s="202">
        <f>('Expenditure DATA'!HG18/'Expenditure DATA'!AC18)*100</f>
        <v>22.836054774320186</v>
      </c>
      <c r="EY16" s="202">
        <f>('Expenditure DATA'!HH18/'Expenditure DATA'!AD18)*100</f>
        <v>23.496417627171517</v>
      </c>
      <c r="EZ16" s="202">
        <f>('Expenditure DATA'!HI18/'Expenditure DATA'!AE18)*100</f>
        <v>24.321063602851858</v>
      </c>
      <c r="FA16" s="464">
        <f>('Expenditure DATA'!HJ18/'Expenditure DATA'!AF18)*100</f>
        <v>23.726834811643311</v>
      </c>
      <c r="FB16" s="203">
        <f>('Expenditure DATA'!HK18/'Expenditure DATA'!B18)*100</f>
        <v>4.8996920958518997</v>
      </c>
      <c r="FC16" s="202">
        <f>('Expenditure DATA'!HL18/'Expenditure DATA'!C18)*100</f>
        <v>4.9554767874124668</v>
      </c>
      <c r="FD16" s="202">
        <f>('Expenditure DATA'!HM18/'Expenditure DATA'!D18)*100</f>
        <v>4.9283829626837532</v>
      </c>
      <c r="FE16" s="202">
        <f>('Expenditure DATA'!HN18/'Expenditure DATA'!E18)*100</f>
        <v>4.9508469541854945</v>
      </c>
      <c r="FF16" s="202">
        <f>('Expenditure DATA'!HO18/'Expenditure DATA'!F18)*100</f>
        <v>5.0562210457235359</v>
      </c>
      <c r="FG16" s="202">
        <f>('Expenditure DATA'!HP18/'Expenditure DATA'!G18)*100</f>
        <v>5.0299598930130927</v>
      </c>
      <c r="FH16" s="202">
        <f>('Expenditure DATA'!HQ18/'Expenditure DATA'!H18)*100</f>
        <v>5.0674761631811522</v>
      </c>
      <c r="FI16" s="202">
        <f>('Expenditure DATA'!HR18/'Expenditure DATA'!I18)*100</f>
        <v>5.068228433056551</v>
      </c>
      <c r="FJ16" s="202">
        <f>('Expenditure DATA'!HS18/'Expenditure DATA'!J18)*100</f>
        <v>5.2783919655225926</v>
      </c>
      <c r="FK16" s="202">
        <f>('Expenditure DATA'!HT18/'Expenditure DATA'!K18)*100</f>
        <v>5.108954494994034</v>
      </c>
      <c r="FL16" s="202">
        <f>('Expenditure DATA'!HU18/'Expenditure DATA'!L18)*100</f>
        <v>4.9672293364897069</v>
      </c>
      <c r="FM16" s="202">
        <f>('Expenditure DATA'!HV18/'Expenditure DATA'!M18)*100</f>
        <v>5.3796630147477202</v>
      </c>
      <c r="FN16" s="202">
        <f>('Expenditure DATA'!HW18/'Expenditure DATA'!N18)*100</f>
        <v>5.078100594006111</v>
      </c>
      <c r="FO16" s="202">
        <f>('Expenditure DATA'!HX18/'Expenditure DATA'!O18)*100</f>
        <v>4.9792420302084128</v>
      </c>
      <c r="FP16" s="202">
        <f>('Expenditure DATA'!HY18/'Expenditure DATA'!P18)*100</f>
        <v>5.2388858681635915</v>
      </c>
      <c r="FQ16" s="202">
        <f>('Expenditure DATA'!HZ18/'Expenditure DATA'!Q18)*100</f>
        <v>5.1229075348102091</v>
      </c>
      <c r="FR16" s="202">
        <f>('Expenditure DATA'!IA18/'Expenditure DATA'!R18)*100</f>
        <v>4.9485262816147166</v>
      </c>
      <c r="FS16" s="202">
        <f>('Expenditure DATA'!IB18/'Expenditure DATA'!S18)*100</f>
        <v>5.0907460772069806</v>
      </c>
      <c r="FT16" s="202">
        <f>('Expenditure DATA'!IC18/'Expenditure DATA'!T18)*100</f>
        <v>5.4172076724095293</v>
      </c>
      <c r="FU16" s="202">
        <f>('Expenditure DATA'!ID18/'Expenditure DATA'!U18)*100</f>
        <v>5.0410218250326011</v>
      </c>
      <c r="FV16" s="202">
        <f>('Expenditure DATA'!IE18/'Expenditure DATA'!V18)*100</f>
        <v>4.7555446227005413</v>
      </c>
      <c r="FW16" s="202">
        <f>('Expenditure DATA'!IF18/'Expenditure DATA'!W18)*100</f>
        <v>5.2812847171052866</v>
      </c>
      <c r="FX16" s="202">
        <f>('Expenditure DATA'!IG18/'Expenditure DATA'!X18)*100</f>
        <v>5.8072177161403742</v>
      </c>
      <c r="FY16" s="202">
        <f>('Expenditure DATA'!IH18/'Expenditure DATA'!Y18)*100</f>
        <v>4.9412925292054783</v>
      </c>
      <c r="FZ16" s="202">
        <f>('Expenditure DATA'!II18/'Expenditure DATA'!Z18)*100</f>
        <v>5.252083909884151</v>
      </c>
      <c r="GA16" s="202">
        <f>('Expenditure DATA'!IJ18/'Expenditure DATA'!AA18)*100</f>
        <v>5.2546452894695168</v>
      </c>
      <c r="GB16" s="202">
        <f>('Expenditure DATA'!IK18/'Expenditure DATA'!AB18)*100</f>
        <v>5.0371777842545402</v>
      </c>
      <c r="GC16" s="202">
        <f>('Expenditure DATA'!IL18/'Expenditure DATA'!AC18)*100</f>
        <v>5.1956228540257978</v>
      </c>
      <c r="GD16" s="202">
        <f>('Expenditure DATA'!IM18/'Expenditure DATA'!AD18)*100</f>
        <v>4.353986202924764</v>
      </c>
      <c r="GE16" s="202">
        <f>('Expenditure DATA'!IN18/'Expenditure DATA'!AE18)*100</f>
        <v>4.2524948188583638</v>
      </c>
      <c r="GF16" s="464">
        <f>('Expenditure DATA'!IO18/'Expenditure DATA'!AF18)*100</f>
        <v>4.310032460958749</v>
      </c>
      <c r="GG16" s="203">
        <f>('Expenditure DATA'!IP18/'Expenditure DATA'!B18)*100</f>
        <v>5.4275277783090141</v>
      </c>
      <c r="GH16" s="202">
        <f>('Expenditure DATA'!IQ18/'Expenditure DATA'!C18)*100</f>
        <v>4.258666897207573</v>
      </c>
      <c r="GI16" s="202">
        <f>('Expenditure DATA'!IR18/'Expenditure DATA'!D18)*100</f>
        <v>7.2323784395024502</v>
      </c>
      <c r="GJ16" s="202">
        <f>('Expenditure DATA'!IS18/'Expenditure DATA'!E18)*100</f>
        <v>8.4748598042577559</v>
      </c>
      <c r="GK16" s="202">
        <f>('Expenditure DATA'!IT18/'Expenditure DATA'!F18)*100</f>
        <v>8.8014482620678667</v>
      </c>
      <c r="GL16" s="202">
        <f>('Expenditure DATA'!IU18/'Expenditure DATA'!G18)*100</f>
        <v>9.095763103806572</v>
      </c>
      <c r="GM16" s="202">
        <f>('Expenditure DATA'!IV18/'Expenditure DATA'!H18)*100</f>
        <v>8.3584863994319392</v>
      </c>
      <c r="GN16" s="202">
        <f>('Expenditure DATA'!IW18/'Expenditure DATA'!I18)*100</f>
        <v>7.6338257803577472</v>
      </c>
      <c r="GO16" s="202">
        <f>('Expenditure DATA'!IX18/'Expenditure DATA'!J18)*100</f>
        <v>8.2534731071192464</v>
      </c>
      <c r="GP16" s="202">
        <f>('Expenditure DATA'!IY18/'Expenditure DATA'!K18)*100</f>
        <v>7.8548581873922965</v>
      </c>
      <c r="GQ16" s="202">
        <f>('Expenditure DATA'!IZ18/'Expenditure DATA'!L18)*100</f>
        <v>7.5214386521250383</v>
      </c>
      <c r="GR16" s="202">
        <f>('Expenditure DATA'!JA18/'Expenditure DATA'!M18)*100</f>
        <v>7.5049885458973842</v>
      </c>
      <c r="GS16" s="202">
        <f>('Expenditure DATA'!JB18/'Expenditure DATA'!N18)*100</f>
        <v>7.5835128789907031</v>
      </c>
      <c r="GT16" s="202">
        <f>('Expenditure DATA'!JC18/'Expenditure DATA'!O18)*100</f>
        <v>6.9743939196317415</v>
      </c>
      <c r="GU16" s="202">
        <f>('Expenditure DATA'!JD18/'Expenditure DATA'!P18)*100</f>
        <v>7.5709895673306535</v>
      </c>
      <c r="GV16" s="202">
        <f>('Expenditure DATA'!JE18/'Expenditure DATA'!Q18)*100</f>
        <v>7.1028155478139965</v>
      </c>
      <c r="GW16" s="202">
        <f>('Expenditure DATA'!JF18/'Expenditure DATA'!R18)*100</f>
        <v>6.6894333485154718</v>
      </c>
      <c r="GX16" s="202">
        <f>('Expenditure DATA'!JG18/'Expenditure DATA'!S18)*100</f>
        <v>7.3141573589052227</v>
      </c>
      <c r="GY16" s="202">
        <f>('Expenditure DATA'!JH18/'Expenditure DATA'!T18)*100</f>
        <v>7.5035411449577705</v>
      </c>
      <c r="GZ16" s="202">
        <f>('Expenditure DATA'!JI18/'Expenditure DATA'!U18)*100</f>
        <v>7.9200032620611509</v>
      </c>
      <c r="HA16" s="202">
        <f>('Expenditure DATA'!JJ18/'Expenditure DATA'!V18)*100</f>
        <v>8.2360450294401186</v>
      </c>
      <c r="HB16" s="202">
        <f>('Expenditure DATA'!JK18/'Expenditure DATA'!W18)*100</f>
        <v>7.2838372960933917</v>
      </c>
      <c r="HC16" s="202">
        <f>('Expenditure DATA'!JL18/'Expenditure DATA'!X18)*100</f>
        <v>6.3312801785494779</v>
      </c>
      <c r="HD16" s="202">
        <f>('Expenditure DATA'!JM18/'Expenditure DATA'!Y18)*100</f>
        <v>6.0152964753030549</v>
      </c>
      <c r="HE16" s="202">
        <f>('Expenditure DATA'!JN18/'Expenditure DATA'!Z18)*100</f>
        <v>5.9807108543123135</v>
      </c>
      <c r="HF16" s="202">
        <f>('Expenditure DATA'!JO18/'Expenditure DATA'!AA18)*100</f>
        <v>5.9764558995279593</v>
      </c>
      <c r="HG16" s="202">
        <f>('Expenditure DATA'!JP18/'Expenditure DATA'!AB18)*100</f>
        <v>5.8143365826045486</v>
      </c>
      <c r="HH16" s="202">
        <f>('Expenditure DATA'!JQ18/'Expenditure DATA'!AC18)*100</f>
        <v>5.2725710404050012</v>
      </c>
      <c r="HI16" s="202">
        <f>('Expenditure DATA'!JR18/'Expenditure DATA'!AD18)*100</f>
        <v>5.9501733539250878</v>
      </c>
      <c r="HJ16" s="202">
        <f>('Expenditure DATA'!JS18/'Expenditure DATA'!AE18)*100</f>
        <v>5.4531360780988924</v>
      </c>
      <c r="HK16" s="464">
        <f>('Expenditure DATA'!JT18/'Expenditure DATA'!AF18)*100</f>
        <v>5.6160930095881705</v>
      </c>
      <c r="HL16" s="203">
        <f t="shared" si="1"/>
        <v>100.0038248962497</v>
      </c>
      <c r="HM16" s="204">
        <f t="shared" si="2"/>
        <v>99.998270943200495</v>
      </c>
      <c r="HN16" s="204">
        <f t="shared" si="3"/>
        <v>100</v>
      </c>
      <c r="HO16" s="204">
        <f t="shared" si="4"/>
        <v>100.00000000000001</v>
      </c>
      <c r="HP16" s="204">
        <f t="shared" si="5"/>
        <v>100.00000000000001</v>
      </c>
      <c r="HQ16" s="204">
        <f t="shared" si="6"/>
        <v>100.00000000000003</v>
      </c>
      <c r="HR16" s="204">
        <f t="shared" si="7"/>
        <v>100.00000000000001</v>
      </c>
      <c r="HS16" s="204">
        <f t="shared" si="8"/>
        <v>100</v>
      </c>
      <c r="HT16" s="204">
        <f t="shared" si="9"/>
        <v>100</v>
      </c>
      <c r="HU16" s="204">
        <f t="shared" si="10"/>
        <v>100</v>
      </c>
      <c r="HV16" s="204">
        <f t="shared" si="11"/>
        <v>100</v>
      </c>
      <c r="HW16" s="204">
        <f t="shared" si="12"/>
        <v>100.00000000000001</v>
      </c>
      <c r="HX16" s="204">
        <f t="shared" si="13"/>
        <v>99.999999999999986</v>
      </c>
      <c r="HY16" s="204">
        <f t="shared" si="14"/>
        <v>99.999999999999986</v>
      </c>
      <c r="HZ16" s="204">
        <f t="shared" si="15"/>
        <v>100.00000000000001</v>
      </c>
      <c r="IA16" s="204">
        <f t="shared" si="16"/>
        <v>100</v>
      </c>
      <c r="IB16" s="204">
        <f t="shared" si="17"/>
        <v>100</v>
      </c>
      <c r="IC16" s="204">
        <f t="shared" si="18"/>
        <v>100</v>
      </c>
      <c r="ID16" s="204">
        <f t="shared" si="19"/>
        <v>100</v>
      </c>
      <c r="IE16" s="204">
        <f t="shared" si="20"/>
        <v>100</v>
      </c>
      <c r="IF16" s="204">
        <f t="shared" si="21"/>
        <v>100</v>
      </c>
      <c r="IG16" s="204">
        <f t="shared" si="22"/>
        <v>100</v>
      </c>
      <c r="IH16" s="204">
        <f t="shared" si="23"/>
        <v>100</v>
      </c>
      <c r="II16" s="204">
        <f t="shared" si="24"/>
        <v>100</v>
      </c>
      <c r="IJ16" s="204">
        <f t="shared" si="25"/>
        <v>100</v>
      </c>
      <c r="IK16" s="204">
        <f t="shared" si="26"/>
        <v>100</v>
      </c>
      <c r="IL16" s="204">
        <f t="shared" si="27"/>
        <v>100.00000000000001</v>
      </c>
      <c r="IM16" s="204">
        <f t="shared" si="28"/>
        <v>100.00000000000001</v>
      </c>
      <c r="IN16" s="204">
        <f t="shared" si="29"/>
        <v>99.999996250590982</v>
      </c>
      <c r="IO16" s="204">
        <f t="shared" si="30"/>
        <v>99.999999999999986</v>
      </c>
      <c r="IP16" s="204">
        <f t="shared" si="31"/>
        <v>100</v>
      </c>
    </row>
    <row r="17" spans="1:250" s="164" customFormat="1">
      <c r="A17" s="168" t="s">
        <v>35</v>
      </c>
      <c r="B17" s="62"/>
      <c r="C17" s="202">
        <f>('Expenditure DATA'!CQ19/'Expenditure DATA'!B19)*100</f>
        <v>12.680403408102938</v>
      </c>
      <c r="D17" s="202">
        <f>('Expenditure DATA'!CR19/'Expenditure DATA'!C19)*100</f>
        <v>11.997714721005524</v>
      </c>
      <c r="E17" s="202">
        <f>('Expenditure DATA'!CS19/'Expenditure DATA'!D19)*100</f>
        <v>12.465721679348036</v>
      </c>
      <c r="F17" s="202">
        <f>('Expenditure DATA'!CT19/'Expenditure DATA'!E19)*100</f>
        <v>12.654757933800765</v>
      </c>
      <c r="G17" s="202">
        <f>('Expenditure DATA'!CU19/'Expenditure DATA'!F19)*100</f>
        <v>12.396175390428269</v>
      </c>
      <c r="H17" s="202">
        <f>('Expenditure DATA'!CV19/'Expenditure DATA'!G19)*100</f>
        <v>12.604973758883508</v>
      </c>
      <c r="I17" s="202">
        <f>('Expenditure DATA'!CW19/'Expenditure DATA'!H19)*100</f>
        <v>11.022007470915893</v>
      </c>
      <c r="J17" s="202">
        <f>('Expenditure DATA'!CX19/'Expenditure DATA'!I19)*100</f>
        <v>10.557387097986716</v>
      </c>
      <c r="K17" s="202">
        <f>('Expenditure DATA'!CY19/'Expenditure DATA'!J19)*100</f>
        <v>10.998440360071211</v>
      </c>
      <c r="L17" s="202">
        <f>('Expenditure DATA'!CZ19/'Expenditure DATA'!K19)*100</f>
        <v>10.747049690185232</v>
      </c>
      <c r="M17" s="202">
        <f>('Expenditure DATA'!DA19/'Expenditure DATA'!L19)*100</f>
        <v>10.537081785126238</v>
      </c>
      <c r="N17" s="202">
        <f>('Expenditure DATA'!DB19/'Expenditure DATA'!M19)*100</f>
        <v>10.069187159932522</v>
      </c>
      <c r="O17" s="202">
        <f>('Expenditure DATA'!DC19/'Expenditure DATA'!N19)*100</f>
        <v>9.6993091245225482</v>
      </c>
      <c r="P17" s="202">
        <f>('Expenditure DATA'!DD19/'Expenditure DATA'!O19)*100</f>
        <v>9.9913865004306732</v>
      </c>
      <c r="Q17" s="202">
        <f>('Expenditure DATA'!DE19/'Expenditure DATA'!P19)*100</f>
        <v>10.139305836442553</v>
      </c>
      <c r="R17" s="202">
        <f>('Expenditure DATA'!DF19/'Expenditure DATA'!Q19)*100</f>
        <v>9.7780188593187578</v>
      </c>
      <c r="S17" s="202">
        <f>('Expenditure DATA'!DG19/'Expenditure DATA'!R19)*100</f>
        <v>9.8286446576935216</v>
      </c>
      <c r="T17" s="202">
        <f>('Expenditure DATA'!DH19/'Expenditure DATA'!S19)*100</f>
        <v>9.5295476584336321</v>
      </c>
      <c r="U17" s="202">
        <f>('Expenditure DATA'!DI19/'Expenditure DATA'!T19)*100</f>
        <v>9.5942926115562788</v>
      </c>
      <c r="V17" s="202">
        <f>('Expenditure DATA'!DJ19/'Expenditure DATA'!U19)*100</f>
        <v>9.2420839395928152</v>
      </c>
      <c r="W17" s="202">
        <f>('Expenditure DATA'!DK19/'Expenditure DATA'!V19)*100</f>
        <v>8.9425170473706732</v>
      </c>
      <c r="X17" s="202">
        <f>('Expenditure DATA'!DL19/'Expenditure DATA'!W19)*100</f>
        <v>8.9924250444545404</v>
      </c>
      <c r="Y17" s="202">
        <f>('Expenditure DATA'!DM19/'Expenditure DATA'!X19)*100</f>
        <v>9.0388797653266799</v>
      </c>
      <c r="Z17" s="202">
        <f>('Expenditure DATA'!DN19/'Expenditure DATA'!Y19)*100</f>
        <v>9.2929768444197212</v>
      </c>
      <c r="AA17" s="202">
        <f>('Expenditure DATA'!DO19/'Expenditure DATA'!Z19)*100</f>
        <v>9.552078636466355</v>
      </c>
      <c r="AB17" s="202">
        <f>('Expenditure DATA'!DP19/'Expenditure DATA'!AA19)*100</f>
        <v>9.5619493476612192</v>
      </c>
      <c r="AC17" s="202">
        <f>('Expenditure DATA'!DQ19/'Expenditure DATA'!AB19)*100</f>
        <v>9.8034178698082499</v>
      </c>
      <c r="AD17" s="202">
        <f>('Expenditure DATA'!DR19/'Expenditure DATA'!AC19)*100</f>
        <v>9.4370489332987209</v>
      </c>
      <c r="AE17" s="202">
        <f>('Expenditure DATA'!DS19/'Expenditure DATA'!AD19)*100</f>
        <v>9.185618548975663</v>
      </c>
      <c r="AF17" s="202">
        <f>('Expenditure DATA'!DT19/'Expenditure DATA'!AE19)*100</f>
        <v>9.4382142854231876</v>
      </c>
      <c r="AG17" s="464">
        <f>('Expenditure DATA'!DU19/'Expenditure DATA'!AF19)*100</f>
        <v>10.123551655575946</v>
      </c>
      <c r="AH17" s="203">
        <f>('Expenditure DATA'!BL19/'Expenditure DATA'!B19)*100</f>
        <v>29.066684054946961</v>
      </c>
      <c r="AI17" s="202">
        <f>('Expenditure DATA'!BM19/'Expenditure DATA'!C19)*100</f>
        <v>27.524915889037011</v>
      </c>
      <c r="AJ17" s="202">
        <f>('Expenditure DATA'!BN19/'Expenditure DATA'!D19)*100</f>
        <v>26.227260437990036</v>
      </c>
      <c r="AK17" s="202">
        <f>('Expenditure DATA'!BO19/'Expenditure DATA'!E19)*100</f>
        <v>25.894353436932715</v>
      </c>
      <c r="AL17" s="202">
        <f>('Expenditure DATA'!BP19/'Expenditure DATA'!F19)*100</f>
        <v>25.892732896551053</v>
      </c>
      <c r="AM17" s="202">
        <f>('Expenditure DATA'!BQ19/'Expenditure DATA'!G19)*100</f>
        <v>26.768678510837805</v>
      </c>
      <c r="AN17" s="202">
        <f>('Expenditure DATA'!BR19/'Expenditure DATA'!H19)*100</f>
        <v>27.40037888665131</v>
      </c>
      <c r="AO17" s="202">
        <f>('Expenditure DATA'!BS19/'Expenditure DATA'!I19)*100</f>
        <v>26.323565214122763</v>
      </c>
      <c r="AP17" s="202">
        <f>('Expenditure DATA'!BT19/'Expenditure DATA'!J19)*100</f>
        <v>26.319440334996614</v>
      </c>
      <c r="AQ17" s="202">
        <f>('Expenditure DATA'!BU19/'Expenditure DATA'!K19)*100</f>
        <v>25.139157030863252</v>
      </c>
      <c r="AR17" s="202">
        <f>('Expenditure DATA'!BV19/'Expenditure DATA'!L19)*100</f>
        <v>24.153354284653979</v>
      </c>
      <c r="AS17" s="202">
        <f>('Expenditure DATA'!BW19/'Expenditure DATA'!M19)*100</f>
        <v>23.213995121238622</v>
      </c>
      <c r="AT17" s="202">
        <f>('Expenditure DATA'!BX19/'Expenditure DATA'!N19)*100</f>
        <v>22.295566322830322</v>
      </c>
      <c r="AU17" s="202">
        <f>('Expenditure DATA'!BY19/'Expenditure DATA'!O19)*100</f>
        <v>22.621191868940407</v>
      </c>
      <c r="AV17" s="202">
        <f>('Expenditure DATA'!BZ19/'Expenditure DATA'!P19)*100</f>
        <v>23.001900015010442</v>
      </c>
      <c r="AW17" s="202">
        <f>('Expenditure DATA'!CA19/'Expenditure DATA'!Q19)*100</f>
        <v>23.776127431586946</v>
      </c>
      <c r="AX17" s="202">
        <f>('Expenditure DATA'!CB19/'Expenditure DATA'!R19)*100</f>
        <v>24.243073954751864</v>
      </c>
      <c r="AY17" s="202">
        <f>('Expenditure DATA'!CC19/'Expenditure DATA'!S19)*100</f>
        <v>24.556620579808072</v>
      </c>
      <c r="AZ17" s="202">
        <f>('Expenditure DATA'!CD19/'Expenditure DATA'!T19)*100</f>
        <v>23.841366641108632</v>
      </c>
      <c r="BA17" s="202">
        <f>('Expenditure DATA'!CE19/'Expenditure DATA'!U19)*100</f>
        <v>24.016952193642418</v>
      </c>
      <c r="BB17" s="202">
        <f>('Expenditure DATA'!CF19/'Expenditure DATA'!V19)*100</f>
        <v>24.166294394668942</v>
      </c>
      <c r="BC17" s="202">
        <f>('Expenditure DATA'!CG19/'Expenditure DATA'!W19)*100</f>
        <v>23.718734610459091</v>
      </c>
      <c r="BD17" s="202">
        <f>('Expenditure DATA'!CH19/'Expenditure DATA'!X19)*100</f>
        <v>23.302142760176594</v>
      </c>
      <c r="BE17" s="202">
        <f>('Expenditure DATA'!CI19/'Expenditure DATA'!Y19)*100</f>
        <v>22.79442162189342</v>
      </c>
      <c r="BF17" s="202">
        <f>('Expenditure DATA'!CJ19/'Expenditure DATA'!Z19)*100</f>
        <v>24.06344880188923</v>
      </c>
      <c r="BG17" s="202">
        <f>('Expenditure DATA'!CK19/'Expenditure DATA'!AA19)*100</f>
        <v>24.085873917870231</v>
      </c>
      <c r="BH17" s="202">
        <f>('Expenditure DATA'!CL19/'Expenditure DATA'!AB19)*100</f>
        <v>23.534606475593502</v>
      </c>
      <c r="BI17" s="202">
        <f>('Expenditure DATA'!CM19/'Expenditure DATA'!AC19)*100</f>
        <v>23.865670691080869</v>
      </c>
      <c r="BJ17" s="202">
        <f>('Expenditure DATA'!CN19/'Expenditure DATA'!AD19)*100</f>
        <v>22.644083534555289</v>
      </c>
      <c r="BK17" s="202">
        <f>('Expenditure DATA'!CO19/'Expenditure DATA'!AE19)*100</f>
        <v>21.334350510055963</v>
      </c>
      <c r="BL17" s="464">
        <f>('Expenditure DATA'!CP19/'Expenditure DATA'!AF19)*100</f>
        <v>21.752601503358242</v>
      </c>
      <c r="BM17" s="203">
        <f>('Expenditure DATA'!AG19/'Expenditure DATA'!B19)*100</f>
        <v>44.381411928360286</v>
      </c>
      <c r="BN17" s="202">
        <f>('Expenditure DATA'!AH19/'Expenditure DATA'!C19)*100</f>
        <v>42.165513447174078</v>
      </c>
      <c r="BO17" s="202">
        <f>('Expenditure DATA'!AI19/'Expenditure DATA'!D19)*100</f>
        <v>41.224749913097213</v>
      </c>
      <c r="BP17" s="202">
        <f>('Expenditure DATA'!AJ19/'Expenditure DATA'!E19)*100</f>
        <v>41.497469799343939</v>
      </c>
      <c r="BQ17" s="202">
        <f>('Expenditure DATA'!AK19/'Expenditure DATA'!F19)*100</f>
        <v>41.124925787292682</v>
      </c>
      <c r="BR17" s="202">
        <f>('Expenditure DATA'!AL19/'Expenditure DATA'!G19)*100</f>
        <v>42.050795466325866</v>
      </c>
      <c r="BS17" s="202">
        <f>('Expenditure DATA'!AM19/'Expenditure DATA'!H19)*100</f>
        <v>41.142239578260828</v>
      </c>
      <c r="BT17" s="202">
        <f>('Expenditure DATA'!AN19/'Expenditure DATA'!I19)*100</f>
        <v>40.115378498957647</v>
      </c>
      <c r="BU17" s="202">
        <f>('Expenditure DATA'!AO19/'Expenditure DATA'!J19)*100</f>
        <v>39.996449437075299</v>
      </c>
      <c r="BV17" s="202">
        <f>('Expenditure DATA'!AP19/'Expenditure DATA'!K19)*100</f>
        <v>38.162236627776537</v>
      </c>
      <c r="BW17" s="202">
        <f>('Expenditure DATA'!AQ19/'Expenditure DATA'!L19)*100</f>
        <v>36.630255265160706</v>
      </c>
      <c r="BX17" s="202">
        <f>('Expenditure DATA'!AR19/'Expenditure DATA'!M19)*100</f>
        <v>35.175821514977471</v>
      </c>
      <c r="BY17" s="202">
        <f>('Expenditure DATA'!AS19/'Expenditure DATA'!N19)*100</f>
        <v>33.778983517040068</v>
      </c>
      <c r="BZ17" s="202">
        <f>('Expenditure DATA'!AT19/'Expenditure DATA'!O19)*100</f>
        <v>34.662024266898783</v>
      </c>
      <c r="CA17" s="202">
        <f>('Expenditure DATA'!AU19/'Expenditure DATA'!P19)*100</f>
        <v>35.604840771905288</v>
      </c>
      <c r="CB17" s="202">
        <f>('Expenditure DATA'!AV19/'Expenditure DATA'!Q19)*100</f>
        <v>35.669185098801819</v>
      </c>
      <c r="CC17" s="202">
        <f>('Expenditure DATA'!AW19/'Expenditure DATA'!R19)*100</f>
        <v>36.188699189220799</v>
      </c>
      <c r="CD17" s="202">
        <f>('Expenditure DATA'!AX19/'Expenditure DATA'!S19)*100</f>
        <v>36.309175394795155</v>
      </c>
      <c r="CE17" s="202">
        <f>('Expenditure DATA'!AY19/'Expenditure DATA'!T19)*100</f>
        <v>35.599345777499785</v>
      </c>
      <c r="CF17" s="202">
        <f>('Expenditure DATA'!AZ19/'Expenditure DATA'!U19)*100</f>
        <v>35.537707439767715</v>
      </c>
      <c r="CG17" s="202">
        <f>('Expenditure DATA'!BA19/'Expenditure DATA'!V19)*100</f>
        <v>35.485281685531731</v>
      </c>
      <c r="CH17" s="202">
        <f>('Expenditure DATA'!BB19/'Expenditure DATA'!W19)*100</f>
        <v>35.503265727241818</v>
      </c>
      <c r="CI17" s="202">
        <f>('Expenditure DATA'!BC19/'Expenditure DATA'!X19)*100</f>
        <v>35.520005401975524</v>
      </c>
      <c r="CJ17" s="202">
        <f>('Expenditure DATA'!BD19/'Expenditure DATA'!Y19)*100</f>
        <v>35.171339123299774</v>
      </c>
      <c r="CK17" s="202">
        <f>('Expenditure DATA'!BE19/'Expenditure DATA'!Z19)*100</f>
        <v>36.844906675602729</v>
      </c>
      <c r="CL17" s="202">
        <f>('Expenditure DATA'!BF19/'Expenditure DATA'!AA19)*100</f>
        <v>36.873120168292104</v>
      </c>
      <c r="CM17" s="202">
        <f>('Expenditure DATA'!BG19/'Expenditure DATA'!AB19)*100</f>
        <v>36.690399265349477</v>
      </c>
      <c r="CN17" s="202">
        <f>('Expenditure DATA'!BH19/'Expenditure DATA'!AC19)*100</f>
        <v>36.716108331366776</v>
      </c>
      <c r="CO17" s="202">
        <f>('Expenditure DATA'!BI19/'Expenditure DATA'!AD19)*100</f>
        <v>35.457330047743426</v>
      </c>
      <c r="CP17" s="202">
        <f>('Expenditure DATA'!BJ19/'Expenditure DATA'!AE19)*100</f>
        <v>34.291290606533359</v>
      </c>
      <c r="CQ17" s="464">
        <f>('Expenditure DATA'!BK19/'Expenditure DATA'!AF19)*100</f>
        <v>35.570901205940011</v>
      </c>
      <c r="CR17" s="203">
        <f>('Expenditure DATA'!FA19/'Expenditure DATA'!B19)*100</f>
        <v>24.976091114588769</v>
      </c>
      <c r="CS17" s="202">
        <f>('Expenditure DATA'!FB19/'Expenditure DATA'!C19)*100</f>
        <v>24.810089083560804</v>
      </c>
      <c r="CT17" s="202">
        <f>('Expenditure DATA'!FC19/'Expenditure DATA'!D19)*100</f>
        <v>24.019929705302999</v>
      </c>
      <c r="CU17" s="202">
        <f>('Expenditure DATA'!FD19/'Expenditure DATA'!E19)*100</f>
        <v>23.482809888818675</v>
      </c>
      <c r="CV17" s="202">
        <f>('Expenditure DATA'!FE19/'Expenditure DATA'!F19)*100</f>
        <v>23.377119143388335</v>
      </c>
      <c r="CW17" s="202">
        <f>('Expenditure DATA'!FF19/'Expenditure DATA'!G19)*100</f>
        <v>23.078649281534052</v>
      </c>
      <c r="CX17" s="202">
        <f>('Expenditure DATA'!FG19/'Expenditure DATA'!H19)*100</f>
        <v>23.079927490017312</v>
      </c>
      <c r="CY17" s="202">
        <f>('Expenditure DATA'!FH19/'Expenditure DATA'!I19)*100</f>
        <v>24.408439423685781</v>
      </c>
      <c r="CZ17" s="202">
        <f>('Expenditure DATA'!FI19/'Expenditure DATA'!J19)*100</f>
        <v>26.350512775507127</v>
      </c>
      <c r="DA17" s="202">
        <f>('Expenditure DATA'!FJ19/'Expenditure DATA'!K19)*100</f>
        <v>29.203592659938206</v>
      </c>
      <c r="DB17" s="202">
        <f>('Expenditure DATA'!FK19/'Expenditure DATA'!L19)*100</f>
        <v>31.586557813623724</v>
      </c>
      <c r="DC17" s="202">
        <f>('Expenditure DATA'!FL19/'Expenditure DATA'!M19)*100</f>
        <v>33.081724255928854</v>
      </c>
      <c r="DD17" s="202">
        <f>('Expenditure DATA'!FM19/'Expenditure DATA'!N19)*100</f>
        <v>35.916784697015565</v>
      </c>
      <c r="DE17" s="202">
        <f>('Expenditure DATA'!FN19/'Expenditure DATA'!O19)*100</f>
        <v>34.86431725678414</v>
      </c>
      <c r="DF17" s="202">
        <f>('Expenditure DATA'!FO19/'Expenditure DATA'!P19)*100</f>
        <v>35.171898851817382</v>
      </c>
      <c r="DG17" s="202">
        <f>('Expenditure DATA'!FP19/'Expenditure DATA'!Q19)*100</f>
        <v>33.45173264391709</v>
      </c>
      <c r="DH17" s="202">
        <f>('Expenditure DATA'!FQ19/'Expenditure DATA'!R19)*100</f>
        <v>33.811497641661411</v>
      </c>
      <c r="DI17" s="202">
        <f>('Expenditure DATA'!FR19/'Expenditure DATA'!S19)*100</f>
        <v>33.108526434491864</v>
      </c>
      <c r="DJ17" s="202">
        <f>('Expenditure DATA'!FS19/'Expenditure DATA'!T19)*100</f>
        <v>32.288045266447682</v>
      </c>
      <c r="DK17" s="202">
        <f>('Expenditure DATA'!FT19/'Expenditure DATA'!U19)*100</f>
        <v>32.07728188310076</v>
      </c>
      <c r="DL17" s="202">
        <f>('Expenditure DATA'!FU19/'Expenditure DATA'!V19)*100</f>
        <v>31.898019596935324</v>
      </c>
      <c r="DM17" s="202">
        <f>('Expenditure DATA'!FV19/'Expenditure DATA'!W19)*100</f>
        <v>32.496857404264389</v>
      </c>
      <c r="DN17" s="202">
        <f>('Expenditure DATA'!FW19/'Expenditure DATA'!X19)*100</f>
        <v>33.054259921147725</v>
      </c>
      <c r="DO17" s="202">
        <f>('Expenditure DATA'!FX19/'Expenditure DATA'!Y19)*100</f>
        <v>34.53737765317512</v>
      </c>
      <c r="DP17" s="202">
        <f>('Expenditure DATA'!FY19/'Expenditure DATA'!Z19)*100</f>
        <v>33.522097318960817</v>
      </c>
      <c r="DQ17" s="202">
        <f>('Expenditure DATA'!FZ19/'Expenditure DATA'!AA19)*100</f>
        <v>33.512924403062897</v>
      </c>
      <c r="DR17" s="202">
        <f>('Expenditure DATA'!GA19/'Expenditure DATA'!AB19)*100</f>
        <v>33.282602850835794</v>
      </c>
      <c r="DS17" s="202">
        <f>('Expenditure DATA'!GB19/'Expenditure DATA'!AC19)*100</f>
        <v>34.023834556535839</v>
      </c>
      <c r="DT17" s="202">
        <f>('Expenditure DATA'!GC19/'Expenditure DATA'!AD19)*100</f>
        <v>34.87981538451168</v>
      </c>
      <c r="DU17" s="202">
        <f>('Expenditure DATA'!GD19/'Expenditure DATA'!AE19)*100</f>
        <v>36.627451511651628</v>
      </c>
      <c r="DV17" s="464">
        <f>('Expenditure DATA'!GE19/'Expenditure DATA'!AF19)*100</f>
        <v>35.461749266893214</v>
      </c>
      <c r="DW17" s="203">
        <f>('Expenditure DATA'!GF19/'Expenditure DATA'!B19)*100</f>
        <v>19.574856546687531</v>
      </c>
      <c r="DX17" s="202">
        <f>('Expenditure DATA'!GG19/'Expenditure DATA'!C19)*100</f>
        <v>21.138830698914493</v>
      </c>
      <c r="DY17" s="202">
        <f>('Expenditure DATA'!GH19/'Expenditure DATA'!D19)*100</f>
        <v>22.391950870959022</v>
      </c>
      <c r="DZ17" s="202">
        <f>('Expenditure DATA'!GI19/'Expenditure DATA'!E19)*100</f>
        <v>22.272520797260444</v>
      </c>
      <c r="EA17" s="202">
        <f>('Expenditure DATA'!GJ19/'Expenditure DATA'!F19)*100</f>
        <v>22.064070241436173</v>
      </c>
      <c r="EB17" s="202">
        <f>('Expenditure DATA'!GK19/'Expenditure DATA'!G19)*100</f>
        <v>21.565116255697419</v>
      </c>
      <c r="EC17" s="202">
        <f>('Expenditure DATA'!GL19/'Expenditure DATA'!H19)*100</f>
        <v>23.038821744198103</v>
      </c>
      <c r="ED17" s="202">
        <f>('Expenditure DATA'!GM19/'Expenditure DATA'!I19)*100</f>
        <v>22.59835247923251</v>
      </c>
      <c r="EE17" s="202">
        <f>('Expenditure DATA'!GN19/'Expenditure DATA'!J19)*100</f>
        <v>20.782728617637471</v>
      </c>
      <c r="EF17" s="202">
        <f>('Expenditure DATA'!GO19/'Expenditure DATA'!K19)*100</f>
        <v>20.093885891303163</v>
      </c>
      <c r="EG17" s="202">
        <f>('Expenditure DATA'!GP19/'Expenditure DATA'!L19)*100</f>
        <v>19.518546861302006</v>
      </c>
      <c r="EH17" s="202">
        <f>('Expenditure DATA'!GQ19/'Expenditure DATA'!M19)*100</f>
        <v>20.514515215612036</v>
      </c>
      <c r="EI17" s="202">
        <f>('Expenditure DATA'!GR19/'Expenditure DATA'!N19)*100</f>
        <v>18.688800998805903</v>
      </c>
      <c r="EJ17" s="202">
        <f>('Expenditure DATA'!GS19/'Expenditure DATA'!O19)*100</f>
        <v>18.584194070790296</v>
      </c>
      <c r="EK17" s="202">
        <f>('Expenditure DATA'!GT19/'Expenditure DATA'!P19)*100</f>
        <v>18.741088587759258</v>
      </c>
      <c r="EL17" s="202">
        <f>('Expenditure DATA'!GU19/'Expenditure DATA'!Q19)*100</f>
        <v>19.251105539132819</v>
      </c>
      <c r="EM17" s="202">
        <f>('Expenditure DATA'!GV19/'Expenditure DATA'!R19)*100</f>
        <v>19.483023687893709</v>
      </c>
      <c r="EN17" s="202">
        <f>('Expenditure DATA'!GW19/'Expenditure DATA'!S19)*100</f>
        <v>19.911299982887453</v>
      </c>
      <c r="EO17" s="202">
        <f>('Expenditure DATA'!GX19/'Expenditure DATA'!T19)*100</f>
        <v>20.902859034853993</v>
      </c>
      <c r="EP17" s="202">
        <f>('Expenditure DATA'!GY19/'Expenditure DATA'!U19)*100</f>
        <v>19.902427699012541</v>
      </c>
      <c r="EQ17" s="202">
        <f>('Expenditure DATA'!GZ19/'Expenditure DATA'!V19)*100</f>
        <v>19.05152273835683</v>
      </c>
      <c r="ER17" s="202">
        <f>('Expenditure DATA'!HA19/'Expenditure DATA'!W19)*100</f>
        <v>19.050967761220889</v>
      </c>
      <c r="ES17" s="202">
        <f>('Expenditure DATA'!HB19/'Expenditure DATA'!X19)*100</f>
        <v>19.050451184530843</v>
      </c>
      <c r="ET17" s="202">
        <f>('Expenditure DATA'!HC19/'Expenditure DATA'!Y19)*100</f>
        <v>18.202546259591969</v>
      </c>
      <c r="EU17" s="202">
        <f>('Expenditure DATA'!HD19/'Expenditure DATA'!Z19)*100</f>
        <v>17.68494609086282</v>
      </c>
      <c r="EV17" s="202">
        <f>('Expenditure DATA'!HE19/'Expenditure DATA'!AA19)*100</f>
        <v>17.685520302985413</v>
      </c>
      <c r="EW17" s="202">
        <f>('Expenditure DATA'!HF19/'Expenditure DATA'!AB19)*100</f>
        <v>17.430192272857152</v>
      </c>
      <c r="EX17" s="202">
        <f>('Expenditure DATA'!HG19/'Expenditure DATA'!AC19)*100</f>
        <v>17.217450572061136</v>
      </c>
      <c r="EY17" s="202">
        <f>('Expenditure DATA'!HH19/'Expenditure DATA'!AD19)*100</f>
        <v>18.274895631506187</v>
      </c>
      <c r="EZ17" s="202">
        <f>('Expenditure DATA'!HI19/'Expenditure DATA'!AE19)*100</f>
        <v>17.64770509737243</v>
      </c>
      <c r="FA17" s="464">
        <f>('Expenditure DATA'!HJ19/'Expenditure DATA'!AF19)*100</f>
        <v>18.309645519342332</v>
      </c>
      <c r="FB17" s="203">
        <f>('Expenditure DATA'!HK19/'Expenditure DATA'!B19)*100</f>
        <v>4.7317857763867144</v>
      </c>
      <c r="FC17" s="202">
        <f>('Expenditure DATA'!HL19/'Expenditure DATA'!C19)*100</f>
        <v>4.4795700289891878</v>
      </c>
      <c r="FD17" s="202">
        <f>('Expenditure DATA'!HM19/'Expenditure DATA'!D19)*100</f>
        <v>4.3760380054845314</v>
      </c>
      <c r="FE17" s="202">
        <f>('Expenditure DATA'!HN19/'Expenditure DATA'!E19)*100</f>
        <v>4.3600578618924457</v>
      </c>
      <c r="FF17" s="202">
        <f>('Expenditure DATA'!HO19/'Expenditure DATA'!F19)*100</f>
        <v>4.3097786641187286</v>
      </c>
      <c r="FG17" s="202">
        <f>('Expenditure DATA'!HP19/'Expenditure DATA'!G19)*100</f>
        <v>4.2769282068219328</v>
      </c>
      <c r="FH17" s="202">
        <f>('Expenditure DATA'!HQ19/'Expenditure DATA'!H19)*100</f>
        <v>4.4899639020926738</v>
      </c>
      <c r="FI17" s="202">
        <f>('Expenditure DATA'!HR19/'Expenditure DATA'!I19)*100</f>
        <v>5.057663226862279</v>
      </c>
      <c r="FJ17" s="202">
        <f>('Expenditure DATA'!HS19/'Expenditure DATA'!J19)*100</f>
        <v>4.8547930092023766</v>
      </c>
      <c r="FK17" s="202">
        <f>('Expenditure DATA'!HT19/'Expenditure DATA'!K19)*100</f>
        <v>4.7474089287911037</v>
      </c>
      <c r="FL17" s="202">
        <f>('Expenditure DATA'!HU19/'Expenditure DATA'!L19)*100</f>
        <v>4.6577190035012412</v>
      </c>
      <c r="FM17" s="202">
        <f>('Expenditure DATA'!HV19/'Expenditure DATA'!M19)*100</f>
        <v>4.5788316186961824</v>
      </c>
      <c r="FN17" s="202">
        <f>('Expenditure DATA'!HW19/'Expenditure DATA'!N19)*100</f>
        <v>4.267911334560039</v>
      </c>
      <c r="FO17" s="202">
        <f>('Expenditure DATA'!HX19/'Expenditure DATA'!O19)*100</f>
        <v>4.4607077769646111</v>
      </c>
      <c r="FP17" s="202">
        <f>('Expenditure DATA'!HY19/'Expenditure DATA'!P19)*100</f>
        <v>4.2015411210693765</v>
      </c>
      <c r="FQ17" s="202">
        <f>('Expenditure DATA'!HZ19/'Expenditure DATA'!Q19)*100</f>
        <v>4.7183932124420656</v>
      </c>
      <c r="FR17" s="202">
        <f>('Expenditure DATA'!IA19/'Expenditure DATA'!R19)*100</f>
        <v>4.2941820306057972</v>
      </c>
      <c r="FS17" s="202">
        <f>('Expenditure DATA'!IB19/'Expenditure DATA'!S19)*100</f>
        <v>4.4733998674874833</v>
      </c>
      <c r="FT17" s="202">
        <f>('Expenditure DATA'!IC19/'Expenditure DATA'!T19)*100</f>
        <v>4.472458577277318</v>
      </c>
      <c r="FU17" s="202">
        <f>('Expenditure DATA'!ID19/'Expenditure DATA'!U19)*100</f>
        <v>4.9844755149663715</v>
      </c>
      <c r="FV17" s="202">
        <f>('Expenditure DATA'!IE19/'Expenditure DATA'!V19)*100</f>
        <v>5.4199654247790363</v>
      </c>
      <c r="FW17" s="202">
        <f>('Expenditure DATA'!IF19/'Expenditure DATA'!W19)*100</f>
        <v>5.6949616890809249</v>
      </c>
      <c r="FX17" s="202">
        <f>('Expenditure DATA'!IG19/'Expenditure DATA'!X19)*100</f>
        <v>5.9509301800134882</v>
      </c>
      <c r="FY17" s="202">
        <f>('Expenditure DATA'!IH19/'Expenditure DATA'!Y19)*100</f>
        <v>5.747568776921729</v>
      </c>
      <c r="FZ17" s="202">
        <f>('Expenditure DATA'!II19/'Expenditure DATA'!Z19)*100</f>
        <v>5.7517325673768358</v>
      </c>
      <c r="GA17" s="202">
        <f>('Expenditure DATA'!IJ19/'Expenditure DATA'!AA19)*100</f>
        <v>5.7460523775025178</v>
      </c>
      <c r="GB17" s="202">
        <f>('Expenditure DATA'!IK19/'Expenditure DATA'!AB19)*100</f>
        <v>5.9645812344620124</v>
      </c>
      <c r="GC17" s="202">
        <f>('Expenditure DATA'!IL19/'Expenditure DATA'!AC19)*100</f>
        <v>5.6525350835932384</v>
      </c>
      <c r="GD17" s="202">
        <f>('Expenditure DATA'!IM19/'Expenditure DATA'!AD19)*100</f>
        <v>5.1213277224547706</v>
      </c>
      <c r="GE17" s="202">
        <f>('Expenditure DATA'!IN19/'Expenditure DATA'!AE19)*100</f>
        <v>4.653701551456825</v>
      </c>
      <c r="GF17" s="464">
        <f>('Expenditure DATA'!IO19/'Expenditure DATA'!AF19)*100</f>
        <v>4.109286483317236</v>
      </c>
      <c r="GG17" s="203">
        <f>('Expenditure DATA'!IP19/'Expenditure DATA'!B19)*100</f>
        <v>6.3315075639019298</v>
      </c>
      <c r="GH17" s="202">
        <f>('Expenditure DATA'!IQ19/'Expenditure DATA'!C19)*100</f>
        <v>7.4102287394993551</v>
      </c>
      <c r="GI17" s="202">
        <f>('Expenditure DATA'!IR19/'Expenditure DATA'!D19)*100</f>
        <v>7.9931250241396619</v>
      </c>
      <c r="GJ17" s="202">
        <f>('Expenditure DATA'!IS19/'Expenditure DATA'!E19)*100</f>
        <v>8.3871416526844929</v>
      </c>
      <c r="GK17" s="202">
        <f>('Expenditure DATA'!IT19/'Expenditure DATA'!F19)*100</f>
        <v>9.1241061637640843</v>
      </c>
      <c r="GL17" s="202">
        <f>('Expenditure DATA'!IU19/'Expenditure DATA'!G19)*100</f>
        <v>9.0285107896207411</v>
      </c>
      <c r="GM17" s="202">
        <f>('Expenditure DATA'!IV19/'Expenditure DATA'!H19)*100</f>
        <v>8.2490472854310859</v>
      </c>
      <c r="GN17" s="202">
        <f>('Expenditure DATA'!IW19/'Expenditure DATA'!I19)*100</f>
        <v>7.8201663712617773</v>
      </c>
      <c r="GO17" s="202">
        <f>('Expenditure DATA'!IX19/'Expenditure DATA'!J19)*100</f>
        <v>8.0155161605777181</v>
      </c>
      <c r="GP17" s="202">
        <f>('Expenditure DATA'!IY19/'Expenditure DATA'!K19)*100</f>
        <v>7.7928758921909864</v>
      </c>
      <c r="GQ17" s="202">
        <f>('Expenditure DATA'!IZ19/'Expenditure DATA'!L19)*100</f>
        <v>7.6069210564123315</v>
      </c>
      <c r="GR17" s="202">
        <f>('Expenditure DATA'!JA19/'Expenditure DATA'!M19)*100</f>
        <v>6.6491073947854487</v>
      </c>
      <c r="GS17" s="202">
        <f>('Expenditure DATA'!JB19/'Expenditure DATA'!N19)*100</f>
        <v>7.3475194525784255</v>
      </c>
      <c r="GT17" s="202">
        <f>('Expenditure DATA'!JC19/'Expenditure DATA'!O19)*100</f>
        <v>7.4287566285621676</v>
      </c>
      <c r="GU17" s="202">
        <f>('Expenditure DATA'!JD19/'Expenditure DATA'!P19)*100</f>
        <v>6.2806306674486905</v>
      </c>
      <c r="GV17" s="202">
        <f>('Expenditure DATA'!JE19/'Expenditure DATA'!Q19)*100</f>
        <v>6.9095835057062169</v>
      </c>
      <c r="GW17" s="202">
        <f>('Expenditure DATA'!JF19/'Expenditure DATA'!R19)*100</f>
        <v>6.2225974506182959</v>
      </c>
      <c r="GX17" s="202">
        <f>('Expenditure DATA'!JG19/'Expenditure DATA'!S19)*100</f>
        <v>6.197598320338038</v>
      </c>
      <c r="GY17" s="202">
        <f>('Expenditure DATA'!JH19/'Expenditure DATA'!T19)*100</f>
        <v>6.7372913439212105</v>
      </c>
      <c r="GZ17" s="202">
        <f>('Expenditure DATA'!JI19/'Expenditure DATA'!U19)*100</f>
        <v>7.4981074631526159</v>
      </c>
      <c r="HA17" s="202">
        <f>('Expenditure DATA'!JJ19/'Expenditure DATA'!V19)*100</f>
        <v>8.1452105543970728</v>
      </c>
      <c r="HB17" s="202">
        <f>('Expenditure DATA'!JK19/'Expenditure DATA'!W19)*100</f>
        <v>7.2539474181919754</v>
      </c>
      <c r="HC17" s="202">
        <f>('Expenditure DATA'!JL19/'Expenditure DATA'!X19)*100</f>
        <v>6.4243533123324248</v>
      </c>
      <c r="HD17" s="202">
        <f>('Expenditure DATA'!JM19/'Expenditure DATA'!Y19)*100</f>
        <v>6.3411681870114016</v>
      </c>
      <c r="HE17" s="202">
        <f>('Expenditure DATA'!JN19/'Expenditure DATA'!Z19)*100</f>
        <v>6.1963173471968034</v>
      </c>
      <c r="HF17" s="202">
        <f>('Expenditure DATA'!JO19/'Expenditure DATA'!AA19)*100</f>
        <v>6.1823827481570559</v>
      </c>
      <c r="HG17" s="202">
        <f>('Expenditure DATA'!JP19/'Expenditure DATA'!AB19)*100</f>
        <v>6.6322243764955573</v>
      </c>
      <c r="HH17" s="202">
        <f>('Expenditure DATA'!JQ19/'Expenditure DATA'!AC19)*100</f>
        <v>6.3900714564430245</v>
      </c>
      <c r="HI17" s="202">
        <f>('Expenditure DATA'!JR19/'Expenditure DATA'!AD19)*100</f>
        <v>6.2666340701231853</v>
      </c>
      <c r="HJ17" s="202">
        <f>('Expenditure DATA'!JS19/'Expenditure DATA'!AE19)*100</f>
        <v>6.7798512329857559</v>
      </c>
      <c r="HK17" s="464">
        <f>('Expenditure DATA'!JT19/'Expenditure DATA'!AF19)*100</f>
        <v>6.5484175245072089</v>
      </c>
      <c r="HL17" s="203">
        <f t="shared" si="1"/>
        <v>99.995652929925228</v>
      </c>
      <c r="HM17" s="204">
        <f t="shared" si="2"/>
        <v>100.00423199813791</v>
      </c>
      <c r="HN17" s="204">
        <f t="shared" si="3"/>
        <v>100.00579351898342</v>
      </c>
      <c r="HO17" s="204">
        <f t="shared" si="4"/>
        <v>99.999999999999986</v>
      </c>
      <c r="HP17" s="204">
        <f t="shared" si="5"/>
        <v>100</v>
      </c>
      <c r="HQ17" s="204">
        <f t="shared" si="6"/>
        <v>100.00000000000001</v>
      </c>
      <c r="HR17" s="204">
        <f t="shared" si="7"/>
        <v>100</v>
      </c>
      <c r="HS17" s="204">
        <f t="shared" si="8"/>
        <v>99.999999999999986</v>
      </c>
      <c r="HT17" s="204">
        <f t="shared" si="9"/>
        <v>100</v>
      </c>
      <c r="HU17" s="204">
        <f t="shared" si="10"/>
        <v>100</v>
      </c>
      <c r="HV17" s="204">
        <f t="shared" si="11"/>
        <v>100</v>
      </c>
      <c r="HW17" s="204">
        <f t="shared" si="12"/>
        <v>99.999999999999986</v>
      </c>
      <c r="HX17" s="204">
        <f t="shared" si="13"/>
        <v>100</v>
      </c>
      <c r="HY17" s="204">
        <f t="shared" si="14"/>
        <v>100</v>
      </c>
      <c r="HZ17" s="204">
        <f t="shared" si="15"/>
        <v>100.00000000000001</v>
      </c>
      <c r="IA17" s="204">
        <f t="shared" si="16"/>
        <v>100.00000000000003</v>
      </c>
      <c r="IB17" s="204">
        <f t="shared" si="17"/>
        <v>100</v>
      </c>
      <c r="IC17" s="204">
        <f t="shared" si="18"/>
        <v>100</v>
      </c>
      <c r="ID17" s="204">
        <f t="shared" si="19"/>
        <v>100</v>
      </c>
      <c r="IE17" s="204">
        <f t="shared" si="20"/>
        <v>100.00000000000001</v>
      </c>
      <c r="IF17" s="204">
        <f t="shared" si="21"/>
        <v>100</v>
      </c>
      <c r="IG17" s="204">
        <f t="shared" si="22"/>
        <v>99.999999999999986</v>
      </c>
      <c r="IH17" s="204">
        <f t="shared" si="23"/>
        <v>100.00000000000001</v>
      </c>
      <c r="II17" s="204">
        <f t="shared" si="24"/>
        <v>99.999999999999986</v>
      </c>
      <c r="IJ17" s="204">
        <f t="shared" si="25"/>
        <v>100</v>
      </c>
      <c r="IK17" s="204">
        <f t="shared" si="26"/>
        <v>99.999999999999986</v>
      </c>
      <c r="IL17" s="204">
        <f t="shared" si="27"/>
        <v>100</v>
      </c>
      <c r="IM17" s="204">
        <f t="shared" si="28"/>
        <v>100.00000000000001</v>
      </c>
      <c r="IN17" s="204">
        <f t="shared" si="29"/>
        <v>100.00000285633925</v>
      </c>
      <c r="IO17" s="204">
        <f t="shared" si="30"/>
        <v>100</v>
      </c>
      <c r="IP17" s="204">
        <f t="shared" si="31"/>
        <v>100.00000000000001</v>
      </c>
    </row>
    <row r="18" spans="1:250" s="164" customFormat="1">
      <c r="A18" s="168" t="s">
        <v>36</v>
      </c>
      <c r="B18" s="62"/>
      <c r="C18" s="202">
        <f>('Expenditure DATA'!CQ20/'Expenditure DATA'!B20)*100</f>
        <v>9.3845982462561874</v>
      </c>
      <c r="D18" s="202">
        <f>('Expenditure DATA'!CR20/'Expenditure DATA'!C20)*100</f>
        <v>10.150789680554563</v>
      </c>
      <c r="E18" s="202">
        <f>('Expenditure DATA'!CS20/'Expenditure DATA'!D20)*100</f>
        <v>9.8807382237324273</v>
      </c>
      <c r="F18" s="202">
        <f>('Expenditure DATA'!CT20/'Expenditure DATA'!E20)*100</f>
        <v>10.448256629833356</v>
      </c>
      <c r="G18" s="202">
        <f>('Expenditure DATA'!CU20/'Expenditure DATA'!F20)*100</f>
        <v>10.689737920624152</v>
      </c>
      <c r="H18" s="202">
        <f>('Expenditure DATA'!CV20/'Expenditure DATA'!G20)*100</f>
        <v>10.052199713349189</v>
      </c>
      <c r="I18" s="202">
        <f>('Expenditure DATA'!CW20/'Expenditure DATA'!H20)*100</f>
        <v>9.6260631687468585</v>
      </c>
      <c r="J18" s="202">
        <f>('Expenditure DATA'!CX20/'Expenditure DATA'!I20)*100</f>
        <v>10.892239683843554</v>
      </c>
      <c r="K18" s="202">
        <f>('Expenditure DATA'!CY20/'Expenditure DATA'!J20)*100</f>
        <v>10.795843125845431</v>
      </c>
      <c r="L18" s="202">
        <f>('Expenditure DATA'!CZ20/'Expenditure DATA'!K20)*100</f>
        <v>10.354680422974088</v>
      </c>
      <c r="M18" s="202">
        <f>('Expenditure DATA'!DA20/'Expenditure DATA'!L20)*100</f>
        <v>9.9836364110642641</v>
      </c>
      <c r="N18" s="202">
        <f>('Expenditure DATA'!DB20/'Expenditure DATA'!M20)*100</f>
        <v>9.654947198973602</v>
      </c>
      <c r="O18" s="202">
        <f>('Expenditure DATA'!DC20/'Expenditure DATA'!N20)*100</f>
        <v>9.8488353054686062</v>
      </c>
      <c r="P18" s="202">
        <f>('Expenditure DATA'!DD20/'Expenditure DATA'!O20)*100</f>
        <v>10.118289766361752</v>
      </c>
      <c r="Q18" s="202">
        <f>('Expenditure DATA'!DE20/'Expenditure DATA'!P20)*100</f>
        <v>9.4917742955716644</v>
      </c>
      <c r="R18" s="202">
        <f>('Expenditure DATA'!DF20/'Expenditure DATA'!Q20)*100</f>
        <v>9.3721412421186283</v>
      </c>
      <c r="S18" s="202">
        <f>('Expenditure DATA'!DG20/'Expenditure DATA'!R20)*100</f>
        <v>9.0978560839706528</v>
      </c>
      <c r="T18" s="202">
        <f>('Expenditure DATA'!DH20/'Expenditure DATA'!S20)*100</f>
        <v>9.1205951402057224</v>
      </c>
      <c r="U18" s="202">
        <f>('Expenditure DATA'!DI20/'Expenditure DATA'!T20)*100</f>
        <v>9.4152037574016632</v>
      </c>
      <c r="V18" s="202">
        <f>('Expenditure DATA'!DJ20/'Expenditure DATA'!U20)*100</f>
        <v>9.8427483771544146</v>
      </c>
      <c r="W18" s="202">
        <f>('Expenditure DATA'!DK20/'Expenditure DATA'!V20)*100</f>
        <v>10.215948519186076</v>
      </c>
      <c r="X18" s="202">
        <f>('Expenditure DATA'!DL20/'Expenditure DATA'!W20)*100</f>
        <v>9.3044265551813119</v>
      </c>
      <c r="Y18" s="202">
        <f>('Expenditure DATA'!DM20/'Expenditure DATA'!X20)*100</f>
        <v>8.4687705266240343</v>
      </c>
      <c r="Z18" s="202">
        <f>('Expenditure DATA'!DN20/'Expenditure DATA'!Y20)*100</f>
        <v>8.0708524347624522</v>
      </c>
      <c r="AA18" s="202">
        <f>('Expenditure DATA'!DO20/'Expenditure DATA'!Z20)*100</f>
        <v>8.3796217919060396</v>
      </c>
      <c r="AB18" s="202">
        <f>('Expenditure DATA'!DP20/'Expenditure DATA'!AA20)*100</f>
        <v>8.3803708321942096</v>
      </c>
      <c r="AC18" s="202">
        <f>('Expenditure DATA'!DQ20/'Expenditure DATA'!AB20)*100</f>
        <v>8.3241519107680482</v>
      </c>
      <c r="AD18" s="202">
        <f>('Expenditure DATA'!DR20/'Expenditure DATA'!AC20)*100</f>
        <v>8.3455267597895393</v>
      </c>
      <c r="AE18" s="202">
        <f>('Expenditure DATA'!DS20/'Expenditure DATA'!AD20)*100</f>
        <v>8.1770589390684325</v>
      </c>
      <c r="AF18" s="202">
        <f>('Expenditure DATA'!DT20/'Expenditure DATA'!AE20)*100</f>
        <v>7.9025711236583636</v>
      </c>
      <c r="AG18" s="464">
        <f>('Expenditure DATA'!DU20/'Expenditure DATA'!AF20)*100</f>
        <v>8.8795335329476117</v>
      </c>
      <c r="AH18" s="203">
        <f>('Expenditure DATA'!BL20/'Expenditure DATA'!B20)*100</f>
        <v>22.442191702340981</v>
      </c>
      <c r="AI18" s="202">
        <f>('Expenditure DATA'!BM20/'Expenditure DATA'!C20)*100</f>
        <v>21.758021868076895</v>
      </c>
      <c r="AJ18" s="202">
        <f>('Expenditure DATA'!BN20/'Expenditure DATA'!D20)*100</f>
        <v>21.53641148644147</v>
      </c>
      <c r="AK18" s="202">
        <f>('Expenditure DATA'!BO20/'Expenditure DATA'!E20)*100</f>
        <v>21.842011758819023</v>
      </c>
      <c r="AL18" s="202">
        <f>('Expenditure DATA'!BP20/'Expenditure DATA'!F20)*100</f>
        <v>20.46153433722694</v>
      </c>
      <c r="AM18" s="202">
        <f>('Expenditure DATA'!BQ20/'Expenditure DATA'!G20)*100</f>
        <v>20.802051227753555</v>
      </c>
      <c r="AN18" s="202">
        <f>('Expenditure DATA'!BR20/'Expenditure DATA'!H20)*100</f>
        <v>21.210970665638143</v>
      </c>
      <c r="AO18" s="202">
        <f>('Expenditure DATA'!BS20/'Expenditure DATA'!I20)*100</f>
        <v>21.018289085745696</v>
      </c>
      <c r="AP18" s="202">
        <f>('Expenditure DATA'!BT20/'Expenditure DATA'!J20)*100</f>
        <v>20.967366374717557</v>
      </c>
      <c r="AQ18" s="202">
        <f>('Expenditure DATA'!BU20/'Expenditure DATA'!K20)*100</f>
        <v>20.170218121861275</v>
      </c>
      <c r="AR18" s="202">
        <f>('Expenditure DATA'!BV20/'Expenditure DATA'!L20)*100</f>
        <v>19.49976913807</v>
      </c>
      <c r="AS18" s="202">
        <f>('Expenditure DATA'!BW20/'Expenditure DATA'!M20)*100</f>
        <v>20.257165415624701</v>
      </c>
      <c r="AT18" s="202">
        <f>('Expenditure DATA'!BX20/'Expenditure DATA'!N20)*100</f>
        <v>21.223959104992339</v>
      </c>
      <c r="AU18" s="202">
        <f>('Expenditure DATA'!BY20/'Expenditure DATA'!O20)*100</f>
        <v>20.816306768105907</v>
      </c>
      <c r="AV18" s="202">
        <f>('Expenditure DATA'!BZ20/'Expenditure DATA'!P20)*100</f>
        <v>21.298400466385665</v>
      </c>
      <c r="AW18" s="202">
        <f>('Expenditure DATA'!CA20/'Expenditure DATA'!Q20)*100</f>
        <v>21.791406093154635</v>
      </c>
      <c r="AX18" s="202">
        <f>('Expenditure DATA'!CB20/'Expenditure DATA'!R20)*100</f>
        <v>22.316370787444111</v>
      </c>
      <c r="AY18" s="202">
        <f>('Expenditure DATA'!CC20/'Expenditure DATA'!S20)*100</f>
        <v>22.885661506933712</v>
      </c>
      <c r="AZ18" s="202">
        <f>('Expenditure DATA'!CD20/'Expenditure DATA'!T20)*100</f>
        <v>22.550646045770641</v>
      </c>
      <c r="BA18" s="202">
        <f>('Expenditure DATA'!CE20/'Expenditure DATA'!U20)*100</f>
        <v>21.856375570048058</v>
      </c>
      <c r="BB18" s="202">
        <f>('Expenditure DATA'!CF20/'Expenditure DATA'!V20)*100</f>
        <v>21.250352647112216</v>
      </c>
      <c r="BC18" s="202">
        <f>('Expenditure DATA'!CG20/'Expenditure DATA'!W20)*100</f>
        <v>21.195721197979456</v>
      </c>
      <c r="BD18" s="202">
        <f>('Expenditure DATA'!CH20/'Expenditure DATA'!X20)*100</f>
        <v>21.145636722103486</v>
      </c>
      <c r="BE18" s="202">
        <f>('Expenditure DATA'!CI20/'Expenditure DATA'!Y20)*100</f>
        <v>20.637548110581282</v>
      </c>
      <c r="BF18" s="202">
        <f>('Expenditure DATA'!CJ20/'Expenditure DATA'!Z20)*100</f>
        <v>21.268686673829979</v>
      </c>
      <c r="BG18" s="202">
        <f>('Expenditure DATA'!CK20/'Expenditure DATA'!AA20)*100</f>
        <v>21.270801521203271</v>
      </c>
      <c r="BH18" s="202">
        <f>('Expenditure DATA'!CL20/'Expenditure DATA'!AB20)*100</f>
        <v>22.095315303527965</v>
      </c>
      <c r="BI18" s="202">
        <f>('Expenditure DATA'!CM20/'Expenditure DATA'!AC20)*100</f>
        <v>21.130253416524017</v>
      </c>
      <c r="BJ18" s="202">
        <f>('Expenditure DATA'!CN20/'Expenditure DATA'!AD20)*100</f>
        <v>21.121766553887749</v>
      </c>
      <c r="BK18" s="202">
        <f>('Expenditure DATA'!CO20/'Expenditure DATA'!AE20)*100</f>
        <v>20.469907973833202</v>
      </c>
      <c r="BL18" s="464">
        <f>('Expenditure DATA'!CP20/'Expenditure DATA'!AF20)*100</f>
        <v>20.828875567531842</v>
      </c>
      <c r="BM18" s="203">
        <f>('Expenditure DATA'!AG20/'Expenditure DATA'!B20)*100</f>
        <v>35.00803666629534</v>
      </c>
      <c r="BN18" s="202">
        <f>('Expenditure DATA'!AH20/'Expenditure DATA'!C20)*100</f>
        <v>35.044665189737728</v>
      </c>
      <c r="BO18" s="202">
        <f>('Expenditure DATA'!AI20/'Expenditure DATA'!D20)*100</f>
        <v>34.294090212539146</v>
      </c>
      <c r="BP18" s="202">
        <f>('Expenditure DATA'!AJ20/'Expenditure DATA'!E20)*100</f>
        <v>35.457766074998645</v>
      </c>
      <c r="BQ18" s="202">
        <f>('Expenditure DATA'!AK20/'Expenditure DATA'!F20)*100</f>
        <v>34.321304923483716</v>
      </c>
      <c r="BR18" s="202">
        <f>('Expenditure DATA'!AL20/'Expenditure DATA'!G20)*100</f>
        <v>34.03908479932808</v>
      </c>
      <c r="BS18" s="202">
        <f>('Expenditure DATA'!AM20/'Expenditure DATA'!H20)*100</f>
        <v>33.384337119686251</v>
      </c>
      <c r="BT18" s="202">
        <f>('Expenditure DATA'!AN20/'Expenditure DATA'!I20)*100</f>
        <v>34.439829489191233</v>
      </c>
      <c r="BU18" s="202">
        <f>('Expenditure DATA'!AO20/'Expenditure DATA'!J20)*100</f>
        <v>34.244501394252211</v>
      </c>
      <c r="BV18" s="202">
        <f>('Expenditure DATA'!AP20/'Expenditure DATA'!K20)*100</f>
        <v>32.826611909946294</v>
      </c>
      <c r="BW18" s="202">
        <f>('Expenditure DATA'!AQ20/'Expenditure DATA'!L20)*100</f>
        <v>31.634082715439465</v>
      </c>
      <c r="BX18" s="202">
        <f>('Expenditure DATA'!AR20/'Expenditure DATA'!M20)*100</f>
        <v>31.409767158401547</v>
      </c>
      <c r="BY18" s="202">
        <f>('Expenditure DATA'!AS20/'Expenditure DATA'!N20)*100</f>
        <v>32.56996249090858</v>
      </c>
      <c r="BZ18" s="202">
        <f>('Expenditure DATA'!AT20/'Expenditure DATA'!O20)*100</f>
        <v>32.41158063301657</v>
      </c>
      <c r="CA18" s="202">
        <f>('Expenditure DATA'!AU20/'Expenditure DATA'!P20)*100</f>
        <v>32.272100690442024</v>
      </c>
      <c r="CB18" s="202">
        <f>('Expenditure DATA'!AV20/'Expenditure DATA'!Q20)*100</f>
        <v>32.674047596386394</v>
      </c>
      <c r="CC18" s="202">
        <f>('Expenditure DATA'!AW20/'Expenditure DATA'!R20)*100</f>
        <v>32.858778102792677</v>
      </c>
      <c r="CD18" s="202">
        <f>('Expenditure DATA'!AX20/'Expenditure DATA'!S20)*100</f>
        <v>33.520211689102766</v>
      </c>
      <c r="CE18" s="202">
        <f>('Expenditure DATA'!AY20/'Expenditure DATA'!T20)*100</f>
        <v>33.48268491606521</v>
      </c>
      <c r="CF18" s="202">
        <f>('Expenditure DATA'!AZ20/'Expenditure DATA'!U20)*100</f>
        <v>33.242483782424777</v>
      </c>
      <c r="CG18" s="202">
        <f>('Expenditure DATA'!BA20/'Expenditure DATA'!V20)*100</f>
        <v>33.032814210994744</v>
      </c>
      <c r="CH18" s="202">
        <f>('Expenditure DATA'!BB20/'Expenditure DATA'!W20)*100</f>
        <v>32.124400033621114</v>
      </c>
      <c r="CI18" s="202">
        <f>('Expenditure DATA'!BC20/'Expenditure DATA'!X20)*100</f>
        <v>31.291593130741912</v>
      </c>
      <c r="CJ18" s="202">
        <f>('Expenditure DATA'!BD20/'Expenditure DATA'!Y20)*100</f>
        <v>30.659847273540962</v>
      </c>
      <c r="CK18" s="202">
        <f>('Expenditure DATA'!BE20/'Expenditure DATA'!Z20)*100</f>
        <v>32.068360552093381</v>
      </c>
      <c r="CL18" s="202">
        <f>('Expenditure DATA'!BF20/'Expenditure DATA'!AA20)*100</f>
        <v>32.071464213715281</v>
      </c>
      <c r="CM18" s="202">
        <f>('Expenditure DATA'!BG20/'Expenditure DATA'!AB20)*100</f>
        <v>33.019491129272936</v>
      </c>
      <c r="CN18" s="202">
        <f>('Expenditure DATA'!BH20/'Expenditure DATA'!AC20)*100</f>
        <v>32.068046978445061</v>
      </c>
      <c r="CO18" s="202">
        <f>('Expenditure DATA'!BI20/'Expenditure DATA'!AD20)*100</f>
        <v>31.56186858858921</v>
      </c>
      <c r="CP18" s="202">
        <f>('Expenditure DATA'!BJ20/'Expenditure DATA'!AE20)*100</f>
        <v>30.607653983533694</v>
      </c>
      <c r="CQ18" s="464">
        <f>('Expenditure DATA'!BK20/'Expenditure DATA'!AF20)*100</f>
        <v>32.182582559603453</v>
      </c>
      <c r="CR18" s="203">
        <f>('Expenditure DATA'!FA20/'Expenditure DATA'!B20)*100</f>
        <v>23.863328930407246</v>
      </c>
      <c r="CS18" s="202">
        <f>('Expenditure DATA'!FB20/'Expenditure DATA'!C20)*100</f>
        <v>24.300721789466159</v>
      </c>
      <c r="CT18" s="202">
        <f>('Expenditure DATA'!FC20/'Expenditure DATA'!D20)*100</f>
        <v>25.719235125591311</v>
      </c>
      <c r="CU18" s="202">
        <f>('Expenditure DATA'!FD20/'Expenditure DATA'!E20)*100</f>
        <v>24.027045500631779</v>
      </c>
      <c r="CV18" s="202">
        <f>('Expenditure DATA'!FE20/'Expenditure DATA'!F20)*100</f>
        <v>24.48788260993814</v>
      </c>
      <c r="CW18" s="202">
        <f>('Expenditure DATA'!FF20/'Expenditure DATA'!G20)*100</f>
        <v>25.308429193413158</v>
      </c>
      <c r="CX18" s="202">
        <f>('Expenditure DATA'!FG20/'Expenditure DATA'!H20)*100</f>
        <v>26.416929477885759</v>
      </c>
      <c r="CY18" s="202">
        <f>('Expenditure DATA'!FH20/'Expenditure DATA'!I20)*100</f>
        <v>23.49512076945096</v>
      </c>
      <c r="CZ18" s="202">
        <f>('Expenditure DATA'!FI20/'Expenditure DATA'!J20)*100</f>
        <v>23.948965898127643</v>
      </c>
      <c r="DA18" s="202">
        <f>('Expenditure DATA'!FJ20/'Expenditure DATA'!K20)*100</f>
        <v>27.27576565610071</v>
      </c>
      <c r="DB18" s="202">
        <f>('Expenditure DATA'!FK20/'Expenditure DATA'!L20)*100</f>
        <v>30.073801666363657</v>
      </c>
      <c r="DC18" s="202">
        <f>('Expenditure DATA'!FL20/'Expenditure DATA'!M20)*100</f>
        <v>31.844209540449491</v>
      </c>
      <c r="DD18" s="202">
        <f>('Expenditure DATA'!FM20/'Expenditure DATA'!N20)*100</f>
        <v>31.612922305551226</v>
      </c>
      <c r="DE18" s="202">
        <f>('Expenditure DATA'!FN20/'Expenditure DATA'!O20)*100</f>
        <v>31.823764473181516</v>
      </c>
      <c r="DF18" s="202">
        <f>('Expenditure DATA'!FO20/'Expenditure DATA'!P20)*100</f>
        <v>32.114693025767103</v>
      </c>
      <c r="DG18" s="202">
        <f>('Expenditure DATA'!FP20/'Expenditure DATA'!Q20)*100</f>
        <v>31.018605882399203</v>
      </c>
      <c r="DH18" s="202">
        <f>('Expenditure DATA'!FQ20/'Expenditure DATA'!R20)*100</f>
        <v>30.787406683479663</v>
      </c>
      <c r="DI18" s="202">
        <f>('Expenditure DATA'!FR20/'Expenditure DATA'!S20)*100</f>
        <v>30.489314684578705</v>
      </c>
      <c r="DJ18" s="202">
        <f>('Expenditure DATA'!FS20/'Expenditure DATA'!T20)*100</f>
        <v>30.453121944537187</v>
      </c>
      <c r="DK18" s="202">
        <f>('Expenditure DATA'!FT20/'Expenditure DATA'!U20)*100</f>
        <v>32.339596406914367</v>
      </c>
      <c r="DL18" s="202">
        <f>('Expenditure DATA'!FU20/'Expenditure DATA'!V20)*100</f>
        <v>33.98628427239472</v>
      </c>
      <c r="DM18" s="202">
        <f>('Expenditure DATA'!FV20/'Expenditure DATA'!W20)*100</f>
        <v>35.473227735197796</v>
      </c>
      <c r="DN18" s="202">
        <f>('Expenditure DATA'!FW20/'Expenditure DATA'!X20)*100</f>
        <v>36.836412954954845</v>
      </c>
      <c r="DO18" s="202">
        <f>('Expenditure DATA'!FX20/'Expenditure DATA'!Y20)*100</f>
        <v>37.311593936072228</v>
      </c>
      <c r="DP18" s="202">
        <f>('Expenditure DATA'!FY20/'Expenditure DATA'!Z20)*100</f>
        <v>33.711484384510506</v>
      </c>
      <c r="DQ18" s="202">
        <f>('Expenditure DATA'!FZ20/'Expenditure DATA'!AA20)*100</f>
        <v>33.71187545426055</v>
      </c>
      <c r="DR18" s="202">
        <f>('Expenditure DATA'!GA20/'Expenditure DATA'!AB20)*100</f>
        <v>33.811025565914186</v>
      </c>
      <c r="DS18" s="202">
        <f>('Expenditure DATA'!GB20/'Expenditure DATA'!AC20)*100</f>
        <v>33.436195881965794</v>
      </c>
      <c r="DT18" s="202">
        <f>('Expenditure DATA'!GC20/'Expenditure DATA'!AD20)*100</f>
        <v>33.890357695263887</v>
      </c>
      <c r="DU18" s="202">
        <f>('Expenditure DATA'!GD20/'Expenditure DATA'!AE20)*100</f>
        <v>34.464847025572595</v>
      </c>
      <c r="DV18" s="464">
        <f>('Expenditure DATA'!GE20/'Expenditure DATA'!AF20)*100</f>
        <v>34.2360939461676</v>
      </c>
      <c r="DW18" s="203">
        <f>('Expenditure DATA'!GF20/'Expenditure DATA'!B20)*100</f>
        <v>27.598389483902796</v>
      </c>
      <c r="DX18" s="202">
        <f>('Expenditure DATA'!GG20/'Expenditure DATA'!C20)*100</f>
        <v>26.654755949403274</v>
      </c>
      <c r="DY18" s="202">
        <f>('Expenditure DATA'!GH20/'Expenditure DATA'!D20)*100</f>
        <v>26.019055233526551</v>
      </c>
      <c r="DZ18" s="202">
        <f>('Expenditure DATA'!GI20/'Expenditure DATA'!E20)*100</f>
        <v>27.029632479372911</v>
      </c>
      <c r="EA18" s="202">
        <f>('Expenditure DATA'!GJ20/'Expenditure DATA'!F20)*100</f>
        <v>26.895264953912445</v>
      </c>
      <c r="EB18" s="202">
        <f>('Expenditure DATA'!GK20/'Expenditure DATA'!G20)*100</f>
        <v>26.267362107665665</v>
      </c>
      <c r="EC18" s="202">
        <f>('Expenditure DATA'!GL20/'Expenditure DATA'!H20)*100</f>
        <v>26.176216152764553</v>
      </c>
      <c r="ED18" s="202">
        <f>('Expenditure DATA'!GM20/'Expenditure DATA'!I20)*100</f>
        <v>27.629362187687633</v>
      </c>
      <c r="EE18" s="202">
        <f>('Expenditure DATA'!GN20/'Expenditure DATA'!J20)*100</f>
        <v>27.320880469637544</v>
      </c>
      <c r="EF18" s="202">
        <f>('Expenditure DATA'!GO20/'Expenditure DATA'!K20)*100</f>
        <v>26.112252475470061</v>
      </c>
      <c r="EG18" s="202">
        <f>('Expenditure DATA'!GP20/'Expenditure DATA'!L20)*100</f>
        <v>25.095724611841451</v>
      </c>
      <c r="EH18" s="202">
        <f>('Expenditure DATA'!GQ20/'Expenditure DATA'!M20)*100</f>
        <v>24.022043187868594</v>
      </c>
      <c r="EI18" s="202">
        <f>('Expenditure DATA'!GR20/'Expenditure DATA'!N20)*100</f>
        <v>23.798344273242904</v>
      </c>
      <c r="EJ18" s="202">
        <f>('Expenditure DATA'!GS20/'Expenditure DATA'!O20)*100</f>
        <v>24.171505551850611</v>
      </c>
      <c r="EK18" s="202">
        <f>('Expenditure DATA'!GT20/'Expenditure DATA'!P20)*100</f>
        <v>23.779926642881797</v>
      </c>
      <c r="EL18" s="202">
        <f>('Expenditure DATA'!GU20/'Expenditure DATA'!Q20)*100</f>
        <v>24.642335760923316</v>
      </c>
      <c r="EM18" s="202">
        <f>('Expenditure DATA'!GV20/'Expenditure DATA'!R20)*100</f>
        <v>24.778899357454385</v>
      </c>
      <c r="EN18" s="202">
        <f>('Expenditure DATA'!GW20/'Expenditure DATA'!S20)*100</f>
        <v>24.140801120235881</v>
      </c>
      <c r="EO18" s="202">
        <f>('Expenditure DATA'!GX20/'Expenditure DATA'!T20)*100</f>
        <v>24.198181269828481</v>
      </c>
      <c r="EP18" s="202">
        <f>('Expenditure DATA'!GY20/'Expenditure DATA'!U20)*100</f>
        <v>22.47893741046304</v>
      </c>
      <c r="EQ18" s="202">
        <f>('Expenditure DATA'!GZ20/'Expenditure DATA'!V20)*100</f>
        <v>20.978223747235816</v>
      </c>
      <c r="ER18" s="202">
        <f>('Expenditure DATA'!HA20/'Expenditure DATA'!W20)*100</f>
        <v>20.63237592897487</v>
      </c>
      <c r="ES18" s="202">
        <f>('Expenditure DATA'!HB20/'Expenditure DATA'!X20)*100</f>
        <v>20.315313010355361</v>
      </c>
      <c r="ET18" s="202">
        <f>('Expenditure DATA'!HC20/'Expenditure DATA'!Y20)*100</f>
        <v>20.237161620868083</v>
      </c>
      <c r="EU18" s="202">
        <f>('Expenditure DATA'!HD20/'Expenditure DATA'!Z20)*100</f>
        <v>22.471882862423865</v>
      </c>
      <c r="EV18" s="202">
        <f>('Expenditure DATA'!HE20/'Expenditure DATA'!AA20)*100</f>
        <v>22.474755893995869</v>
      </c>
      <c r="EW18" s="202">
        <f>('Expenditure DATA'!HF20/'Expenditure DATA'!AB20)*100</f>
        <v>21.373093048986622</v>
      </c>
      <c r="EX18" s="202">
        <f>('Expenditure DATA'!HG20/'Expenditure DATA'!AC20)*100</f>
        <v>22.090104378408956</v>
      </c>
      <c r="EY18" s="202">
        <f>('Expenditure DATA'!HH20/'Expenditure DATA'!AD20)*100</f>
        <v>21.894027526622587</v>
      </c>
      <c r="EZ18" s="202">
        <f>('Expenditure DATA'!HI20/'Expenditure DATA'!AE20)*100</f>
        <v>22.537497162984351</v>
      </c>
      <c r="FA18" s="464">
        <f>('Expenditure DATA'!HJ20/'Expenditure DATA'!AF20)*100</f>
        <v>21.802083247063088</v>
      </c>
      <c r="FB18" s="203">
        <f>('Expenditure DATA'!HK20/'Expenditure DATA'!B20)*100</f>
        <v>4.0549357862405913</v>
      </c>
      <c r="FC18" s="202">
        <f>('Expenditure DATA'!HL20/'Expenditure DATA'!C20)*100</f>
        <v>4.0663188737225759</v>
      </c>
      <c r="FD18" s="202">
        <f>('Expenditure DATA'!HM20/'Expenditure DATA'!D20)*100</f>
        <v>4.220134585915118</v>
      </c>
      <c r="FE18" s="202">
        <f>('Expenditure DATA'!HN20/'Expenditure DATA'!E20)*100</f>
        <v>4.0849226888433634</v>
      </c>
      <c r="FF18" s="202">
        <f>('Expenditure DATA'!HO20/'Expenditure DATA'!F20)*100</f>
        <v>4.4304331210868559</v>
      </c>
      <c r="FG18" s="202">
        <f>('Expenditure DATA'!HP20/'Expenditure DATA'!G20)*100</f>
        <v>4.7401380631014458</v>
      </c>
      <c r="FH18" s="202">
        <f>('Expenditure DATA'!HQ20/'Expenditure DATA'!H20)*100</f>
        <v>4.2121004105943021</v>
      </c>
      <c r="FI18" s="202">
        <f>('Expenditure DATA'!HR20/'Expenditure DATA'!I20)*100</f>
        <v>4.2672527968656864</v>
      </c>
      <c r="FJ18" s="202">
        <f>('Expenditure DATA'!HS20/'Expenditure DATA'!J20)*100</f>
        <v>4.4054969054402289</v>
      </c>
      <c r="FK18" s="202">
        <f>('Expenditure DATA'!HT20/'Expenditure DATA'!K20)*100</f>
        <v>4.2397632323246857</v>
      </c>
      <c r="FL18" s="202">
        <f>('Expenditure DATA'!HU20/'Expenditure DATA'!L20)*100</f>
        <v>4.1003713785231275</v>
      </c>
      <c r="FM18" s="202">
        <f>('Expenditure DATA'!HV20/'Expenditure DATA'!M20)*100</f>
        <v>4.0447255753019622</v>
      </c>
      <c r="FN18" s="202">
        <f>('Expenditure DATA'!HW20/'Expenditure DATA'!N20)*100</f>
        <v>4.2614692422312928</v>
      </c>
      <c r="FO18" s="202">
        <f>('Expenditure DATA'!HX20/'Expenditure DATA'!O20)*100</f>
        <v>4.662189571131206</v>
      </c>
      <c r="FP18" s="202">
        <f>('Expenditure DATA'!HY20/'Expenditure DATA'!P20)*100</f>
        <v>4.9551424200940337</v>
      </c>
      <c r="FQ18" s="202">
        <f>('Expenditure DATA'!HZ20/'Expenditure DATA'!Q20)*100</f>
        <v>4.3992088006027661</v>
      </c>
      <c r="FR18" s="202">
        <f>('Expenditure DATA'!IA20/'Expenditure DATA'!R20)*100</f>
        <v>4.3067658454272202</v>
      </c>
      <c r="FS18" s="202">
        <f>('Expenditure DATA'!IB20/'Expenditure DATA'!S20)*100</f>
        <v>4.618486672128622</v>
      </c>
      <c r="FT18" s="202">
        <f>('Expenditure DATA'!IC20/'Expenditure DATA'!T20)*100</f>
        <v>4.5575960897673253</v>
      </c>
      <c r="FU18" s="202">
        <f>('Expenditure DATA'!ID20/'Expenditure DATA'!U20)*100</f>
        <v>4.4231262831072131</v>
      </c>
      <c r="FV18" s="202">
        <f>('Expenditure DATA'!IE20/'Expenditure DATA'!V20)*100</f>
        <v>4.3057487074671661</v>
      </c>
      <c r="FW18" s="202">
        <f>('Expenditure DATA'!IF20/'Expenditure DATA'!W20)*100</f>
        <v>4.2407337755003054</v>
      </c>
      <c r="FX18" s="202">
        <f>('Expenditure DATA'!IG20/'Expenditure DATA'!X20)*100</f>
        <v>4.1811300336380146</v>
      </c>
      <c r="FY18" s="202">
        <f>('Expenditure DATA'!IH20/'Expenditure DATA'!Y20)*100</f>
        <v>4.3989316653896982</v>
      </c>
      <c r="FZ18" s="202">
        <f>('Expenditure DATA'!II20/'Expenditure DATA'!Z20)*100</f>
        <v>4.7725168096097681</v>
      </c>
      <c r="GA18" s="202">
        <f>('Expenditure DATA'!IJ20/'Expenditure DATA'!AA20)*100</f>
        <v>4.7733448245970838</v>
      </c>
      <c r="GB18" s="202">
        <f>('Expenditure DATA'!IK20/'Expenditure DATA'!AB20)*100</f>
        <v>4.7325819559965483</v>
      </c>
      <c r="GC18" s="202">
        <f>('Expenditure DATA'!IL20/'Expenditure DATA'!AC20)*100</f>
        <v>4.9667644902980337</v>
      </c>
      <c r="GD18" s="202">
        <f>('Expenditure DATA'!IM20/'Expenditure DATA'!AD20)*100</f>
        <v>4.8267008175465973</v>
      </c>
      <c r="GE18" s="202">
        <f>('Expenditure DATA'!IN20/'Expenditure DATA'!AE20)*100</f>
        <v>4.526456533401876</v>
      </c>
      <c r="GF18" s="464">
        <f>('Expenditure DATA'!IO20/'Expenditure DATA'!AF20)*100</f>
        <v>4.6081200139929859</v>
      </c>
      <c r="GG18" s="203">
        <f>('Expenditure DATA'!IP20/'Expenditure DATA'!B20)*100</f>
        <v>9.4769005522224177</v>
      </c>
      <c r="GH18" s="202">
        <f>('Expenditure DATA'!IQ20/'Expenditure DATA'!C20)*100</f>
        <v>9.9321089115986556</v>
      </c>
      <c r="GI18" s="202">
        <f>('Expenditure DATA'!IR20/'Expenditure DATA'!D20)*100</f>
        <v>9.7461523086148301</v>
      </c>
      <c r="GJ18" s="202">
        <f>('Expenditure DATA'!IS20/'Expenditure DATA'!E20)*100</f>
        <v>9.4006332561533075</v>
      </c>
      <c r="GK18" s="202">
        <f>('Expenditure DATA'!IT20/'Expenditure DATA'!F20)*100</f>
        <v>9.8651143915788531</v>
      </c>
      <c r="GL18" s="202">
        <f>('Expenditure DATA'!IU20/'Expenditure DATA'!G20)*100</f>
        <v>9.6449858364916583</v>
      </c>
      <c r="GM18" s="202">
        <f>('Expenditure DATA'!IV20/'Expenditure DATA'!H20)*100</f>
        <v>9.8104168390691235</v>
      </c>
      <c r="GN18" s="202">
        <f>('Expenditure DATA'!IW20/'Expenditure DATA'!I20)*100</f>
        <v>10.168434756804494</v>
      </c>
      <c r="GO18" s="202">
        <f>('Expenditure DATA'!IX20/'Expenditure DATA'!J20)*100</f>
        <v>10.080155332542375</v>
      </c>
      <c r="GP18" s="202">
        <f>('Expenditure DATA'!IY20/'Expenditure DATA'!K20)*100</f>
        <v>9.54560672615826</v>
      </c>
      <c r="GQ18" s="202">
        <f>('Expenditure DATA'!IZ20/'Expenditure DATA'!L20)*100</f>
        <v>9.0960196278322947</v>
      </c>
      <c r="GR18" s="202">
        <f>('Expenditure DATA'!JA20/'Expenditure DATA'!M20)*100</f>
        <v>8.6792545379784034</v>
      </c>
      <c r="GS18" s="202">
        <f>('Expenditure DATA'!JB20/'Expenditure DATA'!N20)*100</f>
        <v>7.7573016880659873</v>
      </c>
      <c r="GT18" s="202">
        <f>('Expenditure DATA'!JC20/'Expenditure DATA'!O20)*100</f>
        <v>6.9309597708201025</v>
      </c>
      <c r="GU18" s="202">
        <f>('Expenditure DATA'!JD20/'Expenditure DATA'!P20)*100</f>
        <v>6.8781372208150398</v>
      </c>
      <c r="GV18" s="202">
        <f>('Expenditure DATA'!JE20/'Expenditure DATA'!Q20)*100</f>
        <v>7.2658019596883143</v>
      </c>
      <c r="GW18" s="202">
        <f>('Expenditure DATA'!JF20/'Expenditure DATA'!R20)*100</f>
        <v>7.2681500108460417</v>
      </c>
      <c r="GX18" s="202">
        <f>('Expenditure DATA'!JG20/'Expenditure DATA'!S20)*100</f>
        <v>7.2311858339540223</v>
      </c>
      <c r="GY18" s="202">
        <f>('Expenditure DATA'!JH20/'Expenditure DATA'!T20)*100</f>
        <v>7.3084157798017895</v>
      </c>
      <c r="GZ18" s="202">
        <f>('Expenditure DATA'!JI20/'Expenditure DATA'!U20)*100</f>
        <v>7.5158561170905998</v>
      </c>
      <c r="HA18" s="202">
        <f>('Expenditure DATA'!JJ20/'Expenditure DATA'!V20)*100</f>
        <v>7.6969290619075634</v>
      </c>
      <c r="HB18" s="202">
        <f>('Expenditure DATA'!JK20/'Expenditure DATA'!W20)*100</f>
        <v>7.5292625267059208</v>
      </c>
      <c r="HC18" s="202">
        <f>('Expenditure DATA'!JL20/'Expenditure DATA'!X20)*100</f>
        <v>7.3755508703098602</v>
      </c>
      <c r="HD18" s="202">
        <f>('Expenditure DATA'!JM20/'Expenditure DATA'!Y20)*100</f>
        <v>7.3924655041290253</v>
      </c>
      <c r="HE18" s="202">
        <f>('Expenditure DATA'!JN20/'Expenditure DATA'!Z20)*100</f>
        <v>6.9757553913624735</v>
      </c>
      <c r="HF18" s="202">
        <f>('Expenditure DATA'!JO20/'Expenditure DATA'!AA20)*100</f>
        <v>6.9685596134312204</v>
      </c>
      <c r="HG18" s="202">
        <f>('Expenditure DATA'!JP20/'Expenditure DATA'!AB20)*100</f>
        <v>7.0638082998297147</v>
      </c>
      <c r="HH18" s="202">
        <f>('Expenditure DATA'!JQ20/'Expenditure DATA'!AC20)*100</f>
        <v>7.4388882708821473</v>
      </c>
      <c r="HI18" s="202">
        <f>('Expenditure DATA'!JR20/'Expenditure DATA'!AD20)*100</f>
        <v>7.8270453719777189</v>
      </c>
      <c r="HJ18" s="202">
        <f>('Expenditure DATA'!JS20/'Expenditure DATA'!AE20)*100</f>
        <v>7.8635452945074835</v>
      </c>
      <c r="HK18" s="464">
        <f>('Expenditure DATA'!JT20/'Expenditure DATA'!AF20)*100</f>
        <v>7.1711202331728705</v>
      </c>
      <c r="HL18" s="203">
        <f t="shared" si="1"/>
        <v>100.00159141906839</v>
      </c>
      <c r="HM18" s="204">
        <f t="shared" si="2"/>
        <v>99.998570713928402</v>
      </c>
      <c r="HN18" s="204">
        <f t="shared" si="3"/>
        <v>99.998667466186944</v>
      </c>
      <c r="HO18" s="204">
        <f t="shared" si="4"/>
        <v>100.00000000000001</v>
      </c>
      <c r="HP18" s="204">
        <f t="shared" si="5"/>
        <v>100</v>
      </c>
      <c r="HQ18" s="204">
        <f t="shared" si="6"/>
        <v>100</v>
      </c>
      <c r="HR18" s="204">
        <f t="shared" si="7"/>
        <v>99.999999999999986</v>
      </c>
      <c r="HS18" s="204">
        <f t="shared" si="8"/>
        <v>100</v>
      </c>
      <c r="HT18" s="204">
        <f t="shared" si="9"/>
        <v>100</v>
      </c>
      <c r="HU18" s="204">
        <f t="shared" si="10"/>
        <v>100.00000000000001</v>
      </c>
      <c r="HV18" s="204">
        <f t="shared" si="11"/>
        <v>99.999999999999986</v>
      </c>
      <c r="HW18" s="204">
        <f t="shared" si="12"/>
        <v>100</v>
      </c>
      <c r="HX18" s="204">
        <f t="shared" si="13"/>
        <v>99.999999999999986</v>
      </c>
      <c r="HY18" s="204">
        <f t="shared" si="14"/>
        <v>100</v>
      </c>
      <c r="HZ18" s="204">
        <f t="shared" si="15"/>
        <v>100</v>
      </c>
      <c r="IA18" s="204">
        <f t="shared" si="16"/>
        <v>100</v>
      </c>
      <c r="IB18" s="204">
        <f t="shared" si="17"/>
        <v>100</v>
      </c>
      <c r="IC18" s="204">
        <f t="shared" si="18"/>
        <v>100</v>
      </c>
      <c r="ID18" s="204">
        <f t="shared" si="19"/>
        <v>100</v>
      </c>
      <c r="IE18" s="204">
        <f t="shared" si="20"/>
        <v>99.999999999999972</v>
      </c>
      <c r="IF18" s="204">
        <f t="shared" si="21"/>
        <v>100</v>
      </c>
      <c r="IG18" s="204">
        <f t="shared" si="22"/>
        <v>100</v>
      </c>
      <c r="IH18" s="204">
        <f t="shared" si="23"/>
        <v>99.999999999999986</v>
      </c>
      <c r="II18" s="204">
        <f t="shared" si="24"/>
        <v>99.999999999999986</v>
      </c>
      <c r="IJ18" s="204">
        <f t="shared" si="25"/>
        <v>100</v>
      </c>
      <c r="IK18" s="204">
        <f t="shared" si="26"/>
        <v>100.00000000000003</v>
      </c>
      <c r="IL18" s="204">
        <f t="shared" si="27"/>
        <v>100.00000000000001</v>
      </c>
      <c r="IM18" s="204">
        <f t="shared" si="28"/>
        <v>99.999999999999986</v>
      </c>
      <c r="IN18" s="204">
        <f t="shared" si="29"/>
        <v>99.999999999999986</v>
      </c>
      <c r="IO18" s="204">
        <f t="shared" si="30"/>
        <v>100</v>
      </c>
      <c r="IP18" s="204">
        <f t="shared" si="31"/>
        <v>100</v>
      </c>
    </row>
    <row r="19" spans="1:250" s="164" customFormat="1">
      <c r="A19" s="168" t="s">
        <v>37</v>
      </c>
      <c r="B19" s="62"/>
      <c r="C19" s="202">
        <f>('Expenditure DATA'!CQ21/'Expenditure DATA'!B21)*100</f>
        <v>12.321686051101775</v>
      </c>
      <c r="D19" s="202">
        <f>('Expenditure DATA'!CR21/'Expenditure DATA'!C21)*100</f>
        <v>12.481946307491594</v>
      </c>
      <c r="E19" s="202">
        <f>('Expenditure DATA'!CS21/'Expenditure DATA'!D21)*100</f>
        <v>12.63325581082716</v>
      </c>
      <c r="F19" s="202">
        <f>('Expenditure DATA'!CT21/'Expenditure DATA'!E21)*100</f>
        <v>12.756116721859604</v>
      </c>
      <c r="G19" s="202">
        <f>('Expenditure DATA'!CU21/'Expenditure DATA'!F21)*100</f>
        <v>11.791081939381682</v>
      </c>
      <c r="H19" s="202">
        <f>('Expenditure DATA'!CV21/'Expenditure DATA'!G21)*100</f>
        <v>11.064206461313288</v>
      </c>
      <c r="I19" s="202">
        <f>('Expenditure DATA'!CW21/'Expenditure DATA'!H21)*100</f>
        <v>10.913137105680606</v>
      </c>
      <c r="J19" s="202">
        <f>('Expenditure DATA'!CX21/'Expenditure DATA'!I21)*100</f>
        <v>11.356186797533798</v>
      </c>
      <c r="K19" s="202">
        <f>('Expenditure DATA'!CY21/'Expenditure DATA'!J21)*100</f>
        <v>10.675021217910723</v>
      </c>
      <c r="L19" s="202">
        <f>('Expenditure DATA'!CZ21/'Expenditure DATA'!K21)*100</f>
        <v>10.475780626634352</v>
      </c>
      <c r="M19" s="202">
        <f>('Expenditure DATA'!DA21/'Expenditure DATA'!L21)*100</f>
        <v>10.306617002567826</v>
      </c>
      <c r="N19" s="202">
        <f>('Expenditure DATA'!DB21/'Expenditure DATA'!M21)*100</f>
        <v>10.391255670199611</v>
      </c>
      <c r="O19" s="202">
        <f>('Expenditure DATA'!DC21/'Expenditure DATA'!N21)*100</f>
        <v>10.167627465455482</v>
      </c>
      <c r="P19" s="202">
        <f>('Expenditure DATA'!DD21/'Expenditure DATA'!O21)*100</f>
        <v>10.180180145716895</v>
      </c>
      <c r="Q19" s="202">
        <f>('Expenditure DATA'!DE21/'Expenditure DATA'!P21)*100</f>
        <v>9.8044899778627173</v>
      </c>
      <c r="R19" s="202">
        <f>('Expenditure DATA'!DF21/'Expenditure DATA'!Q21)*100</f>
        <v>10.160065419154686</v>
      </c>
      <c r="S19" s="202">
        <f>('Expenditure DATA'!DG21/'Expenditure DATA'!R21)*100</f>
        <v>10.265899106119273</v>
      </c>
      <c r="T19" s="202">
        <f>('Expenditure DATA'!DH21/'Expenditure DATA'!S21)*100</f>
        <v>10.275771535173305</v>
      </c>
      <c r="U19" s="202">
        <f>('Expenditure DATA'!DI21/'Expenditure DATA'!T21)*100</f>
        <v>10.228922390426078</v>
      </c>
      <c r="V19" s="202">
        <f>('Expenditure DATA'!DJ21/'Expenditure DATA'!U21)*100</f>
        <v>10.742925419705708</v>
      </c>
      <c r="W19" s="202">
        <f>('Expenditure DATA'!DK21/'Expenditure DATA'!V21)*100</f>
        <v>11.183967013470976</v>
      </c>
      <c r="X19" s="202">
        <f>('Expenditure DATA'!DL21/'Expenditure DATA'!W21)*100</f>
        <v>11.225581554771949</v>
      </c>
      <c r="Y19" s="202">
        <f>('Expenditure DATA'!DM21/'Expenditure DATA'!X21)*100</f>
        <v>11.263018766698893</v>
      </c>
      <c r="Z19" s="202">
        <f>('Expenditure DATA'!DN21/'Expenditure DATA'!Y21)*100</f>
        <v>11.386923825758846</v>
      </c>
      <c r="AA19" s="202">
        <f>('Expenditure DATA'!DO21/'Expenditure DATA'!Z21)*100</f>
        <v>11.082680298050075</v>
      </c>
      <c r="AB19" s="202">
        <f>('Expenditure DATA'!DP21/'Expenditure DATA'!AA21)*100</f>
        <v>11.095018030209614</v>
      </c>
      <c r="AC19" s="202">
        <f>('Expenditure DATA'!DQ21/'Expenditure DATA'!AB21)*100</f>
        <v>11.510767239278609</v>
      </c>
      <c r="AD19" s="202">
        <f>('Expenditure DATA'!DR21/'Expenditure DATA'!AC21)*100</f>
        <v>12.031925315631115</v>
      </c>
      <c r="AE19" s="202">
        <f>('Expenditure DATA'!DS21/'Expenditure DATA'!AD21)*100</f>
        <v>12.976418379000487</v>
      </c>
      <c r="AF19" s="202">
        <f>('Expenditure DATA'!DT21/'Expenditure DATA'!AE21)*100</f>
        <v>13.37679415118772</v>
      </c>
      <c r="AG19" s="464">
        <f>('Expenditure DATA'!DU21/'Expenditure DATA'!AF21)*100</f>
        <v>13.0072124338664</v>
      </c>
      <c r="AH19" s="203">
        <f>('Expenditure DATA'!BL21/'Expenditure DATA'!B21)*100</f>
        <v>28.484108087443953</v>
      </c>
      <c r="AI19" s="202">
        <f>('Expenditure DATA'!BM21/'Expenditure DATA'!C21)*100</f>
        <v>30.309990628617626</v>
      </c>
      <c r="AJ19" s="202">
        <f>('Expenditure DATA'!BN21/'Expenditure DATA'!D21)*100</f>
        <v>29.504819390484897</v>
      </c>
      <c r="AK19" s="202">
        <f>('Expenditure DATA'!BO21/'Expenditure DATA'!E21)*100</f>
        <v>29.552161365187629</v>
      </c>
      <c r="AL19" s="202">
        <f>('Expenditure DATA'!BP21/'Expenditure DATA'!F21)*100</f>
        <v>29.508008214267363</v>
      </c>
      <c r="AM19" s="202">
        <f>('Expenditure DATA'!BQ21/'Expenditure DATA'!G21)*100</f>
        <v>28.644300217473301</v>
      </c>
      <c r="AN19" s="202">
        <f>('Expenditure DATA'!BR21/'Expenditure DATA'!H21)*100</f>
        <v>28.291708456270698</v>
      </c>
      <c r="AO19" s="202">
        <f>('Expenditure DATA'!BS21/'Expenditure DATA'!I21)*100</f>
        <v>28.592296777378923</v>
      </c>
      <c r="AP19" s="202">
        <f>('Expenditure DATA'!BT21/'Expenditure DATA'!J21)*100</f>
        <v>29.512663998808392</v>
      </c>
      <c r="AQ19" s="202">
        <f>('Expenditure DATA'!BU21/'Expenditure DATA'!K21)*100</f>
        <v>28.751083815109684</v>
      </c>
      <c r="AR19" s="202">
        <f>('Expenditure DATA'!BV21/'Expenditure DATA'!L21)*100</f>
        <v>28.104470275838377</v>
      </c>
      <c r="AS19" s="202">
        <f>('Expenditure DATA'!BW21/'Expenditure DATA'!M21)*100</f>
        <v>27.76477608971652</v>
      </c>
      <c r="AT19" s="202">
        <f>('Expenditure DATA'!BX21/'Expenditure DATA'!N21)*100</f>
        <v>27.22676882714125</v>
      </c>
      <c r="AU19" s="202">
        <f>('Expenditure DATA'!BY21/'Expenditure DATA'!O21)*100</f>
        <v>26.874884722301832</v>
      </c>
      <c r="AV19" s="202">
        <f>('Expenditure DATA'!BZ21/'Expenditure DATA'!P21)*100</f>
        <v>27.817231704599504</v>
      </c>
      <c r="AW19" s="202">
        <f>('Expenditure DATA'!CA21/'Expenditure DATA'!Q21)*100</f>
        <v>28.655617190607053</v>
      </c>
      <c r="AX19" s="202">
        <f>('Expenditure DATA'!CB21/'Expenditure DATA'!R21)*100</f>
        <v>29.20467798758089</v>
      </c>
      <c r="AY19" s="202">
        <f>('Expenditure DATA'!CC21/'Expenditure DATA'!S21)*100</f>
        <v>29.075737200212874</v>
      </c>
      <c r="AZ19" s="202">
        <f>('Expenditure DATA'!CD21/'Expenditure DATA'!T21)*100</f>
        <v>29.661690140180276</v>
      </c>
      <c r="BA19" s="202">
        <f>('Expenditure DATA'!CE21/'Expenditure DATA'!U21)*100</f>
        <v>29.164063598036773</v>
      </c>
      <c r="BB19" s="202">
        <f>('Expenditure DATA'!CF21/'Expenditure DATA'!V21)*100</f>
        <v>28.737073890302057</v>
      </c>
      <c r="BC19" s="202">
        <f>('Expenditure DATA'!CG21/'Expenditure DATA'!W21)*100</f>
        <v>28.304336316357499</v>
      </c>
      <c r="BD19" s="202">
        <f>('Expenditure DATA'!CH21/'Expenditure DATA'!X21)*100</f>
        <v>27.915037581875552</v>
      </c>
      <c r="BE19" s="202">
        <f>('Expenditure DATA'!CI21/'Expenditure DATA'!Y21)*100</f>
        <v>27.563944260234397</v>
      </c>
      <c r="BF19" s="202">
        <f>('Expenditure DATA'!CJ21/'Expenditure DATA'!Z21)*100</f>
        <v>27.851325875707154</v>
      </c>
      <c r="BG19" s="202">
        <f>('Expenditure DATA'!CK21/'Expenditure DATA'!AA21)*100</f>
        <v>27.88205762308084</v>
      </c>
      <c r="BH19" s="202">
        <f>('Expenditure DATA'!CL21/'Expenditure DATA'!AB21)*100</f>
        <v>27.875338302492246</v>
      </c>
      <c r="BI19" s="202">
        <f>('Expenditure DATA'!CM21/'Expenditure DATA'!AC21)*100</f>
        <v>27.837331737530548</v>
      </c>
      <c r="BJ19" s="202">
        <f>('Expenditure DATA'!CN21/'Expenditure DATA'!AD21)*100</f>
        <v>26.590112849129365</v>
      </c>
      <c r="BK19" s="202">
        <f>('Expenditure DATA'!CO21/'Expenditure DATA'!AE21)*100</f>
        <v>25.324897251508659</v>
      </c>
      <c r="BL19" s="464">
        <f>('Expenditure DATA'!CP21/'Expenditure DATA'!AF21)*100</f>
        <v>24.33681150454024</v>
      </c>
      <c r="BM19" s="203">
        <f>('Expenditure DATA'!AG21/'Expenditure DATA'!B21)*100</f>
        <v>41.963042836900655</v>
      </c>
      <c r="BN19" s="202">
        <f>('Expenditure DATA'!AH21/'Expenditure DATA'!C21)*100</f>
        <v>43.894820014332701</v>
      </c>
      <c r="BO19" s="202">
        <f>('Expenditure DATA'!AI21/'Expenditure DATA'!D21)*100</f>
        <v>43.216892736634094</v>
      </c>
      <c r="BP19" s="202">
        <f>('Expenditure DATA'!AJ21/'Expenditure DATA'!E21)*100</f>
        <v>43.396766343191246</v>
      </c>
      <c r="BQ19" s="202">
        <f>('Expenditure DATA'!AK21/'Expenditure DATA'!F21)*100</f>
        <v>42.46197280556175</v>
      </c>
      <c r="BR19" s="202">
        <f>('Expenditure DATA'!AL21/'Expenditure DATA'!G21)*100</f>
        <v>40.769353813054046</v>
      </c>
      <c r="BS19" s="202">
        <f>('Expenditure DATA'!AM21/'Expenditure DATA'!H21)*100</f>
        <v>40.432078339312625</v>
      </c>
      <c r="BT19" s="202">
        <f>('Expenditure DATA'!AN21/'Expenditure DATA'!I21)*100</f>
        <v>41.151100110318907</v>
      </c>
      <c r="BU19" s="202">
        <f>('Expenditure DATA'!AO21/'Expenditure DATA'!J21)*100</f>
        <v>41.389176340661244</v>
      </c>
      <c r="BV19" s="202">
        <f>('Expenditure DATA'!AP21/'Expenditure DATA'!K21)*100</f>
        <v>40.436692942801891</v>
      </c>
      <c r="BW19" s="202">
        <f>('Expenditure DATA'!AQ21/'Expenditure DATA'!L21)*100</f>
        <v>39.627994562552736</v>
      </c>
      <c r="BX19" s="202">
        <f>('Expenditure DATA'!AR21/'Expenditure DATA'!M21)*100</f>
        <v>39.372271407134072</v>
      </c>
      <c r="BY19" s="202">
        <f>('Expenditure DATA'!AS21/'Expenditure DATA'!N21)*100</f>
        <v>38.643042278562625</v>
      </c>
      <c r="BZ19" s="202">
        <f>('Expenditure DATA'!AT21/'Expenditure DATA'!O21)*100</f>
        <v>38.235918994692547</v>
      </c>
      <c r="CA19" s="202">
        <f>('Expenditure DATA'!AU21/'Expenditure DATA'!P21)*100</f>
        <v>38.823871286427924</v>
      </c>
      <c r="CB19" s="202">
        <f>('Expenditure DATA'!AV21/'Expenditure DATA'!Q21)*100</f>
        <v>40.062782019916753</v>
      </c>
      <c r="CC19" s="202">
        <f>('Expenditure DATA'!AW21/'Expenditure DATA'!R21)*100</f>
        <v>40.695467048250457</v>
      </c>
      <c r="CD19" s="202">
        <f>('Expenditure DATA'!AX21/'Expenditure DATA'!S21)*100</f>
        <v>40.724804147663221</v>
      </c>
      <c r="CE19" s="202">
        <f>('Expenditure DATA'!AY21/'Expenditure DATA'!T21)*100</f>
        <v>41.259204828004073</v>
      </c>
      <c r="CF19" s="202">
        <f>('Expenditure DATA'!AZ21/'Expenditure DATA'!U21)*100</f>
        <v>41.264904606875085</v>
      </c>
      <c r="CG19" s="202">
        <f>('Expenditure DATA'!BA21/'Expenditure DATA'!V21)*100</f>
        <v>41.26979531648999</v>
      </c>
      <c r="CH19" s="202">
        <f>('Expenditure DATA'!BB21/'Expenditure DATA'!W21)*100</f>
        <v>40.794431028147308</v>
      </c>
      <c r="CI19" s="202">
        <f>('Expenditure DATA'!BC21/'Expenditure DATA'!X21)*100</f>
        <v>40.366784512077906</v>
      </c>
      <c r="CJ19" s="202">
        <f>('Expenditure DATA'!BD21/'Expenditure DATA'!Y21)*100</f>
        <v>40.502569200618304</v>
      </c>
      <c r="CK19" s="202">
        <f>('Expenditure DATA'!BE21/'Expenditure DATA'!Z21)*100</f>
        <v>40.338035084298724</v>
      </c>
      <c r="CL19" s="202">
        <f>('Expenditure DATA'!BF21/'Expenditure DATA'!AA21)*100</f>
        <v>40.382667591202285</v>
      </c>
      <c r="CM19" s="202">
        <f>('Expenditure DATA'!BG21/'Expenditure DATA'!AB21)*100</f>
        <v>40.773951605423569</v>
      </c>
      <c r="CN19" s="202">
        <f>('Expenditure DATA'!BH21/'Expenditure DATA'!AC21)*100</f>
        <v>41.270592699622306</v>
      </c>
      <c r="CO19" s="202">
        <f>('Expenditure DATA'!BI21/'Expenditure DATA'!AD21)*100</f>
        <v>41.05425656027203</v>
      </c>
      <c r="CP19" s="202">
        <f>('Expenditure DATA'!BJ21/'Expenditure DATA'!AE21)*100</f>
        <v>40.156599320596925</v>
      </c>
      <c r="CQ19" s="464">
        <f>('Expenditure DATA'!BK21/'Expenditure DATA'!AF21)*100</f>
        <v>38.739328083851746</v>
      </c>
      <c r="CR19" s="203">
        <f>('Expenditure DATA'!FA21/'Expenditure DATA'!B21)*100</f>
        <v>16.890013587803388</v>
      </c>
      <c r="CS19" s="202">
        <f>('Expenditure DATA'!FB21/'Expenditure DATA'!C21)*100</f>
        <v>17.681777255103725</v>
      </c>
      <c r="CT19" s="202">
        <f>('Expenditure DATA'!FC21/'Expenditure DATA'!D21)*100</f>
        <v>17.461048301450521</v>
      </c>
      <c r="CU19" s="202">
        <f>('Expenditure DATA'!FD21/'Expenditure DATA'!E21)*100</f>
        <v>16.742284496805336</v>
      </c>
      <c r="CV19" s="202">
        <f>('Expenditure DATA'!FE21/'Expenditure DATA'!F21)*100</f>
        <v>15.556030649993117</v>
      </c>
      <c r="CW19" s="202">
        <f>('Expenditure DATA'!FF21/'Expenditure DATA'!G21)*100</f>
        <v>15.434499491666944</v>
      </c>
      <c r="CX19" s="202">
        <f>('Expenditure DATA'!FG21/'Expenditure DATA'!H21)*100</f>
        <v>15.715198579077786</v>
      </c>
      <c r="CY19" s="202">
        <f>('Expenditure DATA'!FH21/'Expenditure DATA'!I21)*100</f>
        <v>16.634753732501853</v>
      </c>
      <c r="CZ19" s="202">
        <f>('Expenditure DATA'!FI21/'Expenditure DATA'!J21)*100</f>
        <v>18.295194732093243</v>
      </c>
      <c r="DA19" s="202">
        <f>('Expenditure DATA'!FJ21/'Expenditure DATA'!K21)*100</f>
        <v>20.824761824632724</v>
      </c>
      <c r="DB19" s="202">
        <f>('Expenditure DATA'!FK21/'Expenditure DATA'!L21)*100</f>
        <v>22.972470451434752</v>
      </c>
      <c r="DC19" s="202">
        <f>('Expenditure DATA'!FL21/'Expenditure DATA'!M21)*100</f>
        <v>24.515770569937732</v>
      </c>
      <c r="DD19" s="202">
        <f>('Expenditure DATA'!FM21/'Expenditure DATA'!N21)*100</f>
        <v>24.603598432860032</v>
      </c>
      <c r="DE19" s="202">
        <f>('Expenditure DATA'!FN21/'Expenditure DATA'!O21)*100</f>
        <v>25.365205927312928</v>
      </c>
      <c r="DF19" s="202">
        <f>('Expenditure DATA'!FO21/'Expenditure DATA'!P21)*100</f>
        <v>25.377021838328879</v>
      </c>
      <c r="DG19" s="202">
        <f>('Expenditure DATA'!FP21/'Expenditure DATA'!Q21)*100</f>
        <v>24.196639139468225</v>
      </c>
      <c r="DH19" s="202">
        <f>('Expenditure DATA'!FQ21/'Expenditure DATA'!R21)*100</f>
        <v>22.561483239710199</v>
      </c>
      <c r="DI19" s="202">
        <f>('Expenditure DATA'!FR21/'Expenditure DATA'!S21)*100</f>
        <v>22.53843856044956</v>
      </c>
      <c r="DJ19" s="202">
        <f>('Expenditure DATA'!FS21/'Expenditure DATA'!T21)*100</f>
        <v>21.509929400578145</v>
      </c>
      <c r="DK19" s="202">
        <f>('Expenditure DATA'!FT21/'Expenditure DATA'!U21)*100</f>
        <v>22.145389572009289</v>
      </c>
      <c r="DL19" s="202">
        <f>('Expenditure DATA'!FU21/'Expenditure DATA'!V21)*100</f>
        <v>22.690647772481633</v>
      </c>
      <c r="DM19" s="202">
        <f>('Expenditure DATA'!FV21/'Expenditure DATA'!W21)*100</f>
        <v>23.416735503264896</v>
      </c>
      <c r="DN19" s="202">
        <f>('Expenditure DATA'!FW21/'Expenditure DATA'!X21)*100</f>
        <v>24.069937470776509</v>
      </c>
      <c r="DO19" s="202">
        <f>('Expenditure DATA'!FX21/'Expenditure DATA'!Y21)*100</f>
        <v>24.048717968670662</v>
      </c>
      <c r="DP19" s="202">
        <f>('Expenditure DATA'!FY21/'Expenditure DATA'!Z21)*100</f>
        <v>23.248334112763199</v>
      </c>
      <c r="DQ19" s="202">
        <f>('Expenditure DATA'!FZ21/'Expenditure DATA'!AA21)*100</f>
        <v>23.27571618132394</v>
      </c>
      <c r="DR19" s="202">
        <f>('Expenditure DATA'!GA21/'Expenditure DATA'!AB21)*100</f>
        <v>22.761523602181818</v>
      </c>
      <c r="DS19" s="202">
        <f>('Expenditure DATA'!GB21/'Expenditure DATA'!AC21)*100</f>
        <v>24.611402079624938</v>
      </c>
      <c r="DT19" s="202">
        <f>('Expenditure DATA'!GC21/'Expenditure DATA'!AD21)*100</f>
        <v>24.860702514989583</v>
      </c>
      <c r="DU19" s="202">
        <f>('Expenditure DATA'!GD21/'Expenditure DATA'!AE21)*100</f>
        <v>26.089669711376644</v>
      </c>
      <c r="DV19" s="464">
        <f>('Expenditure DATA'!GE21/'Expenditure DATA'!AF21)*100</f>
        <v>27.013650092249129</v>
      </c>
      <c r="DW19" s="203">
        <f>('Expenditure DATA'!GF21/'Expenditure DATA'!B21)*100</f>
        <v>28.116780313890722</v>
      </c>
      <c r="DX19" s="202">
        <f>('Expenditure DATA'!GG21/'Expenditure DATA'!C21)*100</f>
        <v>25.81870968927436</v>
      </c>
      <c r="DY19" s="202">
        <f>('Expenditure DATA'!GH21/'Expenditure DATA'!D21)*100</f>
        <v>25.243994246306478</v>
      </c>
      <c r="DZ19" s="202">
        <f>('Expenditure DATA'!GI21/'Expenditure DATA'!E21)*100</f>
        <v>25.024865020420318</v>
      </c>
      <c r="EA19" s="202">
        <f>('Expenditure DATA'!GJ21/'Expenditure DATA'!F21)*100</f>
        <v>27.441114367342735</v>
      </c>
      <c r="EB19" s="202">
        <f>('Expenditure DATA'!GK21/'Expenditure DATA'!G21)*100</f>
        <v>28.271870360885831</v>
      </c>
      <c r="EC19" s="202">
        <f>('Expenditure DATA'!GL21/'Expenditure DATA'!H21)*100</f>
        <v>28.355937479499705</v>
      </c>
      <c r="ED19" s="202">
        <f>('Expenditure DATA'!GM21/'Expenditure DATA'!I21)*100</f>
        <v>26.817381378621846</v>
      </c>
      <c r="EE19" s="202">
        <f>('Expenditure DATA'!GN21/'Expenditure DATA'!J21)*100</f>
        <v>25.775485127136498</v>
      </c>
      <c r="EF19" s="202">
        <f>('Expenditure DATA'!GO21/'Expenditure DATA'!K21)*100</f>
        <v>24.731280498257991</v>
      </c>
      <c r="EG19" s="202">
        <f>('Expenditure DATA'!GP21/'Expenditure DATA'!L21)*100</f>
        <v>23.844706943358702</v>
      </c>
      <c r="EH19" s="202">
        <f>('Expenditure DATA'!GQ21/'Expenditure DATA'!M21)*100</f>
        <v>23.414697620971648</v>
      </c>
      <c r="EI19" s="202">
        <f>('Expenditure DATA'!GR21/'Expenditure DATA'!N21)*100</f>
        <v>24.276981342905</v>
      </c>
      <c r="EJ19" s="202">
        <f>('Expenditure DATA'!GS21/'Expenditure DATA'!O21)*100</f>
        <v>23.760213736475798</v>
      </c>
      <c r="EK19" s="202">
        <f>('Expenditure DATA'!GT21/'Expenditure DATA'!P21)*100</f>
        <v>23.72216191587556</v>
      </c>
      <c r="EL19" s="202">
        <f>('Expenditure DATA'!GU21/'Expenditure DATA'!Q21)*100</f>
        <v>22.847720369303012</v>
      </c>
      <c r="EM19" s="202">
        <f>('Expenditure DATA'!GV21/'Expenditure DATA'!R21)*100</f>
        <v>23.66429348834486</v>
      </c>
      <c r="EN19" s="202">
        <f>('Expenditure DATA'!GW21/'Expenditure DATA'!S21)*100</f>
        <v>23.975345209414645</v>
      </c>
      <c r="EO19" s="202">
        <f>('Expenditure DATA'!GX21/'Expenditure DATA'!T21)*100</f>
        <v>24.498269010202318</v>
      </c>
      <c r="EP19" s="202">
        <f>('Expenditure DATA'!GY21/'Expenditure DATA'!U21)*100</f>
        <v>24.124232422375648</v>
      </c>
      <c r="EQ19" s="202">
        <f>('Expenditure DATA'!GZ21/'Expenditure DATA'!V21)*100</f>
        <v>23.80328938619785</v>
      </c>
      <c r="ER19" s="202">
        <f>('Expenditure DATA'!HA21/'Expenditure DATA'!W21)*100</f>
        <v>23.500056553757251</v>
      </c>
      <c r="ES19" s="202">
        <f>('Expenditure DATA'!HB21/'Expenditure DATA'!X21)*100</f>
        <v>23.227262682759523</v>
      </c>
      <c r="ET19" s="202">
        <f>('Expenditure DATA'!HC21/'Expenditure DATA'!Y21)*100</f>
        <v>23.656385869356246</v>
      </c>
      <c r="EU19" s="202">
        <f>('Expenditure DATA'!HD21/'Expenditure DATA'!Z21)*100</f>
        <v>23.820602044268089</v>
      </c>
      <c r="EV19" s="202">
        <f>('Expenditure DATA'!HE21/'Expenditure DATA'!AA21)*100</f>
        <v>23.830912763492993</v>
      </c>
      <c r="EW19" s="202">
        <f>('Expenditure DATA'!HF21/'Expenditure DATA'!AB21)*100</f>
        <v>24.137596914858314</v>
      </c>
      <c r="EX19" s="202">
        <f>('Expenditure DATA'!HG21/'Expenditure DATA'!AC21)*100</f>
        <v>21.937798839162664</v>
      </c>
      <c r="EY19" s="202">
        <f>('Expenditure DATA'!HH21/'Expenditure DATA'!AD21)*100</f>
        <v>21.741080278645018</v>
      </c>
      <c r="EZ19" s="202">
        <f>('Expenditure DATA'!HI21/'Expenditure DATA'!AE21)*100</f>
        <v>21.482286148511953</v>
      </c>
      <c r="FA19" s="464">
        <f>('Expenditure DATA'!HJ21/'Expenditure DATA'!AF21)*100</f>
        <v>21.471347314964884</v>
      </c>
      <c r="FB19" s="203">
        <f>('Expenditure DATA'!HK21/'Expenditure DATA'!B21)*100</f>
        <v>4.442837731709445</v>
      </c>
      <c r="FC19" s="202">
        <f>('Expenditure DATA'!HL21/'Expenditure DATA'!C21)*100</f>
        <v>4.6889987321070912</v>
      </c>
      <c r="FD19" s="202">
        <f>('Expenditure DATA'!HM21/'Expenditure DATA'!D21)*100</f>
        <v>5.027088066463226</v>
      </c>
      <c r="FE19" s="202">
        <f>('Expenditure DATA'!HN21/'Expenditure DATA'!E21)*100</f>
        <v>4.8229268505333787</v>
      </c>
      <c r="FF19" s="202">
        <f>('Expenditure DATA'!HO21/'Expenditure DATA'!F21)*100</f>
        <v>4.7215415976025863</v>
      </c>
      <c r="FG19" s="202">
        <f>('Expenditure DATA'!HP21/'Expenditure DATA'!G21)*100</f>
        <v>4.7107212408785628</v>
      </c>
      <c r="FH19" s="202">
        <f>('Expenditure DATA'!HQ21/'Expenditure DATA'!H21)*100</f>
        <v>4.6956048624307654</v>
      </c>
      <c r="FI19" s="202">
        <f>('Expenditure DATA'!HR21/'Expenditure DATA'!I21)*100</f>
        <v>4.7128184348744346</v>
      </c>
      <c r="FJ19" s="202">
        <f>('Expenditure DATA'!HS21/'Expenditure DATA'!J21)*100</f>
        <v>4.746546935225374</v>
      </c>
      <c r="FK19" s="202">
        <f>('Expenditure DATA'!HT21/'Expenditure DATA'!K21)*100</f>
        <v>4.6362888914540292</v>
      </c>
      <c r="FL19" s="202">
        <f>('Expenditure DATA'!HU21/'Expenditure DATA'!L21)*100</f>
        <v>4.5426751847923477</v>
      </c>
      <c r="FM19" s="202">
        <f>('Expenditure DATA'!HV21/'Expenditure DATA'!M21)*100</f>
        <v>4.6380826212853439</v>
      </c>
      <c r="FN19" s="202">
        <f>('Expenditure DATA'!HW21/'Expenditure DATA'!N21)*100</f>
        <v>4.7547504800604106</v>
      </c>
      <c r="FO19" s="202">
        <f>('Expenditure DATA'!HX21/'Expenditure DATA'!O21)*100</f>
        <v>4.8821127737517962</v>
      </c>
      <c r="FP19" s="202">
        <f>('Expenditure DATA'!HY21/'Expenditure DATA'!P21)*100</f>
        <v>4.2060394853904688</v>
      </c>
      <c r="FQ19" s="202">
        <f>('Expenditure DATA'!HZ21/'Expenditure DATA'!Q21)*100</f>
        <v>4.4207437837391437</v>
      </c>
      <c r="FR19" s="202">
        <f>('Expenditure DATA'!IA21/'Expenditure DATA'!R21)*100</f>
        <v>4.5076859914419876</v>
      </c>
      <c r="FS19" s="202">
        <f>('Expenditure DATA'!IB21/'Expenditure DATA'!S21)*100</f>
        <v>4.4293472351773113</v>
      </c>
      <c r="FT19" s="202">
        <f>('Expenditure DATA'!IC21/'Expenditure DATA'!T21)*100</f>
        <v>4.237717572530407</v>
      </c>
      <c r="FU19" s="202">
        <f>('Expenditure DATA'!ID21/'Expenditure DATA'!U21)*100</f>
        <v>4.1315793414088677</v>
      </c>
      <c r="FV19" s="202">
        <f>('Expenditure DATA'!IE21/'Expenditure DATA'!V21)*100</f>
        <v>4.0405071648910065</v>
      </c>
      <c r="FW19" s="202">
        <f>('Expenditure DATA'!IF21/'Expenditure DATA'!W21)*100</f>
        <v>4.1049036022059431</v>
      </c>
      <c r="FX19" s="202">
        <f>('Expenditure DATA'!IG21/'Expenditure DATA'!X21)*100</f>
        <v>4.1628358296372996</v>
      </c>
      <c r="FY19" s="202">
        <f>('Expenditure DATA'!IH21/'Expenditure DATA'!Y21)*100</f>
        <v>3.9675243490784586</v>
      </c>
      <c r="FZ19" s="202">
        <f>('Expenditure DATA'!II21/'Expenditure DATA'!Z21)*100</f>
        <v>3.8197827410113918</v>
      </c>
      <c r="GA19" s="202">
        <f>('Expenditure DATA'!IJ21/'Expenditure DATA'!AA21)*100</f>
        <v>3.823527295275758</v>
      </c>
      <c r="GB19" s="202">
        <f>('Expenditure DATA'!IK21/'Expenditure DATA'!AB21)*100</f>
        <v>3.5615378244453093</v>
      </c>
      <c r="GC19" s="202">
        <f>('Expenditure DATA'!IL21/'Expenditure DATA'!AC21)*100</f>
        <v>3.6249464969936236</v>
      </c>
      <c r="GD19" s="202">
        <f>('Expenditure DATA'!IM21/'Expenditure DATA'!AD21)*100</f>
        <v>3.6221077748774748</v>
      </c>
      <c r="GE19" s="202">
        <f>('Expenditure DATA'!IN21/'Expenditure DATA'!AE21)*100</f>
        <v>3.6693740102183292</v>
      </c>
      <c r="GF19" s="464">
        <f>('Expenditure DATA'!IO21/'Expenditure DATA'!AF21)*100</f>
        <v>3.9119090048497207</v>
      </c>
      <c r="GG19" s="203">
        <f>('Expenditure DATA'!IP21/'Expenditure DATA'!B21)*100</f>
        <v>8.5864944713845848</v>
      </c>
      <c r="GH19" s="202">
        <f>('Expenditure DATA'!IQ21/'Expenditure DATA'!C21)*100</f>
        <v>7.9160618143731281</v>
      </c>
      <c r="GI19" s="202">
        <f>('Expenditure DATA'!IR21/'Expenditure DATA'!D21)*100</f>
        <v>9.050304488687539</v>
      </c>
      <c r="GJ19" s="202">
        <f>('Expenditure DATA'!IS21/'Expenditure DATA'!E21)*100</f>
        <v>10.013157289049728</v>
      </c>
      <c r="GK19" s="202">
        <f>('Expenditure DATA'!IT21/'Expenditure DATA'!F21)*100</f>
        <v>9.8193677830240382</v>
      </c>
      <c r="GL19" s="202">
        <f>('Expenditure DATA'!IU21/'Expenditure DATA'!G21)*100</f>
        <v>10.813555093514596</v>
      </c>
      <c r="GM19" s="202">
        <f>('Expenditure DATA'!IV21/'Expenditure DATA'!H21)*100</f>
        <v>10.801180739679133</v>
      </c>
      <c r="GN19" s="202">
        <f>('Expenditure DATA'!IW21/'Expenditure DATA'!I21)*100</f>
        <v>10.68394634368296</v>
      </c>
      <c r="GO19" s="202">
        <f>('Expenditure DATA'!IX21/'Expenditure DATA'!J21)*100</f>
        <v>9.7935968648836482</v>
      </c>
      <c r="GP19" s="202">
        <f>('Expenditure DATA'!IY21/'Expenditure DATA'!K21)*100</f>
        <v>9.3709758428533707</v>
      </c>
      <c r="GQ19" s="202">
        <f>('Expenditure DATA'!IZ21/'Expenditure DATA'!L21)*100</f>
        <v>9.012152857861464</v>
      </c>
      <c r="GR19" s="202">
        <f>('Expenditure DATA'!JA21/'Expenditure DATA'!M21)*100</f>
        <v>8.0591777806711971</v>
      </c>
      <c r="GS19" s="202">
        <f>('Expenditure DATA'!JB21/'Expenditure DATA'!N21)*100</f>
        <v>7.7216274656119355</v>
      </c>
      <c r="GT19" s="202">
        <f>('Expenditure DATA'!JC21/'Expenditure DATA'!O21)*100</f>
        <v>7.7565485677669255</v>
      </c>
      <c r="GU19" s="202">
        <f>('Expenditure DATA'!JD21/'Expenditure DATA'!P21)*100</f>
        <v>7.8709054739771602</v>
      </c>
      <c r="GV19" s="202">
        <f>('Expenditure DATA'!JE21/'Expenditure DATA'!Q21)*100</f>
        <v>8.4721146875728639</v>
      </c>
      <c r="GW19" s="202">
        <f>('Expenditure DATA'!JF21/'Expenditure DATA'!R21)*100</f>
        <v>8.5710702322525059</v>
      </c>
      <c r="GX19" s="202">
        <f>('Expenditure DATA'!JG21/'Expenditure DATA'!S21)*100</f>
        <v>8.3320648472952641</v>
      </c>
      <c r="GY19" s="202">
        <f>('Expenditure DATA'!JH21/'Expenditure DATA'!T21)*100</f>
        <v>8.4948791886850614</v>
      </c>
      <c r="GZ19" s="202">
        <f>('Expenditure DATA'!JI21/'Expenditure DATA'!U21)*100</f>
        <v>8.3338940573310918</v>
      </c>
      <c r="HA19" s="202">
        <f>('Expenditure DATA'!JJ21/'Expenditure DATA'!V21)*100</f>
        <v>8.1957603599395181</v>
      </c>
      <c r="HB19" s="202">
        <f>('Expenditure DATA'!JK21/'Expenditure DATA'!W21)*100</f>
        <v>8.183873312624609</v>
      </c>
      <c r="HC19" s="202">
        <f>('Expenditure DATA'!JL21/'Expenditure DATA'!X21)*100</f>
        <v>8.1731795047487648</v>
      </c>
      <c r="HD19" s="202">
        <f>('Expenditure DATA'!JM21/'Expenditure DATA'!Y21)*100</f>
        <v>7.8248026122763337</v>
      </c>
      <c r="HE19" s="202">
        <f>('Expenditure DATA'!JN21/'Expenditure DATA'!Z21)*100</f>
        <v>8.7732460176585949</v>
      </c>
      <c r="HF19" s="202">
        <f>('Expenditure DATA'!JO21/'Expenditure DATA'!AA21)*100</f>
        <v>8.6871761687050295</v>
      </c>
      <c r="HG19" s="202">
        <f>('Expenditure DATA'!JP21/'Expenditure DATA'!AB21)*100</f>
        <v>8.7653900530909912</v>
      </c>
      <c r="HH19" s="202">
        <f>('Expenditure DATA'!JQ21/'Expenditure DATA'!AC21)*100</f>
        <v>8.5552598845964827</v>
      </c>
      <c r="HI19" s="202">
        <f>('Expenditure DATA'!JR21/'Expenditure DATA'!AD21)*100</f>
        <v>8.7218528712158996</v>
      </c>
      <c r="HJ19" s="202">
        <f>('Expenditure DATA'!JS21/'Expenditure DATA'!AE21)*100</f>
        <v>8.6020708092961549</v>
      </c>
      <c r="HK19" s="464">
        <f>('Expenditure DATA'!JT21/'Expenditure DATA'!AF21)*100</f>
        <v>8.8637655040845296</v>
      </c>
      <c r="HL19" s="203">
        <f t="shared" si="1"/>
        <v>99.999168941688794</v>
      </c>
      <c r="HM19" s="204">
        <f t="shared" si="2"/>
        <v>100.00036750519101</v>
      </c>
      <c r="HN19" s="204">
        <f t="shared" si="3"/>
        <v>99.999327839541849</v>
      </c>
      <c r="HO19" s="204">
        <f t="shared" si="4"/>
        <v>100.00000000000001</v>
      </c>
      <c r="HP19" s="204">
        <f t="shared" si="5"/>
        <v>100.00002720352423</v>
      </c>
      <c r="HQ19" s="204">
        <f t="shared" si="6"/>
        <v>99.999999999999972</v>
      </c>
      <c r="HR19" s="204">
        <f t="shared" si="7"/>
        <v>100.00000000000003</v>
      </c>
      <c r="HS19" s="204">
        <f t="shared" si="8"/>
        <v>100</v>
      </c>
      <c r="HT19" s="204">
        <f t="shared" si="9"/>
        <v>100.00000000000001</v>
      </c>
      <c r="HU19" s="204">
        <f t="shared" si="10"/>
        <v>100</v>
      </c>
      <c r="HV19" s="204">
        <f t="shared" si="11"/>
        <v>100</v>
      </c>
      <c r="HW19" s="204">
        <f t="shared" si="12"/>
        <v>100</v>
      </c>
      <c r="HX19" s="204">
        <f t="shared" si="13"/>
        <v>100</v>
      </c>
      <c r="HY19" s="204">
        <f t="shared" si="14"/>
        <v>100</v>
      </c>
      <c r="HZ19" s="204">
        <f t="shared" si="15"/>
        <v>99.999999999999986</v>
      </c>
      <c r="IA19" s="204">
        <f t="shared" si="16"/>
        <v>99.999999999999986</v>
      </c>
      <c r="IB19" s="204">
        <f t="shared" si="17"/>
        <v>100.00000000000001</v>
      </c>
      <c r="IC19" s="204">
        <f t="shared" si="18"/>
        <v>100</v>
      </c>
      <c r="ID19" s="204">
        <f t="shared" si="19"/>
        <v>100.00000000000001</v>
      </c>
      <c r="IE19" s="204">
        <f t="shared" si="20"/>
        <v>99.999999999999972</v>
      </c>
      <c r="IF19" s="204">
        <f t="shared" si="21"/>
        <v>100</v>
      </c>
      <c r="IG19" s="204">
        <f t="shared" si="22"/>
        <v>100</v>
      </c>
      <c r="IH19" s="204">
        <f t="shared" si="23"/>
        <v>99.999999999999986</v>
      </c>
      <c r="II19" s="204">
        <f t="shared" si="24"/>
        <v>100</v>
      </c>
      <c r="IJ19" s="204">
        <f t="shared" si="25"/>
        <v>100</v>
      </c>
      <c r="IK19" s="204">
        <f t="shared" si="26"/>
        <v>100</v>
      </c>
      <c r="IL19" s="204">
        <f t="shared" si="27"/>
        <v>100.00000000000001</v>
      </c>
      <c r="IM19" s="204">
        <f t="shared" si="28"/>
        <v>100.00000000000001</v>
      </c>
      <c r="IN19" s="204">
        <f t="shared" si="29"/>
        <v>100</v>
      </c>
      <c r="IO19" s="204">
        <f t="shared" si="30"/>
        <v>100.00000000000001</v>
      </c>
      <c r="IP19" s="204">
        <f t="shared" si="31"/>
        <v>100</v>
      </c>
    </row>
    <row r="20" spans="1:250" s="164" customFormat="1">
      <c r="A20" s="168" t="s">
        <v>38</v>
      </c>
      <c r="B20" s="62"/>
      <c r="C20" s="202">
        <f>('Expenditure DATA'!CQ22/'Expenditure DATA'!B22)*100</f>
        <v>10.571212855388151</v>
      </c>
      <c r="D20" s="202">
        <f>('Expenditure DATA'!CR22/'Expenditure DATA'!C22)*100</f>
        <v>10.60578919084098</v>
      </c>
      <c r="E20" s="202">
        <f>('Expenditure DATA'!CS22/'Expenditure DATA'!D22)*100</f>
        <v>11.539179562760992</v>
      </c>
      <c r="F20" s="202">
        <f>('Expenditure DATA'!CT22/'Expenditure DATA'!E22)*100</f>
        <v>11.618988127912356</v>
      </c>
      <c r="G20" s="202">
        <f>('Expenditure DATA'!CU22/'Expenditure DATA'!F22)*100</f>
        <v>11.216032077025853</v>
      </c>
      <c r="H20" s="202">
        <f>('Expenditure DATA'!CV22/'Expenditure DATA'!G22)*100</f>
        <v>11.309325702941733</v>
      </c>
      <c r="I20" s="202">
        <f>('Expenditure DATA'!CW22/'Expenditure DATA'!H22)*100</f>
        <v>10.646506711506911</v>
      </c>
      <c r="J20" s="202">
        <f>('Expenditure DATA'!CX22/'Expenditure DATA'!I22)*100</f>
        <v>10.401569580373966</v>
      </c>
      <c r="K20" s="202">
        <f>('Expenditure DATA'!CY22/'Expenditure DATA'!J22)*100</f>
        <v>10.58935534030466</v>
      </c>
      <c r="L20" s="202">
        <f>('Expenditure DATA'!CZ22/'Expenditure DATA'!K22)*100</f>
        <v>10.220761242181082</v>
      </c>
      <c r="M20" s="202">
        <f>('Expenditure DATA'!DA22/'Expenditure DATA'!L22)*100</f>
        <v>9.8804409557656978</v>
      </c>
      <c r="N20" s="202">
        <f>('Expenditure DATA'!DB22/'Expenditure DATA'!M22)*100</f>
        <v>9.9684891221626764</v>
      </c>
      <c r="O20" s="202">
        <f>('Expenditure DATA'!DC22/'Expenditure DATA'!N22)*100</f>
        <v>10.083361359931404</v>
      </c>
      <c r="P20" s="202">
        <f>('Expenditure DATA'!DD22/'Expenditure DATA'!O22)*100</f>
        <v>10.05175444085317</v>
      </c>
      <c r="Q20" s="202">
        <f>('Expenditure DATA'!DE22/'Expenditure DATA'!P22)*100</f>
        <v>10.004539458469846</v>
      </c>
      <c r="R20" s="202">
        <f>('Expenditure DATA'!DF22/'Expenditure DATA'!Q22)*100</f>
        <v>9.9627762938241506</v>
      </c>
      <c r="S20" s="202">
        <f>('Expenditure DATA'!DG22/'Expenditure DATA'!R22)*100</f>
        <v>9.9830971412968736</v>
      </c>
      <c r="T20" s="202">
        <f>('Expenditure DATA'!DH22/'Expenditure DATA'!S22)*100</f>
        <v>9.7215895890332256</v>
      </c>
      <c r="U20" s="202">
        <f>('Expenditure DATA'!DI22/'Expenditure DATA'!T22)*100</f>
        <v>10.084375458480114</v>
      </c>
      <c r="V20" s="202">
        <f>('Expenditure DATA'!DJ22/'Expenditure DATA'!U22)*100</f>
        <v>10.346676506399104</v>
      </c>
      <c r="W20" s="202">
        <f>('Expenditure DATA'!DK22/'Expenditure DATA'!V22)*100</f>
        <v>10.578641815288911</v>
      </c>
      <c r="X20" s="202">
        <f>('Expenditure DATA'!DL22/'Expenditure DATA'!W22)*100</f>
        <v>10.294509074477991</v>
      </c>
      <c r="Y20" s="202">
        <f>('Expenditure DATA'!DM22/'Expenditure DATA'!X22)*100</f>
        <v>10.034765741024341</v>
      </c>
      <c r="Z20" s="202">
        <f>('Expenditure DATA'!DN22/'Expenditure DATA'!Y22)*100</f>
        <v>10.464074408281499</v>
      </c>
      <c r="AA20" s="202">
        <f>('Expenditure DATA'!DO22/'Expenditure DATA'!Z22)*100</f>
        <v>11.222892709923292</v>
      </c>
      <c r="AB20" s="202">
        <f>('Expenditure DATA'!DP22/'Expenditure DATA'!AA22)*100</f>
        <v>11.229469803793529</v>
      </c>
      <c r="AC20" s="202">
        <f>('Expenditure DATA'!DQ22/'Expenditure DATA'!AB22)*100</f>
        <v>11.631797929012059</v>
      </c>
      <c r="AD20" s="202">
        <f>('Expenditure DATA'!DR22/'Expenditure DATA'!AC22)*100</f>
        <v>11.948583787956887</v>
      </c>
      <c r="AE20" s="202">
        <f>('Expenditure DATA'!DS22/'Expenditure DATA'!AD22)*100</f>
        <v>11.268552761268495</v>
      </c>
      <c r="AF20" s="202">
        <f>('Expenditure DATA'!DT22/'Expenditure DATA'!AE22)*100</f>
        <v>11.602410793673307</v>
      </c>
      <c r="AG20" s="464">
        <f>('Expenditure DATA'!DU22/'Expenditure DATA'!AF22)*100</f>
        <v>11.961076119422811</v>
      </c>
      <c r="AH20" s="203">
        <f>('Expenditure DATA'!BL22/'Expenditure DATA'!B22)*100</f>
        <v>26.591992427401088</v>
      </c>
      <c r="AI20" s="202">
        <f>('Expenditure DATA'!BM22/'Expenditure DATA'!C22)*100</f>
        <v>27.14618391797768</v>
      </c>
      <c r="AJ20" s="202">
        <f>('Expenditure DATA'!BN22/'Expenditure DATA'!D22)*100</f>
        <v>27.308278064357655</v>
      </c>
      <c r="AK20" s="202">
        <f>('Expenditure DATA'!BO22/'Expenditure DATA'!E22)*100</f>
        <v>26.823068961789765</v>
      </c>
      <c r="AL20" s="202">
        <f>('Expenditure DATA'!BP22/'Expenditure DATA'!F22)*100</f>
        <v>27.187780350228557</v>
      </c>
      <c r="AM20" s="202">
        <f>('Expenditure DATA'!BQ22/'Expenditure DATA'!G22)*100</f>
        <v>26.404762891303275</v>
      </c>
      <c r="AN20" s="202">
        <f>('Expenditure DATA'!BR22/'Expenditure DATA'!H22)*100</f>
        <v>26.522616379232367</v>
      </c>
      <c r="AO20" s="202">
        <f>('Expenditure DATA'!BS22/'Expenditure DATA'!I22)*100</f>
        <v>26.183942808446066</v>
      </c>
      <c r="AP20" s="202">
        <f>('Expenditure DATA'!BT22/'Expenditure DATA'!J22)*100</f>
        <v>26.606657944641682</v>
      </c>
      <c r="AQ20" s="202">
        <f>('Expenditure DATA'!BU22/'Expenditure DATA'!K22)*100</f>
        <v>26.189384729819864</v>
      </c>
      <c r="AR20" s="202">
        <f>('Expenditure DATA'!BV22/'Expenditure DATA'!L22)*100</f>
        <v>25.804119364192609</v>
      </c>
      <c r="AS20" s="202">
        <f>('Expenditure DATA'!BW22/'Expenditure DATA'!M22)*100</f>
        <v>25.979135411649494</v>
      </c>
      <c r="AT20" s="202">
        <f>('Expenditure DATA'!BX22/'Expenditure DATA'!N22)*100</f>
        <v>25.588939482892453</v>
      </c>
      <c r="AU20" s="202">
        <f>('Expenditure DATA'!BY22/'Expenditure DATA'!O22)*100</f>
        <v>25.180254728284908</v>
      </c>
      <c r="AV20" s="202">
        <f>('Expenditure DATA'!BZ22/'Expenditure DATA'!P22)*100</f>
        <v>25.575035059893757</v>
      </c>
      <c r="AW20" s="202">
        <f>('Expenditure DATA'!CA22/'Expenditure DATA'!Q22)*100</f>
        <v>25.141723502084751</v>
      </c>
      <c r="AX20" s="202">
        <f>('Expenditure DATA'!CB22/'Expenditure DATA'!R22)*100</f>
        <v>25.34729230075385</v>
      </c>
      <c r="AY20" s="202">
        <f>('Expenditure DATA'!CC22/'Expenditure DATA'!S22)*100</f>
        <v>25.269600813205066</v>
      </c>
      <c r="AZ20" s="202">
        <f>('Expenditure DATA'!CD22/'Expenditure DATA'!T22)*100</f>
        <v>26.243294402147693</v>
      </c>
      <c r="BA20" s="202">
        <f>('Expenditure DATA'!CE22/'Expenditure DATA'!U22)*100</f>
        <v>26.372341580271691</v>
      </c>
      <c r="BB20" s="202">
        <f>('Expenditure DATA'!CF22/'Expenditure DATA'!V22)*100</f>
        <v>26.486464145821408</v>
      </c>
      <c r="BC20" s="202">
        <f>('Expenditure DATA'!CG22/'Expenditure DATA'!W22)*100</f>
        <v>26.261228184764118</v>
      </c>
      <c r="BD20" s="202">
        <f>('Expenditure DATA'!CH22/'Expenditure DATA'!X22)*100</f>
        <v>26.055326044899186</v>
      </c>
      <c r="BE20" s="202">
        <f>('Expenditure DATA'!CI22/'Expenditure DATA'!Y22)*100</f>
        <v>25.86548838105492</v>
      </c>
      <c r="BF20" s="202">
        <f>('Expenditure DATA'!CJ22/'Expenditure DATA'!Z22)*100</f>
        <v>26.762588347493445</v>
      </c>
      <c r="BG20" s="202">
        <f>('Expenditure DATA'!CK22/'Expenditure DATA'!AA22)*100</f>
        <v>26.745350989545013</v>
      </c>
      <c r="BH20" s="202">
        <f>('Expenditure DATA'!CL22/'Expenditure DATA'!AB22)*100</f>
        <v>26.674162612823881</v>
      </c>
      <c r="BI20" s="202">
        <f>('Expenditure DATA'!CM22/'Expenditure DATA'!AC22)*100</f>
        <v>25.26324234011199</v>
      </c>
      <c r="BJ20" s="202">
        <f>('Expenditure DATA'!CN22/'Expenditure DATA'!AD22)*100</f>
        <v>25.782398834986779</v>
      </c>
      <c r="BK20" s="202">
        <f>('Expenditure DATA'!CO22/'Expenditure DATA'!AE22)*100</f>
        <v>23.439816839569797</v>
      </c>
      <c r="BL20" s="464">
        <f>('Expenditure DATA'!CP22/'Expenditure DATA'!AF22)*100</f>
        <v>23.464414149049567</v>
      </c>
      <c r="BM20" s="203">
        <f>('Expenditure DATA'!AG22/'Expenditure DATA'!B22)*100</f>
        <v>39.361738091750148</v>
      </c>
      <c r="BN20" s="202">
        <f>('Expenditure DATA'!AH22/'Expenditure DATA'!C22)*100</f>
        <v>40.061748559024664</v>
      </c>
      <c r="BO20" s="202">
        <f>('Expenditure DATA'!AI22/'Expenditure DATA'!D22)*100</f>
        <v>41.257676246622452</v>
      </c>
      <c r="BP20" s="202">
        <f>('Expenditure DATA'!AJ22/'Expenditure DATA'!E22)*100</f>
        <v>40.735336064455588</v>
      </c>
      <c r="BQ20" s="202">
        <f>('Expenditure DATA'!AK22/'Expenditure DATA'!F22)*100</f>
        <v>40.564314402466515</v>
      </c>
      <c r="BR20" s="202">
        <f>('Expenditure DATA'!AL22/'Expenditure DATA'!G22)*100</f>
        <v>39.80496873794943</v>
      </c>
      <c r="BS20" s="202">
        <f>('Expenditure DATA'!AM22/'Expenditure DATA'!H22)*100</f>
        <v>39.18003802368851</v>
      </c>
      <c r="BT20" s="202">
        <f>('Expenditure DATA'!AN22/'Expenditure DATA'!I22)*100</f>
        <v>38.843626499320365</v>
      </c>
      <c r="BU20" s="202">
        <f>('Expenditure DATA'!AO22/'Expenditure DATA'!J22)*100</f>
        <v>39.444003737776207</v>
      </c>
      <c r="BV20" s="202">
        <f>('Expenditure DATA'!AP22/'Expenditure DATA'!K22)*100</f>
        <v>38.797080190590663</v>
      </c>
      <c r="BW20" s="202">
        <f>('Expenditure DATA'!AQ22/'Expenditure DATA'!L22)*100</f>
        <v>38.199780320658327</v>
      </c>
      <c r="BX20" s="202">
        <f>('Expenditure DATA'!AR22/'Expenditure DATA'!M22)*100</f>
        <v>38.396624894684841</v>
      </c>
      <c r="BY20" s="202">
        <f>('Expenditure DATA'!AS22/'Expenditure DATA'!N22)*100</f>
        <v>38.126932866997983</v>
      </c>
      <c r="BZ20" s="202">
        <f>('Expenditure DATA'!AT22/'Expenditure DATA'!O22)*100</f>
        <v>37.720551032505853</v>
      </c>
      <c r="CA20" s="202">
        <f>('Expenditure DATA'!AU22/'Expenditure DATA'!P22)*100</f>
        <v>38.928749021054912</v>
      </c>
      <c r="CB20" s="202">
        <f>('Expenditure DATA'!AV22/'Expenditure DATA'!Q22)*100</f>
        <v>37.102026302246877</v>
      </c>
      <c r="CC20" s="202">
        <f>('Expenditure DATA'!AW22/'Expenditure DATA'!R22)*100</f>
        <v>37.392284840500466</v>
      </c>
      <c r="CD20" s="202">
        <f>('Expenditure DATA'!AX22/'Expenditure DATA'!S22)*100</f>
        <v>37.111181371580123</v>
      </c>
      <c r="CE20" s="202">
        <f>('Expenditure DATA'!AY22/'Expenditure DATA'!T22)*100</f>
        <v>38.436775565427013</v>
      </c>
      <c r="CF20" s="202">
        <f>('Expenditure DATA'!AZ22/'Expenditure DATA'!U22)*100</f>
        <v>38.827973320717255</v>
      </c>
      <c r="CG20" s="202">
        <f>('Expenditure DATA'!BA22/'Expenditure DATA'!V22)*100</f>
        <v>39.173928126703871</v>
      </c>
      <c r="CH20" s="202">
        <f>('Expenditure DATA'!BB22/'Expenditure DATA'!W22)*100</f>
        <v>38.598490545128818</v>
      </c>
      <c r="CI20" s="202">
        <f>('Expenditure DATA'!BC22/'Expenditure DATA'!X22)*100</f>
        <v>38.072447417517992</v>
      </c>
      <c r="CJ20" s="202">
        <f>('Expenditure DATA'!BD22/'Expenditure DATA'!Y22)*100</f>
        <v>38.333763360663049</v>
      </c>
      <c r="CK20" s="202">
        <f>('Expenditure DATA'!BE22/'Expenditure DATA'!Z22)*100</f>
        <v>40.014354507350866</v>
      </c>
      <c r="CL20" s="202">
        <f>('Expenditure DATA'!BF22/'Expenditure DATA'!AA22)*100</f>
        <v>40.030368520479058</v>
      </c>
      <c r="CM20" s="202">
        <f>('Expenditure DATA'!BG22/'Expenditure DATA'!AB22)*100</f>
        <v>40.358495583819483</v>
      </c>
      <c r="CN20" s="202">
        <f>('Expenditure DATA'!BH22/'Expenditure DATA'!AC22)*100</f>
        <v>39.316107446853017</v>
      </c>
      <c r="CO20" s="202">
        <f>('Expenditure DATA'!BI22/'Expenditure DATA'!AD22)*100</f>
        <v>39.267821071595655</v>
      </c>
      <c r="CP20" s="202">
        <f>('Expenditure DATA'!BJ22/'Expenditure DATA'!AE22)*100</f>
        <v>37.032490094023053</v>
      </c>
      <c r="CQ20" s="464">
        <f>('Expenditure DATA'!BK22/'Expenditure DATA'!AF22)*100</f>
        <v>37.418810227239462</v>
      </c>
      <c r="CR20" s="203">
        <f>('Expenditure DATA'!FA22/'Expenditure DATA'!B22)*100</f>
        <v>20.28149333453533</v>
      </c>
      <c r="CS20" s="202">
        <f>('Expenditure DATA'!FB22/'Expenditure DATA'!C22)*100</f>
        <v>19.304327667780111</v>
      </c>
      <c r="CT20" s="202">
        <f>('Expenditure DATA'!FC22/'Expenditure DATA'!D22)*100</f>
        <v>18.899533284205354</v>
      </c>
      <c r="CU20" s="202">
        <f>('Expenditure DATA'!FD22/'Expenditure DATA'!E22)*100</f>
        <v>17.831272443385735</v>
      </c>
      <c r="CV20" s="202">
        <f>('Expenditure DATA'!FE22/'Expenditure DATA'!F22)*100</f>
        <v>17.283484683729405</v>
      </c>
      <c r="CW20" s="202">
        <f>('Expenditure DATA'!FF22/'Expenditure DATA'!G22)*100</f>
        <v>17.45646899661654</v>
      </c>
      <c r="CX20" s="202">
        <f>('Expenditure DATA'!FG22/'Expenditure DATA'!H22)*100</f>
        <v>17.268315486052007</v>
      </c>
      <c r="CY20" s="202">
        <f>('Expenditure DATA'!FH22/'Expenditure DATA'!I22)*100</f>
        <v>16.872989020149163</v>
      </c>
      <c r="CZ20" s="202">
        <f>('Expenditure DATA'!FI22/'Expenditure DATA'!J22)*100</f>
        <v>17.471913328570146</v>
      </c>
      <c r="DA20" s="202">
        <f>('Expenditure DATA'!FJ22/'Expenditure DATA'!K22)*100</f>
        <v>18.908205133319765</v>
      </c>
      <c r="DB20" s="202">
        <f>('Expenditure DATA'!FK22/'Expenditure DATA'!L22)*100</f>
        <v>20.234323052344564</v>
      </c>
      <c r="DC20" s="202">
        <f>('Expenditure DATA'!FL22/'Expenditure DATA'!M22)*100</f>
        <v>21.380109695106249</v>
      </c>
      <c r="DD20" s="202">
        <f>('Expenditure DATA'!FM22/'Expenditure DATA'!N22)*100</f>
        <v>21.121887057874563</v>
      </c>
      <c r="DE20" s="202">
        <f>('Expenditure DATA'!FN22/'Expenditure DATA'!O22)*100</f>
        <v>20.747345612833417</v>
      </c>
      <c r="DF20" s="202">
        <f>('Expenditure DATA'!FO22/'Expenditure DATA'!P22)*100</f>
        <v>20.202216345448196</v>
      </c>
      <c r="DG20" s="202">
        <f>('Expenditure DATA'!FP22/'Expenditure DATA'!Q22)*100</f>
        <v>20.406312194277479</v>
      </c>
      <c r="DH20" s="202">
        <f>('Expenditure DATA'!FQ22/'Expenditure DATA'!R22)*100</f>
        <v>20.51942408985208</v>
      </c>
      <c r="DI20" s="202">
        <f>('Expenditure DATA'!FR22/'Expenditure DATA'!S22)*100</f>
        <v>20.367592494893938</v>
      </c>
      <c r="DJ20" s="202">
        <f>('Expenditure DATA'!FS22/'Expenditure DATA'!T22)*100</f>
        <v>20.80543338617808</v>
      </c>
      <c r="DK20" s="202">
        <f>('Expenditure DATA'!FT22/'Expenditure DATA'!U22)*100</f>
        <v>20.585276413811059</v>
      </c>
      <c r="DL20" s="202">
        <f>('Expenditure DATA'!FU22/'Expenditure DATA'!V22)*100</f>
        <v>20.39058111806397</v>
      </c>
      <c r="DM20" s="202">
        <f>('Expenditure DATA'!FV22/'Expenditure DATA'!W22)*100</f>
        <v>21.765419186659081</v>
      </c>
      <c r="DN20" s="202">
        <f>('Expenditure DATA'!FW22/'Expenditure DATA'!X22)*100</f>
        <v>23.02224380277579</v>
      </c>
      <c r="DO20" s="202">
        <f>('Expenditure DATA'!FX22/'Expenditure DATA'!Y22)*100</f>
        <v>23.592970066986634</v>
      </c>
      <c r="DP20" s="202">
        <f>('Expenditure DATA'!FY22/'Expenditure DATA'!Z22)*100</f>
        <v>22.881149422965322</v>
      </c>
      <c r="DQ20" s="202">
        <f>('Expenditure DATA'!FZ22/'Expenditure DATA'!AA22)*100</f>
        <v>22.856314848660571</v>
      </c>
      <c r="DR20" s="202">
        <f>('Expenditure DATA'!GA22/'Expenditure DATA'!AB22)*100</f>
        <v>22.159968918558405</v>
      </c>
      <c r="DS20" s="202">
        <f>('Expenditure DATA'!GB22/'Expenditure DATA'!AC22)*100</f>
        <v>23.248206415834712</v>
      </c>
      <c r="DT20" s="202">
        <f>('Expenditure DATA'!GC22/'Expenditure DATA'!AD22)*100</f>
        <v>24.446152813491207</v>
      </c>
      <c r="DU20" s="202">
        <f>('Expenditure DATA'!GD22/'Expenditure DATA'!AE22)*100</f>
        <v>25.314005022267928</v>
      </c>
      <c r="DV20" s="464">
        <f>('Expenditure DATA'!GE22/'Expenditure DATA'!AF22)*100</f>
        <v>24.770167316085036</v>
      </c>
      <c r="DW20" s="203">
        <f>('Expenditure DATA'!GF22/'Expenditure DATA'!B22)*100</f>
        <v>26.66636616670986</v>
      </c>
      <c r="DX20" s="202">
        <f>('Expenditure DATA'!GG22/'Expenditure DATA'!C22)*100</f>
        <v>26.39382092917883</v>
      </c>
      <c r="DY20" s="202">
        <f>('Expenditure DATA'!GH22/'Expenditure DATA'!D22)*100</f>
        <v>26.188160157209534</v>
      </c>
      <c r="DZ20" s="202">
        <f>('Expenditure DATA'!GI22/'Expenditure DATA'!E22)*100</f>
        <v>28.245003426289824</v>
      </c>
      <c r="EA20" s="202">
        <f>('Expenditure DATA'!GJ22/'Expenditure DATA'!F22)*100</f>
        <v>29.107193821036049</v>
      </c>
      <c r="EB20" s="202">
        <f>('Expenditure DATA'!GK22/'Expenditure DATA'!G22)*100</f>
        <v>29.397120335159734</v>
      </c>
      <c r="EC20" s="202">
        <f>('Expenditure DATA'!GL22/'Expenditure DATA'!H22)*100</f>
        <v>29.780360596586515</v>
      </c>
      <c r="ED20" s="202">
        <f>('Expenditure DATA'!GM22/'Expenditure DATA'!I22)*100</f>
        <v>30.390188243774595</v>
      </c>
      <c r="EE20" s="202">
        <f>('Expenditure DATA'!GN22/'Expenditure DATA'!J22)*100</f>
        <v>29.135094468312829</v>
      </c>
      <c r="EF20" s="202">
        <f>('Expenditure DATA'!GO22/'Expenditure DATA'!K22)*100</f>
        <v>28.237509156264331</v>
      </c>
      <c r="EG20" s="202">
        <f>('Expenditure DATA'!GP22/'Expenditure DATA'!L22)*100</f>
        <v>27.408775077141399</v>
      </c>
      <c r="EH20" s="202">
        <f>('Expenditure DATA'!GQ22/'Expenditure DATA'!M22)*100</f>
        <v>26.1699668448233</v>
      </c>
      <c r="EI20" s="202">
        <f>('Expenditure DATA'!GR22/'Expenditure DATA'!N22)*100</f>
        <v>27.085785394656636</v>
      </c>
      <c r="EJ20" s="202">
        <f>('Expenditure DATA'!GS22/'Expenditure DATA'!O22)*100</f>
        <v>27.878695642632085</v>
      </c>
      <c r="EK20" s="202">
        <f>('Expenditure DATA'!GT22/'Expenditure DATA'!P22)*100</f>
        <v>28.027329805126222</v>
      </c>
      <c r="EL20" s="202">
        <f>('Expenditure DATA'!GU22/'Expenditure DATA'!Q22)*100</f>
        <v>28.51421364872499</v>
      </c>
      <c r="EM20" s="202">
        <f>('Expenditure DATA'!GV22/'Expenditure DATA'!R22)*100</f>
        <v>28.215139117416481</v>
      </c>
      <c r="EN20" s="202">
        <f>('Expenditure DATA'!GW22/'Expenditure DATA'!S22)*100</f>
        <v>27.541779797580496</v>
      </c>
      <c r="EO20" s="202">
        <f>('Expenditure DATA'!GX22/'Expenditure DATA'!T22)*100</f>
        <v>26.289148532510893</v>
      </c>
      <c r="EP20" s="202">
        <f>('Expenditure DATA'!GY22/'Expenditure DATA'!U22)*100</f>
        <v>26.540757444613128</v>
      </c>
      <c r="EQ20" s="202">
        <f>('Expenditure DATA'!GZ22/'Expenditure DATA'!V22)*100</f>
        <v>26.763267188582002</v>
      </c>
      <c r="ER20" s="202">
        <f>('Expenditure DATA'!HA22/'Expenditure DATA'!W22)*100</f>
        <v>26.21631508085709</v>
      </c>
      <c r="ES20" s="202">
        <f>('Expenditure DATA'!HB22/'Expenditure DATA'!X22)*100</f>
        <v>25.716312288871528</v>
      </c>
      <c r="ET20" s="202">
        <f>('Expenditure DATA'!HC22/'Expenditure DATA'!Y22)*100</f>
        <v>25.607637199549021</v>
      </c>
      <c r="EU20" s="202">
        <f>('Expenditure DATA'!HD22/'Expenditure DATA'!Z22)*100</f>
        <v>25.241393159543239</v>
      </c>
      <c r="EV20" s="202">
        <f>('Expenditure DATA'!HE22/'Expenditure DATA'!AA22)*100</f>
        <v>25.254384540308372</v>
      </c>
      <c r="EW20" s="202">
        <f>('Expenditure DATA'!HF22/'Expenditure DATA'!AB22)*100</f>
        <v>25.735897112034738</v>
      </c>
      <c r="EX20" s="202">
        <f>('Expenditure DATA'!HG22/'Expenditure DATA'!AC22)*100</f>
        <v>25.424031105735303</v>
      </c>
      <c r="EY20" s="202">
        <f>('Expenditure DATA'!HH22/'Expenditure DATA'!AD22)*100</f>
        <v>23.97822905805458</v>
      </c>
      <c r="EZ20" s="202">
        <f>('Expenditure DATA'!HI22/'Expenditure DATA'!AE22)*100</f>
        <v>24.973642615204181</v>
      </c>
      <c r="FA20" s="464">
        <f>('Expenditure DATA'!HJ22/'Expenditure DATA'!AF22)*100</f>
        <v>25.595270083806014</v>
      </c>
      <c r="FB20" s="203">
        <f>('Expenditure DATA'!HK22/'Expenditure DATA'!B22)*100</f>
        <v>6.1380872426499584</v>
      </c>
      <c r="FC20" s="202">
        <f>('Expenditure DATA'!HL22/'Expenditure DATA'!C22)*100</f>
        <v>6.4793837788853654</v>
      </c>
      <c r="FD20" s="202">
        <f>('Expenditure DATA'!HM22/'Expenditure DATA'!D22)*100</f>
        <v>5.9513633014001472</v>
      </c>
      <c r="FE20" s="202">
        <f>('Expenditure DATA'!HN22/'Expenditure DATA'!E22)*100</f>
        <v>5.818878870122111</v>
      </c>
      <c r="FF20" s="202">
        <f>('Expenditure DATA'!HO22/'Expenditure DATA'!F22)*100</f>
        <v>5.8913713793961531</v>
      </c>
      <c r="FG20" s="202">
        <f>('Expenditure DATA'!HP22/'Expenditure DATA'!G22)*100</f>
        <v>6.1255859362454217</v>
      </c>
      <c r="FH20" s="202">
        <f>('Expenditure DATA'!HQ22/'Expenditure DATA'!H22)*100</f>
        <v>6.2601355582757048</v>
      </c>
      <c r="FI20" s="202">
        <f>('Expenditure DATA'!HR22/'Expenditure DATA'!I22)*100</f>
        <v>6.2389717284156117</v>
      </c>
      <c r="FJ20" s="202">
        <f>('Expenditure DATA'!HS22/'Expenditure DATA'!J22)*100</f>
        <v>6.136459610225617</v>
      </c>
      <c r="FK20" s="202">
        <f>('Expenditure DATA'!HT22/'Expenditure DATA'!K22)*100</f>
        <v>6.0801732293179249</v>
      </c>
      <c r="FL20" s="202">
        <f>('Expenditure DATA'!HU22/'Expenditure DATA'!L22)*100</f>
        <v>6.0282044176377951</v>
      </c>
      <c r="FM20" s="202">
        <f>('Expenditure DATA'!HV22/'Expenditure DATA'!M22)*100</f>
        <v>6.0459041315555506</v>
      </c>
      <c r="FN20" s="202">
        <f>('Expenditure DATA'!HW22/'Expenditure DATA'!N22)*100</f>
        <v>5.760812967977154</v>
      </c>
      <c r="FO20" s="202">
        <f>('Expenditure DATA'!HX22/'Expenditure DATA'!O22)*100</f>
        <v>5.9189668341655715</v>
      </c>
      <c r="FP20" s="202">
        <f>('Expenditure DATA'!HY22/'Expenditure DATA'!P22)*100</f>
        <v>5.471822834394402</v>
      </c>
      <c r="FQ20" s="202">
        <f>('Expenditure DATA'!HZ22/'Expenditure DATA'!Q22)*100</f>
        <v>5.7422537147367034</v>
      </c>
      <c r="FR20" s="202">
        <f>('Expenditure DATA'!IA22/'Expenditure DATA'!R22)*100</f>
        <v>5.8612315067211442</v>
      </c>
      <c r="FS20" s="202">
        <f>('Expenditure DATA'!IB22/'Expenditure DATA'!S22)*100</f>
        <v>6.0117036933559023</v>
      </c>
      <c r="FT20" s="202">
        <f>('Expenditure DATA'!IC22/'Expenditure DATA'!T22)*100</f>
        <v>5.8545824542873284</v>
      </c>
      <c r="FU20" s="202">
        <f>('Expenditure DATA'!ID22/'Expenditure DATA'!U22)*100</f>
        <v>5.7900936843145425</v>
      </c>
      <c r="FV20" s="202">
        <f>('Expenditure DATA'!IE22/'Expenditure DATA'!V22)*100</f>
        <v>5.733063193718559</v>
      </c>
      <c r="FW20" s="202">
        <f>('Expenditure DATA'!IF22/'Expenditure DATA'!W22)*100</f>
        <v>5.601537266213187</v>
      </c>
      <c r="FX20" s="202">
        <f>('Expenditure DATA'!IG22/'Expenditure DATA'!X22)*100</f>
        <v>5.4813012710641349</v>
      </c>
      <c r="FY20" s="202">
        <f>('Expenditure DATA'!IH22/'Expenditure DATA'!Y22)*100</f>
        <v>5.4322268166902381</v>
      </c>
      <c r="FZ20" s="202">
        <f>('Expenditure DATA'!II22/'Expenditure DATA'!Z22)*100</f>
        <v>5.3929019242778198</v>
      </c>
      <c r="GA20" s="202">
        <f>('Expenditure DATA'!IJ22/'Expenditure DATA'!AA22)*100</f>
        <v>5.3961696735214666</v>
      </c>
      <c r="GB20" s="202">
        <f>('Expenditure DATA'!IK22/'Expenditure DATA'!AB22)*100</f>
        <v>5.3405121967526297</v>
      </c>
      <c r="GC20" s="202">
        <f>('Expenditure DATA'!IL22/'Expenditure DATA'!AC22)*100</f>
        <v>5.4912967185410455</v>
      </c>
      <c r="GD20" s="202">
        <f>('Expenditure DATA'!IM22/'Expenditure DATA'!AD22)*100</f>
        <v>5.1948238423210418</v>
      </c>
      <c r="GE20" s="202">
        <f>('Expenditure DATA'!IN22/'Expenditure DATA'!AE22)*100</f>
        <v>5.1261427826568902</v>
      </c>
      <c r="GF20" s="464">
        <f>('Expenditure DATA'!IO22/'Expenditure DATA'!AF22)*100</f>
        <v>4.9748732320927278</v>
      </c>
      <c r="GG20" s="203">
        <f>('Expenditure DATA'!IP22/'Expenditure DATA'!B22)*100</f>
        <v>7.5545689140307193</v>
      </c>
      <c r="GH20" s="202">
        <f>('Expenditure DATA'!IQ22/'Expenditure DATA'!C22)*100</f>
        <v>7.7628265244834083</v>
      </c>
      <c r="GI20" s="202">
        <f>('Expenditure DATA'!IR22/'Expenditure DATA'!D22)*100</f>
        <v>7.7052321296978628</v>
      </c>
      <c r="GJ20" s="202">
        <f>('Expenditure DATA'!IS22/'Expenditure DATA'!E22)*100</f>
        <v>7.3695267867611074</v>
      </c>
      <c r="GK20" s="202">
        <f>('Expenditure DATA'!IT22/'Expenditure DATA'!F22)*100</f>
        <v>7.1536435239302225</v>
      </c>
      <c r="GL20" s="202">
        <f>('Expenditure DATA'!IU22/'Expenditure DATA'!G22)*100</f>
        <v>7.21585599402888</v>
      </c>
      <c r="GM20" s="202">
        <f>('Expenditure DATA'!IV22/'Expenditure DATA'!H22)*100</f>
        <v>7.5111503353972724</v>
      </c>
      <c r="GN20" s="202">
        <f>('Expenditure DATA'!IW22/'Expenditure DATA'!I22)*100</f>
        <v>7.6542245083402651</v>
      </c>
      <c r="GO20" s="202">
        <f>('Expenditure DATA'!IX22/'Expenditure DATA'!J22)*100</f>
        <v>7.8125288551152083</v>
      </c>
      <c r="GP20" s="202">
        <f>('Expenditure DATA'!IY22/'Expenditure DATA'!K22)*100</f>
        <v>7.977032290507319</v>
      </c>
      <c r="GQ20" s="202">
        <f>('Expenditure DATA'!IZ22/'Expenditure DATA'!L22)*100</f>
        <v>8.1289171322179108</v>
      </c>
      <c r="GR20" s="202">
        <f>('Expenditure DATA'!JA22/'Expenditure DATA'!M22)*100</f>
        <v>8.0073944338300667</v>
      </c>
      <c r="GS20" s="202">
        <f>('Expenditure DATA'!JB22/'Expenditure DATA'!N22)*100</f>
        <v>7.9045817124936653</v>
      </c>
      <c r="GT20" s="202">
        <f>('Expenditure DATA'!JC22/'Expenditure DATA'!O22)*100</f>
        <v>7.734440877863082</v>
      </c>
      <c r="GU20" s="202">
        <f>('Expenditure DATA'!JD22/'Expenditure DATA'!P22)*100</f>
        <v>7.3698819939762625</v>
      </c>
      <c r="GV20" s="202">
        <f>('Expenditure DATA'!JE22/'Expenditure DATA'!Q22)*100</f>
        <v>8.2351941400139612</v>
      </c>
      <c r="GW20" s="202">
        <f>('Expenditure DATA'!JF22/'Expenditure DATA'!R22)*100</f>
        <v>8.0119204455098263</v>
      </c>
      <c r="GX20" s="202">
        <f>('Expenditure DATA'!JG22/'Expenditure DATA'!S22)*100</f>
        <v>8.967742642589533</v>
      </c>
      <c r="GY20" s="202">
        <f>('Expenditure DATA'!JH22/'Expenditure DATA'!T22)*100</f>
        <v>8.6140600615966907</v>
      </c>
      <c r="GZ20" s="202">
        <f>('Expenditure DATA'!JI22/'Expenditure DATA'!U22)*100</f>
        <v>8.2558991365440182</v>
      </c>
      <c r="HA20" s="202">
        <f>('Expenditure DATA'!JJ22/'Expenditure DATA'!V22)*100</f>
        <v>7.9391603729316085</v>
      </c>
      <c r="HB20" s="202">
        <f>('Expenditure DATA'!JK22/'Expenditure DATA'!W22)*100</f>
        <v>7.818237921141832</v>
      </c>
      <c r="HC20" s="202">
        <f>('Expenditure DATA'!JL22/'Expenditure DATA'!X22)*100</f>
        <v>7.7076952197705539</v>
      </c>
      <c r="HD20" s="202">
        <f>('Expenditure DATA'!JM22/'Expenditure DATA'!Y22)*100</f>
        <v>7.0334025561110556</v>
      </c>
      <c r="HE20" s="202">
        <f>('Expenditure DATA'!JN22/'Expenditure DATA'!Z22)*100</f>
        <v>6.4702009858627649</v>
      </c>
      <c r="HF20" s="202">
        <f>('Expenditure DATA'!JO22/'Expenditure DATA'!AA22)*100</f>
        <v>6.4627624170305378</v>
      </c>
      <c r="HG20" s="202">
        <f>('Expenditure DATA'!JP22/'Expenditure DATA'!AB22)*100</f>
        <v>6.4051261888347515</v>
      </c>
      <c r="HH20" s="202">
        <f>('Expenditure DATA'!JQ22/'Expenditure DATA'!AC22)*100</f>
        <v>6.5203548529062543</v>
      </c>
      <c r="HI20" s="202">
        <f>('Expenditure DATA'!JR22/'Expenditure DATA'!AD22)*100</f>
        <v>7.1129732145375169</v>
      </c>
      <c r="HJ20" s="202">
        <f>('Expenditure DATA'!JS22/'Expenditure DATA'!AE22)*100</f>
        <v>7.5537194858479486</v>
      </c>
      <c r="HK20" s="464">
        <f>('Expenditure DATA'!JT22/'Expenditure DATA'!AF22)*100</f>
        <v>7.240879140776765</v>
      </c>
      <c r="HL20" s="203">
        <f t="shared" si="1"/>
        <v>100.00225374967603</v>
      </c>
      <c r="HM20" s="204">
        <f t="shared" si="2"/>
        <v>100.00210745935237</v>
      </c>
      <c r="HN20" s="204">
        <f t="shared" si="3"/>
        <v>100.00196511913535</v>
      </c>
      <c r="HO20" s="204">
        <f t="shared" si="4"/>
        <v>100.00001759101437</v>
      </c>
      <c r="HP20" s="204">
        <f t="shared" si="5"/>
        <v>100.00000781055834</v>
      </c>
      <c r="HQ20" s="204">
        <f t="shared" si="6"/>
        <v>100</v>
      </c>
      <c r="HR20" s="204">
        <f t="shared" si="7"/>
        <v>100.00000000000001</v>
      </c>
      <c r="HS20" s="204">
        <f t="shared" si="8"/>
        <v>100</v>
      </c>
      <c r="HT20" s="204">
        <f t="shared" si="9"/>
        <v>100</v>
      </c>
      <c r="HU20" s="204">
        <f t="shared" si="10"/>
        <v>100.00000000000001</v>
      </c>
      <c r="HV20" s="204">
        <f t="shared" si="11"/>
        <v>100</v>
      </c>
      <c r="HW20" s="204">
        <f t="shared" si="12"/>
        <v>100.00000000000001</v>
      </c>
      <c r="HX20" s="204">
        <f t="shared" si="13"/>
        <v>100.00000000000001</v>
      </c>
      <c r="HY20" s="204">
        <f t="shared" si="14"/>
        <v>100</v>
      </c>
      <c r="HZ20" s="204">
        <f t="shared" si="15"/>
        <v>100</v>
      </c>
      <c r="IA20" s="204">
        <f t="shared" si="16"/>
        <v>100.00000000000001</v>
      </c>
      <c r="IB20" s="204">
        <f t="shared" si="17"/>
        <v>100</v>
      </c>
      <c r="IC20" s="204">
        <f t="shared" si="18"/>
        <v>99.999999999999972</v>
      </c>
      <c r="ID20" s="204">
        <f t="shared" si="19"/>
        <v>100</v>
      </c>
      <c r="IE20" s="204">
        <f t="shared" si="20"/>
        <v>100</v>
      </c>
      <c r="IF20" s="204">
        <f t="shared" si="21"/>
        <v>100.00000000000001</v>
      </c>
      <c r="IG20" s="204">
        <f t="shared" si="22"/>
        <v>100</v>
      </c>
      <c r="IH20" s="204">
        <f t="shared" si="23"/>
        <v>100.00000000000001</v>
      </c>
      <c r="II20" s="204">
        <f t="shared" si="24"/>
        <v>99.999999999999986</v>
      </c>
      <c r="IJ20" s="204">
        <f t="shared" si="25"/>
        <v>100.00000000000001</v>
      </c>
      <c r="IK20" s="204">
        <f t="shared" si="26"/>
        <v>100</v>
      </c>
      <c r="IL20" s="204">
        <f t="shared" si="27"/>
        <v>100.00000000000001</v>
      </c>
      <c r="IM20" s="204">
        <f t="shared" si="28"/>
        <v>99.999996539870338</v>
      </c>
      <c r="IN20" s="204">
        <f t="shared" si="29"/>
        <v>100</v>
      </c>
      <c r="IO20" s="204">
        <f t="shared" si="30"/>
        <v>100</v>
      </c>
      <c r="IP20" s="204">
        <f t="shared" si="31"/>
        <v>100.00000000000001</v>
      </c>
    </row>
    <row r="21" spans="1:250" s="164" customFormat="1">
      <c r="A21" s="294" t="s">
        <v>39</v>
      </c>
      <c r="B21" s="218"/>
      <c r="C21" s="205">
        <f>('Expenditure DATA'!CQ23/'Expenditure DATA'!B23)*100</f>
        <v>7.4336503200944728</v>
      </c>
      <c r="D21" s="205">
        <f>('Expenditure DATA'!CR23/'Expenditure DATA'!C23)*100</f>
        <v>8.6757721466709938</v>
      </c>
      <c r="E21" s="205">
        <f>('Expenditure DATA'!CS23/'Expenditure DATA'!D23)*100</f>
        <v>9.1417120600603994</v>
      </c>
      <c r="F21" s="205">
        <f>('Expenditure DATA'!CT23/'Expenditure DATA'!E23)*100</f>
        <v>8.9271293175761492</v>
      </c>
      <c r="G21" s="205">
        <f>('Expenditure DATA'!CU23/'Expenditure DATA'!F23)*100</f>
        <v>8.9321218821687189</v>
      </c>
      <c r="H21" s="205">
        <f>('Expenditure DATA'!CV23/'Expenditure DATA'!G23)*100</f>
        <v>8.2769881779502263</v>
      </c>
      <c r="I21" s="205">
        <f>('Expenditure DATA'!CW23/'Expenditure DATA'!H23)*100</f>
        <v>8.3057775178182336</v>
      </c>
      <c r="J21" s="205">
        <f>('Expenditure DATA'!CX23/'Expenditure DATA'!I23)*100</f>
        <v>9.736903383541156</v>
      </c>
      <c r="K21" s="205">
        <f>('Expenditure DATA'!CY23/'Expenditure DATA'!J23)*100</f>
        <v>10.056416110694602</v>
      </c>
      <c r="L21" s="205">
        <f>('Expenditure DATA'!CZ23/'Expenditure DATA'!K23)*100</f>
        <v>9.729688412904137</v>
      </c>
      <c r="M21" s="205">
        <f>('Expenditure DATA'!DA23/'Expenditure DATA'!L23)*100</f>
        <v>9.4690387243751406</v>
      </c>
      <c r="N21" s="205">
        <f>('Expenditure DATA'!DB23/'Expenditure DATA'!M23)*100</f>
        <v>9.0140376963812621</v>
      </c>
      <c r="O21" s="205">
        <f>('Expenditure DATA'!DC23/'Expenditure DATA'!N23)*100</f>
        <v>8.7810819060608498</v>
      </c>
      <c r="P21" s="205">
        <f>('Expenditure DATA'!DD23/'Expenditure DATA'!O23)*100</f>
        <v>8.6858269091564999</v>
      </c>
      <c r="Q21" s="205">
        <f>('Expenditure DATA'!DE23/'Expenditure DATA'!P23)*100</f>
        <v>9.1925040315550923</v>
      </c>
      <c r="R21" s="205">
        <f>('Expenditure DATA'!DF23/'Expenditure DATA'!Q23)*100</f>
        <v>8.9144546871787664</v>
      </c>
      <c r="S21" s="205">
        <f>('Expenditure DATA'!DG23/'Expenditure DATA'!R23)*100</f>
        <v>8.9518810516217542</v>
      </c>
      <c r="T21" s="205">
        <f>('Expenditure DATA'!DH23/'Expenditure DATA'!S23)*100</f>
        <v>9.3525320647736567</v>
      </c>
      <c r="U21" s="205">
        <f>('Expenditure DATA'!DI23/'Expenditure DATA'!T23)*100</f>
        <v>9.6077955096406154</v>
      </c>
      <c r="V21" s="205">
        <f>('Expenditure DATA'!DJ23/'Expenditure DATA'!U23)*100</f>
        <v>9.8986125157533973</v>
      </c>
      <c r="W21" s="205">
        <f>('Expenditure DATA'!DK23/'Expenditure DATA'!V23)*100</f>
        <v>10.155861283518593</v>
      </c>
      <c r="X21" s="205">
        <f>('Expenditure DATA'!DL23/'Expenditure DATA'!W23)*100</f>
        <v>9.9158884871725359</v>
      </c>
      <c r="Y21" s="205">
        <f>('Expenditure DATA'!DM23/'Expenditure DATA'!X23)*100</f>
        <v>9.6932217650489498</v>
      </c>
      <c r="Z21" s="205">
        <f>('Expenditure DATA'!DN23/'Expenditure DATA'!Y23)*100</f>
        <v>9.8785108855843653</v>
      </c>
      <c r="AA21" s="205">
        <f>('Expenditure DATA'!DO23/'Expenditure DATA'!Z23)*100</f>
        <v>11.583058718951433</v>
      </c>
      <c r="AB21" s="205">
        <f>('Expenditure DATA'!DP23/'Expenditure DATA'!AA23)*100</f>
        <v>11.629029599453695</v>
      </c>
      <c r="AC21" s="205">
        <f>('Expenditure DATA'!DQ23/'Expenditure DATA'!AB23)*100</f>
        <v>11.256975103391673</v>
      </c>
      <c r="AD21" s="205">
        <f>('Expenditure DATA'!DR23/'Expenditure DATA'!AC23)*100</f>
        <v>11.143780797600465</v>
      </c>
      <c r="AE21" s="205">
        <f>('Expenditure DATA'!DS23/'Expenditure DATA'!AD23)*100</f>
        <v>11.035818485655293</v>
      </c>
      <c r="AF21" s="205">
        <f>('Expenditure DATA'!DT23/'Expenditure DATA'!AE23)*100</f>
        <v>10.964443943963561</v>
      </c>
      <c r="AG21" s="465">
        <f>('Expenditure DATA'!DU23/'Expenditure DATA'!AF23)*100</f>
        <v>11.565613962248504</v>
      </c>
      <c r="AH21" s="206">
        <f>('Expenditure DATA'!BL23/'Expenditure DATA'!B23)*100</f>
        <v>27.674187332960404</v>
      </c>
      <c r="AI21" s="205">
        <f>('Expenditure DATA'!BM23/'Expenditure DATA'!C23)*100</f>
        <v>27.310540133927251</v>
      </c>
      <c r="AJ21" s="205">
        <f>('Expenditure DATA'!BN23/'Expenditure DATA'!D23)*100</f>
        <v>27.216279529225819</v>
      </c>
      <c r="AK21" s="205">
        <f>('Expenditure DATA'!BO23/'Expenditure DATA'!E23)*100</f>
        <v>29.357421383140046</v>
      </c>
      <c r="AL21" s="205">
        <f>('Expenditure DATA'!BP23/'Expenditure DATA'!F23)*100</f>
        <v>27.618328644647349</v>
      </c>
      <c r="AM21" s="205">
        <f>('Expenditure DATA'!BQ23/'Expenditure DATA'!G23)*100</f>
        <v>27.201587834454209</v>
      </c>
      <c r="AN21" s="205">
        <f>('Expenditure DATA'!BR23/'Expenditure DATA'!H23)*100</f>
        <v>27.698056158736449</v>
      </c>
      <c r="AO21" s="205">
        <f>('Expenditure DATA'!BS23/'Expenditure DATA'!I23)*100</f>
        <v>27.278593291720547</v>
      </c>
      <c r="AP21" s="205">
        <f>('Expenditure DATA'!BT23/'Expenditure DATA'!J23)*100</f>
        <v>25.903611604295733</v>
      </c>
      <c r="AQ21" s="205">
        <f>('Expenditure DATA'!BU23/'Expenditure DATA'!K23)*100</f>
        <v>26.484191336824871</v>
      </c>
      <c r="AR21" s="205">
        <f>('Expenditure DATA'!BV23/'Expenditure DATA'!L23)*100</f>
        <v>26.947353558679154</v>
      </c>
      <c r="AS21" s="205">
        <f>('Expenditure DATA'!BW23/'Expenditure DATA'!M23)*100</f>
        <v>26.753703954560205</v>
      </c>
      <c r="AT21" s="205">
        <f>('Expenditure DATA'!BX23/'Expenditure DATA'!N23)*100</f>
        <v>24.742231957184963</v>
      </c>
      <c r="AU21" s="205">
        <f>('Expenditure DATA'!BY23/'Expenditure DATA'!O23)*100</f>
        <v>24.917800551557985</v>
      </c>
      <c r="AV21" s="205">
        <f>('Expenditure DATA'!BZ23/'Expenditure DATA'!P23)*100</f>
        <v>24.688998213040446</v>
      </c>
      <c r="AW21" s="205">
        <f>('Expenditure DATA'!CA23/'Expenditure DATA'!Q23)*100</f>
        <v>24.767446425379852</v>
      </c>
      <c r="AX21" s="205">
        <f>('Expenditure DATA'!CB23/'Expenditure DATA'!R23)*100</f>
        <v>24.760147822897547</v>
      </c>
      <c r="AY21" s="205">
        <f>('Expenditure DATA'!CC23/'Expenditure DATA'!S23)*100</f>
        <v>25.210253288525653</v>
      </c>
      <c r="AZ21" s="205">
        <f>('Expenditure DATA'!CD23/'Expenditure DATA'!T23)*100</f>
        <v>24.65616790187174</v>
      </c>
      <c r="BA21" s="205">
        <f>('Expenditure DATA'!CE23/'Expenditure DATA'!U23)*100</f>
        <v>23.854012152273583</v>
      </c>
      <c r="BB21" s="205">
        <f>('Expenditure DATA'!CF23/'Expenditure DATA'!V23)*100</f>
        <v>23.144447120647239</v>
      </c>
      <c r="BC21" s="205">
        <f>('Expenditure DATA'!CG23/'Expenditure DATA'!W23)*100</f>
        <v>22.909422829424379</v>
      </c>
      <c r="BD21" s="205">
        <f>('Expenditure DATA'!CH23/'Expenditure DATA'!X23)*100</f>
        <v>22.691347741985936</v>
      </c>
      <c r="BE21" s="205">
        <f>('Expenditure DATA'!CI23/'Expenditure DATA'!Y23)*100</f>
        <v>21.974058269162771</v>
      </c>
      <c r="BF21" s="205">
        <f>('Expenditure DATA'!CJ23/'Expenditure DATA'!Z23)*100</f>
        <v>23.024984811453205</v>
      </c>
      <c r="BG21" s="205">
        <f>('Expenditure DATA'!CK23/'Expenditure DATA'!AA23)*100</f>
        <v>23.116366444838338</v>
      </c>
      <c r="BH21" s="205">
        <f>('Expenditure DATA'!CL23/'Expenditure DATA'!AB23)*100</f>
        <v>22.654696211331078</v>
      </c>
      <c r="BI21" s="205">
        <f>('Expenditure DATA'!CM23/'Expenditure DATA'!AC23)*100</f>
        <v>22.184969240657423</v>
      </c>
      <c r="BJ21" s="205">
        <f>('Expenditure DATA'!CN23/'Expenditure DATA'!AD23)*100</f>
        <v>23.418382874189732</v>
      </c>
      <c r="BK21" s="205">
        <f>('Expenditure DATA'!CO23/'Expenditure DATA'!AE23)*100</f>
        <v>22.914959657024049</v>
      </c>
      <c r="BL21" s="465">
        <f>('Expenditure DATA'!CP23/'Expenditure DATA'!AF23)*100</f>
        <v>21.955739568994471</v>
      </c>
      <c r="BM21" s="206">
        <f>('Expenditure DATA'!AG23/'Expenditure DATA'!B23)*100</f>
        <v>37.301883274286787</v>
      </c>
      <c r="BN21" s="205">
        <f>('Expenditure DATA'!AH23/'Expenditure DATA'!C23)*100</f>
        <v>38.13976813475324</v>
      </c>
      <c r="BO21" s="205">
        <f>('Expenditure DATA'!AI23/'Expenditure DATA'!D23)*100</f>
        <v>38.810646044424381</v>
      </c>
      <c r="BP21" s="205">
        <f>('Expenditure DATA'!AJ23/'Expenditure DATA'!E23)*100</f>
        <v>40.827718323885499</v>
      </c>
      <c r="BQ21" s="205">
        <f>('Expenditure DATA'!AK23/'Expenditure DATA'!F23)*100</f>
        <v>38.891726491788212</v>
      </c>
      <c r="BR21" s="205">
        <f>('Expenditure DATA'!AL23/'Expenditure DATA'!G23)*100</f>
        <v>37.659738631431736</v>
      </c>
      <c r="BS21" s="205">
        <f>('Expenditure DATA'!AM23/'Expenditure DATA'!H23)*100</f>
        <v>38.312775869608281</v>
      </c>
      <c r="BT21" s="205">
        <f>('Expenditure DATA'!AN23/'Expenditure DATA'!I23)*100</f>
        <v>39.443768385988584</v>
      </c>
      <c r="BU21" s="205">
        <f>('Expenditure DATA'!AO23/'Expenditure DATA'!J23)*100</f>
        <v>38.105872468843245</v>
      </c>
      <c r="BV21" s="205">
        <f>('Expenditure DATA'!AP23/'Expenditure DATA'!K23)*100</f>
        <v>38.425721521212694</v>
      </c>
      <c r="BW21" s="205">
        <f>('Expenditure DATA'!AQ23/'Expenditure DATA'!L23)*100</f>
        <v>38.68088371419536</v>
      </c>
      <c r="BX21" s="205">
        <f>('Expenditure DATA'!AR23/'Expenditure DATA'!M23)*100</f>
        <v>38.17876955936881</v>
      </c>
      <c r="BY21" s="205">
        <f>('Expenditure DATA'!AS23/'Expenditure DATA'!N23)*100</f>
        <v>35.83601082889021</v>
      </c>
      <c r="BZ21" s="205">
        <f>('Expenditure DATA'!AT23/'Expenditure DATA'!O23)*100</f>
        <v>36.647349206951596</v>
      </c>
      <c r="CA21" s="205">
        <f>('Expenditure DATA'!AU23/'Expenditure DATA'!P23)*100</f>
        <v>36.344850505578798</v>
      </c>
      <c r="CB21" s="205">
        <f>('Expenditure DATA'!AV23/'Expenditure DATA'!Q23)*100</f>
        <v>36.077688493918586</v>
      </c>
      <c r="CC21" s="205">
        <f>('Expenditure DATA'!AW23/'Expenditure DATA'!R23)*100</f>
        <v>36.029618584221474</v>
      </c>
      <c r="CD21" s="205">
        <f>('Expenditure DATA'!AX23/'Expenditure DATA'!S23)*100</f>
        <v>36.992387013130042</v>
      </c>
      <c r="CE21" s="205">
        <f>('Expenditure DATA'!AY23/'Expenditure DATA'!T23)*100</f>
        <v>36.678783392837914</v>
      </c>
      <c r="CF21" s="205">
        <f>('Expenditure DATA'!AZ23/'Expenditure DATA'!U23)*100</f>
        <v>36.33234533923077</v>
      </c>
      <c r="CG21" s="205">
        <f>('Expenditure DATA'!BA23/'Expenditure DATA'!V23)*100</f>
        <v>36.025895714469648</v>
      </c>
      <c r="CH21" s="205">
        <f>('Expenditure DATA'!BB23/'Expenditure DATA'!W23)*100</f>
        <v>35.782825096280128</v>
      </c>
      <c r="CI21" s="205">
        <f>('Expenditure DATA'!BC23/'Expenditure DATA'!X23)*100</f>
        <v>35.55728395736385</v>
      </c>
      <c r="CJ21" s="205">
        <f>('Expenditure DATA'!BD23/'Expenditure DATA'!Y23)*100</f>
        <v>35.956916302063235</v>
      </c>
      <c r="CK21" s="205">
        <f>('Expenditure DATA'!BE23/'Expenditure DATA'!Z23)*100</f>
        <v>38.621405570604658</v>
      </c>
      <c r="CL21" s="205">
        <f>('Expenditure DATA'!BF23/'Expenditure DATA'!AA23)*100</f>
        <v>38.774643976626457</v>
      </c>
      <c r="CM21" s="205">
        <f>('Expenditure DATA'!BG23/'Expenditure DATA'!AB23)*100</f>
        <v>38.008788231730676</v>
      </c>
      <c r="CN21" s="205">
        <f>('Expenditure DATA'!BH23/'Expenditure DATA'!AC23)*100</f>
        <v>37.721207112906683</v>
      </c>
      <c r="CO21" s="205">
        <f>('Expenditure DATA'!BI23/'Expenditure DATA'!AD23)*100</f>
        <v>38.670209334492348</v>
      </c>
      <c r="CP21" s="205">
        <f>('Expenditure DATA'!BJ23/'Expenditure DATA'!AE23)*100</f>
        <v>38.985774107400303</v>
      </c>
      <c r="CQ21" s="465">
        <f>('Expenditure DATA'!BK23/'Expenditure DATA'!AF23)*100</f>
        <v>38.097049423589617</v>
      </c>
      <c r="CR21" s="206">
        <f>('Expenditure DATA'!FA23/'Expenditure DATA'!B23)*100</f>
        <v>18.525079246690286</v>
      </c>
      <c r="CS21" s="205">
        <f>('Expenditure DATA'!FB23/'Expenditure DATA'!C23)*100</f>
        <v>18.563969438626508</v>
      </c>
      <c r="CT21" s="205">
        <f>('Expenditure DATA'!FC23/'Expenditure DATA'!D23)*100</f>
        <v>18.692670260506336</v>
      </c>
      <c r="CU21" s="205">
        <f>('Expenditure DATA'!FD23/'Expenditure DATA'!E23)*100</f>
        <v>17.062901040325197</v>
      </c>
      <c r="CV21" s="205">
        <f>('Expenditure DATA'!FE23/'Expenditure DATA'!F23)*100</f>
        <v>18.355281889886999</v>
      </c>
      <c r="CW21" s="205">
        <f>('Expenditure DATA'!FF23/'Expenditure DATA'!G23)*100</f>
        <v>18.770680240818159</v>
      </c>
      <c r="CX21" s="205">
        <f>('Expenditure DATA'!FG23/'Expenditure DATA'!H23)*100</f>
        <v>18.741590765539335</v>
      </c>
      <c r="CY21" s="205">
        <f>('Expenditure DATA'!FH23/'Expenditure DATA'!I23)*100</f>
        <v>19.914458924890898</v>
      </c>
      <c r="CZ21" s="205">
        <f>('Expenditure DATA'!FI23/'Expenditure DATA'!J23)*100</f>
        <v>21.687216783674508</v>
      </c>
      <c r="DA21" s="205">
        <f>('Expenditure DATA'!FJ23/'Expenditure DATA'!K23)*100</f>
        <v>24.198091867626001</v>
      </c>
      <c r="DB21" s="205">
        <f>('Expenditure DATA'!FK23/'Expenditure DATA'!L23)*100</f>
        <v>26.201162966259616</v>
      </c>
      <c r="DC21" s="205">
        <f>('Expenditure DATA'!FL23/'Expenditure DATA'!M23)*100</f>
        <v>28.709089534418503</v>
      </c>
      <c r="DD21" s="205">
        <f>('Expenditure DATA'!FM23/'Expenditure DATA'!N23)*100</f>
        <v>29.203818725323011</v>
      </c>
      <c r="DE21" s="205">
        <f>('Expenditure DATA'!FN23/'Expenditure DATA'!O23)*100</f>
        <v>28.754185593534004</v>
      </c>
      <c r="DF21" s="205">
        <f>('Expenditure DATA'!FO23/'Expenditure DATA'!P23)*100</f>
        <v>27.947679676603904</v>
      </c>
      <c r="DG21" s="205">
        <f>('Expenditure DATA'!FP23/'Expenditure DATA'!Q23)*100</f>
        <v>27.261818546225058</v>
      </c>
      <c r="DH21" s="205">
        <f>('Expenditure DATA'!FQ23/'Expenditure DATA'!R23)*100</f>
        <v>26.85713078466096</v>
      </c>
      <c r="DI21" s="205">
        <f>('Expenditure DATA'!FR23/'Expenditure DATA'!S23)*100</f>
        <v>26.980952521027763</v>
      </c>
      <c r="DJ21" s="205">
        <f>('Expenditure DATA'!FS23/'Expenditure DATA'!T23)*100</f>
        <v>27.013568697658947</v>
      </c>
      <c r="DK21" s="205">
        <f>('Expenditure DATA'!FT23/'Expenditure DATA'!U23)*100</f>
        <v>27.168666811426395</v>
      </c>
      <c r="DL21" s="205">
        <f>('Expenditure DATA'!FU23/'Expenditure DATA'!V23)*100</f>
        <v>27.305862359866595</v>
      </c>
      <c r="DM21" s="205">
        <f>('Expenditure DATA'!FV23/'Expenditure DATA'!W23)*100</f>
        <v>27.144937411193602</v>
      </c>
      <c r="DN21" s="205">
        <f>('Expenditure DATA'!FW23/'Expenditure DATA'!X23)*100</f>
        <v>26.995617857583671</v>
      </c>
      <c r="DO21" s="205">
        <f>('Expenditure DATA'!FX23/'Expenditure DATA'!Y23)*100</f>
        <v>26.724115913856345</v>
      </c>
      <c r="DP21" s="205">
        <f>('Expenditure DATA'!FY23/'Expenditure DATA'!Z23)*100</f>
        <v>25.79769083467276</v>
      </c>
      <c r="DQ21" s="205">
        <f>('Expenditure DATA'!FZ23/'Expenditure DATA'!AA23)*100</f>
        <v>26.132902517790797</v>
      </c>
      <c r="DR21" s="205">
        <f>('Expenditure DATA'!GA23/'Expenditure DATA'!AB23)*100</f>
        <v>26.411199906990568</v>
      </c>
      <c r="DS21" s="205">
        <f>('Expenditure DATA'!GB23/'Expenditure DATA'!AC23)*100</f>
        <v>26.980587947234717</v>
      </c>
      <c r="DT21" s="205">
        <f>('Expenditure DATA'!GC23/'Expenditure DATA'!AD23)*100</f>
        <v>26.993656364865625</v>
      </c>
      <c r="DU21" s="205">
        <f>('Expenditure DATA'!GD23/'Expenditure DATA'!AE23)*100</f>
        <v>27.537336115841139</v>
      </c>
      <c r="DV21" s="465">
        <f>('Expenditure DATA'!GE23/'Expenditure DATA'!AF23)*100</f>
        <v>27.645600496243166</v>
      </c>
      <c r="DW21" s="206">
        <f>('Expenditure DATA'!GF23/'Expenditure DATA'!B23)*100</f>
        <v>25.831313319659394</v>
      </c>
      <c r="DX21" s="205">
        <f>('Expenditure DATA'!GG23/'Expenditure DATA'!C23)*100</f>
        <v>24.98303784772412</v>
      </c>
      <c r="DY21" s="205">
        <f>('Expenditure DATA'!GH23/'Expenditure DATA'!D23)*100</f>
        <v>22.040021450142532</v>
      </c>
      <c r="DZ21" s="205">
        <f>('Expenditure DATA'!GI23/'Expenditure DATA'!E23)*100</f>
        <v>22.96322493259515</v>
      </c>
      <c r="EA21" s="205">
        <f>('Expenditure DATA'!GJ23/'Expenditure DATA'!F23)*100</f>
        <v>22.769915806510742</v>
      </c>
      <c r="EB21" s="205">
        <f>('Expenditure DATA'!GK23/'Expenditure DATA'!G23)*100</f>
        <v>22.578162964007106</v>
      </c>
      <c r="EC21" s="205">
        <f>('Expenditure DATA'!GL23/'Expenditure DATA'!H23)*100</f>
        <v>22.46788606795409</v>
      </c>
      <c r="ED21" s="205">
        <f>('Expenditure DATA'!GM23/'Expenditure DATA'!I23)*100</f>
        <v>20.540750862599563</v>
      </c>
      <c r="EE21" s="205">
        <f>('Expenditure DATA'!GN23/'Expenditure DATA'!J23)*100</f>
        <v>21.156084572921731</v>
      </c>
      <c r="EF21" s="205">
        <f>('Expenditure DATA'!GO23/'Expenditure DATA'!K23)*100</f>
        <v>20.053409743981966</v>
      </c>
      <c r="EG21" s="205">
        <f>('Expenditure DATA'!GP23/'Expenditure DATA'!L23)*100</f>
        <v>19.173741896243399</v>
      </c>
      <c r="EH21" s="205">
        <f>('Expenditure DATA'!GQ23/'Expenditure DATA'!M23)*100</f>
        <v>19.038373693810623</v>
      </c>
      <c r="EI21" s="205">
        <f>('Expenditure DATA'!GR23/'Expenditure DATA'!N23)*100</f>
        <v>21.55012153552298</v>
      </c>
      <c r="EJ21" s="205">
        <f>('Expenditure DATA'!GS23/'Expenditure DATA'!O23)*100</f>
        <v>21.011087875513084</v>
      </c>
      <c r="EK21" s="205">
        <f>('Expenditure DATA'!GT23/'Expenditure DATA'!P23)*100</f>
        <v>21.265118331589957</v>
      </c>
      <c r="EL21" s="205">
        <f>('Expenditure DATA'!GU23/'Expenditure DATA'!Q23)*100</f>
        <v>22.459150740379918</v>
      </c>
      <c r="EM21" s="205">
        <f>('Expenditure DATA'!GV23/'Expenditure DATA'!R23)*100</f>
        <v>21.998944407899589</v>
      </c>
      <c r="EN21" s="205">
        <f>('Expenditure DATA'!GW23/'Expenditure DATA'!S23)*100</f>
        <v>21.554570679006083</v>
      </c>
      <c r="EO21" s="205">
        <f>('Expenditure DATA'!GX23/'Expenditure DATA'!T23)*100</f>
        <v>21.954745600407009</v>
      </c>
      <c r="EP21" s="205">
        <f>('Expenditure DATA'!GY23/'Expenditure DATA'!U23)*100</f>
        <v>22.007323477099856</v>
      </c>
      <c r="EQ21" s="205">
        <f>('Expenditure DATA'!GZ23/'Expenditure DATA'!V23)*100</f>
        <v>22.053832428456367</v>
      </c>
      <c r="ER21" s="205">
        <f>('Expenditure DATA'!HA23/'Expenditure DATA'!W23)*100</f>
        <v>21.761924724921933</v>
      </c>
      <c r="ES21" s="205">
        <f>('Expenditure DATA'!HB23/'Expenditure DATA'!X23)*100</f>
        <v>21.491068475803992</v>
      </c>
      <c r="ET21" s="205">
        <f>('Expenditure DATA'!HC23/'Expenditure DATA'!Y23)*100</f>
        <v>21.69109566645</v>
      </c>
      <c r="EU21" s="205">
        <f>('Expenditure DATA'!HD23/'Expenditure DATA'!Z23)*100</f>
        <v>21.94432635114368</v>
      </c>
      <c r="EV21" s="205">
        <f>('Expenditure DATA'!HE23/'Expenditure DATA'!AA23)*100</f>
        <v>22.037111168672148</v>
      </c>
      <c r="EW21" s="205">
        <f>('Expenditure DATA'!HF23/'Expenditure DATA'!AB23)*100</f>
        <v>22.338470590679123</v>
      </c>
      <c r="EX21" s="205">
        <f>('Expenditure DATA'!HG23/'Expenditure DATA'!AC23)*100</f>
        <v>22.434586661769657</v>
      </c>
      <c r="EY21" s="205">
        <f>('Expenditure DATA'!HH23/'Expenditure DATA'!AD23)*100</f>
        <v>21.706501633745731</v>
      </c>
      <c r="EZ21" s="205">
        <f>('Expenditure DATA'!HI23/'Expenditure DATA'!AE23)*100</f>
        <v>21.547810406504539</v>
      </c>
      <c r="FA21" s="465">
        <f>('Expenditure DATA'!HJ23/'Expenditure DATA'!AF23)*100</f>
        <v>21.626633858381229</v>
      </c>
      <c r="FB21" s="206">
        <f>('Expenditure DATA'!HK23/'Expenditure DATA'!B23)*100</f>
        <v>4.6553545900926094</v>
      </c>
      <c r="FC21" s="205">
        <f>('Expenditure DATA'!HL23/'Expenditure DATA'!C23)*100</f>
        <v>5.01194725508127</v>
      </c>
      <c r="FD21" s="205">
        <f>('Expenditure DATA'!HM23/'Expenditure DATA'!D23)*100</f>
        <v>5.4105162146143213</v>
      </c>
      <c r="FE21" s="205">
        <f>('Expenditure DATA'!HN23/'Expenditure DATA'!E23)*100</f>
        <v>5.516168961500389</v>
      </c>
      <c r="FF21" s="205">
        <f>('Expenditure DATA'!HO23/'Expenditure DATA'!F23)*100</f>
        <v>5.3186821254442656</v>
      </c>
      <c r="FG21" s="205">
        <f>('Expenditure DATA'!HP23/'Expenditure DATA'!G23)*100</f>
        <v>5.2196278669490797</v>
      </c>
      <c r="FH21" s="205">
        <f>('Expenditure DATA'!HQ23/'Expenditure DATA'!H23)*100</f>
        <v>5.3704875113524668</v>
      </c>
      <c r="FI21" s="205">
        <f>('Expenditure DATA'!HR23/'Expenditure DATA'!I23)*100</f>
        <v>5.1580580565102823</v>
      </c>
      <c r="FJ21" s="205">
        <f>('Expenditure DATA'!HS23/'Expenditure DATA'!J23)*100</f>
        <v>5.025430527570947</v>
      </c>
      <c r="FK21" s="205">
        <f>('Expenditure DATA'!HT23/'Expenditure DATA'!K23)*100</f>
        <v>4.9951391400266854</v>
      </c>
      <c r="FL21" s="205">
        <f>('Expenditure DATA'!HU23/'Expenditure DATA'!L23)*100</f>
        <v>4.9709739382947333</v>
      </c>
      <c r="FM21" s="205">
        <f>('Expenditure DATA'!HV23/'Expenditure DATA'!M23)*100</f>
        <v>4.7672092517744016</v>
      </c>
      <c r="FN21" s="205">
        <f>('Expenditure DATA'!HW23/'Expenditure DATA'!N23)*100</f>
        <v>5.1280888303844785</v>
      </c>
      <c r="FO21" s="205">
        <f>('Expenditure DATA'!HX23/'Expenditure DATA'!O23)*100</f>
        <v>5.4163061243437944</v>
      </c>
      <c r="FP21" s="205">
        <f>('Expenditure DATA'!HY23/'Expenditure DATA'!P23)*100</f>
        <v>5.9555738973152019</v>
      </c>
      <c r="FQ21" s="205">
        <f>('Expenditure DATA'!HZ23/'Expenditure DATA'!Q23)*100</f>
        <v>5.746545014251784</v>
      </c>
      <c r="FR21" s="205">
        <f>('Expenditure DATA'!IA23/'Expenditure DATA'!R23)*100</f>
        <v>5.660343865002222</v>
      </c>
      <c r="FS21" s="205">
        <f>('Expenditure DATA'!IB23/'Expenditure DATA'!S23)*100</f>
        <v>5.9850638086473547</v>
      </c>
      <c r="FT21" s="205">
        <f>('Expenditure DATA'!IC23/'Expenditure DATA'!T23)*100</f>
        <v>6.1480312979330236</v>
      </c>
      <c r="FU21" s="205">
        <f>('Expenditure DATA'!ID23/'Expenditure DATA'!U23)*100</f>
        <v>6.3128351048439377</v>
      </c>
      <c r="FV21" s="205">
        <f>('Expenditure DATA'!IE23/'Expenditure DATA'!V23)*100</f>
        <v>6.4586160439214977</v>
      </c>
      <c r="FW21" s="205">
        <f>('Expenditure DATA'!IF23/'Expenditure DATA'!W23)*100</f>
        <v>6.4700220109369502</v>
      </c>
      <c r="FX21" s="205">
        <f>('Expenditure DATA'!IG23/'Expenditure DATA'!X23)*100</f>
        <v>6.4806054159172302</v>
      </c>
      <c r="FY21" s="205">
        <f>('Expenditure DATA'!IH23/'Expenditure DATA'!Y23)*100</f>
        <v>6.7809224661784837</v>
      </c>
      <c r="FZ21" s="205">
        <f>('Expenditure DATA'!II23/'Expenditure DATA'!Z23)*100</f>
        <v>6.9679762747348049</v>
      </c>
      <c r="GA21" s="205">
        <f>('Expenditure DATA'!IJ23/'Expenditure DATA'!AA23)*100</f>
        <v>6.3617912037666828</v>
      </c>
      <c r="GB21" s="205">
        <f>('Expenditure DATA'!IK23/'Expenditure DATA'!AB23)*100</f>
        <v>6.2346752230189324</v>
      </c>
      <c r="GC21" s="205">
        <f>('Expenditure DATA'!IL23/'Expenditure DATA'!AC23)*100</f>
        <v>6.2481636213387199</v>
      </c>
      <c r="GD21" s="205">
        <f>('Expenditure DATA'!IM23/'Expenditure DATA'!AD23)*100</f>
        <v>5.8146258968289111</v>
      </c>
      <c r="GE21" s="205">
        <f>('Expenditure DATA'!IN23/'Expenditure DATA'!AE23)*100</f>
        <v>5.6936682324667336</v>
      </c>
      <c r="GF21" s="465">
        <f>('Expenditure DATA'!IO23/'Expenditure DATA'!AF23)*100</f>
        <v>5.9465909780510158</v>
      </c>
      <c r="GG21" s="206">
        <f>('Expenditure DATA'!IP23/'Expenditure DATA'!B23)*100</f>
        <v>13.689477282615451</v>
      </c>
      <c r="GH21" s="205">
        <f>('Expenditure DATA'!IQ23/'Expenditure DATA'!C23)*100</f>
        <v>13.301277323814862</v>
      </c>
      <c r="GI21" s="205">
        <f>('Expenditure DATA'!IR23/'Expenditure DATA'!D23)*100</f>
        <v>15.043323643137366</v>
      </c>
      <c r="GJ21" s="205">
        <f>('Expenditure DATA'!IS23/'Expenditure DATA'!E23)*100</f>
        <v>13.629986741693765</v>
      </c>
      <c r="GK21" s="205">
        <f>('Expenditure DATA'!IT23/'Expenditure DATA'!F23)*100</f>
        <v>14.662775648971859</v>
      </c>
      <c r="GL21" s="205">
        <f>('Expenditure DATA'!IU23/'Expenditure DATA'!G23)*100</f>
        <v>15.771790296793911</v>
      </c>
      <c r="GM21" s="205">
        <f>('Expenditure DATA'!IV23/'Expenditure DATA'!H23)*100</f>
        <v>15.107259785545835</v>
      </c>
      <c r="GN21" s="205">
        <f>('Expenditure DATA'!IW23/'Expenditure DATA'!I23)*100</f>
        <v>14.942963770010683</v>
      </c>
      <c r="GO21" s="205">
        <f>('Expenditure DATA'!IX23/'Expenditure DATA'!J23)*100</f>
        <v>14.025395646989573</v>
      </c>
      <c r="GP21" s="205">
        <f>('Expenditure DATA'!IY23/'Expenditure DATA'!K23)*100</f>
        <v>12.327637727152645</v>
      </c>
      <c r="GQ21" s="205">
        <f>('Expenditure DATA'!IZ23/'Expenditure DATA'!L23)*100</f>
        <v>10.97323748500688</v>
      </c>
      <c r="GR21" s="205">
        <f>('Expenditure DATA'!JA23/'Expenditure DATA'!M23)*100</f>
        <v>9.3065579606276643</v>
      </c>
      <c r="GS21" s="205">
        <f>('Expenditure DATA'!JB23/'Expenditure DATA'!N23)*100</f>
        <v>8.281960079879326</v>
      </c>
      <c r="GT21" s="205">
        <f>('Expenditure DATA'!JC23/'Expenditure DATA'!O23)*100</f>
        <v>8.1710711996575203</v>
      </c>
      <c r="GU21" s="205">
        <f>('Expenditure DATA'!JD23/'Expenditure DATA'!P23)*100</f>
        <v>8.4867775889121333</v>
      </c>
      <c r="GV21" s="205">
        <f>('Expenditure DATA'!JE23/'Expenditure DATA'!Q23)*100</f>
        <v>8.4547972052246561</v>
      </c>
      <c r="GW21" s="205">
        <f>('Expenditure DATA'!JF23/'Expenditure DATA'!R23)*100</f>
        <v>9.4539623582157546</v>
      </c>
      <c r="GX21" s="205">
        <f>('Expenditure DATA'!JG23/'Expenditure DATA'!S23)*100</f>
        <v>8.4870259781887718</v>
      </c>
      <c r="GY21" s="205">
        <f>('Expenditure DATA'!JH23/'Expenditure DATA'!T23)*100</f>
        <v>8.2048710111631067</v>
      </c>
      <c r="GZ21" s="205">
        <f>('Expenditure DATA'!JI23/'Expenditure DATA'!U23)*100</f>
        <v>8.1788292673990508</v>
      </c>
      <c r="HA21" s="205">
        <f>('Expenditure DATA'!JJ23/'Expenditure DATA'!V23)*100</f>
        <v>8.155793453285888</v>
      </c>
      <c r="HB21" s="205">
        <f>('Expenditure DATA'!JK23/'Expenditure DATA'!W23)*100</f>
        <v>8.8402907566673772</v>
      </c>
      <c r="HC21" s="205">
        <f>('Expenditure DATA'!JL23/'Expenditure DATA'!X23)*100</f>
        <v>9.4754242933312476</v>
      </c>
      <c r="HD21" s="205">
        <f>('Expenditure DATA'!JM23/'Expenditure DATA'!Y23)*100</f>
        <v>8.846949651451947</v>
      </c>
      <c r="HE21" s="205">
        <f>('Expenditure DATA'!JN23/'Expenditure DATA'!Z23)*100</f>
        <v>6.6686009688440944</v>
      </c>
      <c r="HF21" s="205">
        <f>('Expenditure DATA'!JO23/'Expenditure DATA'!AA23)*100</f>
        <v>6.6935511331439255</v>
      </c>
      <c r="HG21" s="205">
        <f>('Expenditure DATA'!JP23/'Expenditure DATA'!AB23)*100</f>
        <v>7.0068660475807008</v>
      </c>
      <c r="HH21" s="205">
        <f>('Expenditure DATA'!JQ23/'Expenditure DATA'!AC23)*100</f>
        <v>6.6154393535947111</v>
      </c>
      <c r="HI21" s="205">
        <f>('Expenditure DATA'!JR23/'Expenditure DATA'!AD23)*100</f>
        <v>6.815006770067372</v>
      </c>
      <c r="HJ21" s="205">
        <f>('Expenditure DATA'!JS23/'Expenditure DATA'!AE23)*100</f>
        <v>6.2354111377872954</v>
      </c>
      <c r="HK21" s="465">
        <f>('Expenditure DATA'!JT23/'Expenditure DATA'!AF23)*100</f>
        <v>6.6841252437349716</v>
      </c>
      <c r="HL21" s="206">
        <f t="shared" si="1"/>
        <v>100.00310771334453</v>
      </c>
      <c r="HM21" s="207">
        <f t="shared" si="2"/>
        <v>100</v>
      </c>
      <c r="HN21" s="207">
        <f t="shared" si="3"/>
        <v>99.997177612824942</v>
      </c>
      <c r="HO21" s="207">
        <f t="shared" si="4"/>
        <v>100</v>
      </c>
      <c r="HP21" s="207">
        <f t="shared" si="5"/>
        <v>99.998381962602082</v>
      </c>
      <c r="HQ21" s="207">
        <f t="shared" si="6"/>
        <v>100</v>
      </c>
      <c r="HR21" s="207">
        <f t="shared" si="7"/>
        <v>100.00000000000001</v>
      </c>
      <c r="HS21" s="207">
        <f t="shared" si="8"/>
        <v>100.00000000000001</v>
      </c>
      <c r="HT21" s="207">
        <f t="shared" si="9"/>
        <v>100</v>
      </c>
      <c r="HU21" s="207">
        <f t="shared" si="10"/>
        <v>100</v>
      </c>
      <c r="HV21" s="207">
        <f t="shared" si="11"/>
        <v>99.999999999999986</v>
      </c>
      <c r="HW21" s="207">
        <f t="shared" si="12"/>
        <v>100</v>
      </c>
      <c r="HX21" s="207">
        <f t="shared" si="13"/>
        <v>100</v>
      </c>
      <c r="HY21" s="207">
        <f t="shared" si="14"/>
        <v>99.999999999999986</v>
      </c>
      <c r="HZ21" s="207">
        <f t="shared" si="15"/>
        <v>100</v>
      </c>
      <c r="IA21" s="207">
        <f t="shared" si="16"/>
        <v>100</v>
      </c>
      <c r="IB21" s="207">
        <f t="shared" si="17"/>
        <v>100</v>
      </c>
      <c r="IC21" s="207">
        <f t="shared" si="18"/>
        <v>100.00000000000001</v>
      </c>
      <c r="ID21" s="207">
        <f t="shared" si="19"/>
        <v>100</v>
      </c>
      <c r="IE21" s="207">
        <f t="shared" si="20"/>
        <v>100.00000000000001</v>
      </c>
      <c r="IF21" s="207">
        <f t="shared" si="21"/>
        <v>100</v>
      </c>
      <c r="IG21" s="207">
        <f t="shared" si="22"/>
        <v>99.999999999999986</v>
      </c>
      <c r="IH21" s="207">
        <f t="shared" si="23"/>
        <v>99.999999999999972</v>
      </c>
      <c r="II21" s="207">
        <f t="shared" si="24"/>
        <v>100.00000000000001</v>
      </c>
      <c r="IJ21" s="207">
        <f t="shared" si="25"/>
        <v>100</v>
      </c>
      <c r="IK21" s="207">
        <f t="shared" si="26"/>
        <v>100.00000000000001</v>
      </c>
      <c r="IL21" s="207">
        <f t="shared" si="27"/>
        <v>100</v>
      </c>
      <c r="IM21" s="207">
        <f t="shared" si="28"/>
        <v>99.999984696844479</v>
      </c>
      <c r="IN21" s="207">
        <f t="shared" si="29"/>
        <v>99.999999999999986</v>
      </c>
      <c r="IO21" s="207">
        <f t="shared" si="30"/>
        <v>100.00000000000001</v>
      </c>
      <c r="IP21" s="207">
        <f t="shared" si="31"/>
        <v>100</v>
      </c>
    </row>
    <row r="22" spans="1:250" s="164" customFormat="1">
      <c r="A22" s="62" t="s">
        <v>136</v>
      </c>
      <c r="B22" s="62"/>
      <c r="C22" s="202" t="e">
        <f>('Expenditure DATA'!CQ24/'Expenditure DATA'!B24)*100</f>
        <v>#DIV/0!</v>
      </c>
      <c r="D22" s="202" t="e">
        <f>('Expenditure DATA'!CR24/'Expenditure DATA'!C24)*100</f>
        <v>#DIV/0!</v>
      </c>
      <c r="E22" s="202" t="e">
        <f>('Expenditure DATA'!CS24/'Expenditure DATA'!D24)*100</f>
        <v>#DIV/0!</v>
      </c>
      <c r="F22" s="202" t="e">
        <f>('Expenditure DATA'!CT24/'Expenditure DATA'!E24)*100</f>
        <v>#DIV/0!</v>
      </c>
      <c r="G22" s="202" t="e">
        <f>('Expenditure DATA'!CU24/'Expenditure DATA'!F24)*100</f>
        <v>#DIV/0!</v>
      </c>
      <c r="H22" s="202" t="e">
        <f>('Expenditure DATA'!CV24/'Expenditure DATA'!G24)*100</f>
        <v>#DIV/0!</v>
      </c>
      <c r="I22" s="202" t="e">
        <f>('Expenditure DATA'!CW24/'Expenditure DATA'!H24)*100</f>
        <v>#DIV/0!</v>
      </c>
      <c r="J22" s="202" t="e">
        <f>('Expenditure DATA'!CX24/'Expenditure DATA'!I24)*100</f>
        <v>#DIV/0!</v>
      </c>
      <c r="K22" s="202">
        <f>('Expenditure DATA'!CY24/'Expenditure DATA'!J24)*100</f>
        <v>9.5687764660947163</v>
      </c>
      <c r="L22" s="202">
        <f>('Expenditure DATA'!CZ24/'Expenditure DATA'!K24)*100</f>
        <v>9.3021124329095688</v>
      </c>
      <c r="M22" s="202">
        <f>('Expenditure DATA'!DA24/'Expenditure DATA'!L24)*100</f>
        <v>9.0769706303704716</v>
      </c>
      <c r="N22" s="202">
        <f>('Expenditure DATA'!DB24/'Expenditure DATA'!M24)*100</f>
        <v>9.0442904211682311</v>
      </c>
      <c r="O22" s="202">
        <f>('Expenditure DATA'!DC24/'Expenditure DATA'!N24)*100</f>
        <v>8.4592689198450124</v>
      </c>
      <c r="P22" s="202">
        <f>('Expenditure DATA'!DD24/'Expenditure DATA'!O24)*100</f>
        <v>8.6866998518818885</v>
      </c>
      <c r="Q22" s="202">
        <f>('Expenditure DATA'!DE24/'Expenditure DATA'!P24)*100</f>
        <v>8.8740811958512165</v>
      </c>
      <c r="R22" s="202">
        <f>('Expenditure DATA'!DF24/'Expenditure DATA'!Q24)*100</f>
        <v>8.7658720237832934</v>
      </c>
      <c r="S22" s="202">
        <f>('Expenditure DATA'!DG24/'Expenditure DATA'!R24)*100</f>
        <v>8.8530001299444088</v>
      </c>
      <c r="T22" s="202">
        <f>('Expenditure DATA'!DH24/'Expenditure DATA'!S24)*100</f>
        <v>9.3501386383944318</v>
      </c>
      <c r="U22" s="202">
        <f>('Expenditure DATA'!DI24/'Expenditure DATA'!T24)*100</f>
        <v>9.6679718359587046</v>
      </c>
      <c r="V22" s="202">
        <f>('Expenditure DATA'!DJ24/'Expenditure DATA'!U24)*100</f>
        <v>9.5384639775815838</v>
      </c>
      <c r="W22" s="202">
        <f>('Expenditure DATA'!DK24/'Expenditure DATA'!V24)*100</f>
        <v>9.428557230771732</v>
      </c>
      <c r="X22" s="202">
        <f>('Expenditure DATA'!DL24/'Expenditure DATA'!W24)*100</f>
        <v>9.3637838203747794</v>
      </c>
      <c r="Y22" s="202">
        <f>('Expenditure DATA'!DM24/'Expenditure DATA'!X24)*100</f>
        <v>9.304846082010906</v>
      </c>
      <c r="Z22" s="202">
        <f>('Expenditure DATA'!DN24/'Expenditure DATA'!Y24)*100</f>
        <v>9.2329095341339169</v>
      </c>
      <c r="AA22" s="202">
        <f>('Expenditure DATA'!DO24/'Expenditure DATA'!Z24)*100</f>
        <v>9.2349649364503303</v>
      </c>
      <c r="AB22" s="202">
        <f>('Expenditure DATA'!DP24/'Expenditure DATA'!AA24)*100</f>
        <v>9.3193677324215738</v>
      </c>
      <c r="AC22" s="202">
        <f>('Expenditure DATA'!DQ24/'Expenditure DATA'!AB24)*100</f>
        <v>9.5110408484749787</v>
      </c>
      <c r="AD22" s="202">
        <f>('Expenditure DATA'!DR24/'Expenditure DATA'!AC24)*100</f>
        <v>9.7446334558838839</v>
      </c>
      <c r="AE22" s="202">
        <f>('Expenditure DATA'!DS24/'Expenditure DATA'!AD24)*100</f>
        <v>9.9306636532335411</v>
      </c>
      <c r="AF22" s="202">
        <f>('Expenditure DATA'!DT24/'Expenditure DATA'!AE24)*100</f>
        <v>10.123385283975578</v>
      </c>
      <c r="AG22" s="464">
        <f>('Expenditure DATA'!DU24/'Expenditure DATA'!AF24)*100</f>
        <v>10.645544543002107</v>
      </c>
      <c r="AH22" s="203" t="e">
        <f>('Expenditure DATA'!BL24/'Expenditure DATA'!B24)*100</f>
        <v>#DIV/0!</v>
      </c>
      <c r="AI22" s="202" t="e">
        <f>('Expenditure DATA'!BM24/'Expenditure DATA'!C24)*100</f>
        <v>#DIV/0!</v>
      </c>
      <c r="AJ22" s="202" t="e">
        <f>('Expenditure DATA'!BN24/'Expenditure DATA'!D24)*100</f>
        <v>#DIV/0!</v>
      </c>
      <c r="AK22" s="202" t="e">
        <f>('Expenditure DATA'!BO24/'Expenditure DATA'!E24)*100</f>
        <v>#DIV/0!</v>
      </c>
      <c r="AL22" s="202" t="e">
        <f>('Expenditure DATA'!BP24/'Expenditure DATA'!F24)*100</f>
        <v>#DIV/0!</v>
      </c>
      <c r="AM22" s="202" t="e">
        <f>('Expenditure DATA'!BQ24/'Expenditure DATA'!G24)*100</f>
        <v>#DIV/0!</v>
      </c>
      <c r="AN22" s="202" t="e">
        <f>('Expenditure DATA'!BR24/'Expenditure DATA'!H24)*100</f>
        <v>#DIV/0!</v>
      </c>
      <c r="AO22" s="202" t="e">
        <f>('Expenditure DATA'!BS24/'Expenditure DATA'!I24)*100</f>
        <v>#DIV/0!</v>
      </c>
      <c r="AP22" s="202">
        <f>('Expenditure DATA'!BT24/'Expenditure DATA'!J24)*100</f>
        <v>22.296389723011835</v>
      </c>
      <c r="AQ22" s="202">
        <f>('Expenditure DATA'!BU24/'Expenditure DATA'!K24)*100</f>
        <v>21.855909339281233</v>
      </c>
      <c r="AR22" s="202">
        <f>('Expenditure DATA'!BV24/'Expenditure DATA'!L24)*100</f>
        <v>21.484016113218129</v>
      </c>
      <c r="AS22" s="202">
        <f>('Expenditure DATA'!BW24/'Expenditure DATA'!M24)*100</f>
        <v>20.879408581424116</v>
      </c>
      <c r="AT22" s="202">
        <f>('Expenditure DATA'!BX24/'Expenditure DATA'!N24)*100</f>
        <v>20.628133737628975</v>
      </c>
      <c r="AU22" s="202">
        <f>('Expenditure DATA'!BY24/'Expenditure DATA'!O24)*100</f>
        <v>20.650907890069909</v>
      </c>
      <c r="AV22" s="202">
        <f>('Expenditure DATA'!BZ24/'Expenditure DATA'!P24)*100</f>
        <v>21.01156618949457</v>
      </c>
      <c r="AW22" s="202">
        <f>('Expenditure DATA'!CA24/'Expenditure DATA'!Q24)*100</f>
        <v>21.152715384450584</v>
      </c>
      <c r="AX22" s="202">
        <f>('Expenditure DATA'!CB24/'Expenditure DATA'!R24)*100</f>
        <v>21.995451766984932</v>
      </c>
      <c r="AY22" s="202">
        <f>('Expenditure DATA'!CC24/'Expenditure DATA'!S24)*100</f>
        <v>21.79166885963329</v>
      </c>
      <c r="AZ22" s="202">
        <f>('Expenditure DATA'!CD24/'Expenditure DATA'!T24)*100</f>
        <v>21.790369286530087</v>
      </c>
      <c r="BA22" s="202">
        <f>('Expenditure DATA'!CE24/'Expenditure DATA'!U24)*100</f>
        <v>21.891823688762848</v>
      </c>
      <c r="BB22" s="202">
        <f>('Expenditure DATA'!CF24/'Expenditure DATA'!V24)*100</f>
        <v>21.977922891071252</v>
      </c>
      <c r="BC22" s="202">
        <f>('Expenditure DATA'!CG24/'Expenditure DATA'!W24)*100</f>
        <v>21.979798968330989</v>
      </c>
      <c r="BD22" s="202">
        <f>('Expenditure DATA'!CH24/'Expenditure DATA'!X24)*100</f>
        <v>21.981506022969725</v>
      </c>
      <c r="BE22" s="202">
        <f>('Expenditure DATA'!CI24/'Expenditure DATA'!Y24)*100</f>
        <v>21.773894619568633</v>
      </c>
      <c r="BF22" s="202">
        <f>('Expenditure DATA'!CJ24/'Expenditure DATA'!Z24)*100</f>
        <v>21.60995174492907</v>
      </c>
      <c r="BG22" s="202">
        <f>('Expenditure DATA'!CK24/'Expenditure DATA'!AA24)*100</f>
        <v>21.401887828896825</v>
      </c>
      <c r="BH22" s="202">
        <f>('Expenditure DATA'!CL24/'Expenditure DATA'!AB24)*100</f>
        <v>21.233747069596053</v>
      </c>
      <c r="BI22" s="202">
        <f>('Expenditure DATA'!CM24/'Expenditure DATA'!AC24)*100</f>
        <v>20.536407445342146</v>
      </c>
      <c r="BJ22" s="202">
        <f>('Expenditure DATA'!CN24/'Expenditure DATA'!AD24)*100</f>
        <v>19.44576861444639</v>
      </c>
      <c r="BK22" s="202">
        <f>('Expenditure DATA'!CO24/'Expenditure DATA'!AE24)*100</f>
        <v>18.582574682350099</v>
      </c>
      <c r="BL22" s="464">
        <f>('Expenditure DATA'!CP24/'Expenditure DATA'!AF24)*100</f>
        <v>19.224554686923323</v>
      </c>
      <c r="BM22" s="203" t="e">
        <f>('Expenditure DATA'!AG24/'Expenditure DATA'!B24)*100</f>
        <v>#DIV/0!</v>
      </c>
      <c r="BN22" s="202" t="e">
        <f>('Expenditure DATA'!AH24/'Expenditure DATA'!C24)*100</f>
        <v>#DIV/0!</v>
      </c>
      <c r="BO22" s="202" t="e">
        <f>('Expenditure DATA'!AI24/'Expenditure DATA'!D24)*100</f>
        <v>#DIV/0!</v>
      </c>
      <c r="BP22" s="202" t="e">
        <f>('Expenditure DATA'!AJ24/'Expenditure DATA'!E24)*100</f>
        <v>#DIV/0!</v>
      </c>
      <c r="BQ22" s="202" t="e">
        <f>('Expenditure DATA'!AK24/'Expenditure DATA'!F24)*100</f>
        <v>#DIV/0!</v>
      </c>
      <c r="BR22" s="202" t="e">
        <f>('Expenditure DATA'!AL24/'Expenditure DATA'!G24)*100</f>
        <v>#DIV/0!</v>
      </c>
      <c r="BS22" s="202" t="e">
        <f>('Expenditure DATA'!AM24/'Expenditure DATA'!H24)*100</f>
        <v>#DIV/0!</v>
      </c>
      <c r="BT22" s="202" t="e">
        <f>('Expenditure DATA'!AN24/'Expenditure DATA'!I24)*100</f>
        <v>#DIV/0!</v>
      </c>
      <c r="BU22" s="202">
        <f>('Expenditure DATA'!AO24/'Expenditure DATA'!J24)*100</f>
        <v>33.481800727203556</v>
      </c>
      <c r="BV22" s="202">
        <f>('Expenditure DATA'!AP24/'Expenditure DATA'!K24)*100</f>
        <v>32.798612460954018</v>
      </c>
      <c r="BW22" s="202">
        <f>('Expenditure DATA'!AQ24/'Expenditure DATA'!L24)*100</f>
        <v>32.221803373130065</v>
      </c>
      <c r="BX22" s="202">
        <f>('Expenditure DATA'!AR24/'Expenditure DATA'!M24)*100</f>
        <v>31.520611806709642</v>
      </c>
      <c r="BY22" s="202">
        <f>('Expenditure DATA'!AS24/'Expenditure DATA'!N24)*100</f>
        <v>30.889730387338542</v>
      </c>
      <c r="BZ22" s="202">
        <f>('Expenditure DATA'!AT24/'Expenditure DATA'!O24)*100</f>
        <v>31.165658405658736</v>
      </c>
      <c r="CA22" s="202">
        <f>('Expenditure DATA'!AU24/'Expenditure DATA'!P24)*100</f>
        <v>31.771962476797309</v>
      </c>
      <c r="CB22" s="202">
        <f>('Expenditure DATA'!AV24/'Expenditure DATA'!Q24)*100</f>
        <v>31.724825883945535</v>
      </c>
      <c r="CC22" s="202">
        <f>('Expenditure DATA'!AW24/'Expenditure DATA'!R24)*100</f>
        <v>32.638997196198822</v>
      </c>
      <c r="CD22" s="202">
        <f>('Expenditure DATA'!AX24/'Expenditure DATA'!S24)*100</f>
        <v>32.899100885550553</v>
      </c>
      <c r="CE22" s="202">
        <f>('Expenditure DATA'!AY24/'Expenditure DATA'!T24)*100</f>
        <v>33.148798252361047</v>
      </c>
      <c r="CF22" s="202">
        <f>('Expenditure DATA'!AZ24/'Expenditure DATA'!U24)*100</f>
        <v>33.206296479885324</v>
      </c>
      <c r="CG22" s="202">
        <f>('Expenditure DATA'!BA24/'Expenditure DATA'!V24)*100</f>
        <v>33.255092307518595</v>
      </c>
      <c r="CH22" s="202">
        <f>('Expenditure DATA'!BB24/'Expenditure DATA'!W24)*100</f>
        <v>33.190781988834416</v>
      </c>
      <c r="CI22" s="202">
        <f>('Expenditure DATA'!BC24/'Expenditure DATA'!X24)*100</f>
        <v>33.132265620567296</v>
      </c>
      <c r="CJ22" s="202">
        <f>('Expenditure DATA'!BD24/'Expenditure DATA'!Y24)*100</f>
        <v>32.85827385859622</v>
      </c>
      <c r="CK22" s="202">
        <f>('Expenditure DATA'!BE24/'Expenditure DATA'!Z24)*100</f>
        <v>32.78459883773268</v>
      </c>
      <c r="CL22" s="202">
        <f>('Expenditure DATA'!BF24/'Expenditure DATA'!AA24)*100</f>
        <v>32.414603406625851</v>
      </c>
      <c r="CM22" s="202">
        <f>('Expenditure DATA'!BG24/'Expenditure DATA'!AB24)*100</f>
        <v>32.492361379146686</v>
      </c>
      <c r="CN22" s="202">
        <f>('Expenditure DATA'!BH24/'Expenditure DATA'!AC24)*100</f>
        <v>32.040979055178482</v>
      </c>
      <c r="CO22" s="202">
        <f>('Expenditure DATA'!BI24/'Expenditure DATA'!AD24)*100</f>
        <v>31.333332660707303</v>
      </c>
      <c r="CP22" s="202">
        <f>('Expenditure DATA'!BJ24/'Expenditure DATA'!AE24)*100</f>
        <v>30.627427309742338</v>
      </c>
      <c r="CQ22" s="464">
        <f>('Expenditure DATA'!BK24/'Expenditure DATA'!AF24)*100</f>
        <v>31.935077693002579</v>
      </c>
      <c r="CR22" s="203" t="e">
        <f>('Expenditure DATA'!FA24/'Expenditure DATA'!B24)*100</f>
        <v>#DIV/0!</v>
      </c>
      <c r="CS22" s="202" t="e">
        <f>('Expenditure DATA'!FB24/'Expenditure DATA'!C24)*100</f>
        <v>#DIV/0!</v>
      </c>
      <c r="CT22" s="202" t="e">
        <f>('Expenditure DATA'!FC24/'Expenditure DATA'!D24)*100</f>
        <v>#DIV/0!</v>
      </c>
      <c r="CU22" s="202" t="e">
        <f>('Expenditure DATA'!FD24/'Expenditure DATA'!E24)*100</f>
        <v>#DIV/0!</v>
      </c>
      <c r="CV22" s="202" t="e">
        <f>('Expenditure DATA'!FE24/'Expenditure DATA'!F24)*100</f>
        <v>#DIV/0!</v>
      </c>
      <c r="CW22" s="202" t="e">
        <f>('Expenditure DATA'!FF24/'Expenditure DATA'!G24)*100</f>
        <v>#DIV/0!</v>
      </c>
      <c r="CX22" s="202" t="e">
        <f>('Expenditure DATA'!FG24/'Expenditure DATA'!H24)*100</f>
        <v>#DIV/0!</v>
      </c>
      <c r="CY22" s="202" t="e">
        <f>('Expenditure DATA'!FH24/'Expenditure DATA'!I24)*100</f>
        <v>#DIV/0!</v>
      </c>
      <c r="CZ22" s="202">
        <f>('Expenditure DATA'!FI24/'Expenditure DATA'!J24)*100</f>
        <v>21.356917541506686</v>
      </c>
      <c r="DA22" s="202">
        <f>('Expenditure DATA'!FJ24/'Expenditure DATA'!K24)*100</f>
        <v>22.222151421959289</v>
      </c>
      <c r="DB22" s="202">
        <f>('Expenditure DATA'!FK24/'Expenditure DATA'!L24)*100</f>
        <v>22.952659819121905</v>
      </c>
      <c r="DC22" s="202">
        <f>('Expenditure DATA'!FL24/'Expenditure DATA'!M24)*100</f>
        <v>23.535115738331349</v>
      </c>
      <c r="DD22" s="202">
        <f>('Expenditure DATA'!FM24/'Expenditure DATA'!N24)*100</f>
        <v>24.389094239186313</v>
      </c>
      <c r="DE22" s="202">
        <f>('Expenditure DATA'!FN24/'Expenditure DATA'!O24)*100</f>
        <v>24.19744670898865</v>
      </c>
      <c r="DF22" s="202">
        <f>('Expenditure DATA'!FO24/'Expenditure DATA'!P24)*100</f>
        <v>24.007599890733459</v>
      </c>
      <c r="DG22" s="202">
        <f>('Expenditure DATA'!FP24/'Expenditure DATA'!Q24)*100</f>
        <v>23.686260770834842</v>
      </c>
      <c r="DH22" s="202">
        <f>('Expenditure DATA'!FQ24/'Expenditure DATA'!R24)*100</f>
        <v>22.771552675567754</v>
      </c>
      <c r="DI22" s="202">
        <f>('Expenditure DATA'!FR24/'Expenditure DATA'!S24)*100</f>
        <v>22.500592868570259</v>
      </c>
      <c r="DJ22" s="202">
        <f>('Expenditure DATA'!FS24/'Expenditure DATA'!T24)*100</f>
        <v>22.936774005056272</v>
      </c>
      <c r="DK22" s="202">
        <f>('Expenditure DATA'!FT24/'Expenditure DATA'!U24)*100</f>
        <v>23.05406037850835</v>
      </c>
      <c r="DL22" s="202">
        <f>('Expenditure DATA'!FU24/'Expenditure DATA'!V24)*100</f>
        <v>23.153595371309375</v>
      </c>
      <c r="DM22" s="202">
        <f>('Expenditure DATA'!FV24/'Expenditure DATA'!W24)*100</f>
        <v>23.623644757173171</v>
      </c>
      <c r="DN22" s="202">
        <f>('Expenditure DATA'!FW24/'Expenditure DATA'!X24)*100</f>
        <v>24.051345684951421</v>
      </c>
      <c r="DO22" s="202">
        <f>('Expenditure DATA'!FX24/'Expenditure DATA'!Y24)*100</f>
        <v>24.767121151667101</v>
      </c>
      <c r="DP22" s="202">
        <f>('Expenditure DATA'!FY24/'Expenditure DATA'!Z24)*100</f>
        <v>23.798773850416101</v>
      </c>
      <c r="DQ22" s="202">
        <f>('Expenditure DATA'!FZ24/'Expenditure DATA'!AA24)*100</f>
        <v>23.769663361529584</v>
      </c>
      <c r="DR22" s="202">
        <f>('Expenditure DATA'!GA24/'Expenditure DATA'!AB24)*100</f>
        <v>23.979812123624388</v>
      </c>
      <c r="DS22" s="202">
        <f>('Expenditure DATA'!GB24/'Expenditure DATA'!AC24)*100</f>
        <v>24.527693026765771</v>
      </c>
      <c r="DT22" s="202">
        <f>('Expenditure DATA'!GC24/'Expenditure DATA'!AD24)*100</f>
        <v>24.778936638153194</v>
      </c>
      <c r="DU22" s="202">
        <f>('Expenditure DATA'!GD24/'Expenditure DATA'!AE24)*100</f>
        <v>27.322269114513929</v>
      </c>
      <c r="DV22" s="464">
        <f>('Expenditure DATA'!GE24/'Expenditure DATA'!AF24)*100</f>
        <v>26.906627604884072</v>
      </c>
      <c r="DW22" s="203" t="e">
        <f>('Expenditure DATA'!GF24/'Expenditure DATA'!B24)*100</f>
        <v>#DIV/0!</v>
      </c>
      <c r="DX22" s="202" t="e">
        <f>('Expenditure DATA'!GG24/'Expenditure DATA'!C24)*100</f>
        <v>#DIV/0!</v>
      </c>
      <c r="DY22" s="202" t="e">
        <f>('Expenditure DATA'!GH24/'Expenditure DATA'!D24)*100</f>
        <v>#DIV/0!</v>
      </c>
      <c r="DZ22" s="202" t="e">
        <f>('Expenditure DATA'!GI24/'Expenditure DATA'!E24)*100</f>
        <v>#DIV/0!</v>
      </c>
      <c r="EA22" s="202" t="e">
        <f>('Expenditure DATA'!GJ24/'Expenditure DATA'!F24)*100</f>
        <v>#DIV/0!</v>
      </c>
      <c r="EB22" s="202" t="e">
        <f>('Expenditure DATA'!GK24/'Expenditure DATA'!G24)*100</f>
        <v>#DIV/0!</v>
      </c>
      <c r="EC22" s="202" t="e">
        <f>('Expenditure DATA'!GL24/'Expenditure DATA'!H24)*100</f>
        <v>#DIV/0!</v>
      </c>
      <c r="ED22" s="202" t="e">
        <f>('Expenditure DATA'!GM24/'Expenditure DATA'!I24)*100</f>
        <v>#DIV/0!</v>
      </c>
      <c r="EE22" s="202">
        <f>('Expenditure DATA'!GN24/'Expenditure DATA'!J24)*100</f>
        <v>27.937051370434336</v>
      </c>
      <c r="EF22" s="202">
        <f>('Expenditure DATA'!GO24/'Expenditure DATA'!K24)*100</f>
        <v>27.586185086695085</v>
      </c>
      <c r="EG22" s="202">
        <f>('Expenditure DATA'!GP24/'Expenditure DATA'!L24)*100</f>
        <v>27.289952157838108</v>
      </c>
      <c r="EH22" s="202">
        <f>('Expenditure DATA'!GQ24/'Expenditure DATA'!M24)*100</f>
        <v>27.459409102531058</v>
      </c>
      <c r="EI22" s="202">
        <f>('Expenditure DATA'!GR24/'Expenditure DATA'!N24)*100</f>
        <v>27.772094356954931</v>
      </c>
      <c r="EJ22" s="202">
        <f>('Expenditure DATA'!GS24/'Expenditure DATA'!O24)*100</f>
        <v>27.592731846231288</v>
      </c>
      <c r="EK22" s="202">
        <f>('Expenditure DATA'!GT24/'Expenditure DATA'!P24)*100</f>
        <v>27.837401084933184</v>
      </c>
      <c r="EL22" s="202">
        <f>('Expenditure DATA'!GU24/'Expenditure DATA'!Q24)*100</f>
        <v>27.941324206568268</v>
      </c>
      <c r="EM22" s="202">
        <f>('Expenditure DATA'!GV24/'Expenditure DATA'!R24)*100</f>
        <v>27.358700151819441</v>
      </c>
      <c r="EN22" s="202">
        <f>('Expenditure DATA'!GW24/'Expenditure DATA'!S24)*100</f>
        <v>27.052235991520046</v>
      </c>
      <c r="EO22" s="202">
        <f>('Expenditure DATA'!GX24/'Expenditure DATA'!T24)*100</f>
        <v>26.673903119197234</v>
      </c>
      <c r="EP22" s="202">
        <f>('Expenditure DATA'!GY24/'Expenditure DATA'!U24)*100</f>
        <v>26.832512459983597</v>
      </c>
      <c r="EQ22" s="202">
        <f>('Expenditure DATA'!GZ24/'Expenditure DATA'!V24)*100</f>
        <v>26.967116157997978</v>
      </c>
      <c r="ER22" s="202">
        <f>('Expenditure DATA'!HA24/'Expenditure DATA'!W24)*100</f>
        <v>26.583185655087078</v>
      </c>
      <c r="ES22" s="202">
        <f>('Expenditure DATA'!HB24/'Expenditure DATA'!X24)*100</f>
        <v>26.233844847002391</v>
      </c>
      <c r="ET22" s="202">
        <f>('Expenditure DATA'!HC24/'Expenditure DATA'!Y24)*100</f>
        <v>26.63264939662379</v>
      </c>
      <c r="EU22" s="202">
        <f>('Expenditure DATA'!HD24/'Expenditure DATA'!Z24)*100</f>
        <v>27.5334462712432</v>
      </c>
      <c r="EV22" s="202">
        <f>('Expenditure DATA'!HE24/'Expenditure DATA'!AA24)*100</f>
        <v>27.449487654578107</v>
      </c>
      <c r="EW22" s="202">
        <f>('Expenditure DATA'!HF24/'Expenditure DATA'!AB24)*100</f>
        <v>27.655082002366445</v>
      </c>
      <c r="EX22" s="202">
        <f>('Expenditure DATA'!HG24/'Expenditure DATA'!AC24)*100</f>
        <v>27.382298721110445</v>
      </c>
      <c r="EY22" s="202">
        <f>('Expenditure DATA'!HH24/'Expenditure DATA'!AD24)*100</f>
        <v>27.689619069991355</v>
      </c>
      <c r="EZ22" s="202">
        <f>('Expenditure DATA'!HI24/'Expenditure DATA'!AE24)*100</f>
        <v>26.415265920207503</v>
      </c>
      <c r="FA22" s="464">
        <f>('Expenditure DATA'!HJ24/'Expenditure DATA'!AF24)*100</f>
        <v>26.134933023069625</v>
      </c>
      <c r="FB22" s="203" t="e">
        <f>('Expenditure DATA'!HK24/'Expenditure DATA'!B24)*100</f>
        <v>#DIV/0!</v>
      </c>
      <c r="FC22" s="202" t="e">
        <f>('Expenditure DATA'!HL24/'Expenditure DATA'!C24)*100</f>
        <v>#DIV/0!</v>
      </c>
      <c r="FD22" s="202" t="e">
        <f>('Expenditure DATA'!HM24/'Expenditure DATA'!D24)*100</f>
        <v>#DIV/0!</v>
      </c>
      <c r="FE22" s="202" t="e">
        <f>('Expenditure DATA'!HN24/'Expenditure DATA'!E24)*100</f>
        <v>#DIV/0!</v>
      </c>
      <c r="FF22" s="202" t="e">
        <f>('Expenditure DATA'!HO24/'Expenditure DATA'!F24)*100</f>
        <v>#DIV/0!</v>
      </c>
      <c r="FG22" s="202" t="e">
        <f>('Expenditure DATA'!HP24/'Expenditure DATA'!G24)*100</f>
        <v>#DIV/0!</v>
      </c>
      <c r="FH22" s="202" t="e">
        <f>('Expenditure DATA'!HQ24/'Expenditure DATA'!H24)*100</f>
        <v>#DIV/0!</v>
      </c>
      <c r="FI22" s="202" t="e">
        <f>('Expenditure DATA'!HR24/'Expenditure DATA'!I24)*100</f>
        <v>#DIV/0!</v>
      </c>
      <c r="FJ22" s="202">
        <f>('Expenditure DATA'!HS24/'Expenditure DATA'!J24)*100</f>
        <v>5.983859556114715</v>
      </c>
      <c r="FK22" s="202">
        <f>('Expenditure DATA'!HT24/'Expenditure DATA'!K24)*100</f>
        <v>5.9808648931191355</v>
      </c>
      <c r="FL22" s="202">
        <f>('Expenditure DATA'!HU24/'Expenditure DATA'!L24)*100</f>
        <v>5.978336528807052</v>
      </c>
      <c r="FM22" s="202">
        <f>('Expenditure DATA'!HV24/'Expenditure DATA'!M24)*100</f>
        <v>5.8545091757902608</v>
      </c>
      <c r="FN22" s="202">
        <f>('Expenditure DATA'!HW24/'Expenditure DATA'!N24)*100</f>
        <v>6.0239813149784913</v>
      </c>
      <c r="FO22" s="202">
        <f>('Expenditure DATA'!HX24/'Expenditure DATA'!O24)*100</f>
        <v>6.0623717462853906</v>
      </c>
      <c r="FP22" s="202">
        <f>('Expenditure DATA'!HY24/'Expenditure DATA'!P24)*100</f>
        <v>6.0681506835575609</v>
      </c>
      <c r="FQ22" s="202">
        <f>('Expenditure DATA'!HZ24/'Expenditure DATA'!Q24)*100</f>
        <v>6.0564289825580815</v>
      </c>
      <c r="FR22" s="202">
        <f>('Expenditure DATA'!IA24/'Expenditure DATA'!R24)*100</f>
        <v>6.2897703833058012</v>
      </c>
      <c r="FS22" s="202">
        <f>('Expenditure DATA'!IB24/'Expenditure DATA'!S24)*100</f>
        <v>6.4945169189642309</v>
      </c>
      <c r="FT22" s="202">
        <f>('Expenditure DATA'!IC24/'Expenditure DATA'!T24)*100</f>
        <v>6.4810173079099656</v>
      </c>
      <c r="FU22" s="202">
        <f>('Expenditure DATA'!ID24/'Expenditure DATA'!U24)*100</f>
        <v>6.3897126894132805</v>
      </c>
      <c r="FV22" s="202">
        <f>('Expenditure DATA'!IE24/'Expenditure DATA'!V24)*100</f>
        <v>6.312227093454589</v>
      </c>
      <c r="FW22" s="202">
        <f>('Expenditure DATA'!IF24/'Expenditure DATA'!W24)*100</f>
        <v>6.3586999579356203</v>
      </c>
      <c r="FX22" s="202">
        <f>('Expenditure DATA'!IG24/'Expenditure DATA'!X24)*100</f>
        <v>6.4009859130986584</v>
      </c>
      <c r="FY22" s="202">
        <f>('Expenditure DATA'!IH24/'Expenditure DATA'!Y24)*100</f>
        <v>6.3910574388290939</v>
      </c>
      <c r="FZ22" s="202">
        <f>('Expenditure DATA'!II24/'Expenditure DATA'!Z24)*100</f>
        <v>6.1967704099024008</v>
      </c>
      <c r="GA22" s="202">
        <f>('Expenditure DATA'!IJ24/'Expenditure DATA'!AA24)*100</f>
        <v>6.4189224072236648</v>
      </c>
      <c r="GB22" s="202">
        <f>('Expenditure DATA'!IK24/'Expenditure DATA'!AB24)*100</f>
        <v>6.3806734993508067</v>
      </c>
      <c r="GC22" s="202">
        <f>('Expenditure DATA'!IL24/'Expenditure DATA'!AC24)*100</f>
        <v>6.2079186413868284</v>
      </c>
      <c r="GD22" s="202">
        <f>('Expenditure DATA'!IM24/'Expenditure DATA'!AD24)*100</f>
        <v>6.0185877030793442</v>
      </c>
      <c r="GE22" s="202">
        <f>('Expenditure DATA'!IN24/'Expenditure DATA'!AE24)*100</f>
        <v>5.663451497119393</v>
      </c>
      <c r="GF22" s="464">
        <f>('Expenditure DATA'!IO24/'Expenditure DATA'!AF24)*100</f>
        <v>5.6695134405074299</v>
      </c>
      <c r="GG22" s="203" t="e">
        <f>('Expenditure DATA'!IP24/'Expenditure DATA'!B24)*100</f>
        <v>#DIV/0!</v>
      </c>
      <c r="GH22" s="202" t="e">
        <f>('Expenditure DATA'!IQ24/'Expenditure DATA'!C24)*100</f>
        <v>#DIV/0!</v>
      </c>
      <c r="GI22" s="202" t="e">
        <f>('Expenditure DATA'!IR24/'Expenditure DATA'!D24)*100</f>
        <v>#DIV/0!</v>
      </c>
      <c r="GJ22" s="202" t="e">
        <f>('Expenditure DATA'!IS24/'Expenditure DATA'!E24)*100</f>
        <v>#DIV/0!</v>
      </c>
      <c r="GK22" s="202" t="e">
        <f>('Expenditure DATA'!IT24/'Expenditure DATA'!F24)*100</f>
        <v>#DIV/0!</v>
      </c>
      <c r="GL22" s="202" t="e">
        <f>('Expenditure DATA'!IU24/'Expenditure DATA'!G24)*100</f>
        <v>#DIV/0!</v>
      </c>
      <c r="GM22" s="202" t="e">
        <f>('Expenditure DATA'!IV24/'Expenditure DATA'!H24)*100</f>
        <v>#DIV/0!</v>
      </c>
      <c r="GN22" s="202" t="e">
        <f>('Expenditure DATA'!IW24/'Expenditure DATA'!I24)*100</f>
        <v>#DIV/0!</v>
      </c>
      <c r="GO22" s="202">
        <f>('Expenditure DATA'!IX24/'Expenditure DATA'!J24)*100</f>
        <v>11.240323926536519</v>
      </c>
      <c r="GP22" s="202">
        <f>('Expenditure DATA'!IY24/'Expenditure DATA'!K24)*100</f>
        <v>11.412164677089139</v>
      </c>
      <c r="GQ22" s="202">
        <f>('Expenditure DATA'!IZ24/'Expenditure DATA'!L24)*100</f>
        <v>11.557248121102859</v>
      </c>
      <c r="GR22" s="202">
        <f>('Expenditure DATA'!JA24/'Expenditure DATA'!M24)*100</f>
        <v>11.630354176637686</v>
      </c>
      <c r="GS22" s="202">
        <f>('Expenditure DATA'!JB24/'Expenditure DATA'!N24)*100</f>
        <v>10.925099701541715</v>
      </c>
      <c r="GT22" s="202">
        <f>('Expenditure DATA'!JC24/'Expenditure DATA'!O24)*100</f>
        <v>10.98179129283594</v>
      </c>
      <c r="GU22" s="202">
        <f>('Expenditure DATA'!JD24/'Expenditure DATA'!P24)*100</f>
        <v>10.31488586397848</v>
      </c>
      <c r="GV22" s="202">
        <f>('Expenditure DATA'!JE24/'Expenditure DATA'!Q24)*100</f>
        <v>10.591160156093277</v>
      </c>
      <c r="GW22" s="202">
        <f>('Expenditure DATA'!JF24/'Expenditure DATA'!R24)*100</f>
        <v>10.940979593108173</v>
      </c>
      <c r="GX22" s="202">
        <f>('Expenditure DATA'!JG24/'Expenditure DATA'!S24)*100</f>
        <v>11.053553335394925</v>
      </c>
      <c r="GY22" s="202">
        <f>('Expenditure DATA'!JH24/'Expenditure DATA'!T24)*100</f>
        <v>10.759507315475462</v>
      </c>
      <c r="GZ22" s="202">
        <f>('Expenditure DATA'!JI24/'Expenditure DATA'!U24)*100</f>
        <v>10.517417992209449</v>
      </c>
      <c r="HA22" s="202">
        <f>('Expenditure DATA'!JJ24/'Expenditure DATA'!V24)*100</f>
        <v>10.311969069719451</v>
      </c>
      <c r="HB22" s="202">
        <f>('Expenditure DATA'!JK24/'Expenditure DATA'!W24)*100</f>
        <v>10.243687640969714</v>
      </c>
      <c r="HC22" s="202">
        <f>('Expenditure DATA'!JL24/'Expenditure DATA'!X24)*100</f>
        <v>10.181557934380223</v>
      </c>
      <c r="HD22" s="202">
        <f>('Expenditure DATA'!JM24/'Expenditure DATA'!Y24)*100</f>
        <v>9.3508981542837759</v>
      </c>
      <c r="HE22" s="202">
        <f>('Expenditure DATA'!JN24/'Expenditure DATA'!Z24)*100</f>
        <v>9.6864106307056339</v>
      </c>
      <c r="HF22" s="202">
        <f>('Expenditure DATA'!JO24/'Expenditure DATA'!AA24)*100</f>
        <v>9.9473231700427611</v>
      </c>
      <c r="HG22" s="202">
        <f>('Expenditure DATA'!JP24/'Expenditure DATA'!AB24)*100</f>
        <v>9.4920709955116767</v>
      </c>
      <c r="HH22" s="202">
        <f>('Expenditure DATA'!JQ24/'Expenditure DATA'!AC24)*100</f>
        <v>9.8411103941742706</v>
      </c>
      <c r="HI22" s="202">
        <f>('Expenditure DATA'!JR24/'Expenditure DATA'!AD24)*100</f>
        <v>10.17952408872787</v>
      </c>
      <c r="HJ22" s="202">
        <f>('Expenditure DATA'!JS24/'Expenditure DATA'!AE24)*100</f>
        <v>9.9715861584168177</v>
      </c>
      <c r="HK22" s="464">
        <f>('Expenditure DATA'!JT24/'Expenditure DATA'!AF24)*100</f>
        <v>9.3538482385363224</v>
      </c>
      <c r="HL22" s="203" t="e">
        <f t="shared" si="1"/>
        <v>#DIV/0!</v>
      </c>
      <c r="HM22" s="204" t="e">
        <f t="shared" si="2"/>
        <v>#DIV/0!</v>
      </c>
      <c r="HN22" s="204" t="e">
        <f t="shared" si="3"/>
        <v>#DIV/0!</v>
      </c>
      <c r="HO22" s="204" t="e">
        <f t="shared" si="4"/>
        <v>#DIV/0!</v>
      </c>
      <c r="HP22" s="204" t="e">
        <f t="shared" si="5"/>
        <v>#DIV/0!</v>
      </c>
      <c r="HQ22" s="204" t="e">
        <f t="shared" si="6"/>
        <v>#DIV/0!</v>
      </c>
      <c r="HR22" s="204" t="e">
        <f t="shared" si="7"/>
        <v>#DIV/0!</v>
      </c>
      <c r="HS22" s="204" t="e">
        <f t="shared" si="8"/>
        <v>#DIV/0!</v>
      </c>
      <c r="HT22" s="204">
        <f t="shared" si="9"/>
        <v>99.999953121795798</v>
      </c>
      <c r="HU22" s="204">
        <f t="shared" si="10"/>
        <v>99.999978539816667</v>
      </c>
      <c r="HV22" s="204">
        <f t="shared" si="11"/>
        <v>99.999999999999986</v>
      </c>
      <c r="HW22" s="204">
        <f t="shared" si="12"/>
        <v>99.999999999999986</v>
      </c>
      <c r="HX22" s="204">
        <f t="shared" si="13"/>
        <v>99.999999999999986</v>
      </c>
      <c r="HY22" s="204">
        <f t="shared" si="14"/>
        <v>100</v>
      </c>
      <c r="HZ22" s="204">
        <f t="shared" si="15"/>
        <v>99.999999999999986</v>
      </c>
      <c r="IA22" s="204">
        <f t="shared" si="16"/>
        <v>100</v>
      </c>
      <c r="IB22" s="204">
        <f t="shared" si="17"/>
        <v>99.999999999999986</v>
      </c>
      <c r="IC22" s="204">
        <f t="shared" si="18"/>
        <v>100.00000000000001</v>
      </c>
      <c r="ID22" s="204">
        <f t="shared" si="19"/>
        <v>99.999999999999972</v>
      </c>
      <c r="IE22" s="204">
        <f t="shared" si="20"/>
        <v>100</v>
      </c>
      <c r="IF22" s="204">
        <f t="shared" si="21"/>
        <v>100</v>
      </c>
      <c r="IG22" s="204">
        <f t="shared" si="22"/>
        <v>100</v>
      </c>
      <c r="IH22" s="204">
        <f t="shared" si="23"/>
        <v>99.999999999999986</v>
      </c>
      <c r="II22" s="204">
        <f t="shared" si="24"/>
        <v>99.999999999999972</v>
      </c>
      <c r="IJ22" s="204">
        <f t="shared" si="25"/>
        <v>100.00000000000003</v>
      </c>
      <c r="IK22" s="204">
        <f t="shared" si="26"/>
        <v>99.999999999999972</v>
      </c>
      <c r="IL22" s="204">
        <f t="shared" si="27"/>
        <v>100</v>
      </c>
      <c r="IM22" s="204">
        <f t="shared" si="28"/>
        <v>99.999999838615793</v>
      </c>
      <c r="IN22" s="204">
        <f t="shared" si="29"/>
        <v>100.00000016065907</v>
      </c>
      <c r="IO22" s="204">
        <f t="shared" si="30"/>
        <v>99.999999999999986</v>
      </c>
      <c r="IP22" s="204">
        <f t="shared" si="31"/>
        <v>100.00000000000003</v>
      </c>
    </row>
    <row r="23" spans="1:250" s="164" customFormat="1" ht="12" customHeight="1">
      <c r="A23" s="292"/>
      <c r="B23" s="29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464"/>
      <c r="AH23" s="203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F23" s="202"/>
      <c r="BG23" s="202"/>
      <c r="BH23" s="202"/>
      <c r="BI23" s="202"/>
      <c r="BJ23" s="202"/>
      <c r="BK23" s="202"/>
      <c r="BL23" s="464"/>
      <c r="BM23" s="203"/>
      <c r="BN23" s="202"/>
      <c r="BO23" s="202"/>
      <c r="BP23" s="202"/>
      <c r="BQ23" s="202"/>
      <c r="BR23" s="202"/>
      <c r="BS23" s="202"/>
      <c r="BT23" s="202"/>
      <c r="BU23" s="202"/>
      <c r="BV23" s="202"/>
      <c r="BW23" s="202"/>
      <c r="BX23" s="202"/>
      <c r="BY23" s="202"/>
      <c r="BZ23" s="202"/>
      <c r="CA23" s="202"/>
      <c r="CB23" s="202"/>
      <c r="CC23" s="202"/>
      <c r="CD23" s="202"/>
      <c r="CE23" s="202"/>
      <c r="CF23" s="202"/>
      <c r="CG23" s="202"/>
      <c r="CH23" s="202"/>
      <c r="CI23" s="202"/>
      <c r="CJ23" s="202"/>
      <c r="CK23" s="202"/>
      <c r="CL23" s="202"/>
      <c r="CM23" s="202"/>
      <c r="CN23" s="202"/>
      <c r="CO23" s="202"/>
      <c r="CP23" s="202"/>
      <c r="CQ23" s="464"/>
      <c r="CR23" s="203"/>
      <c r="CS23" s="202"/>
      <c r="CT23" s="202"/>
      <c r="CU23" s="202"/>
      <c r="CV23" s="202"/>
      <c r="CW23" s="202"/>
      <c r="CX23" s="202"/>
      <c r="CY23" s="202"/>
      <c r="CZ23" s="202"/>
      <c r="DA23" s="202"/>
      <c r="DB23" s="202"/>
      <c r="DC23" s="202"/>
      <c r="DD23" s="202"/>
      <c r="DE23" s="202"/>
      <c r="DF23" s="202"/>
      <c r="DG23" s="202"/>
      <c r="DH23" s="202"/>
      <c r="DI23" s="202"/>
      <c r="DJ23" s="202"/>
      <c r="DK23" s="202"/>
      <c r="DL23" s="202"/>
      <c r="DM23" s="202"/>
      <c r="DN23" s="202"/>
      <c r="DO23" s="202"/>
      <c r="DP23" s="202"/>
      <c r="DQ23" s="202"/>
      <c r="DR23" s="202"/>
      <c r="DS23" s="202"/>
      <c r="DT23" s="202"/>
      <c r="DU23" s="202"/>
      <c r="DV23" s="464"/>
      <c r="DW23" s="203"/>
      <c r="DX23" s="202"/>
      <c r="DY23" s="202"/>
      <c r="DZ23" s="202"/>
      <c r="EA23" s="202"/>
      <c r="EB23" s="202"/>
      <c r="EC23" s="202"/>
      <c r="ED23" s="202"/>
      <c r="EE23" s="202"/>
      <c r="EF23" s="202"/>
      <c r="EG23" s="202"/>
      <c r="EH23" s="202"/>
      <c r="EI23" s="202"/>
      <c r="EJ23" s="202"/>
      <c r="EK23" s="202"/>
      <c r="EL23" s="202"/>
      <c r="EM23" s="202"/>
      <c r="EN23" s="202"/>
      <c r="EO23" s="202"/>
      <c r="EP23" s="202"/>
      <c r="EQ23" s="202"/>
      <c r="ER23" s="202"/>
      <c r="ES23" s="202"/>
      <c r="ET23" s="202"/>
      <c r="EU23" s="202"/>
      <c r="EV23" s="202"/>
      <c r="EW23" s="202"/>
      <c r="EX23" s="202"/>
      <c r="EY23" s="202"/>
      <c r="EZ23" s="202"/>
      <c r="FA23" s="464"/>
      <c r="FB23" s="203"/>
      <c r="FC23" s="202"/>
      <c r="FD23" s="202"/>
      <c r="FE23" s="202"/>
      <c r="FF23" s="202"/>
      <c r="FG23" s="202"/>
      <c r="FH23" s="202"/>
      <c r="FI23" s="202"/>
      <c r="FJ23" s="202"/>
      <c r="FK23" s="202"/>
      <c r="FL23" s="202"/>
      <c r="FM23" s="202"/>
      <c r="FN23" s="202"/>
      <c r="FO23" s="202"/>
      <c r="FP23" s="202"/>
      <c r="FQ23" s="202"/>
      <c r="FR23" s="202"/>
      <c r="FS23" s="202"/>
      <c r="FT23" s="202"/>
      <c r="FU23" s="202"/>
      <c r="FV23" s="202"/>
      <c r="FW23" s="202"/>
      <c r="FX23" s="202"/>
      <c r="FY23" s="202"/>
      <c r="FZ23" s="202"/>
      <c r="GA23" s="202"/>
      <c r="GB23" s="202"/>
      <c r="GC23" s="202"/>
      <c r="GD23" s="202"/>
      <c r="GE23" s="202"/>
      <c r="GF23" s="464"/>
      <c r="GG23" s="203"/>
      <c r="GH23" s="202"/>
      <c r="GI23" s="202"/>
      <c r="GJ23" s="202"/>
      <c r="GK23" s="202"/>
      <c r="GL23" s="202"/>
      <c r="GM23" s="202"/>
      <c r="GN23" s="202"/>
      <c r="GO23" s="202"/>
      <c r="GP23" s="202"/>
      <c r="GQ23" s="202"/>
      <c r="GR23" s="202"/>
      <c r="GS23" s="202"/>
      <c r="GT23" s="202"/>
      <c r="GU23" s="202"/>
      <c r="GV23" s="202"/>
      <c r="GW23" s="202"/>
      <c r="GX23" s="202"/>
      <c r="GY23" s="202"/>
      <c r="GZ23" s="202"/>
      <c r="HA23" s="202"/>
      <c r="HB23" s="202"/>
      <c r="HC23" s="202"/>
      <c r="HD23" s="202"/>
      <c r="HE23" s="202"/>
      <c r="HF23" s="202"/>
      <c r="HG23" s="202"/>
      <c r="HH23" s="202"/>
      <c r="HI23" s="202"/>
      <c r="HJ23" s="202"/>
      <c r="HK23" s="464"/>
      <c r="HL23" s="203"/>
      <c r="HM23" s="204"/>
      <c r="HN23" s="204"/>
      <c r="HO23" s="204"/>
      <c r="HP23" s="204"/>
      <c r="HQ23" s="204"/>
      <c r="HR23" s="204"/>
      <c r="HS23" s="204"/>
      <c r="HT23" s="204"/>
      <c r="HU23" s="204"/>
      <c r="HV23" s="204"/>
      <c r="HW23" s="204"/>
      <c r="HX23" s="204"/>
      <c r="HY23" s="204"/>
      <c r="HZ23" s="204"/>
      <c r="IA23" s="204"/>
      <c r="IB23" s="204"/>
      <c r="IC23" s="204"/>
      <c r="ID23" s="204"/>
      <c r="IE23" s="204"/>
      <c r="IF23" s="204"/>
      <c r="IG23" s="204"/>
      <c r="IH23" s="204"/>
      <c r="II23" s="204"/>
      <c r="IJ23" s="204"/>
      <c r="IK23" s="204"/>
      <c r="IL23" s="204"/>
      <c r="IM23" s="204"/>
      <c r="IN23" s="204"/>
      <c r="IO23" s="204"/>
      <c r="IP23" s="204"/>
    </row>
    <row r="24" spans="1:250" s="164" customFormat="1">
      <c r="A24" s="164" t="s">
        <v>47</v>
      </c>
      <c r="C24" s="202" t="e">
        <f>('Expenditure DATA'!CQ26/'Expenditure DATA'!B26)*100</f>
        <v>#DIV/0!</v>
      </c>
      <c r="D24" s="202" t="e">
        <f>('Expenditure DATA'!CR26/'Expenditure DATA'!C26)*100</f>
        <v>#DIV/0!</v>
      </c>
      <c r="E24" s="202" t="e">
        <f>('Expenditure DATA'!CS26/'Expenditure DATA'!D26)*100</f>
        <v>#DIV/0!</v>
      </c>
      <c r="F24" s="202" t="e">
        <f>('Expenditure DATA'!CT26/'Expenditure DATA'!E26)*100</f>
        <v>#DIV/0!</v>
      </c>
      <c r="G24" s="202" t="e">
        <f>('Expenditure DATA'!CU26/'Expenditure DATA'!F26)*100</f>
        <v>#DIV/0!</v>
      </c>
      <c r="H24" s="202" t="e">
        <f>('Expenditure DATA'!CV26/'Expenditure DATA'!G26)*100</f>
        <v>#DIV/0!</v>
      </c>
      <c r="I24" s="202" t="e">
        <f>('Expenditure DATA'!CW26/'Expenditure DATA'!H26)*100</f>
        <v>#DIV/0!</v>
      </c>
      <c r="J24" s="202" t="e">
        <f>('Expenditure DATA'!CX26/'Expenditure DATA'!I26)*100</f>
        <v>#DIV/0!</v>
      </c>
      <c r="K24" s="202">
        <f>('Expenditure DATA'!CY26/'Expenditure DATA'!J26)*100</f>
        <v>4.5672228251023146</v>
      </c>
      <c r="L24" s="202">
        <f>('Expenditure DATA'!CZ26/'Expenditure DATA'!K26)*100</f>
        <v>4.8009020977725738</v>
      </c>
      <c r="M24" s="202">
        <f>('Expenditure DATA'!DA26/'Expenditure DATA'!L26)*100</f>
        <v>5.0135454795506007</v>
      </c>
      <c r="N24" s="202">
        <f>('Expenditure DATA'!DB26/'Expenditure DATA'!M26)*100</f>
        <v>5.2815212326104897</v>
      </c>
      <c r="O24" s="202">
        <f>('Expenditure DATA'!DC26/'Expenditure DATA'!N26)*100</f>
        <v>4.7941272710709582</v>
      </c>
      <c r="P24" s="202">
        <f>('Expenditure DATA'!DD26/'Expenditure DATA'!O26)*100</f>
        <v>4.6883749126169345</v>
      </c>
      <c r="Q24" s="202">
        <f>('Expenditure DATA'!DE26/'Expenditure DATA'!P26)*100</f>
        <v>4.9422000462012017</v>
      </c>
      <c r="R24" s="202">
        <f>('Expenditure DATA'!DF26/'Expenditure DATA'!Q26)*100</f>
        <v>4.5432839222112618</v>
      </c>
      <c r="S24" s="202">
        <f>('Expenditure DATA'!DG26/'Expenditure DATA'!R26)*100</f>
        <v>4.5970878353208251</v>
      </c>
      <c r="T24" s="202">
        <f>('Expenditure DATA'!DH26/'Expenditure DATA'!S26)*100</f>
        <v>4.7132308833253065</v>
      </c>
      <c r="U24" s="202">
        <f>('Expenditure DATA'!DI26/'Expenditure DATA'!T26)*100</f>
        <v>4.8602900171294667</v>
      </c>
      <c r="V24" s="202">
        <f>('Expenditure DATA'!DJ26/'Expenditure DATA'!U26)*100</f>
        <v>5.3363897611483866</v>
      </c>
      <c r="W24" s="202">
        <f>('Expenditure DATA'!DK26/'Expenditure DATA'!V26)*100</f>
        <v>5.7712811127674009</v>
      </c>
      <c r="X24" s="202">
        <f>('Expenditure DATA'!DL26/'Expenditure DATA'!W26)*100</f>
        <v>6.3087086353854627</v>
      </c>
      <c r="Y24" s="202">
        <f>('Expenditure DATA'!DM26/'Expenditure DATA'!X26)*100</f>
        <v>6.8427967936550118</v>
      </c>
      <c r="Z24" s="202">
        <f>('Expenditure DATA'!DN26/'Expenditure DATA'!Y26)*100</f>
        <v>6.213303469407478</v>
      </c>
      <c r="AA24" s="202">
        <f>('Expenditure DATA'!DO26/'Expenditure DATA'!Z26)*100</f>
        <v>6.1803851047550502</v>
      </c>
      <c r="AB24" s="202">
        <f>('Expenditure DATA'!DP26/'Expenditure DATA'!AA26)*100</f>
        <v>6.0487775629206579</v>
      </c>
      <c r="AC24" s="202">
        <f>('Expenditure DATA'!DQ26/'Expenditure DATA'!AB26)*100</f>
        <v>5.9796933953851967</v>
      </c>
      <c r="AD24" s="202">
        <f>('Expenditure DATA'!DR26/'Expenditure DATA'!AC26)*100</f>
        <v>5.7833544000786858</v>
      </c>
      <c r="AE24" s="202">
        <f>('Expenditure DATA'!DS26/'Expenditure DATA'!AD26)*100</f>
        <v>5.7111099257487439</v>
      </c>
      <c r="AF24" s="202">
        <f>('Expenditure DATA'!DT26/'Expenditure DATA'!AE26)*100</f>
        <v>6.2912978147726619</v>
      </c>
      <c r="AG24" s="464">
        <f>('Expenditure DATA'!DU26/'Expenditure DATA'!AF26)*100</f>
        <v>7.0733890401131347</v>
      </c>
      <c r="AH24" s="203" t="e">
        <f>('Expenditure DATA'!BL26/'Expenditure DATA'!B26)*100</f>
        <v>#DIV/0!</v>
      </c>
      <c r="AI24" s="202" t="e">
        <f>('Expenditure DATA'!BM26/'Expenditure DATA'!C26)*100</f>
        <v>#DIV/0!</v>
      </c>
      <c r="AJ24" s="202" t="e">
        <f>('Expenditure DATA'!BN26/'Expenditure DATA'!D26)*100</f>
        <v>#DIV/0!</v>
      </c>
      <c r="AK24" s="202" t="e">
        <f>('Expenditure DATA'!BO26/'Expenditure DATA'!E26)*100</f>
        <v>#DIV/0!</v>
      </c>
      <c r="AL24" s="202" t="e">
        <f>('Expenditure DATA'!BP26/'Expenditure DATA'!F26)*100</f>
        <v>#DIV/0!</v>
      </c>
      <c r="AM24" s="202" t="e">
        <f>('Expenditure DATA'!BQ26/'Expenditure DATA'!G26)*100</f>
        <v>#DIV/0!</v>
      </c>
      <c r="AN24" s="202" t="e">
        <f>('Expenditure DATA'!BR26/'Expenditure DATA'!H26)*100</f>
        <v>#DIV/0!</v>
      </c>
      <c r="AO24" s="202" t="e">
        <f>('Expenditure DATA'!BS26/'Expenditure DATA'!I26)*100</f>
        <v>#DIV/0!</v>
      </c>
      <c r="AP24" s="202">
        <f>('Expenditure DATA'!BT26/'Expenditure DATA'!J26)*100</f>
        <v>16.990275008807586</v>
      </c>
      <c r="AQ24" s="202">
        <f>('Expenditure DATA'!BU26/'Expenditure DATA'!K26)*100</f>
        <v>17.010159854894411</v>
      </c>
      <c r="AR24" s="202">
        <f>('Expenditure DATA'!BV26/'Expenditure DATA'!L26)*100</f>
        <v>17.02825466009352</v>
      </c>
      <c r="AS24" s="202">
        <f>('Expenditure DATA'!BW26/'Expenditure DATA'!M26)*100</f>
        <v>17.760539481575613</v>
      </c>
      <c r="AT24" s="202">
        <f>('Expenditure DATA'!BX26/'Expenditure DATA'!N26)*100</f>
        <v>17.680375454908191</v>
      </c>
      <c r="AU24" s="202">
        <f>('Expenditure DATA'!BY26/'Expenditure DATA'!O26)*100</f>
        <v>17.872272318524139</v>
      </c>
      <c r="AV24" s="202">
        <f>('Expenditure DATA'!BZ26/'Expenditure DATA'!P26)*100</f>
        <v>18.420197114706831</v>
      </c>
      <c r="AW24" s="202">
        <f>('Expenditure DATA'!CA26/'Expenditure DATA'!Q26)*100</f>
        <v>18.22300714754644</v>
      </c>
      <c r="AX24" s="202">
        <f>('Expenditure DATA'!CB26/'Expenditure DATA'!R26)*100</f>
        <v>16.857182884209809</v>
      </c>
      <c r="AY24" s="202">
        <f>('Expenditure DATA'!CC26/'Expenditure DATA'!S26)*100</f>
        <v>18.628145817324658</v>
      </c>
      <c r="AZ24" s="202">
        <f>('Expenditure DATA'!CD26/'Expenditure DATA'!T26)*100</f>
        <v>17.308203719159732</v>
      </c>
      <c r="BA24" s="202">
        <f>('Expenditure DATA'!CE26/'Expenditure DATA'!U26)*100</f>
        <v>17.540036540711164</v>
      </c>
      <c r="BB24" s="202">
        <f>('Expenditure DATA'!CF26/'Expenditure DATA'!V26)*100</f>
        <v>17.751803277368232</v>
      </c>
      <c r="BC24" s="202">
        <f>('Expenditure DATA'!CG26/'Expenditure DATA'!W26)*100</f>
        <v>18.409403429321941</v>
      </c>
      <c r="BD24" s="202">
        <f>('Expenditure DATA'!CH26/'Expenditure DATA'!X26)*100</f>
        <v>19.062917511227891</v>
      </c>
      <c r="BE24" s="202">
        <f>('Expenditure DATA'!CI26/'Expenditure DATA'!Y26)*100</f>
        <v>19.663132642445806</v>
      </c>
      <c r="BF24" s="202">
        <f>('Expenditure DATA'!CJ26/'Expenditure DATA'!Z26)*100</f>
        <v>19.192532621991752</v>
      </c>
      <c r="BG24" s="202">
        <f>('Expenditure DATA'!CK26/'Expenditure DATA'!AA26)*100</f>
        <v>18.337750557169805</v>
      </c>
      <c r="BH24" s="202">
        <f>('Expenditure DATA'!CL26/'Expenditure DATA'!AB26)*100</f>
        <v>19.40638280718931</v>
      </c>
      <c r="BI24" s="202">
        <f>('Expenditure DATA'!CM26/'Expenditure DATA'!AC26)*100</f>
        <v>18.480558076139296</v>
      </c>
      <c r="BJ24" s="202">
        <f>('Expenditure DATA'!CN26/'Expenditure DATA'!AD26)*100</f>
        <v>18.643210841844439</v>
      </c>
      <c r="BK24" s="202">
        <f>('Expenditure DATA'!CO26/'Expenditure DATA'!AE26)*100</f>
        <v>19.232754181098951</v>
      </c>
      <c r="BL24" s="464">
        <f>('Expenditure DATA'!CP26/'Expenditure DATA'!AF26)*100</f>
        <v>18.105443985891803</v>
      </c>
      <c r="BM24" s="203" t="e">
        <f>('Expenditure DATA'!AG26/'Expenditure DATA'!B26)*100</f>
        <v>#DIV/0!</v>
      </c>
      <c r="BN24" s="202" t="e">
        <f>('Expenditure DATA'!AH26/'Expenditure DATA'!C26)*100</f>
        <v>#DIV/0!</v>
      </c>
      <c r="BO24" s="202" t="e">
        <f>('Expenditure DATA'!AI26/'Expenditure DATA'!D26)*100</f>
        <v>#DIV/0!</v>
      </c>
      <c r="BP24" s="202" t="e">
        <f>('Expenditure DATA'!AJ26/'Expenditure DATA'!E26)*100</f>
        <v>#DIV/0!</v>
      </c>
      <c r="BQ24" s="202" t="e">
        <f>('Expenditure DATA'!AK26/'Expenditure DATA'!F26)*100</f>
        <v>#DIV/0!</v>
      </c>
      <c r="BR24" s="202" t="e">
        <f>('Expenditure DATA'!AL26/'Expenditure DATA'!G26)*100</f>
        <v>#DIV/0!</v>
      </c>
      <c r="BS24" s="202" t="e">
        <f>('Expenditure DATA'!AM26/'Expenditure DATA'!H26)*100</f>
        <v>#DIV/0!</v>
      </c>
      <c r="BT24" s="202" t="e">
        <f>('Expenditure DATA'!AN26/'Expenditure DATA'!I26)*100</f>
        <v>#DIV/0!</v>
      </c>
      <c r="BU24" s="202">
        <f>('Expenditure DATA'!AO26/'Expenditure DATA'!J26)*100</f>
        <v>23.539977150493129</v>
      </c>
      <c r="BV24" s="202">
        <f>('Expenditure DATA'!AP26/'Expenditure DATA'!K26)*100</f>
        <v>23.490823801407327</v>
      </c>
      <c r="BW24" s="202">
        <f>('Expenditure DATA'!AQ26/'Expenditure DATA'!L26)*100</f>
        <v>23.44609525421577</v>
      </c>
      <c r="BX24" s="202">
        <f>('Expenditure DATA'!AR26/'Expenditure DATA'!M26)*100</f>
        <v>24.247213674025918</v>
      </c>
      <c r="BY24" s="202">
        <f>('Expenditure DATA'!AS26/'Expenditure DATA'!N26)*100</f>
        <v>23.797264304869334</v>
      </c>
      <c r="BZ24" s="202">
        <f>('Expenditure DATA'!AT26/'Expenditure DATA'!O26)*100</f>
        <v>23.986112505637998</v>
      </c>
      <c r="CA24" s="202">
        <f>('Expenditure DATA'!AU26/'Expenditure DATA'!P26)*100</f>
        <v>24.574350330769967</v>
      </c>
      <c r="CB24" s="202">
        <f>('Expenditure DATA'!AV26/'Expenditure DATA'!Q26)*100</f>
        <v>24.099248975204159</v>
      </c>
      <c r="CC24" s="202">
        <f>('Expenditure DATA'!AW26/'Expenditure DATA'!R26)*100</f>
        <v>22.656391305272251</v>
      </c>
      <c r="CD24" s="202">
        <f>('Expenditure DATA'!AX26/'Expenditure DATA'!S26)*100</f>
        <v>24.394958347735962</v>
      </c>
      <c r="CE24" s="202">
        <f>('Expenditure DATA'!AY26/'Expenditure DATA'!T26)*100</f>
        <v>23.148235428964707</v>
      </c>
      <c r="CF24" s="202">
        <f>('Expenditure DATA'!AZ26/'Expenditure DATA'!U26)*100</f>
        <v>24.236251537307716</v>
      </c>
      <c r="CG24" s="202">
        <f>('Expenditure DATA'!BA26/'Expenditure DATA'!V26)*100</f>
        <v>25.230095373362687</v>
      </c>
      <c r="CH24" s="202">
        <f>('Expenditure DATA'!BB26/'Expenditure DATA'!W26)*100</f>
        <v>26.298333924366386</v>
      </c>
      <c r="CI24" s="202">
        <f>('Expenditure DATA'!BC26/'Expenditure DATA'!X26)*100</f>
        <v>27.359934858979408</v>
      </c>
      <c r="CJ24" s="202">
        <f>('Expenditure DATA'!BD26/'Expenditure DATA'!Y26)*100</f>
        <v>27.131482755288239</v>
      </c>
      <c r="CK24" s="202">
        <f>('Expenditure DATA'!BE26/'Expenditure DATA'!Z26)*100</f>
        <v>26.523714915908169</v>
      </c>
      <c r="CL24" s="202">
        <f>('Expenditure DATA'!BF26/'Expenditure DATA'!AA26)*100</f>
        <v>25.488875704108381</v>
      </c>
      <c r="CM24" s="202">
        <f>('Expenditure DATA'!BG26/'Expenditure DATA'!AB26)*100</f>
        <v>26.406413788572795</v>
      </c>
      <c r="CN24" s="202">
        <f>('Expenditure DATA'!BH26/'Expenditure DATA'!AC26)*100</f>
        <v>25.367530061429321</v>
      </c>
      <c r="CO24" s="202">
        <f>('Expenditure DATA'!BI26/'Expenditure DATA'!AD26)*100</f>
        <v>25.573142125829389</v>
      </c>
      <c r="CP24" s="202">
        <f>('Expenditure DATA'!BJ26/'Expenditure DATA'!AE26)*100</f>
        <v>26.741035537611303</v>
      </c>
      <c r="CQ24" s="464">
        <f>('Expenditure DATA'!BK26/'Expenditure DATA'!AF26)*100</f>
        <v>26.55339461558756</v>
      </c>
      <c r="CR24" s="203" t="e">
        <f>('Expenditure DATA'!FA26/'Expenditure DATA'!B26)*100</f>
        <v>#DIV/0!</v>
      </c>
      <c r="CS24" s="202" t="e">
        <f>('Expenditure DATA'!FB26/'Expenditure DATA'!C26)*100</f>
        <v>#DIV/0!</v>
      </c>
      <c r="CT24" s="202" t="e">
        <f>('Expenditure DATA'!FC26/'Expenditure DATA'!D26)*100</f>
        <v>#DIV/0!</v>
      </c>
      <c r="CU24" s="202" t="e">
        <f>('Expenditure DATA'!FD26/'Expenditure DATA'!E26)*100</f>
        <v>#DIV/0!</v>
      </c>
      <c r="CV24" s="202" t="e">
        <f>('Expenditure DATA'!FE26/'Expenditure DATA'!F26)*100</f>
        <v>#DIV/0!</v>
      </c>
      <c r="CW24" s="202" t="e">
        <f>('Expenditure DATA'!FF26/'Expenditure DATA'!G26)*100</f>
        <v>#DIV/0!</v>
      </c>
      <c r="CX24" s="202" t="e">
        <f>('Expenditure DATA'!FG26/'Expenditure DATA'!H26)*100</f>
        <v>#DIV/0!</v>
      </c>
      <c r="CY24" s="202" t="e">
        <f>('Expenditure DATA'!FH26/'Expenditure DATA'!I26)*100</f>
        <v>#DIV/0!</v>
      </c>
      <c r="CZ24" s="202">
        <f>('Expenditure DATA'!FI26/'Expenditure DATA'!J26)*100</f>
        <v>11.233162811478918</v>
      </c>
      <c r="DA24" s="202">
        <f>('Expenditure DATA'!FJ26/'Expenditure DATA'!K26)*100</f>
        <v>11.303889844673673</v>
      </c>
      <c r="DB24" s="202">
        <f>('Expenditure DATA'!FK26/'Expenditure DATA'!L26)*100</f>
        <v>11.36825000528955</v>
      </c>
      <c r="DC24" s="202">
        <f>('Expenditure DATA'!FL26/'Expenditure DATA'!M26)*100</f>
        <v>12.320722344743199</v>
      </c>
      <c r="DD24" s="202">
        <f>('Expenditure DATA'!FM26/'Expenditure DATA'!N26)*100</f>
        <v>12.981110630895898</v>
      </c>
      <c r="DE24" s="202">
        <f>('Expenditure DATA'!FN26/'Expenditure DATA'!O26)*100</f>
        <v>13.32542571015167</v>
      </c>
      <c r="DF24" s="202">
        <f>('Expenditure DATA'!FO26/'Expenditure DATA'!P26)*100</f>
        <v>14.438766371652093</v>
      </c>
      <c r="DG24" s="202">
        <f>('Expenditure DATA'!FP26/'Expenditure DATA'!Q26)*100</f>
        <v>14.35792435704743</v>
      </c>
      <c r="DH24" s="202">
        <f>('Expenditure DATA'!FQ26/'Expenditure DATA'!R26)*100</f>
        <v>14.249702407911013</v>
      </c>
      <c r="DI24" s="202">
        <f>('Expenditure DATA'!FR26/'Expenditure DATA'!S26)*100</f>
        <v>13.815056708364523</v>
      </c>
      <c r="DJ24" s="202">
        <f>('Expenditure DATA'!FS26/'Expenditure DATA'!T26)*100</f>
        <v>14.384421222800928</v>
      </c>
      <c r="DK24" s="202">
        <f>('Expenditure DATA'!FT26/'Expenditure DATA'!U26)*100</f>
        <v>15.27989012408578</v>
      </c>
      <c r="DL24" s="202">
        <f>('Expenditure DATA'!FU26/'Expenditure DATA'!V26)*100</f>
        <v>16.097852506348868</v>
      </c>
      <c r="DM24" s="202">
        <f>('Expenditure DATA'!FV26/'Expenditure DATA'!W26)*100</f>
        <v>17.914364299234435</v>
      </c>
      <c r="DN24" s="202">
        <f>('Expenditure DATA'!FW26/'Expenditure DATA'!X26)*100</f>
        <v>19.71958899857804</v>
      </c>
      <c r="DO24" s="202">
        <f>('Expenditure DATA'!FX26/'Expenditure DATA'!Y26)*100</f>
        <v>20.042192269866803</v>
      </c>
      <c r="DP24" s="202">
        <f>('Expenditure DATA'!FY26/'Expenditure DATA'!Z26)*100</f>
        <v>19.1455678461076</v>
      </c>
      <c r="DQ24" s="202">
        <f>('Expenditure DATA'!FZ26/'Expenditure DATA'!AA26)*100</f>
        <v>18.131661799741885</v>
      </c>
      <c r="DR24" s="202">
        <f>('Expenditure DATA'!GA26/'Expenditure DATA'!AB26)*100</f>
        <v>16.596015516379385</v>
      </c>
      <c r="DS24" s="202">
        <f>('Expenditure DATA'!GB26/'Expenditure DATA'!AC26)*100</f>
        <v>16.658234338931642</v>
      </c>
      <c r="DT24" s="202">
        <f>('Expenditure DATA'!GC26/'Expenditure DATA'!AD26)*100</f>
        <v>19.002420155566504</v>
      </c>
      <c r="DU24" s="202">
        <f>('Expenditure DATA'!GD26/'Expenditure DATA'!AE26)*100</f>
        <v>19.962586227237651</v>
      </c>
      <c r="DV24" s="464">
        <f>('Expenditure DATA'!GE26/'Expenditure DATA'!AF26)*100</f>
        <v>20.784581204152257</v>
      </c>
      <c r="DW24" s="203" t="e">
        <f>('Expenditure DATA'!GF26/'Expenditure DATA'!B26)*100</f>
        <v>#DIV/0!</v>
      </c>
      <c r="DX24" s="202" t="e">
        <f>('Expenditure DATA'!GG26/'Expenditure DATA'!C26)*100</f>
        <v>#DIV/0!</v>
      </c>
      <c r="DY24" s="202" t="e">
        <f>('Expenditure DATA'!GH26/'Expenditure DATA'!D26)*100</f>
        <v>#DIV/0!</v>
      </c>
      <c r="DZ24" s="202" t="e">
        <f>('Expenditure DATA'!GI26/'Expenditure DATA'!E26)*100</f>
        <v>#DIV/0!</v>
      </c>
      <c r="EA24" s="202" t="e">
        <f>('Expenditure DATA'!GJ26/'Expenditure DATA'!F26)*100</f>
        <v>#DIV/0!</v>
      </c>
      <c r="EB24" s="202" t="e">
        <f>('Expenditure DATA'!GK26/'Expenditure DATA'!G26)*100</f>
        <v>#DIV/0!</v>
      </c>
      <c r="EC24" s="202" t="e">
        <f>('Expenditure DATA'!GL26/'Expenditure DATA'!H26)*100</f>
        <v>#DIV/0!</v>
      </c>
      <c r="ED24" s="202" t="e">
        <f>('Expenditure DATA'!GM26/'Expenditure DATA'!I26)*100</f>
        <v>#DIV/0!</v>
      </c>
      <c r="EE24" s="202">
        <f>('Expenditure DATA'!GN26/'Expenditure DATA'!J26)*100</f>
        <v>25.909692737004107</v>
      </c>
      <c r="EF24" s="202">
        <f>('Expenditure DATA'!GO26/'Expenditure DATA'!K26)*100</f>
        <v>26.424839379857406</v>
      </c>
      <c r="EG24" s="202">
        <f>('Expenditure DATA'!GP26/'Expenditure DATA'!L26)*100</f>
        <v>26.893612339462159</v>
      </c>
      <c r="EH24" s="202">
        <f>('Expenditure DATA'!GQ26/'Expenditure DATA'!M26)*100</f>
        <v>27.035325676084991</v>
      </c>
      <c r="EI24" s="202">
        <f>('Expenditure DATA'!GR26/'Expenditure DATA'!N26)*100</f>
        <v>27.780035267898668</v>
      </c>
      <c r="EJ24" s="202">
        <f>('Expenditure DATA'!GS26/'Expenditure DATA'!O26)*100</f>
        <v>26.842976132659217</v>
      </c>
      <c r="EK24" s="202">
        <f>('Expenditure DATA'!GT26/'Expenditure DATA'!P26)*100</f>
        <v>27.645792455325036</v>
      </c>
      <c r="EL24" s="202">
        <f>('Expenditure DATA'!GU26/'Expenditure DATA'!Q26)*100</f>
        <v>27.403605957014506</v>
      </c>
      <c r="EM24" s="202">
        <f>('Expenditure DATA'!GV26/'Expenditure DATA'!R26)*100</f>
        <v>26.808947772042274</v>
      </c>
      <c r="EN24" s="202">
        <f>('Expenditure DATA'!GW26/'Expenditure DATA'!S26)*100</f>
        <v>26.816741366919299</v>
      </c>
      <c r="EO24" s="202">
        <f>('Expenditure DATA'!GX26/'Expenditure DATA'!T26)*100</f>
        <v>27.38454660463529</v>
      </c>
      <c r="EP24" s="202">
        <f>('Expenditure DATA'!GY26/'Expenditure DATA'!U26)*100</f>
        <v>27.291109213051339</v>
      </c>
      <c r="EQ24" s="202">
        <f>('Expenditure DATA'!GZ26/'Expenditure DATA'!V26)*100</f>
        <v>27.205759212283255</v>
      </c>
      <c r="ER24" s="202">
        <f>('Expenditure DATA'!HA26/'Expenditure DATA'!W26)*100</f>
        <v>27.888001293090191</v>
      </c>
      <c r="ES24" s="202">
        <f>('Expenditure DATA'!HB26/'Expenditure DATA'!X26)*100</f>
        <v>28.566004188545023</v>
      </c>
      <c r="ET24" s="202">
        <f>('Expenditure DATA'!HC26/'Expenditure DATA'!Y26)*100</f>
        <v>30.020362801221083</v>
      </c>
      <c r="EU24" s="202">
        <f>('Expenditure DATA'!HD26/'Expenditure DATA'!Z26)*100</f>
        <v>29.4698522553077</v>
      </c>
      <c r="EV24" s="202">
        <f>('Expenditure DATA'!HE26/'Expenditure DATA'!AA26)*100</f>
        <v>29.686819555318294</v>
      </c>
      <c r="EW24" s="202">
        <f>('Expenditure DATA'!HF26/'Expenditure DATA'!AB26)*100</f>
        <v>28.897829038130446</v>
      </c>
      <c r="EX24" s="202">
        <f>('Expenditure DATA'!HG26/'Expenditure DATA'!AC26)*100</f>
        <v>28.570005088348836</v>
      </c>
      <c r="EY24" s="202">
        <f>('Expenditure DATA'!HH26/'Expenditure DATA'!AD26)*100</f>
        <v>31.374225245018462</v>
      </c>
      <c r="EZ24" s="202">
        <f>('Expenditure DATA'!HI26/'Expenditure DATA'!AE26)*100</f>
        <v>30.285766512069877</v>
      </c>
      <c r="FA24" s="464">
        <f>('Expenditure DATA'!HJ26/'Expenditure DATA'!AF26)*100</f>
        <v>28.228772499849981</v>
      </c>
      <c r="FB24" s="203" t="e">
        <f>('Expenditure DATA'!HK26/'Expenditure DATA'!B26)*100</f>
        <v>#DIV/0!</v>
      </c>
      <c r="FC24" s="202" t="e">
        <f>('Expenditure DATA'!HL26/'Expenditure DATA'!C26)*100</f>
        <v>#DIV/0!</v>
      </c>
      <c r="FD24" s="202" t="e">
        <f>('Expenditure DATA'!HM26/'Expenditure DATA'!D26)*100</f>
        <v>#DIV/0!</v>
      </c>
      <c r="FE24" s="202" t="e">
        <f>('Expenditure DATA'!HN26/'Expenditure DATA'!E26)*100</f>
        <v>#DIV/0!</v>
      </c>
      <c r="FF24" s="202" t="e">
        <f>('Expenditure DATA'!HO26/'Expenditure DATA'!F26)*100</f>
        <v>#DIV/0!</v>
      </c>
      <c r="FG24" s="202" t="e">
        <f>('Expenditure DATA'!HP26/'Expenditure DATA'!G26)*100</f>
        <v>#DIV/0!</v>
      </c>
      <c r="FH24" s="202" t="e">
        <f>('Expenditure DATA'!HQ26/'Expenditure DATA'!H26)*100</f>
        <v>#DIV/0!</v>
      </c>
      <c r="FI24" s="202" t="e">
        <f>('Expenditure DATA'!HR26/'Expenditure DATA'!I26)*100</f>
        <v>#DIV/0!</v>
      </c>
      <c r="FJ24" s="202">
        <f>('Expenditure DATA'!HS26/'Expenditure DATA'!J26)*100</f>
        <v>6.7146560873921093</v>
      </c>
      <c r="FK24" s="202">
        <f>('Expenditure DATA'!HT26/'Expenditure DATA'!K26)*100</f>
        <v>6.7133312968071994</v>
      </c>
      <c r="FL24" s="202">
        <f>('Expenditure DATA'!HU26/'Expenditure DATA'!L26)*100</f>
        <v>6.7121257643399694</v>
      </c>
      <c r="FM24" s="202">
        <f>('Expenditure DATA'!HV26/'Expenditure DATA'!M26)*100</f>
        <v>6.5451645698372003</v>
      </c>
      <c r="FN24" s="202">
        <f>('Expenditure DATA'!HW26/'Expenditure DATA'!N26)*100</f>
        <v>7.0164388356583878</v>
      </c>
      <c r="FO24" s="202">
        <f>('Expenditure DATA'!HX26/'Expenditure DATA'!O26)*100</f>
        <v>7.696146457952417</v>
      </c>
      <c r="FP24" s="202">
        <f>('Expenditure DATA'!HY26/'Expenditure DATA'!P26)*100</f>
        <v>7.4363303367154829</v>
      </c>
      <c r="FQ24" s="202">
        <f>('Expenditure DATA'!HZ26/'Expenditure DATA'!Q26)*100</f>
        <v>7.3518494048980809</v>
      </c>
      <c r="FR24" s="202">
        <f>('Expenditure DATA'!IA26/'Expenditure DATA'!R26)*100</f>
        <v>7.391016636322516</v>
      </c>
      <c r="FS24" s="202">
        <f>('Expenditure DATA'!IB26/'Expenditure DATA'!S26)*100</f>
        <v>6.6714357673154145</v>
      </c>
      <c r="FT24" s="202">
        <f>('Expenditure DATA'!IC26/'Expenditure DATA'!T26)*100</f>
        <v>6.5361796608881679</v>
      </c>
      <c r="FU24" s="202">
        <f>('Expenditure DATA'!ID26/'Expenditure DATA'!U26)*100</f>
        <v>6.3560621624136004</v>
      </c>
      <c r="FV24" s="202">
        <f>('Expenditure DATA'!IE26/'Expenditure DATA'!V26)*100</f>
        <v>6.1915345747685899</v>
      </c>
      <c r="FW24" s="202">
        <f>('Expenditure DATA'!IF26/'Expenditure DATA'!W26)*100</f>
        <v>6.5878116213647253</v>
      </c>
      <c r="FX24" s="202">
        <f>('Expenditure DATA'!IG26/'Expenditure DATA'!X26)*100</f>
        <v>6.9816263574429884</v>
      </c>
      <c r="FY24" s="202">
        <f>('Expenditure DATA'!IH26/'Expenditure DATA'!Y26)*100</f>
        <v>6.6443104104963364</v>
      </c>
      <c r="FZ24" s="202">
        <f>('Expenditure DATA'!II26/'Expenditure DATA'!Z26)*100</f>
        <v>7.1203213424365401</v>
      </c>
      <c r="GA24" s="202">
        <f>('Expenditure DATA'!IJ26/'Expenditure DATA'!AA26)*100</f>
        <v>7.0065535451183019</v>
      </c>
      <c r="GB24" s="202">
        <f>('Expenditure DATA'!IK26/'Expenditure DATA'!AB26)*100</f>
        <v>6.8383637004407429</v>
      </c>
      <c r="GC24" s="202">
        <f>('Expenditure DATA'!IL26/'Expenditure DATA'!AC26)*100</f>
        <v>6.6350878606730141</v>
      </c>
      <c r="GD24" s="202">
        <f>('Expenditure DATA'!IM26/'Expenditure DATA'!AD26)*100</f>
        <v>7.1010791048433202</v>
      </c>
      <c r="GE24" s="202">
        <f>('Expenditure DATA'!IN26/'Expenditure DATA'!AE26)*100</f>
        <v>6.7231659929492844</v>
      </c>
      <c r="GF24" s="464">
        <f>('Expenditure DATA'!IO26/'Expenditure DATA'!AF26)*100</f>
        <v>7.4276040220896942</v>
      </c>
      <c r="GG24" s="203" t="e">
        <f>('Expenditure DATA'!IP26/'Expenditure DATA'!B26)*100</f>
        <v>#DIV/0!</v>
      </c>
      <c r="GH24" s="202" t="e">
        <f>('Expenditure DATA'!IQ26/'Expenditure DATA'!C26)*100</f>
        <v>#DIV/0!</v>
      </c>
      <c r="GI24" s="202" t="e">
        <f>('Expenditure DATA'!IR26/'Expenditure DATA'!D26)*100</f>
        <v>#DIV/0!</v>
      </c>
      <c r="GJ24" s="202" t="e">
        <f>('Expenditure DATA'!IS26/'Expenditure DATA'!E26)*100</f>
        <v>#DIV/0!</v>
      </c>
      <c r="GK24" s="202" t="e">
        <f>('Expenditure DATA'!IT26/'Expenditure DATA'!F26)*100</f>
        <v>#DIV/0!</v>
      </c>
      <c r="GL24" s="202" t="e">
        <f>('Expenditure DATA'!IU26/'Expenditure DATA'!G26)*100</f>
        <v>#DIV/0!</v>
      </c>
      <c r="GM24" s="202" t="e">
        <f>('Expenditure DATA'!IV26/'Expenditure DATA'!H26)*100</f>
        <v>#DIV/0!</v>
      </c>
      <c r="GN24" s="202" t="e">
        <f>('Expenditure DATA'!IW26/'Expenditure DATA'!I26)*100</f>
        <v>#DIV/0!</v>
      </c>
      <c r="GO24" s="202">
        <f>('Expenditure DATA'!IX26/'Expenditure DATA'!J26)*100</f>
        <v>32.602511213631729</v>
      </c>
      <c r="GP24" s="202">
        <f>('Expenditure DATA'!IY26/'Expenditure DATA'!K26)*100</f>
        <v>32.067115677254385</v>
      </c>
      <c r="GQ24" s="202">
        <f>('Expenditure DATA'!IZ26/'Expenditure DATA'!L26)*100</f>
        <v>31.579916636692552</v>
      </c>
      <c r="GR24" s="202">
        <f>('Expenditure DATA'!JA26/'Expenditure DATA'!M26)*100</f>
        <v>29.851573735308694</v>
      </c>
      <c r="GS24" s="202">
        <f>('Expenditure DATA'!JB26/'Expenditure DATA'!N26)*100</f>
        <v>28.425150960677708</v>
      </c>
      <c r="GT24" s="202">
        <f>('Expenditure DATA'!JC26/'Expenditure DATA'!O26)*100</f>
        <v>28.149339193598692</v>
      </c>
      <c r="GU24" s="202">
        <f>('Expenditure DATA'!JD26/'Expenditure DATA'!P26)*100</f>
        <v>25.904760505537421</v>
      </c>
      <c r="GV24" s="202">
        <f>('Expenditure DATA'!JE26/'Expenditure DATA'!Q26)*100</f>
        <v>26.787371305835823</v>
      </c>
      <c r="GW24" s="202">
        <f>('Expenditure DATA'!JF26/'Expenditure DATA'!R26)*100</f>
        <v>28.893941878451944</v>
      </c>
      <c r="GX24" s="202">
        <f>('Expenditure DATA'!JG26/'Expenditure DATA'!S26)*100</f>
        <v>28.301807809664808</v>
      </c>
      <c r="GY24" s="202">
        <f>('Expenditure DATA'!JH26/'Expenditure DATA'!T26)*100</f>
        <v>28.546617082710913</v>
      </c>
      <c r="GZ24" s="202">
        <f>('Expenditure DATA'!JI26/'Expenditure DATA'!U26)*100</f>
        <v>26.836686963141567</v>
      </c>
      <c r="HA24" s="202">
        <f>('Expenditure DATA'!JJ26/'Expenditure DATA'!V26)*100</f>
        <v>25.274758333236608</v>
      </c>
      <c r="HB24" s="202">
        <f>('Expenditure DATA'!JK26/'Expenditure DATA'!W26)*100</f>
        <v>21.311488861944262</v>
      </c>
      <c r="HC24" s="202">
        <f>('Expenditure DATA'!JL26/'Expenditure DATA'!X26)*100</f>
        <v>17.372845596454532</v>
      </c>
      <c r="HD24" s="202">
        <f>('Expenditure DATA'!JM26/'Expenditure DATA'!Y26)*100</f>
        <v>16.161651763127523</v>
      </c>
      <c r="HE24" s="202">
        <f>('Expenditure DATA'!JN26/'Expenditure DATA'!Z26)*100</f>
        <v>17.740543640239991</v>
      </c>
      <c r="HF24" s="202">
        <f>('Expenditure DATA'!JO26/'Expenditure DATA'!AA26)*100</f>
        <v>19.68608939571314</v>
      </c>
      <c r="HG24" s="202">
        <f>('Expenditure DATA'!JP26/'Expenditure DATA'!AB26)*100</f>
        <v>21.261377956476622</v>
      </c>
      <c r="HH24" s="202">
        <f>('Expenditure DATA'!JQ26/'Expenditure DATA'!AC26)*100</f>
        <v>22.769134608339886</v>
      </c>
      <c r="HI24" s="202">
        <f>('Expenditure DATA'!JR26/'Expenditure DATA'!AD26)*100</f>
        <v>16.949133368742324</v>
      </c>
      <c r="HJ24" s="202">
        <f>('Expenditure DATA'!JS26/'Expenditure DATA'!AE26)*100</f>
        <v>16.287445730131882</v>
      </c>
      <c r="HK24" s="464">
        <f>('Expenditure DATA'!JT26/'Expenditure DATA'!AF26)*100</f>
        <v>17.005647658320505</v>
      </c>
      <c r="HL24" s="203" t="e">
        <f t="shared" si="1"/>
        <v>#DIV/0!</v>
      </c>
      <c r="HM24" s="204" t="e">
        <f t="shared" si="2"/>
        <v>#DIV/0!</v>
      </c>
      <c r="HN24" s="204" t="e">
        <f t="shared" si="3"/>
        <v>#DIV/0!</v>
      </c>
      <c r="HO24" s="204" t="e">
        <f t="shared" si="4"/>
        <v>#DIV/0!</v>
      </c>
      <c r="HP24" s="204" t="e">
        <f t="shared" si="5"/>
        <v>#DIV/0!</v>
      </c>
      <c r="HQ24" s="204" t="e">
        <f t="shared" si="6"/>
        <v>#DIV/0!</v>
      </c>
      <c r="HR24" s="204" t="e">
        <f t="shared" si="7"/>
        <v>#DIV/0!</v>
      </c>
      <c r="HS24" s="204" t="e">
        <f t="shared" si="8"/>
        <v>#DIV/0!</v>
      </c>
      <c r="HT24" s="204">
        <f t="shared" si="9"/>
        <v>100</v>
      </c>
      <c r="HU24" s="204">
        <f t="shared" si="10"/>
        <v>100</v>
      </c>
      <c r="HV24" s="204">
        <f t="shared" si="11"/>
        <v>100</v>
      </c>
      <c r="HW24" s="204">
        <f t="shared" si="12"/>
        <v>100</v>
      </c>
      <c r="HX24" s="204">
        <f t="shared" si="13"/>
        <v>100</v>
      </c>
      <c r="HY24" s="204">
        <f t="shared" si="14"/>
        <v>100</v>
      </c>
      <c r="HZ24" s="204">
        <f t="shared" si="15"/>
        <v>100.00000000000001</v>
      </c>
      <c r="IA24" s="204">
        <f t="shared" si="16"/>
        <v>99.999999999999986</v>
      </c>
      <c r="IB24" s="204">
        <f t="shared" si="17"/>
        <v>100</v>
      </c>
      <c r="IC24" s="204">
        <f t="shared" si="18"/>
        <v>100.00000000000001</v>
      </c>
      <c r="ID24" s="204">
        <f t="shared" si="19"/>
        <v>100</v>
      </c>
      <c r="IE24" s="204">
        <f t="shared" si="20"/>
        <v>100</v>
      </c>
      <c r="IF24" s="204">
        <f t="shared" si="21"/>
        <v>100.00000000000001</v>
      </c>
      <c r="IG24" s="204">
        <f t="shared" si="22"/>
        <v>100</v>
      </c>
      <c r="IH24" s="204">
        <f t="shared" si="23"/>
        <v>100</v>
      </c>
      <c r="II24" s="204">
        <f t="shared" si="24"/>
        <v>99.999999999999986</v>
      </c>
      <c r="IJ24" s="204">
        <f t="shared" si="25"/>
        <v>100</v>
      </c>
      <c r="IK24" s="204">
        <f t="shared" si="26"/>
        <v>100.00000000000001</v>
      </c>
      <c r="IL24" s="204">
        <f t="shared" ref="IL24:IL37" si="32">+CM24+DR24+EW24+GB24+HG24</f>
        <v>99.999999999999986</v>
      </c>
      <c r="IM24" s="204">
        <f t="shared" ref="IM24:IM37" si="33">+CN24+DS24+EX24+GC24+HH24</f>
        <v>99.999991957722699</v>
      </c>
      <c r="IN24" s="204">
        <f t="shared" ref="IN24:IN37" si="34">+CO24+DT24+EY24+GD24+HI24</f>
        <v>100</v>
      </c>
      <c r="IO24" s="204">
        <f t="shared" ref="IO24:IO37" si="35">+CP24+DU24+EZ24+GE24+HJ24</f>
        <v>100</v>
      </c>
      <c r="IP24" s="204">
        <f t="shared" ref="IP24:IP37" si="36">+CQ24+DV24+FA24+GF24+HK24</f>
        <v>100</v>
      </c>
    </row>
    <row r="25" spans="1:250" s="164" customFormat="1">
      <c r="A25" s="292" t="s">
        <v>48</v>
      </c>
      <c r="B25" s="292"/>
      <c r="C25" s="202" t="e">
        <f>('Expenditure DATA'!CQ27/'Expenditure DATA'!B27)*100</f>
        <v>#DIV/0!</v>
      </c>
      <c r="D25" s="202" t="e">
        <f>('Expenditure DATA'!CR27/'Expenditure DATA'!C27)*100</f>
        <v>#DIV/0!</v>
      </c>
      <c r="E25" s="202" t="e">
        <f>('Expenditure DATA'!CS27/'Expenditure DATA'!D27)*100</f>
        <v>#DIV/0!</v>
      </c>
      <c r="F25" s="202" t="e">
        <f>('Expenditure DATA'!CT27/'Expenditure DATA'!E27)*100</f>
        <v>#DIV/0!</v>
      </c>
      <c r="G25" s="202" t="e">
        <f>('Expenditure DATA'!CU27/'Expenditure DATA'!F27)*100</f>
        <v>#DIV/0!</v>
      </c>
      <c r="H25" s="202" t="e">
        <f>('Expenditure DATA'!CV27/'Expenditure DATA'!G27)*100</f>
        <v>#DIV/0!</v>
      </c>
      <c r="I25" s="202" t="e">
        <f>('Expenditure DATA'!CW27/'Expenditure DATA'!H27)*100</f>
        <v>#DIV/0!</v>
      </c>
      <c r="J25" s="202" t="e">
        <f>('Expenditure DATA'!CX27/'Expenditure DATA'!I27)*100</f>
        <v>#DIV/0!</v>
      </c>
      <c r="K25" s="202">
        <f>('Expenditure DATA'!CY27/'Expenditure DATA'!J27)*100</f>
        <v>11.521670645694538</v>
      </c>
      <c r="L25" s="202">
        <f>('Expenditure DATA'!CZ27/'Expenditure DATA'!K27)*100</f>
        <v>11.247785441691503</v>
      </c>
      <c r="M25" s="202">
        <f>('Expenditure DATA'!DA27/'Expenditure DATA'!L27)*100</f>
        <v>10.982215171029591</v>
      </c>
      <c r="N25" s="202">
        <f>('Expenditure DATA'!DB27/'Expenditure DATA'!M27)*100</f>
        <v>10.589934185787044</v>
      </c>
      <c r="O25" s="202">
        <f>('Expenditure DATA'!DC27/'Expenditure DATA'!N27)*100</f>
        <v>10.438071184879627</v>
      </c>
      <c r="P25" s="202">
        <f>('Expenditure DATA'!DD27/'Expenditure DATA'!O27)*100</f>
        <v>10.695703733607514</v>
      </c>
      <c r="Q25" s="202">
        <f>('Expenditure DATA'!DE27/'Expenditure DATA'!P27)*100</f>
        <v>10.733760108385217</v>
      </c>
      <c r="R25" s="202">
        <f>('Expenditure DATA'!DF27/'Expenditure DATA'!Q27)*100</f>
        <v>9.5492243579462155</v>
      </c>
      <c r="S25" s="202">
        <f>('Expenditure DATA'!DG27/'Expenditure DATA'!R27)*100</f>
        <v>9.6682032272331426</v>
      </c>
      <c r="T25" s="202">
        <f>('Expenditure DATA'!DH27/'Expenditure DATA'!S27)*100</f>
        <v>11.157990988673729</v>
      </c>
      <c r="U25" s="202">
        <f>('Expenditure DATA'!DI27/'Expenditure DATA'!T27)*100</f>
        <v>10.612702434223117</v>
      </c>
      <c r="V25" s="202">
        <f>('Expenditure DATA'!DJ27/'Expenditure DATA'!U27)*100</f>
        <v>10.659979744239852</v>
      </c>
      <c r="W25" s="202">
        <f>('Expenditure DATA'!DK27/'Expenditure DATA'!V27)*100</f>
        <v>10.703530755465476</v>
      </c>
      <c r="X25" s="202">
        <f>('Expenditure DATA'!DL27/'Expenditure DATA'!W27)*100</f>
        <v>10.538376530484047</v>
      </c>
      <c r="Y25" s="202">
        <f>('Expenditure DATA'!DM27/'Expenditure DATA'!X27)*100</f>
        <v>10.399706497356908</v>
      </c>
      <c r="Z25" s="202">
        <f>('Expenditure DATA'!DN27/'Expenditure DATA'!Y27)*100</f>
        <v>10.472011786416212</v>
      </c>
      <c r="AA25" s="202">
        <f>('Expenditure DATA'!DO27/'Expenditure DATA'!Z27)*100</f>
        <v>9.9836296765236483</v>
      </c>
      <c r="AB25" s="202">
        <f>('Expenditure DATA'!DP27/'Expenditure DATA'!AA27)*100</f>
        <v>9.9914877972713665</v>
      </c>
      <c r="AC25" s="202">
        <f>('Expenditure DATA'!DQ27/'Expenditure DATA'!AB27)*100</f>
        <v>9.8320617581639542</v>
      </c>
      <c r="AD25" s="202">
        <f>('Expenditure DATA'!DR27/'Expenditure DATA'!AC27)*100</f>
        <v>9.6554199185334291</v>
      </c>
      <c r="AE25" s="202">
        <f>('Expenditure DATA'!DS27/'Expenditure DATA'!AD27)*100</f>
        <v>10.213464784494981</v>
      </c>
      <c r="AF25" s="202">
        <f>('Expenditure DATA'!DT27/'Expenditure DATA'!AE27)*100</f>
        <v>10.734431920948998</v>
      </c>
      <c r="AG25" s="464">
        <f>('Expenditure DATA'!DU27/'Expenditure DATA'!AF27)*100</f>
        <v>11.464182533910678</v>
      </c>
      <c r="AH25" s="203" t="e">
        <f>('Expenditure DATA'!BL27/'Expenditure DATA'!B27)*100</f>
        <v>#DIV/0!</v>
      </c>
      <c r="AI25" s="202" t="e">
        <f>('Expenditure DATA'!BM27/'Expenditure DATA'!C27)*100</f>
        <v>#DIV/0!</v>
      </c>
      <c r="AJ25" s="202" t="e">
        <f>('Expenditure DATA'!BN27/'Expenditure DATA'!D27)*100</f>
        <v>#DIV/0!</v>
      </c>
      <c r="AK25" s="202" t="e">
        <f>('Expenditure DATA'!BO27/'Expenditure DATA'!E27)*100</f>
        <v>#DIV/0!</v>
      </c>
      <c r="AL25" s="202" t="e">
        <f>('Expenditure DATA'!BP27/'Expenditure DATA'!F27)*100</f>
        <v>#DIV/0!</v>
      </c>
      <c r="AM25" s="202" t="e">
        <f>('Expenditure DATA'!BQ27/'Expenditure DATA'!G27)*100</f>
        <v>#DIV/0!</v>
      </c>
      <c r="AN25" s="202" t="e">
        <f>('Expenditure DATA'!BR27/'Expenditure DATA'!H27)*100</f>
        <v>#DIV/0!</v>
      </c>
      <c r="AO25" s="202" t="e">
        <f>('Expenditure DATA'!BS27/'Expenditure DATA'!I27)*100</f>
        <v>#DIV/0!</v>
      </c>
      <c r="AP25" s="202">
        <f>('Expenditure DATA'!BT27/'Expenditure DATA'!J27)*100</f>
        <v>21.662547557384045</v>
      </c>
      <c r="AQ25" s="202">
        <f>('Expenditure DATA'!BU27/'Expenditure DATA'!K27)*100</f>
        <v>22.753967479743551</v>
      </c>
      <c r="AR25" s="202">
        <f>('Expenditure DATA'!BV27/'Expenditure DATA'!L27)*100</f>
        <v>23.812252775737868</v>
      </c>
      <c r="AS25" s="202">
        <f>('Expenditure DATA'!BW27/'Expenditure DATA'!M27)*100</f>
        <v>24.394688312718461</v>
      </c>
      <c r="AT25" s="202">
        <f>('Expenditure DATA'!BX27/'Expenditure DATA'!N27)*100</f>
        <v>23.492887438866681</v>
      </c>
      <c r="AU25" s="202">
        <f>('Expenditure DATA'!BY27/'Expenditure DATA'!O27)*100</f>
        <v>24.05929995647594</v>
      </c>
      <c r="AV25" s="202">
        <f>('Expenditure DATA'!BZ27/'Expenditure DATA'!P27)*100</f>
        <v>24.101740227221224</v>
      </c>
      <c r="AW25" s="202">
        <f>('Expenditure DATA'!CA27/'Expenditure DATA'!Q27)*100</f>
        <v>23.555122220252514</v>
      </c>
      <c r="AX25" s="202">
        <f>('Expenditure DATA'!CB27/'Expenditure DATA'!R27)*100</f>
        <v>23.9525680462454</v>
      </c>
      <c r="AY25" s="202">
        <f>('Expenditure DATA'!CC27/'Expenditure DATA'!S27)*100</f>
        <v>24.00929248075289</v>
      </c>
      <c r="AZ25" s="202">
        <f>('Expenditure DATA'!CD27/'Expenditure DATA'!T27)*100</f>
        <v>21.983998537708764</v>
      </c>
      <c r="BA25" s="202">
        <f>('Expenditure DATA'!CE27/'Expenditure DATA'!U27)*100</f>
        <v>22.434119052215113</v>
      </c>
      <c r="BB25" s="202">
        <f>('Expenditure DATA'!CF27/'Expenditure DATA'!V27)*100</f>
        <v>22.8487620082803</v>
      </c>
      <c r="BC25" s="202">
        <f>('Expenditure DATA'!CG27/'Expenditure DATA'!W27)*100</f>
        <v>22.230414601951111</v>
      </c>
      <c r="BD25" s="202">
        <f>('Expenditure DATA'!CH27/'Expenditure DATA'!X27)*100</f>
        <v>21.711225611603489</v>
      </c>
      <c r="BE25" s="202">
        <f>('Expenditure DATA'!CI27/'Expenditure DATA'!Y27)*100</f>
        <v>21.080742988331718</v>
      </c>
      <c r="BF25" s="202">
        <f>('Expenditure DATA'!CJ27/'Expenditure DATA'!Z27)*100</f>
        <v>21.60892193939755</v>
      </c>
      <c r="BG25" s="202">
        <f>('Expenditure DATA'!CK27/'Expenditure DATA'!AA27)*100</f>
        <v>21.658049216327822</v>
      </c>
      <c r="BH25" s="202">
        <f>('Expenditure DATA'!CL27/'Expenditure DATA'!AB27)*100</f>
        <v>21.246616084982854</v>
      </c>
      <c r="BI25" s="202">
        <f>('Expenditure DATA'!CM27/'Expenditure DATA'!AC27)*100</f>
        <v>20.690492456983048</v>
      </c>
      <c r="BJ25" s="202">
        <f>('Expenditure DATA'!CN27/'Expenditure DATA'!AD27)*100</f>
        <v>19.309170968922775</v>
      </c>
      <c r="BK25" s="202">
        <f>('Expenditure DATA'!CO27/'Expenditure DATA'!AE27)*100</f>
        <v>18.897277730081843</v>
      </c>
      <c r="BL25" s="464">
        <f>('Expenditure DATA'!CP27/'Expenditure DATA'!AF27)*100</f>
        <v>18.998039083134842</v>
      </c>
      <c r="BM25" s="203" t="e">
        <f>('Expenditure DATA'!AG27/'Expenditure DATA'!B27)*100</f>
        <v>#DIV/0!</v>
      </c>
      <c r="BN25" s="202" t="e">
        <f>('Expenditure DATA'!AH27/'Expenditure DATA'!C27)*100</f>
        <v>#DIV/0!</v>
      </c>
      <c r="BO25" s="202" t="e">
        <f>('Expenditure DATA'!AI27/'Expenditure DATA'!D27)*100</f>
        <v>#DIV/0!</v>
      </c>
      <c r="BP25" s="202" t="e">
        <f>('Expenditure DATA'!AJ27/'Expenditure DATA'!E27)*100</f>
        <v>#DIV/0!</v>
      </c>
      <c r="BQ25" s="202" t="e">
        <f>('Expenditure DATA'!AK27/'Expenditure DATA'!F27)*100</f>
        <v>#DIV/0!</v>
      </c>
      <c r="BR25" s="202" t="e">
        <f>('Expenditure DATA'!AL27/'Expenditure DATA'!G27)*100</f>
        <v>#DIV/0!</v>
      </c>
      <c r="BS25" s="202" t="e">
        <f>('Expenditure DATA'!AM27/'Expenditure DATA'!H27)*100</f>
        <v>#DIV/0!</v>
      </c>
      <c r="BT25" s="202" t="e">
        <f>('Expenditure DATA'!AN27/'Expenditure DATA'!I27)*100</f>
        <v>#DIV/0!</v>
      </c>
      <c r="BU25" s="202">
        <f>('Expenditure DATA'!AO27/'Expenditure DATA'!J27)*100</f>
        <v>34.77753435650024</v>
      </c>
      <c r="BV25" s="202">
        <f>('Expenditure DATA'!AP27/'Expenditure DATA'!K27)*100</f>
        <v>35.606167571315879</v>
      </c>
      <c r="BW25" s="202">
        <f>('Expenditure DATA'!AQ27/'Expenditure DATA'!L27)*100</f>
        <v>36.409644151728735</v>
      </c>
      <c r="BX25" s="202">
        <f>('Expenditure DATA'!AR27/'Expenditure DATA'!M27)*100</f>
        <v>36.834543888610781</v>
      </c>
      <c r="BY25" s="202">
        <f>('Expenditure DATA'!AS27/'Expenditure DATA'!N27)*100</f>
        <v>35.630455335486808</v>
      </c>
      <c r="BZ25" s="202">
        <f>('Expenditure DATA'!AT27/'Expenditure DATA'!O27)*100</f>
        <v>36.500760094112898</v>
      </c>
      <c r="CA25" s="202">
        <f>('Expenditure DATA'!AU27/'Expenditure DATA'!P27)*100</f>
        <v>36.785233056948428</v>
      </c>
      <c r="CB25" s="202">
        <f>('Expenditure DATA'!AV27/'Expenditure DATA'!Q27)*100</f>
        <v>35.364420920527998</v>
      </c>
      <c r="CC25" s="202">
        <f>('Expenditure DATA'!AW27/'Expenditure DATA'!R27)*100</f>
        <v>35.541002618509474</v>
      </c>
      <c r="CD25" s="202">
        <f>('Expenditure DATA'!AX27/'Expenditure DATA'!S27)*100</f>
        <v>37.098570456535178</v>
      </c>
      <c r="CE25" s="202">
        <f>('Expenditure DATA'!AY27/'Expenditure DATA'!T27)*100</f>
        <v>34.335136378776077</v>
      </c>
      <c r="CF25" s="202">
        <f>('Expenditure DATA'!AZ27/'Expenditure DATA'!U27)*100</f>
        <v>34.878297963736479</v>
      </c>
      <c r="CG25" s="202">
        <f>('Expenditure DATA'!BA27/'Expenditure DATA'!V27)*100</f>
        <v>35.378648687488841</v>
      </c>
      <c r="CH25" s="202">
        <f>('Expenditure DATA'!BB27/'Expenditure DATA'!W27)*100</f>
        <v>34.606970642753645</v>
      </c>
      <c r="CI25" s="202">
        <f>('Expenditure DATA'!BC27/'Expenditure DATA'!X27)*100</f>
        <v>33.959039171191527</v>
      </c>
      <c r="CJ25" s="202">
        <f>('Expenditure DATA'!BD27/'Expenditure DATA'!Y27)*100</f>
        <v>33.483805673303031</v>
      </c>
      <c r="CK25" s="202">
        <f>('Expenditure DATA'!BE27/'Expenditure DATA'!Z27)*100</f>
        <v>33.394331655062629</v>
      </c>
      <c r="CL25" s="202">
        <f>('Expenditure DATA'!BF27/'Expenditure DATA'!AA27)*100</f>
        <v>33.493128985489648</v>
      </c>
      <c r="CM25" s="202">
        <f>('Expenditure DATA'!BG27/'Expenditure DATA'!AB27)*100</f>
        <v>33.007317959866228</v>
      </c>
      <c r="CN25" s="202">
        <f>('Expenditure DATA'!BH27/'Expenditure DATA'!AC27)*100</f>
        <v>32.423574194451973</v>
      </c>
      <c r="CO25" s="202">
        <f>('Expenditure DATA'!BI27/'Expenditure DATA'!AD27)*100</f>
        <v>31.672467759088978</v>
      </c>
      <c r="CP25" s="202">
        <f>('Expenditure DATA'!BJ27/'Expenditure DATA'!AE27)*100</f>
        <v>31.74063868155617</v>
      </c>
      <c r="CQ25" s="464">
        <f>('Expenditure DATA'!BK27/'Expenditure DATA'!AF27)*100</f>
        <v>32.903583562940959</v>
      </c>
      <c r="CR25" s="203" t="e">
        <f>('Expenditure DATA'!FA27/'Expenditure DATA'!B27)*100</f>
        <v>#DIV/0!</v>
      </c>
      <c r="CS25" s="202" t="e">
        <f>('Expenditure DATA'!FB27/'Expenditure DATA'!C27)*100</f>
        <v>#DIV/0!</v>
      </c>
      <c r="CT25" s="202" t="e">
        <f>('Expenditure DATA'!FC27/'Expenditure DATA'!D27)*100</f>
        <v>#DIV/0!</v>
      </c>
      <c r="CU25" s="202" t="e">
        <f>('Expenditure DATA'!FD27/'Expenditure DATA'!E27)*100</f>
        <v>#DIV/0!</v>
      </c>
      <c r="CV25" s="202" t="e">
        <f>('Expenditure DATA'!FE27/'Expenditure DATA'!F27)*100</f>
        <v>#DIV/0!</v>
      </c>
      <c r="CW25" s="202" t="e">
        <f>('Expenditure DATA'!FF27/'Expenditure DATA'!G27)*100</f>
        <v>#DIV/0!</v>
      </c>
      <c r="CX25" s="202" t="e">
        <f>('Expenditure DATA'!FG27/'Expenditure DATA'!H27)*100</f>
        <v>#DIV/0!</v>
      </c>
      <c r="CY25" s="202" t="e">
        <f>('Expenditure DATA'!FH27/'Expenditure DATA'!I27)*100</f>
        <v>#DIV/0!</v>
      </c>
      <c r="CZ25" s="202">
        <f>('Expenditure DATA'!FI27/'Expenditure DATA'!J27)*100</f>
        <v>14.82627041827185</v>
      </c>
      <c r="DA25" s="202">
        <f>('Expenditure DATA'!FJ27/'Expenditure DATA'!K27)*100</f>
        <v>17.363858650020962</v>
      </c>
      <c r="DB25" s="202">
        <f>('Expenditure DATA'!FK27/'Expenditure DATA'!L27)*100</f>
        <v>19.824407754844543</v>
      </c>
      <c r="DC25" s="202">
        <f>('Expenditure DATA'!FL27/'Expenditure DATA'!M27)*100</f>
        <v>21.661375990865782</v>
      </c>
      <c r="DD25" s="202">
        <f>('Expenditure DATA'!FM27/'Expenditure DATA'!N27)*100</f>
        <v>21.87697831212812</v>
      </c>
      <c r="DE25" s="202">
        <f>('Expenditure DATA'!FN27/'Expenditure DATA'!O27)*100</f>
        <v>21.103492648218353</v>
      </c>
      <c r="DF25" s="202">
        <f>('Expenditure DATA'!FO27/'Expenditure DATA'!P27)*100</f>
        <v>20.736366021465713</v>
      </c>
      <c r="DG25" s="202">
        <f>('Expenditure DATA'!FP27/'Expenditure DATA'!Q27)*100</f>
        <v>19.932033890197335</v>
      </c>
      <c r="DH25" s="202">
        <f>('Expenditure DATA'!FQ27/'Expenditure DATA'!R27)*100</f>
        <v>18.754251423578172</v>
      </c>
      <c r="DI25" s="202">
        <f>('Expenditure DATA'!FR27/'Expenditure DATA'!S27)*100</f>
        <v>14.443474206440484</v>
      </c>
      <c r="DJ25" s="202">
        <f>('Expenditure DATA'!FS27/'Expenditure DATA'!T27)*100</f>
        <v>19.029251155225552</v>
      </c>
      <c r="DK25" s="202">
        <f>('Expenditure DATA'!FT27/'Expenditure DATA'!U27)*100</f>
        <v>18.538798479096862</v>
      </c>
      <c r="DL25" s="202">
        <f>('Expenditure DATA'!FU27/'Expenditure DATA'!V27)*100</f>
        <v>18.08700225811565</v>
      </c>
      <c r="DM25" s="202">
        <f>('Expenditure DATA'!FV27/'Expenditure DATA'!W27)*100</f>
        <v>20.971095581737792</v>
      </c>
      <c r="DN25" s="202">
        <f>('Expenditure DATA'!FW27/'Expenditure DATA'!X27)*100</f>
        <v>23.392694646329847</v>
      </c>
      <c r="DO25" s="202">
        <f>('Expenditure DATA'!FX27/'Expenditure DATA'!Y27)*100</f>
        <v>24.965852033150114</v>
      </c>
      <c r="DP25" s="202">
        <f>('Expenditure DATA'!FY27/'Expenditure DATA'!Z27)*100</f>
        <v>23.754585172082209</v>
      </c>
      <c r="DQ25" s="202">
        <f>('Expenditure DATA'!FZ27/'Expenditure DATA'!AA27)*100</f>
        <v>23.611864834172145</v>
      </c>
      <c r="DR25" s="202">
        <f>('Expenditure DATA'!GA27/'Expenditure DATA'!AB27)*100</f>
        <v>23.856710184275336</v>
      </c>
      <c r="DS25" s="202">
        <f>('Expenditure DATA'!GB27/'Expenditure DATA'!AC27)*100</f>
        <v>25.090893110166718</v>
      </c>
      <c r="DT25" s="202">
        <f>('Expenditure DATA'!GC27/'Expenditure DATA'!AD27)*100</f>
        <v>27.210857131390654</v>
      </c>
      <c r="DU25" s="202">
        <f>('Expenditure DATA'!GD27/'Expenditure DATA'!AE27)*100</f>
        <v>28.687566748083732</v>
      </c>
      <c r="DV25" s="464">
        <f>('Expenditure DATA'!GE27/'Expenditure DATA'!AF27)*100</f>
        <v>28.555693671634589</v>
      </c>
      <c r="DW25" s="203" t="e">
        <f>('Expenditure DATA'!GF27/'Expenditure DATA'!B27)*100</f>
        <v>#DIV/0!</v>
      </c>
      <c r="DX25" s="202" t="e">
        <f>('Expenditure DATA'!GG27/'Expenditure DATA'!C27)*100</f>
        <v>#DIV/0!</v>
      </c>
      <c r="DY25" s="202" t="e">
        <f>('Expenditure DATA'!GH27/'Expenditure DATA'!D27)*100</f>
        <v>#DIV/0!</v>
      </c>
      <c r="DZ25" s="202" t="e">
        <f>('Expenditure DATA'!GI27/'Expenditure DATA'!E27)*100</f>
        <v>#DIV/0!</v>
      </c>
      <c r="EA25" s="202" t="e">
        <f>('Expenditure DATA'!GJ27/'Expenditure DATA'!F27)*100</f>
        <v>#DIV/0!</v>
      </c>
      <c r="EB25" s="202" t="e">
        <f>('Expenditure DATA'!GK27/'Expenditure DATA'!G27)*100</f>
        <v>#DIV/0!</v>
      </c>
      <c r="EC25" s="202" t="e">
        <f>('Expenditure DATA'!GL27/'Expenditure DATA'!H27)*100</f>
        <v>#DIV/0!</v>
      </c>
      <c r="ED25" s="202" t="e">
        <f>('Expenditure DATA'!GM27/'Expenditure DATA'!I27)*100</f>
        <v>#DIV/0!</v>
      </c>
      <c r="EE25" s="202">
        <f>('Expenditure DATA'!GN27/'Expenditure DATA'!J27)*100</f>
        <v>33.683273573784611</v>
      </c>
      <c r="EF25" s="202">
        <f>('Expenditure DATA'!GO27/'Expenditure DATA'!K27)*100</f>
        <v>30.061802259347807</v>
      </c>
      <c r="EG25" s="202">
        <f>('Expenditure DATA'!GP27/'Expenditure DATA'!L27)*100</f>
        <v>26.550275885843256</v>
      </c>
      <c r="EH25" s="202">
        <f>('Expenditure DATA'!GQ27/'Expenditure DATA'!M27)*100</f>
        <v>25.672692603399938</v>
      </c>
      <c r="EI25" s="202">
        <f>('Expenditure DATA'!GR27/'Expenditure DATA'!N27)*100</f>
        <v>26.495348702779349</v>
      </c>
      <c r="EJ25" s="202">
        <f>('Expenditure DATA'!GS27/'Expenditure DATA'!O27)*100</f>
        <v>26.200393608901624</v>
      </c>
      <c r="EK25" s="202">
        <f>('Expenditure DATA'!GT27/'Expenditure DATA'!P27)*100</f>
        <v>27.435438754169418</v>
      </c>
      <c r="EL25" s="202">
        <f>('Expenditure DATA'!GU27/'Expenditure DATA'!Q27)*100</f>
        <v>29.942484587051148</v>
      </c>
      <c r="EM25" s="202">
        <f>('Expenditure DATA'!GV27/'Expenditure DATA'!R27)*100</f>
        <v>29.995904472010803</v>
      </c>
      <c r="EN25" s="202">
        <f>('Expenditure DATA'!GW27/'Expenditure DATA'!S27)*100</f>
        <v>31.299847906655138</v>
      </c>
      <c r="EO25" s="202">
        <f>('Expenditure DATA'!GX27/'Expenditure DATA'!T27)*100</f>
        <v>30.418641049286816</v>
      </c>
      <c r="EP25" s="202">
        <f>('Expenditure DATA'!GY27/'Expenditure DATA'!U27)*100</f>
        <v>30.430485918721985</v>
      </c>
      <c r="EQ25" s="202">
        <f>('Expenditure DATA'!GZ27/'Expenditure DATA'!V27)*100</f>
        <v>30.441397200297743</v>
      </c>
      <c r="ER25" s="202">
        <f>('Expenditure DATA'!HA27/'Expenditure DATA'!W27)*100</f>
        <v>29.896598708653706</v>
      </c>
      <c r="ES25" s="202">
        <f>('Expenditure DATA'!HB27/'Expenditure DATA'!X27)*100</f>
        <v>29.439164302162489</v>
      </c>
      <c r="ET25" s="202">
        <f>('Expenditure DATA'!HC27/'Expenditure DATA'!Y27)*100</f>
        <v>28.177440300352689</v>
      </c>
      <c r="EU25" s="202">
        <f>('Expenditure DATA'!HD27/'Expenditure DATA'!Z27)*100</f>
        <v>28.921442861695301</v>
      </c>
      <c r="EV25" s="202">
        <f>('Expenditure DATA'!HE27/'Expenditure DATA'!AA27)*100</f>
        <v>29.936627703161424</v>
      </c>
      <c r="EW25" s="202">
        <f>('Expenditure DATA'!HF27/'Expenditure DATA'!AB27)*100</f>
        <v>29.214425057066229</v>
      </c>
      <c r="EX25" s="202">
        <f>('Expenditure DATA'!HG27/'Expenditure DATA'!AC27)*100</f>
        <v>29.073166453072513</v>
      </c>
      <c r="EY25" s="202">
        <f>('Expenditure DATA'!HH27/'Expenditure DATA'!AD27)*100</f>
        <v>27.529351448417856</v>
      </c>
      <c r="EZ25" s="202">
        <f>('Expenditure DATA'!HI27/'Expenditure DATA'!AE27)*100</f>
        <v>25.921981590332059</v>
      </c>
      <c r="FA25" s="464">
        <f>('Expenditure DATA'!HJ27/'Expenditure DATA'!AF27)*100</f>
        <v>25.969186348207927</v>
      </c>
      <c r="FB25" s="203" t="e">
        <f>('Expenditure DATA'!HK27/'Expenditure DATA'!B27)*100</f>
        <v>#DIV/0!</v>
      </c>
      <c r="FC25" s="202" t="e">
        <f>('Expenditure DATA'!HL27/'Expenditure DATA'!C27)*100</f>
        <v>#DIV/0!</v>
      </c>
      <c r="FD25" s="202" t="e">
        <f>('Expenditure DATA'!HM27/'Expenditure DATA'!D27)*100</f>
        <v>#DIV/0!</v>
      </c>
      <c r="FE25" s="202" t="e">
        <f>('Expenditure DATA'!HN27/'Expenditure DATA'!E27)*100</f>
        <v>#DIV/0!</v>
      </c>
      <c r="FF25" s="202" t="e">
        <f>('Expenditure DATA'!HO27/'Expenditure DATA'!F27)*100</f>
        <v>#DIV/0!</v>
      </c>
      <c r="FG25" s="202" t="e">
        <f>('Expenditure DATA'!HP27/'Expenditure DATA'!G27)*100</f>
        <v>#DIV/0!</v>
      </c>
      <c r="FH25" s="202" t="e">
        <f>('Expenditure DATA'!HQ27/'Expenditure DATA'!H27)*100</f>
        <v>#DIV/0!</v>
      </c>
      <c r="FI25" s="202" t="e">
        <f>('Expenditure DATA'!HR27/'Expenditure DATA'!I27)*100</f>
        <v>#DIV/0!</v>
      </c>
      <c r="FJ25" s="202">
        <f>('Expenditure DATA'!HS27/'Expenditure DATA'!J27)*100</f>
        <v>5.7574687677242604</v>
      </c>
      <c r="FK25" s="202">
        <f>('Expenditure DATA'!HT27/'Expenditure DATA'!K27)*100</f>
        <v>6.143523009661001</v>
      </c>
      <c r="FL25" s="202">
        <f>('Expenditure DATA'!HU27/'Expenditure DATA'!L27)*100</f>
        <v>6.5178569569602622</v>
      </c>
      <c r="FM25" s="202">
        <f>('Expenditure DATA'!HV27/'Expenditure DATA'!M27)*100</f>
        <v>6.4830726317668503</v>
      </c>
      <c r="FN25" s="202">
        <f>('Expenditure DATA'!HW27/'Expenditure DATA'!N27)*100</f>
        <v>6.4541243116213813</v>
      </c>
      <c r="FO25" s="202">
        <f>('Expenditure DATA'!HX27/'Expenditure DATA'!O27)*100</f>
        <v>6.4467461033349531</v>
      </c>
      <c r="FP25" s="202">
        <f>('Expenditure DATA'!HY27/'Expenditure DATA'!P27)*100</f>
        <v>6.4323339004748874</v>
      </c>
      <c r="FQ25" s="202">
        <f>('Expenditure DATA'!HZ27/'Expenditure DATA'!Q27)*100</f>
        <v>6.2621734860699583</v>
      </c>
      <c r="FR25" s="202">
        <f>('Expenditure DATA'!IA27/'Expenditure DATA'!R27)*100</f>
        <v>6.733503966922509</v>
      </c>
      <c r="FS25" s="202">
        <f>('Expenditure DATA'!IB27/'Expenditure DATA'!S27)*100</f>
        <v>7.0114795552715323</v>
      </c>
      <c r="FT25" s="202">
        <f>('Expenditure DATA'!IC27/'Expenditure DATA'!T27)*100</f>
        <v>6.5420767252379886</v>
      </c>
      <c r="FU25" s="202">
        <f>('Expenditure DATA'!ID27/'Expenditure DATA'!U27)*100</f>
        <v>6.5249436793195947</v>
      </c>
      <c r="FV25" s="202">
        <f>('Expenditure DATA'!IE27/'Expenditure DATA'!V27)*100</f>
        <v>6.5091610242815445</v>
      </c>
      <c r="FW25" s="202">
        <f>('Expenditure DATA'!IF27/'Expenditure DATA'!W27)*100</f>
        <v>6.0762250266091185</v>
      </c>
      <c r="FX25" s="202">
        <f>('Expenditure DATA'!IG27/'Expenditure DATA'!X27)*100</f>
        <v>5.7127148036891855</v>
      </c>
      <c r="FY25" s="202">
        <f>('Expenditure DATA'!IH27/'Expenditure DATA'!Y27)*100</f>
        <v>6.0558076385155664</v>
      </c>
      <c r="FZ25" s="202">
        <f>('Expenditure DATA'!II27/'Expenditure DATA'!Z27)*100</f>
        <v>6.1773584175352116</v>
      </c>
      <c r="GA25" s="202">
        <f>('Expenditure DATA'!IJ27/'Expenditure DATA'!AA27)*100</f>
        <v>6.1188237119836915</v>
      </c>
      <c r="GB25" s="202">
        <f>('Expenditure DATA'!IK27/'Expenditure DATA'!AB27)*100</f>
        <v>6.0827646607090058</v>
      </c>
      <c r="GC25" s="202">
        <f>('Expenditure DATA'!IL27/'Expenditure DATA'!AC27)*100</f>
        <v>5.5566334326742819</v>
      </c>
      <c r="GD25" s="202">
        <f>('Expenditure DATA'!IM27/'Expenditure DATA'!AD27)*100</f>
        <v>5.5098437062569081</v>
      </c>
      <c r="GE25" s="202">
        <f>('Expenditure DATA'!IN27/'Expenditure DATA'!AE27)*100</f>
        <v>5.1625023140585169</v>
      </c>
      <c r="GF25" s="464">
        <f>('Expenditure DATA'!IO27/'Expenditure DATA'!AF27)*100</f>
        <v>5.2409574932597236</v>
      </c>
      <c r="GG25" s="203" t="e">
        <f>('Expenditure DATA'!IP27/'Expenditure DATA'!B27)*100</f>
        <v>#DIV/0!</v>
      </c>
      <c r="GH25" s="202" t="e">
        <f>('Expenditure DATA'!IQ27/'Expenditure DATA'!C27)*100</f>
        <v>#DIV/0!</v>
      </c>
      <c r="GI25" s="202" t="e">
        <f>('Expenditure DATA'!IR27/'Expenditure DATA'!D27)*100</f>
        <v>#DIV/0!</v>
      </c>
      <c r="GJ25" s="202" t="e">
        <f>('Expenditure DATA'!IS27/'Expenditure DATA'!E27)*100</f>
        <v>#DIV/0!</v>
      </c>
      <c r="GK25" s="202" t="e">
        <f>('Expenditure DATA'!IT27/'Expenditure DATA'!F27)*100</f>
        <v>#DIV/0!</v>
      </c>
      <c r="GL25" s="202" t="e">
        <f>('Expenditure DATA'!IU27/'Expenditure DATA'!G27)*100</f>
        <v>#DIV/0!</v>
      </c>
      <c r="GM25" s="202" t="e">
        <f>('Expenditure DATA'!IV27/'Expenditure DATA'!H27)*100</f>
        <v>#DIV/0!</v>
      </c>
      <c r="GN25" s="202" t="e">
        <f>('Expenditure DATA'!IW27/'Expenditure DATA'!I27)*100</f>
        <v>#DIV/0!</v>
      </c>
      <c r="GO25" s="202">
        <f>('Expenditure DATA'!IX27/'Expenditure DATA'!J27)*100</f>
        <v>10.955452883719033</v>
      </c>
      <c r="GP25" s="202">
        <f>('Expenditure DATA'!IY27/'Expenditure DATA'!K27)*100</f>
        <v>10.824648509654358</v>
      </c>
      <c r="GQ25" s="202">
        <f>('Expenditure DATA'!IZ27/'Expenditure DATA'!L27)*100</f>
        <v>10.697815250623199</v>
      </c>
      <c r="GR25" s="202">
        <f>('Expenditure DATA'!JA27/'Expenditure DATA'!M27)*100</f>
        <v>9.3483148853566362</v>
      </c>
      <c r="GS25" s="202">
        <f>('Expenditure DATA'!JB27/'Expenditure DATA'!N27)*100</f>
        <v>9.543093337984331</v>
      </c>
      <c r="GT25" s="202">
        <f>('Expenditure DATA'!JC27/'Expenditure DATA'!O27)*100</f>
        <v>9.7486075454321828</v>
      </c>
      <c r="GU25" s="202">
        <f>('Expenditure DATA'!JD27/'Expenditure DATA'!P27)*100</f>
        <v>8.6106282669415464</v>
      </c>
      <c r="GV25" s="202">
        <f>('Expenditure DATA'!JE27/'Expenditure DATA'!Q27)*100</f>
        <v>8.4988871161535577</v>
      </c>
      <c r="GW25" s="202">
        <f>('Expenditure DATA'!JF27/'Expenditure DATA'!R27)*100</f>
        <v>8.9753375189790319</v>
      </c>
      <c r="GX25" s="202">
        <f>('Expenditure DATA'!JG27/'Expenditure DATA'!S27)*100</f>
        <v>10.146627875097662</v>
      </c>
      <c r="GY25" s="202">
        <f>('Expenditure DATA'!JH27/'Expenditure DATA'!T27)*100</f>
        <v>9.6748946914735718</v>
      </c>
      <c r="GZ25" s="202">
        <f>('Expenditure DATA'!JI27/'Expenditure DATA'!U27)*100</f>
        <v>9.6274739591250817</v>
      </c>
      <c r="HA25" s="202">
        <f>('Expenditure DATA'!JJ27/'Expenditure DATA'!V27)*100</f>
        <v>9.583790829816218</v>
      </c>
      <c r="HB25" s="202">
        <f>('Expenditure DATA'!JK27/'Expenditure DATA'!W27)*100</f>
        <v>8.449110040245742</v>
      </c>
      <c r="HC25" s="202">
        <f>('Expenditure DATA'!JL27/'Expenditure DATA'!X27)*100</f>
        <v>7.4963870766269594</v>
      </c>
      <c r="HD25" s="202">
        <f>('Expenditure DATA'!JM27/'Expenditure DATA'!Y27)*100</f>
        <v>7.3170943546785878</v>
      </c>
      <c r="HE25" s="202">
        <f>('Expenditure DATA'!JN27/'Expenditure DATA'!Z27)*100</f>
        <v>7.7522818936246507</v>
      </c>
      <c r="HF25" s="202">
        <f>('Expenditure DATA'!JO27/'Expenditure DATA'!AA27)*100</f>
        <v>6.8395547651930917</v>
      </c>
      <c r="HG25" s="202">
        <f>('Expenditure DATA'!JP27/'Expenditure DATA'!AB27)*100</f>
        <v>7.8387821380832143</v>
      </c>
      <c r="HH25" s="202">
        <f>('Expenditure DATA'!JQ27/'Expenditure DATA'!AC27)*100</f>
        <v>7.8557328096345014</v>
      </c>
      <c r="HI25" s="202">
        <f>('Expenditure DATA'!JR27/'Expenditure DATA'!AD27)*100</f>
        <v>8.0774776377144057</v>
      </c>
      <c r="HJ25" s="202">
        <f>('Expenditure DATA'!JS27/'Expenditure DATA'!AE27)*100</f>
        <v>8.4873106659695239</v>
      </c>
      <c r="HK25" s="464">
        <f>('Expenditure DATA'!JT27/'Expenditure DATA'!AF27)*100</f>
        <v>7.3305789239567947</v>
      </c>
      <c r="HL25" s="203" t="e">
        <f t="shared" si="1"/>
        <v>#DIV/0!</v>
      </c>
      <c r="HM25" s="204" t="e">
        <f t="shared" si="2"/>
        <v>#DIV/0!</v>
      </c>
      <c r="HN25" s="204" t="e">
        <f t="shared" si="3"/>
        <v>#DIV/0!</v>
      </c>
      <c r="HO25" s="204" t="e">
        <f t="shared" si="4"/>
        <v>#DIV/0!</v>
      </c>
      <c r="HP25" s="204" t="e">
        <f t="shared" si="5"/>
        <v>#DIV/0!</v>
      </c>
      <c r="HQ25" s="204" t="e">
        <f t="shared" si="6"/>
        <v>#DIV/0!</v>
      </c>
      <c r="HR25" s="204" t="e">
        <f t="shared" si="7"/>
        <v>#DIV/0!</v>
      </c>
      <c r="HS25" s="204" t="e">
        <f t="shared" si="8"/>
        <v>#DIV/0!</v>
      </c>
      <c r="HT25" s="204">
        <f t="shared" si="9"/>
        <v>99.999999999999986</v>
      </c>
      <c r="HU25" s="204">
        <f t="shared" si="10"/>
        <v>100</v>
      </c>
      <c r="HV25" s="204">
        <f t="shared" si="11"/>
        <v>99.999999999999986</v>
      </c>
      <c r="HW25" s="204">
        <f t="shared" si="12"/>
        <v>99.999999999999972</v>
      </c>
      <c r="HX25" s="204">
        <f t="shared" si="13"/>
        <v>100</v>
      </c>
      <c r="HY25" s="204">
        <f t="shared" si="14"/>
        <v>100.00000000000001</v>
      </c>
      <c r="HZ25" s="204">
        <f t="shared" si="15"/>
        <v>99.999999999999986</v>
      </c>
      <c r="IA25" s="204">
        <f t="shared" si="16"/>
        <v>99.999999999999986</v>
      </c>
      <c r="IB25" s="204">
        <f t="shared" si="17"/>
        <v>100</v>
      </c>
      <c r="IC25" s="204">
        <f t="shared" si="18"/>
        <v>100</v>
      </c>
      <c r="ID25" s="204">
        <f t="shared" si="19"/>
        <v>100</v>
      </c>
      <c r="IE25" s="204">
        <f t="shared" si="20"/>
        <v>100</v>
      </c>
      <c r="IF25" s="204">
        <f t="shared" si="21"/>
        <v>100</v>
      </c>
      <c r="IG25" s="204">
        <f t="shared" si="22"/>
        <v>100</v>
      </c>
      <c r="IH25" s="204">
        <f t="shared" si="23"/>
        <v>100.00000000000001</v>
      </c>
      <c r="II25" s="204">
        <f t="shared" si="24"/>
        <v>99.999999999999986</v>
      </c>
      <c r="IJ25" s="204">
        <f t="shared" si="25"/>
        <v>100.00000000000001</v>
      </c>
      <c r="IK25" s="204">
        <f t="shared" si="26"/>
        <v>100</v>
      </c>
      <c r="IL25" s="204">
        <f t="shared" si="32"/>
        <v>100.00000000000001</v>
      </c>
      <c r="IM25" s="204">
        <f t="shared" si="33"/>
        <v>100</v>
      </c>
      <c r="IN25" s="204">
        <f t="shared" si="34"/>
        <v>99.999997682868795</v>
      </c>
      <c r="IO25" s="204">
        <f t="shared" si="35"/>
        <v>100</v>
      </c>
      <c r="IP25" s="204">
        <f t="shared" si="36"/>
        <v>100</v>
      </c>
    </row>
    <row r="26" spans="1:250" s="164" customFormat="1">
      <c r="A26" s="292" t="s">
        <v>49</v>
      </c>
      <c r="B26" s="292"/>
      <c r="C26" s="202" t="e">
        <f>('Expenditure DATA'!CQ28/'Expenditure DATA'!B28)*100</f>
        <v>#DIV/0!</v>
      </c>
      <c r="D26" s="202" t="e">
        <f>('Expenditure DATA'!CR28/'Expenditure DATA'!C28)*100</f>
        <v>#DIV/0!</v>
      </c>
      <c r="E26" s="202" t="e">
        <f>('Expenditure DATA'!CS28/'Expenditure DATA'!D28)*100</f>
        <v>#DIV/0!</v>
      </c>
      <c r="F26" s="202" t="e">
        <f>('Expenditure DATA'!CT28/'Expenditure DATA'!E28)*100</f>
        <v>#DIV/0!</v>
      </c>
      <c r="G26" s="202" t="e">
        <f>('Expenditure DATA'!CU28/'Expenditure DATA'!F28)*100</f>
        <v>#DIV/0!</v>
      </c>
      <c r="H26" s="202" t="e">
        <f>('Expenditure DATA'!CV28/'Expenditure DATA'!G28)*100</f>
        <v>#DIV/0!</v>
      </c>
      <c r="I26" s="202" t="e">
        <f>('Expenditure DATA'!CW28/'Expenditure DATA'!H28)*100</f>
        <v>#DIV/0!</v>
      </c>
      <c r="J26" s="202" t="e">
        <f>('Expenditure DATA'!CX28/'Expenditure DATA'!I28)*100</f>
        <v>#DIV/0!</v>
      </c>
      <c r="K26" s="202">
        <f>('Expenditure DATA'!CY28/'Expenditure DATA'!J28)*100</f>
        <v>8.8861036852179218</v>
      </c>
      <c r="L26" s="202">
        <f>('Expenditure DATA'!CZ28/'Expenditure DATA'!K28)*100</f>
        <v>8.5978138991631639</v>
      </c>
      <c r="M26" s="202">
        <f>('Expenditure DATA'!DA28/'Expenditure DATA'!L28)*100</f>
        <v>8.3520722164492582</v>
      </c>
      <c r="N26" s="202">
        <f>('Expenditure DATA'!DB28/'Expenditure DATA'!M28)*100</f>
        <v>8.3978486671008472</v>
      </c>
      <c r="O26" s="202">
        <f>('Expenditure DATA'!DC28/'Expenditure DATA'!N28)*100</f>
        <v>7.1992598103022178</v>
      </c>
      <c r="P26" s="202">
        <f>('Expenditure DATA'!DD28/'Expenditure DATA'!O28)*100</f>
        <v>7.4347737754519123</v>
      </c>
      <c r="Q26" s="202">
        <f>('Expenditure DATA'!DE28/'Expenditure DATA'!P28)*100</f>
        <v>7.7869562324219359</v>
      </c>
      <c r="R26" s="202">
        <f>('Expenditure DATA'!DF28/'Expenditure DATA'!Q28)*100</f>
        <v>7.6760447088243531</v>
      </c>
      <c r="S26" s="202">
        <f>('Expenditure DATA'!DG28/'Expenditure DATA'!R28)*100</f>
        <v>7.8472932532885009</v>
      </c>
      <c r="T26" s="202">
        <f>('Expenditure DATA'!DH28/'Expenditure DATA'!S28)*100</f>
        <v>8.4769058824280261</v>
      </c>
      <c r="U26" s="202">
        <f>('Expenditure DATA'!DI28/'Expenditure DATA'!T28)*100</f>
        <v>9.0822638163880818</v>
      </c>
      <c r="V26" s="202">
        <f>('Expenditure DATA'!DJ28/'Expenditure DATA'!U28)*100</f>
        <v>8.7879188645415294</v>
      </c>
      <c r="W26" s="202">
        <f>('Expenditure DATA'!DK28/'Expenditure DATA'!V28)*100</f>
        <v>8.5431939769416925</v>
      </c>
      <c r="X26" s="202">
        <f>('Expenditure DATA'!DL28/'Expenditure DATA'!W28)*100</f>
        <v>8.4371708153136158</v>
      </c>
      <c r="Y26" s="202">
        <f>('Expenditure DATA'!DM28/'Expenditure DATA'!X28)*100</f>
        <v>8.3415260658706512</v>
      </c>
      <c r="Z26" s="202">
        <f>('Expenditure DATA'!DN28/'Expenditure DATA'!Y28)*100</f>
        <v>8.3363533439381072</v>
      </c>
      <c r="AA26" s="202">
        <f>('Expenditure DATA'!DO28/'Expenditure DATA'!Z28)*100</f>
        <v>8.2429046605268628</v>
      </c>
      <c r="AB26" s="202">
        <f>('Expenditure DATA'!DP28/'Expenditure DATA'!AA28)*100</f>
        <v>8.4200999123926543</v>
      </c>
      <c r="AC26" s="202">
        <f>('Expenditure DATA'!DQ28/'Expenditure DATA'!AB28)*100</f>
        <v>8.7103815612046329</v>
      </c>
      <c r="AD26" s="202">
        <f>('Expenditure DATA'!DR28/'Expenditure DATA'!AC28)*100</f>
        <v>8.9814706714893493</v>
      </c>
      <c r="AE26" s="202">
        <f>('Expenditure DATA'!DS28/'Expenditure DATA'!AD28)*100</f>
        <v>9.4262099715525878</v>
      </c>
      <c r="AF26" s="202">
        <f>('Expenditure DATA'!DT28/'Expenditure DATA'!AE28)*100</f>
        <v>9.5145628524746471</v>
      </c>
      <c r="AG26" s="464">
        <f>('Expenditure DATA'!DU28/'Expenditure DATA'!AF28)*100</f>
        <v>10.19621331718259</v>
      </c>
      <c r="AH26" s="203" t="e">
        <f>('Expenditure DATA'!BL28/'Expenditure DATA'!B28)*100</f>
        <v>#DIV/0!</v>
      </c>
      <c r="AI26" s="202" t="e">
        <f>('Expenditure DATA'!BM28/'Expenditure DATA'!C28)*100</f>
        <v>#DIV/0!</v>
      </c>
      <c r="AJ26" s="202" t="e">
        <f>('Expenditure DATA'!BN28/'Expenditure DATA'!D28)*100</f>
        <v>#DIV/0!</v>
      </c>
      <c r="AK26" s="202" t="e">
        <f>('Expenditure DATA'!BO28/'Expenditure DATA'!E28)*100</f>
        <v>#DIV/0!</v>
      </c>
      <c r="AL26" s="202" t="e">
        <f>('Expenditure DATA'!BP28/'Expenditure DATA'!F28)*100</f>
        <v>#DIV/0!</v>
      </c>
      <c r="AM26" s="202" t="e">
        <f>('Expenditure DATA'!BQ28/'Expenditure DATA'!G28)*100</f>
        <v>#DIV/0!</v>
      </c>
      <c r="AN26" s="202" t="e">
        <f>('Expenditure DATA'!BR28/'Expenditure DATA'!H28)*100</f>
        <v>#DIV/0!</v>
      </c>
      <c r="AO26" s="202" t="e">
        <f>('Expenditure DATA'!BS28/'Expenditure DATA'!I28)*100</f>
        <v>#DIV/0!</v>
      </c>
      <c r="AP26" s="202">
        <f>('Expenditure DATA'!BT28/'Expenditure DATA'!J28)*100</f>
        <v>21.391377368192543</v>
      </c>
      <c r="AQ26" s="202">
        <f>('Expenditure DATA'!BU28/'Expenditure DATA'!K28)*100</f>
        <v>20.764955253322213</v>
      </c>
      <c r="AR26" s="202">
        <f>('Expenditure DATA'!BV28/'Expenditure DATA'!L28)*100</f>
        <v>20.23098550467423</v>
      </c>
      <c r="AS26" s="202">
        <f>('Expenditure DATA'!BW28/'Expenditure DATA'!M28)*100</f>
        <v>19.383158933263939</v>
      </c>
      <c r="AT26" s="202">
        <f>('Expenditure DATA'!BX28/'Expenditure DATA'!N28)*100</f>
        <v>19.175344556448724</v>
      </c>
      <c r="AU26" s="202">
        <f>('Expenditure DATA'!BY28/'Expenditure DATA'!O28)*100</f>
        <v>19.219914079703113</v>
      </c>
      <c r="AV26" s="202">
        <f>('Expenditure DATA'!BZ28/'Expenditure DATA'!P28)*100</f>
        <v>19.471001423915006</v>
      </c>
      <c r="AW26" s="202">
        <f>('Expenditure DATA'!CA28/'Expenditure DATA'!Q28)*100</f>
        <v>20.086403435428281</v>
      </c>
      <c r="AX26" s="202">
        <f>('Expenditure DATA'!CB28/'Expenditure DATA'!R28)*100</f>
        <v>21.566004350364913</v>
      </c>
      <c r="AY26" s="202">
        <f>('Expenditure DATA'!CC28/'Expenditure DATA'!S28)*100</f>
        <v>21.210859409362364</v>
      </c>
      <c r="AZ26" s="202">
        <f>('Expenditure DATA'!CD28/'Expenditure DATA'!T28)*100</f>
        <v>21.753158640714567</v>
      </c>
      <c r="BA26" s="202">
        <f>('Expenditure DATA'!CE28/'Expenditure DATA'!U28)*100</f>
        <v>22.055588296762664</v>
      </c>
      <c r="BB26" s="202">
        <f>('Expenditure DATA'!CF28/'Expenditure DATA'!V28)*100</f>
        <v>22.307034985822281</v>
      </c>
      <c r="BC26" s="202">
        <f>('Expenditure DATA'!CG28/'Expenditure DATA'!W28)*100</f>
        <v>22.301510038732577</v>
      </c>
      <c r="BD26" s="202">
        <f>('Expenditure DATA'!CH28/'Expenditure DATA'!X28)*100</f>
        <v>22.29652591854633</v>
      </c>
      <c r="BE26" s="202">
        <f>('Expenditure DATA'!CI28/'Expenditure DATA'!Y28)*100</f>
        <v>22.123104834761957</v>
      </c>
      <c r="BF26" s="202">
        <f>('Expenditure DATA'!CJ28/'Expenditure DATA'!Z28)*100</f>
        <v>21.716419655808057</v>
      </c>
      <c r="BG26" s="202">
        <f>('Expenditure DATA'!CK28/'Expenditure DATA'!AA28)*100</f>
        <v>21.495495913201722</v>
      </c>
      <c r="BH26" s="202">
        <f>('Expenditure DATA'!CL28/'Expenditure DATA'!AB28)*100</f>
        <v>20.856450593062384</v>
      </c>
      <c r="BI26" s="202">
        <f>('Expenditure DATA'!CM28/'Expenditure DATA'!AC28)*100</f>
        <v>20.089637726297376</v>
      </c>
      <c r="BJ26" s="202">
        <f>('Expenditure DATA'!CN28/'Expenditure DATA'!AD28)*100</f>
        <v>19.035908998265377</v>
      </c>
      <c r="BK26" s="202">
        <f>('Expenditure DATA'!CO28/'Expenditure DATA'!AE28)*100</f>
        <v>17.804346626077223</v>
      </c>
      <c r="BL26" s="464">
        <f>('Expenditure DATA'!CP28/'Expenditure DATA'!AF28)*100</f>
        <v>19.045535364907394</v>
      </c>
      <c r="BM26" s="203" t="e">
        <f>('Expenditure DATA'!AG28/'Expenditure DATA'!B28)*100</f>
        <v>#DIV/0!</v>
      </c>
      <c r="BN26" s="202" t="e">
        <f>('Expenditure DATA'!AH28/'Expenditure DATA'!C28)*100</f>
        <v>#DIV/0!</v>
      </c>
      <c r="BO26" s="202" t="e">
        <f>('Expenditure DATA'!AI28/'Expenditure DATA'!D28)*100</f>
        <v>#DIV/0!</v>
      </c>
      <c r="BP26" s="202" t="e">
        <f>('Expenditure DATA'!AJ28/'Expenditure DATA'!E28)*100</f>
        <v>#DIV/0!</v>
      </c>
      <c r="BQ26" s="202" t="e">
        <f>('Expenditure DATA'!AK28/'Expenditure DATA'!F28)*100</f>
        <v>#DIV/0!</v>
      </c>
      <c r="BR26" s="202" t="e">
        <f>('Expenditure DATA'!AL28/'Expenditure DATA'!G28)*100</f>
        <v>#DIV/0!</v>
      </c>
      <c r="BS26" s="202" t="e">
        <f>('Expenditure DATA'!AM28/'Expenditure DATA'!H28)*100</f>
        <v>#DIV/0!</v>
      </c>
      <c r="BT26" s="202" t="e">
        <f>('Expenditure DATA'!AN28/'Expenditure DATA'!I28)*100</f>
        <v>#DIV/0!</v>
      </c>
      <c r="BU26" s="202">
        <f>('Expenditure DATA'!AO28/'Expenditure DATA'!J28)*100</f>
        <v>31.814314900737621</v>
      </c>
      <c r="BV26" s="202">
        <f>('Expenditure DATA'!AP28/'Expenditure DATA'!K28)*100</f>
        <v>30.920307401329751</v>
      </c>
      <c r="BW26" s="202">
        <f>('Expenditure DATA'!AQ28/'Expenditure DATA'!L28)*100</f>
        <v>30.158244650963645</v>
      </c>
      <c r="BX26" s="202">
        <f>('Expenditure DATA'!AR28/'Expenditure DATA'!M28)*100</f>
        <v>29.272504950848848</v>
      </c>
      <c r="BY26" s="202">
        <f>('Expenditure DATA'!AS28/'Expenditure DATA'!N28)*100</f>
        <v>28.086107483560852</v>
      </c>
      <c r="BZ26" s="202">
        <f>('Expenditure DATA'!AT28/'Expenditure DATA'!O28)*100</f>
        <v>28.393150603058825</v>
      </c>
      <c r="CA26" s="202">
        <f>('Expenditure DATA'!AU28/'Expenditure DATA'!P28)*100</f>
        <v>28.995591260535601</v>
      </c>
      <c r="CB26" s="202">
        <f>('Expenditure DATA'!AV28/'Expenditure DATA'!Q28)*100</f>
        <v>29.511086109403291</v>
      </c>
      <c r="CC26" s="202">
        <f>('Expenditure DATA'!AW28/'Expenditure DATA'!R28)*100</f>
        <v>31.111939276009426</v>
      </c>
      <c r="CD26" s="202">
        <f>('Expenditure DATA'!AX28/'Expenditure DATA'!S28)*100</f>
        <v>31.347420222818368</v>
      </c>
      <c r="CE26" s="202">
        <f>('Expenditure DATA'!AY28/'Expenditure DATA'!T28)*100</f>
        <v>32.465131890180608</v>
      </c>
      <c r="CF26" s="202">
        <f>('Expenditure DATA'!AZ28/'Expenditure DATA'!U28)*100</f>
        <v>32.562114444126927</v>
      </c>
      <c r="CG26" s="202">
        <f>('Expenditure DATA'!BA28/'Expenditure DATA'!V28)*100</f>
        <v>32.64274787936936</v>
      </c>
      <c r="CH26" s="202">
        <f>('Expenditure DATA'!BB28/'Expenditure DATA'!W28)*100</f>
        <v>32.490252327744344</v>
      </c>
      <c r="CI26" s="202">
        <f>('Expenditure DATA'!BC28/'Expenditure DATA'!X28)*100</f>
        <v>32.352684285041505</v>
      </c>
      <c r="CJ26" s="202">
        <f>('Expenditure DATA'!BD28/'Expenditure DATA'!Y28)*100</f>
        <v>32.202059910340459</v>
      </c>
      <c r="CK26" s="202">
        <f>('Expenditure DATA'!BE28/'Expenditure DATA'!Z28)*100</f>
        <v>31.808300626361941</v>
      </c>
      <c r="CL26" s="202">
        <f>('Expenditure DATA'!BF28/'Expenditure DATA'!AA28)*100</f>
        <v>31.364028353379297</v>
      </c>
      <c r="CM26" s="202">
        <f>('Expenditure DATA'!BG28/'Expenditure DATA'!AB28)*100</f>
        <v>31.090920844207371</v>
      </c>
      <c r="CN26" s="202">
        <f>('Expenditure DATA'!BH28/'Expenditure DATA'!AC28)*100</f>
        <v>30.580223173213312</v>
      </c>
      <c r="CO26" s="202">
        <f>('Expenditure DATA'!BI28/'Expenditure DATA'!AD28)*100</f>
        <v>30.256822481990397</v>
      </c>
      <c r="CP26" s="202">
        <f>('Expenditure DATA'!BJ28/'Expenditure DATA'!AE28)*100</f>
        <v>29.032837389571547</v>
      </c>
      <c r="CQ26" s="464">
        <f>('Expenditure DATA'!BK28/'Expenditure DATA'!AF28)*100</f>
        <v>31.038715173444558</v>
      </c>
      <c r="CR26" s="203" t="e">
        <f>('Expenditure DATA'!FA28/'Expenditure DATA'!B28)*100</f>
        <v>#DIV/0!</v>
      </c>
      <c r="CS26" s="202" t="e">
        <f>('Expenditure DATA'!FB28/'Expenditure DATA'!C28)*100</f>
        <v>#DIV/0!</v>
      </c>
      <c r="CT26" s="202" t="e">
        <f>('Expenditure DATA'!FC28/'Expenditure DATA'!D28)*100</f>
        <v>#DIV/0!</v>
      </c>
      <c r="CU26" s="202" t="e">
        <f>('Expenditure DATA'!FD28/'Expenditure DATA'!E28)*100</f>
        <v>#DIV/0!</v>
      </c>
      <c r="CV26" s="202" t="e">
        <f>('Expenditure DATA'!FE28/'Expenditure DATA'!F28)*100</f>
        <v>#DIV/0!</v>
      </c>
      <c r="CW26" s="202" t="e">
        <f>('Expenditure DATA'!FF28/'Expenditure DATA'!G28)*100</f>
        <v>#DIV/0!</v>
      </c>
      <c r="CX26" s="202" t="e">
        <f>('Expenditure DATA'!FG28/'Expenditure DATA'!H28)*100</f>
        <v>#DIV/0!</v>
      </c>
      <c r="CY26" s="202" t="e">
        <f>('Expenditure DATA'!FH28/'Expenditure DATA'!I28)*100</f>
        <v>#DIV/0!</v>
      </c>
      <c r="CZ26" s="202">
        <f>('Expenditure DATA'!FI28/'Expenditure DATA'!J28)*100</f>
        <v>24.279843844001565</v>
      </c>
      <c r="DA26" s="202">
        <f>('Expenditure DATA'!FJ28/'Expenditure DATA'!K28)*100</f>
        <v>24.914174314067061</v>
      </c>
      <c r="DB26" s="202">
        <f>('Expenditure DATA'!FK28/'Expenditure DATA'!L28)*100</f>
        <v>25.454885239847108</v>
      </c>
      <c r="DC26" s="202">
        <f>('Expenditure DATA'!FL28/'Expenditure DATA'!M28)*100</f>
        <v>26.085404929071565</v>
      </c>
      <c r="DD26" s="202">
        <f>('Expenditure DATA'!FM28/'Expenditure DATA'!N28)*100</f>
        <v>27.115840590616099</v>
      </c>
      <c r="DE26" s="202">
        <f>('Expenditure DATA'!FN28/'Expenditure DATA'!O28)*100</f>
        <v>26.443604927604035</v>
      </c>
      <c r="DF26" s="202">
        <f>('Expenditure DATA'!FO28/'Expenditure DATA'!P28)*100</f>
        <v>25.964711127848361</v>
      </c>
      <c r="DG26" s="202">
        <f>('Expenditure DATA'!FP28/'Expenditure DATA'!Q28)*100</f>
        <v>25.66181957619424</v>
      </c>
      <c r="DH26" s="202">
        <f>('Expenditure DATA'!FQ28/'Expenditure DATA'!R28)*100</f>
        <v>24.112723141436256</v>
      </c>
      <c r="DI26" s="202">
        <f>('Expenditure DATA'!FR28/'Expenditure DATA'!S28)*100</f>
        <v>24.164977357062902</v>
      </c>
      <c r="DJ26" s="202">
        <f>('Expenditure DATA'!FS28/'Expenditure DATA'!T28)*100</f>
        <v>24.040838491447953</v>
      </c>
      <c r="DK26" s="202">
        <f>('Expenditure DATA'!FT28/'Expenditure DATA'!U28)*100</f>
        <v>23.945622630341401</v>
      </c>
      <c r="DL26" s="202">
        <f>('Expenditure DATA'!FU28/'Expenditure DATA'!V28)*100</f>
        <v>23.866458062507498</v>
      </c>
      <c r="DM26" s="202">
        <f>('Expenditure DATA'!FV28/'Expenditure DATA'!W28)*100</f>
        <v>24.209147870644777</v>
      </c>
      <c r="DN26" s="202">
        <f>('Expenditure DATA'!FW28/'Expenditure DATA'!X28)*100</f>
        <v>24.518292404090449</v>
      </c>
      <c r="DO26" s="202">
        <f>('Expenditure DATA'!FX28/'Expenditure DATA'!Y28)*100</f>
        <v>25.260641790018195</v>
      </c>
      <c r="DP26" s="202">
        <f>('Expenditure DATA'!FY28/'Expenditure DATA'!Z28)*100</f>
        <v>24.111047371800026</v>
      </c>
      <c r="DQ26" s="202">
        <f>('Expenditure DATA'!FZ28/'Expenditure DATA'!AA28)*100</f>
        <v>24.17589553135948</v>
      </c>
      <c r="DR26" s="202">
        <f>('Expenditure DATA'!GA28/'Expenditure DATA'!AB28)*100</f>
        <v>24.57141094749716</v>
      </c>
      <c r="DS26" s="202">
        <f>('Expenditure DATA'!GB28/'Expenditure DATA'!AC28)*100</f>
        <v>25.024185348812576</v>
      </c>
      <c r="DT26" s="202">
        <f>('Expenditure DATA'!GC28/'Expenditure DATA'!AD28)*100</f>
        <v>24.658811053059505</v>
      </c>
      <c r="DU26" s="202">
        <f>('Expenditure DATA'!GD28/'Expenditure DATA'!AE28)*100</f>
        <v>28.442342363723117</v>
      </c>
      <c r="DV26" s="464">
        <f>('Expenditure DATA'!GE28/'Expenditure DATA'!AF28)*100</f>
        <v>27.5907907423666</v>
      </c>
      <c r="DW26" s="203" t="e">
        <f>('Expenditure DATA'!GF28/'Expenditure DATA'!B28)*100</f>
        <v>#DIV/0!</v>
      </c>
      <c r="DX26" s="202" t="e">
        <f>('Expenditure DATA'!GG28/'Expenditure DATA'!C28)*100</f>
        <v>#DIV/0!</v>
      </c>
      <c r="DY26" s="202" t="e">
        <f>('Expenditure DATA'!GH28/'Expenditure DATA'!D28)*100</f>
        <v>#DIV/0!</v>
      </c>
      <c r="DZ26" s="202" t="e">
        <f>('Expenditure DATA'!GI28/'Expenditure DATA'!E28)*100</f>
        <v>#DIV/0!</v>
      </c>
      <c r="EA26" s="202" t="e">
        <f>('Expenditure DATA'!GJ28/'Expenditure DATA'!F28)*100</f>
        <v>#DIV/0!</v>
      </c>
      <c r="EB26" s="202" t="e">
        <f>('Expenditure DATA'!GK28/'Expenditure DATA'!G28)*100</f>
        <v>#DIV/0!</v>
      </c>
      <c r="EC26" s="202" t="e">
        <f>('Expenditure DATA'!GL28/'Expenditure DATA'!H28)*100</f>
        <v>#DIV/0!</v>
      </c>
      <c r="ED26" s="202" t="e">
        <f>('Expenditure DATA'!GM28/'Expenditure DATA'!I28)*100</f>
        <v>#DIV/0!</v>
      </c>
      <c r="EE26" s="202">
        <f>('Expenditure DATA'!GN28/'Expenditure DATA'!J28)*100</f>
        <v>27.179221800195762</v>
      </c>
      <c r="EF26" s="202">
        <f>('Expenditure DATA'!GO28/'Expenditure DATA'!K28)*100</f>
        <v>27.017051156942056</v>
      </c>
      <c r="EG26" s="202">
        <f>('Expenditure DATA'!GP28/'Expenditure DATA'!L28)*100</f>
        <v>26.878814949182711</v>
      </c>
      <c r="EH26" s="202">
        <f>('Expenditure DATA'!GQ28/'Expenditure DATA'!M28)*100</f>
        <v>26.221817798898989</v>
      </c>
      <c r="EI26" s="202">
        <f>('Expenditure DATA'!GR28/'Expenditure DATA'!N28)*100</f>
        <v>27.501709402955093</v>
      </c>
      <c r="EJ26" s="202">
        <f>('Expenditure DATA'!GS28/'Expenditure DATA'!O28)*100</f>
        <v>27.827970234270051</v>
      </c>
      <c r="EK26" s="202">
        <f>('Expenditure DATA'!GT28/'Expenditure DATA'!P28)*100</f>
        <v>28.366524848419349</v>
      </c>
      <c r="EL26" s="202">
        <f>('Expenditure DATA'!GU28/'Expenditure DATA'!Q28)*100</f>
        <v>27.836167235870452</v>
      </c>
      <c r="EM26" s="202">
        <f>('Expenditure DATA'!GV28/'Expenditure DATA'!R28)*100</f>
        <v>26.580562607208147</v>
      </c>
      <c r="EN26" s="202">
        <f>('Expenditure DATA'!GW28/'Expenditure DATA'!S28)*100</f>
        <v>26.13492454071331</v>
      </c>
      <c r="EO26" s="202">
        <f>('Expenditure DATA'!GX28/'Expenditure DATA'!T28)*100</f>
        <v>25.763372076050196</v>
      </c>
      <c r="EP26" s="202">
        <f>('Expenditure DATA'!GY28/'Expenditure DATA'!U28)*100</f>
        <v>26.101267793507539</v>
      </c>
      <c r="EQ26" s="202">
        <f>('Expenditure DATA'!GZ28/'Expenditure DATA'!V28)*100</f>
        <v>26.382201748570992</v>
      </c>
      <c r="ER26" s="202">
        <f>('Expenditure DATA'!HA28/'Expenditure DATA'!W28)*100</f>
        <v>25.786470117463828</v>
      </c>
      <c r="ES26" s="202">
        <f>('Expenditure DATA'!HB28/'Expenditure DATA'!X28)*100</f>
        <v>25.249053559444452</v>
      </c>
      <c r="ET26" s="202">
        <f>('Expenditure DATA'!HC28/'Expenditure DATA'!Y28)*100</f>
        <v>25.897958148289511</v>
      </c>
      <c r="EU26" s="202">
        <f>('Expenditure DATA'!HD28/'Expenditure DATA'!Z28)*100</f>
        <v>27.325555805127337</v>
      </c>
      <c r="EV26" s="202">
        <f>('Expenditure DATA'!HE28/'Expenditure DATA'!AA28)*100</f>
        <v>26.930037482775145</v>
      </c>
      <c r="EW26" s="202">
        <f>('Expenditure DATA'!HF28/'Expenditure DATA'!AB28)*100</f>
        <v>27.659126006505485</v>
      </c>
      <c r="EX26" s="202">
        <f>('Expenditure DATA'!HG28/'Expenditure DATA'!AC28)*100</f>
        <v>27.408578917938648</v>
      </c>
      <c r="EY26" s="202">
        <f>('Expenditure DATA'!HH28/'Expenditure DATA'!AD28)*100</f>
        <v>27.46953374920319</v>
      </c>
      <c r="EZ26" s="202">
        <f>('Expenditure DATA'!HI28/'Expenditure DATA'!AE28)*100</f>
        <v>25.771864901051838</v>
      </c>
      <c r="FA26" s="464">
        <f>('Expenditure DATA'!HJ28/'Expenditure DATA'!AF28)*100</f>
        <v>25.870632844795079</v>
      </c>
      <c r="FB26" s="203" t="e">
        <f>('Expenditure DATA'!HK28/'Expenditure DATA'!B28)*100</f>
        <v>#DIV/0!</v>
      </c>
      <c r="FC26" s="202" t="e">
        <f>('Expenditure DATA'!HL28/'Expenditure DATA'!C28)*100</f>
        <v>#DIV/0!</v>
      </c>
      <c r="FD26" s="202" t="e">
        <f>('Expenditure DATA'!HM28/'Expenditure DATA'!D28)*100</f>
        <v>#DIV/0!</v>
      </c>
      <c r="FE26" s="202" t="e">
        <f>('Expenditure DATA'!HN28/'Expenditure DATA'!E28)*100</f>
        <v>#DIV/0!</v>
      </c>
      <c r="FF26" s="202" t="e">
        <f>('Expenditure DATA'!HO28/'Expenditure DATA'!F28)*100</f>
        <v>#DIV/0!</v>
      </c>
      <c r="FG26" s="202" t="e">
        <f>('Expenditure DATA'!HP28/'Expenditure DATA'!G28)*100</f>
        <v>#DIV/0!</v>
      </c>
      <c r="FH26" s="202" t="e">
        <f>('Expenditure DATA'!HQ28/'Expenditure DATA'!H28)*100</f>
        <v>#DIV/0!</v>
      </c>
      <c r="FI26" s="202" t="e">
        <f>('Expenditure DATA'!HR28/'Expenditure DATA'!I28)*100</f>
        <v>#DIV/0!</v>
      </c>
      <c r="FJ26" s="202">
        <f>('Expenditure DATA'!HS28/'Expenditure DATA'!J28)*100</f>
        <v>5.9531563701464201</v>
      </c>
      <c r="FK26" s="202">
        <f>('Expenditure DATA'!HT28/'Expenditure DATA'!K28)*100</f>
        <v>5.9576128509841162</v>
      </c>
      <c r="FL26" s="202">
        <f>('Expenditure DATA'!HU28/'Expenditure DATA'!L28)*100</f>
        <v>5.9614116088763911</v>
      </c>
      <c r="FM26" s="202">
        <f>('Expenditure DATA'!HV28/'Expenditure DATA'!M28)*100</f>
        <v>5.8472477891987573</v>
      </c>
      <c r="FN26" s="202">
        <f>('Expenditure DATA'!HW28/'Expenditure DATA'!N28)*100</f>
        <v>5.9074605756668399</v>
      </c>
      <c r="FO26" s="202">
        <f>('Expenditure DATA'!HX28/'Expenditure DATA'!O28)*100</f>
        <v>5.9070122757304908</v>
      </c>
      <c r="FP26" s="202">
        <f>('Expenditure DATA'!HY28/'Expenditure DATA'!P28)*100</f>
        <v>5.9837626721904815</v>
      </c>
      <c r="FQ26" s="202">
        <f>('Expenditure DATA'!HZ28/'Expenditure DATA'!Q28)*100</f>
        <v>5.9712862080414775</v>
      </c>
      <c r="FR26" s="202">
        <f>('Expenditure DATA'!IA28/'Expenditure DATA'!R28)*100</f>
        <v>6.4191568948109037</v>
      </c>
      <c r="FS26" s="202">
        <f>('Expenditure DATA'!IB28/'Expenditure DATA'!S28)*100</f>
        <v>6.7108927863606835</v>
      </c>
      <c r="FT26" s="202">
        <f>('Expenditure DATA'!IC28/'Expenditure DATA'!T28)*100</f>
        <v>6.7931623567669162</v>
      </c>
      <c r="FU26" s="202">
        <f>('Expenditure DATA'!ID28/'Expenditure DATA'!U28)*100</f>
        <v>6.6645100235621317</v>
      </c>
      <c r="FV26" s="202">
        <f>('Expenditure DATA'!IE28/'Expenditure DATA'!V28)*100</f>
        <v>6.5575456350598538</v>
      </c>
      <c r="FW26" s="202">
        <f>('Expenditure DATA'!IF28/'Expenditure DATA'!W28)*100</f>
        <v>6.6538911262385012</v>
      </c>
      <c r="FX26" s="202">
        <f>('Expenditure DATA'!IG28/'Expenditure DATA'!X28)*100</f>
        <v>6.7408055345832221</v>
      </c>
      <c r="FY26" s="202">
        <f>('Expenditure DATA'!IH28/'Expenditure DATA'!Y28)*100</f>
        <v>6.65980730313807</v>
      </c>
      <c r="FZ26" s="202">
        <f>('Expenditure DATA'!II28/'Expenditure DATA'!Z28)*100</f>
        <v>6.2699738782856453</v>
      </c>
      <c r="GA26" s="202">
        <f>('Expenditure DATA'!IJ28/'Expenditure DATA'!AA28)*100</f>
        <v>6.5937347853742567</v>
      </c>
      <c r="GB26" s="202">
        <f>('Expenditure DATA'!IK28/'Expenditure DATA'!AB28)*100</f>
        <v>6.6181142165189843</v>
      </c>
      <c r="GC26" s="202">
        <f>('Expenditure DATA'!IL28/'Expenditure DATA'!AC28)*100</f>
        <v>6.3694868968102014</v>
      </c>
      <c r="GD26" s="202">
        <f>('Expenditure DATA'!IM28/'Expenditure DATA'!AD28)*100</f>
        <v>6.1706753564192018</v>
      </c>
      <c r="GE26" s="202">
        <f>('Expenditure DATA'!IN28/'Expenditure DATA'!AE28)*100</f>
        <v>5.7938557812378155</v>
      </c>
      <c r="GF26" s="464">
        <f>('Expenditure DATA'!IO28/'Expenditure DATA'!AF28)*100</f>
        <v>5.6586590011849935</v>
      </c>
      <c r="GG26" s="203" t="e">
        <f>('Expenditure DATA'!IP28/'Expenditure DATA'!B28)*100</f>
        <v>#DIV/0!</v>
      </c>
      <c r="GH26" s="202" t="e">
        <f>('Expenditure DATA'!IQ28/'Expenditure DATA'!C28)*100</f>
        <v>#DIV/0!</v>
      </c>
      <c r="GI26" s="202" t="e">
        <f>('Expenditure DATA'!IR28/'Expenditure DATA'!D28)*100</f>
        <v>#DIV/0!</v>
      </c>
      <c r="GJ26" s="202" t="e">
        <f>('Expenditure DATA'!IS28/'Expenditure DATA'!E28)*100</f>
        <v>#DIV/0!</v>
      </c>
      <c r="GK26" s="202" t="e">
        <f>('Expenditure DATA'!IT28/'Expenditure DATA'!F28)*100</f>
        <v>#DIV/0!</v>
      </c>
      <c r="GL26" s="202" t="e">
        <f>('Expenditure DATA'!IU28/'Expenditure DATA'!G28)*100</f>
        <v>#DIV/0!</v>
      </c>
      <c r="GM26" s="202" t="e">
        <f>('Expenditure DATA'!IV28/'Expenditure DATA'!H28)*100</f>
        <v>#DIV/0!</v>
      </c>
      <c r="GN26" s="202" t="e">
        <f>('Expenditure DATA'!IW28/'Expenditure DATA'!I28)*100</f>
        <v>#DIV/0!</v>
      </c>
      <c r="GO26" s="202">
        <f>('Expenditure DATA'!IX28/'Expenditure DATA'!J28)*100</f>
        <v>10.773463084918632</v>
      </c>
      <c r="GP26" s="202">
        <f>('Expenditure DATA'!IY28/'Expenditure DATA'!K28)*100</f>
        <v>11.190854276677012</v>
      </c>
      <c r="GQ26" s="202">
        <f>('Expenditure DATA'!IZ28/'Expenditure DATA'!L28)*100</f>
        <v>11.546643551130135</v>
      </c>
      <c r="GR26" s="202">
        <f>('Expenditure DATA'!JA28/'Expenditure DATA'!M28)*100</f>
        <v>12.573024531981829</v>
      </c>
      <c r="GS26" s="202">
        <f>('Expenditure DATA'!JB28/'Expenditure DATA'!N28)*100</f>
        <v>11.388881947201126</v>
      </c>
      <c r="GT26" s="202">
        <f>('Expenditure DATA'!JC28/'Expenditure DATA'!O28)*100</f>
        <v>11.428261959336599</v>
      </c>
      <c r="GU26" s="202">
        <f>('Expenditure DATA'!JD28/'Expenditure DATA'!P28)*100</f>
        <v>10.689410091006204</v>
      </c>
      <c r="GV26" s="202">
        <f>('Expenditure DATA'!JE28/'Expenditure DATA'!Q28)*100</f>
        <v>11.019640870490539</v>
      </c>
      <c r="GW26" s="202">
        <f>('Expenditure DATA'!JF28/'Expenditure DATA'!R28)*100</f>
        <v>11.775618080535262</v>
      </c>
      <c r="GX26" s="202">
        <f>('Expenditure DATA'!JG28/'Expenditure DATA'!S28)*100</f>
        <v>11.641785093044737</v>
      </c>
      <c r="GY26" s="202">
        <f>('Expenditure DATA'!JH28/'Expenditure DATA'!T28)*100</f>
        <v>10.937495185554328</v>
      </c>
      <c r="GZ26" s="202">
        <f>('Expenditure DATA'!JI28/'Expenditure DATA'!U28)*100</f>
        <v>10.726485108462011</v>
      </c>
      <c r="HA26" s="202">
        <f>('Expenditure DATA'!JJ28/'Expenditure DATA'!V28)*100</f>
        <v>10.551046674492293</v>
      </c>
      <c r="HB26" s="202">
        <f>('Expenditure DATA'!JK28/'Expenditure DATA'!W28)*100</f>
        <v>10.86023855790855</v>
      </c>
      <c r="HC26" s="202">
        <f>('Expenditure DATA'!JL28/'Expenditure DATA'!X28)*100</f>
        <v>11.139164216840369</v>
      </c>
      <c r="HD26" s="202">
        <f>('Expenditure DATA'!JM28/'Expenditure DATA'!Y28)*100</f>
        <v>9.9795328482137577</v>
      </c>
      <c r="HE26" s="202">
        <f>('Expenditure DATA'!JN28/'Expenditure DATA'!Z28)*100</f>
        <v>10.485122318425057</v>
      </c>
      <c r="HF26" s="202">
        <f>('Expenditure DATA'!JO28/'Expenditure DATA'!AA28)*100</f>
        <v>10.936303847111816</v>
      </c>
      <c r="HG26" s="202">
        <f>('Expenditure DATA'!JP28/'Expenditure DATA'!AB28)*100</f>
        <v>10.060427985270994</v>
      </c>
      <c r="HH26" s="202">
        <f>('Expenditure DATA'!JQ28/'Expenditure DATA'!AC28)*100</f>
        <v>10.617524794069375</v>
      </c>
      <c r="HI26" s="202">
        <f>('Expenditure DATA'!JR28/'Expenditure DATA'!AD28)*100</f>
        <v>11.444157067878619</v>
      </c>
      <c r="HJ26" s="202">
        <f>('Expenditure DATA'!JS28/'Expenditure DATA'!AE28)*100</f>
        <v>10.959099564415684</v>
      </c>
      <c r="HK26" s="464">
        <f>('Expenditure DATA'!JT28/'Expenditure DATA'!AF28)*100</f>
        <v>9.841202238208778</v>
      </c>
      <c r="HL26" s="203" t="e">
        <f t="shared" si="1"/>
        <v>#DIV/0!</v>
      </c>
      <c r="HM26" s="204" t="e">
        <f t="shared" si="2"/>
        <v>#DIV/0!</v>
      </c>
      <c r="HN26" s="204" t="e">
        <f t="shared" si="3"/>
        <v>#DIV/0!</v>
      </c>
      <c r="HO26" s="204" t="e">
        <f t="shared" si="4"/>
        <v>#DIV/0!</v>
      </c>
      <c r="HP26" s="204" t="e">
        <f t="shared" si="5"/>
        <v>#DIV/0!</v>
      </c>
      <c r="HQ26" s="204" t="e">
        <f t="shared" si="6"/>
        <v>#DIV/0!</v>
      </c>
      <c r="HR26" s="204" t="e">
        <f t="shared" si="7"/>
        <v>#DIV/0!</v>
      </c>
      <c r="HS26" s="204" t="e">
        <f t="shared" si="8"/>
        <v>#DIV/0!</v>
      </c>
      <c r="HT26" s="204">
        <f t="shared" si="9"/>
        <v>100</v>
      </c>
      <c r="HU26" s="204">
        <f t="shared" si="10"/>
        <v>100</v>
      </c>
      <c r="HV26" s="204">
        <f t="shared" si="11"/>
        <v>99.999999999999986</v>
      </c>
      <c r="HW26" s="204">
        <f t="shared" si="12"/>
        <v>100</v>
      </c>
      <c r="HX26" s="204">
        <f t="shared" si="13"/>
        <v>100.00000000000003</v>
      </c>
      <c r="HY26" s="204">
        <f t="shared" si="14"/>
        <v>100</v>
      </c>
      <c r="HZ26" s="204">
        <f t="shared" si="15"/>
        <v>100</v>
      </c>
      <c r="IA26" s="204">
        <f t="shared" si="16"/>
        <v>99.999999999999986</v>
      </c>
      <c r="IB26" s="204">
        <f t="shared" si="17"/>
        <v>100.00000000000001</v>
      </c>
      <c r="IC26" s="204">
        <f t="shared" si="18"/>
        <v>100</v>
      </c>
      <c r="ID26" s="204">
        <f t="shared" si="19"/>
        <v>100</v>
      </c>
      <c r="IE26" s="204">
        <f t="shared" si="20"/>
        <v>100.00000000000001</v>
      </c>
      <c r="IF26" s="204">
        <f t="shared" si="21"/>
        <v>100</v>
      </c>
      <c r="IG26" s="204">
        <f t="shared" si="22"/>
        <v>100</v>
      </c>
      <c r="IH26" s="204">
        <f t="shared" si="23"/>
        <v>99.999999999999986</v>
      </c>
      <c r="II26" s="204">
        <f t="shared" si="24"/>
        <v>100</v>
      </c>
      <c r="IJ26" s="204">
        <f t="shared" si="25"/>
        <v>100</v>
      </c>
      <c r="IK26" s="204">
        <f t="shared" si="26"/>
        <v>99.999999999999986</v>
      </c>
      <c r="IL26" s="204">
        <f t="shared" si="32"/>
        <v>100</v>
      </c>
      <c r="IM26" s="204">
        <f t="shared" si="33"/>
        <v>99.999999130844117</v>
      </c>
      <c r="IN26" s="204">
        <f t="shared" si="34"/>
        <v>99.999999708550916</v>
      </c>
      <c r="IO26" s="204">
        <f t="shared" si="35"/>
        <v>100</v>
      </c>
      <c r="IP26" s="204">
        <f t="shared" si="36"/>
        <v>100</v>
      </c>
    </row>
    <row r="27" spans="1:250" s="164" customFormat="1">
      <c r="A27" s="293" t="s">
        <v>50</v>
      </c>
      <c r="B27" s="293"/>
      <c r="C27" s="202" t="e">
        <f>('Expenditure DATA'!CQ29/'Expenditure DATA'!B29)*100</f>
        <v>#DIV/0!</v>
      </c>
      <c r="D27" s="202" t="e">
        <f>('Expenditure DATA'!CR29/'Expenditure DATA'!C29)*100</f>
        <v>#DIV/0!</v>
      </c>
      <c r="E27" s="202" t="e">
        <f>('Expenditure DATA'!CS29/'Expenditure DATA'!D29)*100</f>
        <v>#DIV/0!</v>
      </c>
      <c r="F27" s="202" t="e">
        <f>('Expenditure DATA'!CT29/'Expenditure DATA'!E29)*100</f>
        <v>#DIV/0!</v>
      </c>
      <c r="G27" s="202" t="e">
        <f>('Expenditure DATA'!CU29/'Expenditure DATA'!F29)*100</f>
        <v>#DIV/0!</v>
      </c>
      <c r="H27" s="202" t="e">
        <f>('Expenditure DATA'!CV29/'Expenditure DATA'!G29)*100</f>
        <v>#DIV/0!</v>
      </c>
      <c r="I27" s="202" t="e">
        <f>('Expenditure DATA'!CW29/'Expenditure DATA'!H29)*100</f>
        <v>#DIV/0!</v>
      </c>
      <c r="J27" s="202" t="e">
        <f>('Expenditure DATA'!CX29/'Expenditure DATA'!I29)*100</f>
        <v>#DIV/0!</v>
      </c>
      <c r="K27" s="202">
        <f>('Expenditure DATA'!CY29/'Expenditure DATA'!J29)*100</f>
        <v>11.715217664594542</v>
      </c>
      <c r="L27" s="202">
        <f>('Expenditure DATA'!CZ29/'Expenditure DATA'!K29)*100</f>
        <v>11.514181525548215</v>
      </c>
      <c r="M27" s="202">
        <f>('Expenditure DATA'!DA29/'Expenditure DATA'!L29)*100</f>
        <v>11.346589370021755</v>
      </c>
      <c r="N27" s="202">
        <f>('Expenditure DATA'!DB29/'Expenditure DATA'!M29)*100</f>
        <v>10.556778413780798</v>
      </c>
      <c r="O27" s="202">
        <f>('Expenditure DATA'!DC29/'Expenditure DATA'!N29)*100</f>
        <v>11.002629559768534</v>
      </c>
      <c r="P27" s="202">
        <f>('Expenditure DATA'!DD29/'Expenditure DATA'!O29)*100</f>
        <v>11.284431236794182</v>
      </c>
      <c r="Q27" s="202">
        <f>('Expenditure DATA'!DE29/'Expenditure DATA'!P29)*100</f>
        <v>11.617295664121427</v>
      </c>
      <c r="R27" s="202">
        <f>('Expenditure DATA'!DF29/'Expenditure DATA'!Q29)*100</f>
        <v>12.199449352588386</v>
      </c>
      <c r="S27" s="202">
        <f>('Expenditure DATA'!DG29/'Expenditure DATA'!R29)*100</f>
        <v>11.726691904922998</v>
      </c>
      <c r="T27" s="202">
        <f>('Expenditure DATA'!DH29/'Expenditure DATA'!S29)*100</f>
        <v>11.362493995974182</v>
      </c>
      <c r="U27" s="202">
        <f>('Expenditure DATA'!DI29/'Expenditure DATA'!T29)*100</f>
        <v>11.156171523882483</v>
      </c>
      <c r="V27" s="202">
        <f>('Expenditure DATA'!DJ29/'Expenditure DATA'!U29)*100</f>
        <v>10.819033554654112</v>
      </c>
      <c r="W27" s="202">
        <f>('Expenditure DATA'!DK29/'Expenditure DATA'!V29)*100</f>
        <v>10.538762246424607</v>
      </c>
      <c r="X27" s="202">
        <f>('Expenditure DATA'!DL29/'Expenditure DATA'!W29)*100</f>
        <v>10.325765717041762</v>
      </c>
      <c r="Y27" s="202">
        <f>('Expenditure DATA'!DM29/'Expenditure DATA'!X29)*100</f>
        <v>10.122692804058282</v>
      </c>
      <c r="Z27" s="202">
        <f>('Expenditure DATA'!DN29/'Expenditure DATA'!Y29)*100</f>
        <v>10.060998573324788</v>
      </c>
      <c r="AA27" s="202">
        <f>('Expenditure DATA'!DO29/'Expenditure DATA'!Z29)*100</f>
        <v>10.311201783221048</v>
      </c>
      <c r="AB27" s="202">
        <f>('Expenditure DATA'!DP29/'Expenditure DATA'!AA29)*100</f>
        <v>10.668537081196567</v>
      </c>
      <c r="AC27" s="202">
        <f>('Expenditure DATA'!DQ29/'Expenditure DATA'!AB29)*100</f>
        <v>10.704315901432199</v>
      </c>
      <c r="AD27" s="202">
        <f>('Expenditure DATA'!DR29/'Expenditure DATA'!AC29)*100</f>
        <v>11.363235680679361</v>
      </c>
      <c r="AE27" s="202">
        <f>('Expenditure DATA'!DS29/'Expenditure DATA'!AD29)*100</f>
        <v>10.720569070871459</v>
      </c>
      <c r="AF27" s="202">
        <f>('Expenditure DATA'!DT29/'Expenditure DATA'!AE29)*100</f>
        <v>10.958679925794931</v>
      </c>
      <c r="AG27" s="464">
        <f>('Expenditure DATA'!DU29/'Expenditure DATA'!AF29)*100</f>
        <v>11.548468502212184</v>
      </c>
      <c r="AH27" s="203" t="e">
        <f>('Expenditure DATA'!BL29/'Expenditure DATA'!B29)*100</f>
        <v>#DIV/0!</v>
      </c>
      <c r="AI27" s="202" t="e">
        <f>('Expenditure DATA'!BM29/'Expenditure DATA'!C29)*100</f>
        <v>#DIV/0!</v>
      </c>
      <c r="AJ27" s="202" t="e">
        <f>('Expenditure DATA'!BN29/'Expenditure DATA'!D29)*100</f>
        <v>#DIV/0!</v>
      </c>
      <c r="AK27" s="202" t="e">
        <f>('Expenditure DATA'!BO29/'Expenditure DATA'!E29)*100</f>
        <v>#DIV/0!</v>
      </c>
      <c r="AL27" s="202" t="e">
        <f>('Expenditure DATA'!BP29/'Expenditure DATA'!F29)*100</f>
        <v>#DIV/0!</v>
      </c>
      <c r="AM27" s="202" t="e">
        <f>('Expenditure DATA'!BQ29/'Expenditure DATA'!G29)*100</f>
        <v>#DIV/0!</v>
      </c>
      <c r="AN27" s="202" t="e">
        <f>('Expenditure DATA'!BR29/'Expenditure DATA'!H29)*100</f>
        <v>#DIV/0!</v>
      </c>
      <c r="AO27" s="202" t="e">
        <f>('Expenditure DATA'!BS29/'Expenditure DATA'!I29)*100</f>
        <v>#DIV/0!</v>
      </c>
      <c r="AP27" s="202">
        <f>('Expenditure DATA'!BT29/'Expenditure DATA'!J29)*100</f>
        <v>25.04122113563178</v>
      </c>
      <c r="AQ27" s="202">
        <f>('Expenditure DATA'!BU29/'Expenditure DATA'!K29)*100</f>
        <v>24.654076897994866</v>
      </c>
      <c r="AR27" s="202">
        <f>('Expenditure DATA'!BV29/'Expenditure DATA'!L29)*100</f>
        <v>24.331337227441072</v>
      </c>
      <c r="AS27" s="202">
        <f>('Expenditure DATA'!BW29/'Expenditure DATA'!M29)*100</f>
        <v>22.749515555284276</v>
      </c>
      <c r="AT27" s="202">
        <f>('Expenditure DATA'!BX29/'Expenditure DATA'!N29)*100</f>
        <v>21.595859042808275</v>
      </c>
      <c r="AU27" s="202">
        <f>('Expenditure DATA'!BY29/'Expenditure DATA'!O29)*100</f>
        <v>23.390330375510786</v>
      </c>
      <c r="AV27" s="202">
        <f>('Expenditure DATA'!BZ29/'Expenditure DATA'!P29)*100</f>
        <v>24.053544045273966</v>
      </c>
      <c r="AW27" s="202">
        <f>('Expenditure DATA'!CA29/'Expenditure DATA'!Q29)*100</f>
        <v>23.720487633211391</v>
      </c>
      <c r="AX27" s="202">
        <f>('Expenditure DATA'!CB29/'Expenditure DATA'!R29)*100</f>
        <v>24.286708439150424</v>
      </c>
      <c r="AY27" s="202">
        <f>('Expenditure DATA'!CC29/'Expenditure DATA'!S29)*100</f>
        <v>23.759322026974061</v>
      </c>
      <c r="AZ27" s="202">
        <f>('Expenditure DATA'!CD29/'Expenditure DATA'!T29)*100</f>
        <v>23.005906596942662</v>
      </c>
      <c r="BA27" s="202">
        <f>('Expenditure DATA'!CE29/'Expenditure DATA'!U29)*100</f>
        <v>22.283283825885295</v>
      </c>
      <c r="BB27" s="202">
        <f>('Expenditure DATA'!CF29/'Expenditure DATA'!V29)*100</f>
        <v>21.682549266487484</v>
      </c>
      <c r="BC27" s="202">
        <f>('Expenditure DATA'!CG29/'Expenditure DATA'!W29)*100</f>
        <v>22.362396725216584</v>
      </c>
      <c r="BD27" s="202">
        <f>('Expenditure DATA'!CH29/'Expenditure DATA'!X29)*100</f>
        <v>23.010569745821925</v>
      </c>
      <c r="BE27" s="202">
        <f>('Expenditure DATA'!CI29/'Expenditure DATA'!Y29)*100</f>
        <v>23.85375572042684</v>
      </c>
      <c r="BF27" s="202">
        <f>('Expenditure DATA'!CJ29/'Expenditure DATA'!Z29)*100</f>
        <v>24.081664891087478</v>
      </c>
      <c r="BG27" s="202">
        <f>('Expenditure DATA'!CK29/'Expenditure DATA'!AA29)*100</f>
        <v>22.804963086237624</v>
      </c>
      <c r="BH27" s="202">
        <f>('Expenditure DATA'!CL29/'Expenditure DATA'!AB29)*100</f>
        <v>23.724979983818493</v>
      </c>
      <c r="BI27" s="202">
        <f>('Expenditure DATA'!CM29/'Expenditure DATA'!AC29)*100</f>
        <v>22.503537241097675</v>
      </c>
      <c r="BJ27" s="202">
        <f>('Expenditure DATA'!CN29/'Expenditure DATA'!AD29)*100</f>
        <v>20.816937637514638</v>
      </c>
      <c r="BK27" s="202">
        <f>('Expenditure DATA'!CO29/'Expenditure DATA'!AE29)*100</f>
        <v>19.824790494446546</v>
      </c>
      <c r="BL27" s="464">
        <f>('Expenditure DATA'!CP29/'Expenditure DATA'!AF29)*100</f>
        <v>20.09902317256255</v>
      </c>
      <c r="BM27" s="203" t="e">
        <f>('Expenditure DATA'!AG29/'Expenditure DATA'!B29)*100</f>
        <v>#DIV/0!</v>
      </c>
      <c r="BN27" s="202" t="e">
        <f>('Expenditure DATA'!AH29/'Expenditure DATA'!C29)*100</f>
        <v>#DIV/0!</v>
      </c>
      <c r="BO27" s="202" t="e">
        <f>('Expenditure DATA'!AI29/'Expenditure DATA'!D29)*100</f>
        <v>#DIV/0!</v>
      </c>
      <c r="BP27" s="202" t="e">
        <f>('Expenditure DATA'!AJ29/'Expenditure DATA'!E29)*100</f>
        <v>#DIV/0!</v>
      </c>
      <c r="BQ27" s="202" t="e">
        <f>('Expenditure DATA'!AK29/'Expenditure DATA'!F29)*100</f>
        <v>#DIV/0!</v>
      </c>
      <c r="BR27" s="202" t="e">
        <f>('Expenditure DATA'!AL29/'Expenditure DATA'!G29)*100</f>
        <v>#DIV/0!</v>
      </c>
      <c r="BS27" s="202" t="e">
        <f>('Expenditure DATA'!AM29/'Expenditure DATA'!H29)*100</f>
        <v>#DIV/0!</v>
      </c>
      <c r="BT27" s="202" t="e">
        <f>('Expenditure DATA'!AN29/'Expenditure DATA'!I29)*100</f>
        <v>#DIV/0!</v>
      </c>
      <c r="BU27" s="202">
        <f>('Expenditure DATA'!AO29/'Expenditure DATA'!J29)*100</f>
        <v>38.117600206072986</v>
      </c>
      <c r="BV27" s="202">
        <f>('Expenditure DATA'!AP29/'Expenditure DATA'!K29)*100</f>
        <v>37.563937892671262</v>
      </c>
      <c r="BW27" s="202">
        <f>('Expenditure DATA'!AQ29/'Expenditure DATA'!L29)*100</f>
        <v>37.102381771583111</v>
      </c>
      <c r="BX27" s="202">
        <f>('Expenditure DATA'!AR29/'Expenditure DATA'!M29)*100</f>
        <v>34.739778895650616</v>
      </c>
      <c r="BY27" s="202">
        <f>('Expenditure DATA'!AS29/'Expenditure DATA'!N29)*100</f>
        <v>34.032577767831448</v>
      </c>
      <c r="BZ27" s="202">
        <f>('Expenditure DATA'!AT29/'Expenditure DATA'!O29)*100</f>
        <v>36.81856293292973</v>
      </c>
      <c r="CA27" s="202">
        <f>('Expenditure DATA'!AU29/'Expenditure DATA'!P29)*100</f>
        <v>38.099822296365019</v>
      </c>
      <c r="CB27" s="202">
        <f>('Expenditure DATA'!AV29/'Expenditure DATA'!Q29)*100</f>
        <v>37.67477005946413</v>
      </c>
      <c r="CC27" s="202">
        <f>('Expenditure DATA'!AW29/'Expenditure DATA'!R29)*100</f>
        <v>37.653877985822412</v>
      </c>
      <c r="CD27" s="202">
        <f>('Expenditure DATA'!AX29/'Expenditure DATA'!S29)*100</f>
        <v>36.735834671560788</v>
      </c>
      <c r="CE27" s="202">
        <f>('Expenditure DATA'!AY29/'Expenditure DATA'!T29)*100</f>
        <v>35.662628036185225</v>
      </c>
      <c r="CF27" s="202">
        <f>('Expenditure DATA'!AZ29/'Expenditure DATA'!U29)*100</f>
        <v>34.671555597678115</v>
      </c>
      <c r="CG27" s="202">
        <f>('Expenditure DATA'!BA29/'Expenditure DATA'!V29)*100</f>
        <v>33.847652050040523</v>
      </c>
      <c r="CH27" s="202">
        <f>('Expenditure DATA'!BB29/'Expenditure DATA'!W29)*100</f>
        <v>34.373403193535502</v>
      </c>
      <c r="CI27" s="202">
        <f>('Expenditure DATA'!BC29/'Expenditure DATA'!X29)*100</f>
        <v>34.874659324437118</v>
      </c>
      <c r="CJ27" s="202">
        <f>('Expenditure DATA'!BD29/'Expenditure DATA'!Y29)*100</f>
        <v>35.614942263935745</v>
      </c>
      <c r="CK27" s="202">
        <f>('Expenditure DATA'!BE29/'Expenditure DATA'!Z29)*100</f>
        <v>36.15077285497</v>
      </c>
      <c r="CL27" s="202">
        <f>('Expenditure DATA'!BF29/'Expenditure DATA'!AA29)*100</f>
        <v>35.045819741258661</v>
      </c>
      <c r="CM27" s="202">
        <f>('Expenditure DATA'!BG29/'Expenditure DATA'!AB29)*100</f>
        <v>36.223679588714703</v>
      </c>
      <c r="CN27" s="202">
        <f>('Expenditure DATA'!BH29/'Expenditure DATA'!AC29)*100</f>
        <v>35.530640402530537</v>
      </c>
      <c r="CO27" s="202">
        <f>('Expenditure DATA'!BI29/'Expenditure DATA'!AD29)*100</f>
        <v>33.430876742603729</v>
      </c>
      <c r="CP27" s="202">
        <f>('Expenditure DATA'!BJ29/'Expenditure DATA'!AE29)*100</f>
        <v>32.691306989379669</v>
      </c>
      <c r="CQ27" s="464">
        <f>('Expenditure DATA'!BK29/'Expenditure DATA'!AF29)*100</f>
        <v>33.873715504147398</v>
      </c>
      <c r="CR27" s="203" t="e">
        <f>('Expenditure DATA'!FA29/'Expenditure DATA'!B29)*100</f>
        <v>#DIV/0!</v>
      </c>
      <c r="CS27" s="202" t="e">
        <f>('Expenditure DATA'!FB29/'Expenditure DATA'!C29)*100</f>
        <v>#DIV/0!</v>
      </c>
      <c r="CT27" s="202" t="e">
        <f>('Expenditure DATA'!FC29/'Expenditure DATA'!D29)*100</f>
        <v>#DIV/0!</v>
      </c>
      <c r="CU27" s="202" t="e">
        <f>('Expenditure DATA'!FD29/'Expenditure DATA'!E29)*100</f>
        <v>#DIV/0!</v>
      </c>
      <c r="CV27" s="202" t="e">
        <f>('Expenditure DATA'!FE29/'Expenditure DATA'!F29)*100</f>
        <v>#DIV/0!</v>
      </c>
      <c r="CW27" s="202" t="e">
        <f>('Expenditure DATA'!FF29/'Expenditure DATA'!G29)*100</f>
        <v>#DIV/0!</v>
      </c>
      <c r="CX27" s="202" t="e">
        <f>('Expenditure DATA'!FG29/'Expenditure DATA'!H29)*100</f>
        <v>#DIV/0!</v>
      </c>
      <c r="CY27" s="202" t="e">
        <f>('Expenditure DATA'!FH29/'Expenditure DATA'!I29)*100</f>
        <v>#DIV/0!</v>
      </c>
      <c r="CZ27" s="202">
        <f>('Expenditure DATA'!FI29/'Expenditure DATA'!J29)*100</f>
        <v>16.93029140312132</v>
      </c>
      <c r="DA27" s="202">
        <f>('Expenditure DATA'!FJ29/'Expenditure DATA'!K29)*100</f>
        <v>17.989406800982053</v>
      </c>
      <c r="DB27" s="202">
        <f>('Expenditure DATA'!FK29/'Expenditure DATA'!L29)*100</f>
        <v>18.872329808361535</v>
      </c>
      <c r="DC27" s="202">
        <f>('Expenditure DATA'!FL29/'Expenditure DATA'!M29)*100</f>
        <v>20.284576232792823</v>
      </c>
      <c r="DD27" s="202">
        <f>('Expenditure DATA'!FM29/'Expenditure DATA'!N29)*100</f>
        <v>18.246001044364164</v>
      </c>
      <c r="DE27" s="202">
        <f>('Expenditure DATA'!FN29/'Expenditure DATA'!O29)*100</f>
        <v>20.5753080568388</v>
      </c>
      <c r="DF27" s="202">
        <f>('Expenditure DATA'!FO29/'Expenditure DATA'!P29)*100</f>
        <v>20.119145197924841</v>
      </c>
      <c r="DG27" s="202">
        <f>('Expenditure DATA'!FP29/'Expenditure DATA'!Q29)*100</f>
        <v>19.609667251897182</v>
      </c>
      <c r="DH27" s="202">
        <f>('Expenditure DATA'!FQ29/'Expenditure DATA'!R29)*100</f>
        <v>18.912803110590833</v>
      </c>
      <c r="DI27" s="202">
        <f>('Expenditure DATA'!FR29/'Expenditure DATA'!S29)*100</f>
        <v>18.019455908342533</v>
      </c>
      <c r="DJ27" s="202">
        <f>('Expenditure DATA'!FS29/'Expenditure DATA'!T29)*100</f>
        <v>18.243533057502773</v>
      </c>
      <c r="DK27" s="202">
        <f>('Expenditure DATA'!FT29/'Expenditure DATA'!U29)*100</f>
        <v>18.177216032515183</v>
      </c>
      <c r="DL27" s="202">
        <f>('Expenditure DATA'!FU29/'Expenditure DATA'!V29)*100</f>
        <v>18.122085014808395</v>
      </c>
      <c r="DM27" s="202">
        <f>('Expenditure DATA'!FV29/'Expenditure DATA'!W29)*100</f>
        <v>19.065505861264576</v>
      </c>
      <c r="DN27" s="202">
        <f>('Expenditure DATA'!FW29/'Expenditure DATA'!X29)*100</f>
        <v>19.964972251699692</v>
      </c>
      <c r="DO27" s="202">
        <f>('Expenditure DATA'!FX29/'Expenditure DATA'!Y29)*100</f>
        <v>19.538773644224005</v>
      </c>
      <c r="DP27" s="202">
        <f>('Expenditure DATA'!FY29/'Expenditure DATA'!Z29)*100</f>
        <v>19.598540879371214</v>
      </c>
      <c r="DQ27" s="202">
        <f>('Expenditure DATA'!FZ29/'Expenditure DATA'!AA29)*100</f>
        <v>20.022688189846377</v>
      </c>
      <c r="DR27" s="202">
        <f>('Expenditure DATA'!GA29/'Expenditure DATA'!AB29)*100</f>
        <v>20.056243370021775</v>
      </c>
      <c r="DS27" s="202">
        <f>('Expenditure DATA'!GB29/'Expenditure DATA'!AC29)*100</f>
        <v>20.719028828583429</v>
      </c>
      <c r="DT27" s="202">
        <f>('Expenditure DATA'!GC29/'Expenditure DATA'!AD29)*100</f>
        <v>19.734756664716691</v>
      </c>
      <c r="DU27" s="202">
        <f>('Expenditure DATA'!GD29/'Expenditure DATA'!AE29)*100</f>
        <v>21.31933065275053</v>
      </c>
      <c r="DV27" s="464">
        <f>('Expenditure DATA'!GE29/'Expenditure DATA'!AF29)*100</f>
        <v>23.263305655457362</v>
      </c>
      <c r="DW27" s="203" t="e">
        <f>('Expenditure DATA'!GF29/'Expenditure DATA'!B29)*100</f>
        <v>#DIV/0!</v>
      </c>
      <c r="DX27" s="202" t="e">
        <f>('Expenditure DATA'!GG29/'Expenditure DATA'!C29)*100</f>
        <v>#DIV/0!</v>
      </c>
      <c r="DY27" s="202" t="e">
        <f>('Expenditure DATA'!GH29/'Expenditure DATA'!D29)*100</f>
        <v>#DIV/0!</v>
      </c>
      <c r="DZ27" s="202" t="e">
        <f>('Expenditure DATA'!GI29/'Expenditure DATA'!E29)*100</f>
        <v>#DIV/0!</v>
      </c>
      <c r="EA27" s="202" t="e">
        <f>('Expenditure DATA'!GJ29/'Expenditure DATA'!F29)*100</f>
        <v>#DIV/0!</v>
      </c>
      <c r="EB27" s="202" t="e">
        <f>('Expenditure DATA'!GK29/'Expenditure DATA'!G29)*100</f>
        <v>#DIV/0!</v>
      </c>
      <c r="EC27" s="202" t="e">
        <f>('Expenditure DATA'!GL29/'Expenditure DATA'!H29)*100</f>
        <v>#DIV/0!</v>
      </c>
      <c r="ED27" s="202" t="e">
        <f>('Expenditure DATA'!GM29/'Expenditure DATA'!I29)*100</f>
        <v>#DIV/0!</v>
      </c>
      <c r="EE27" s="202">
        <f>('Expenditure DATA'!GN29/'Expenditure DATA'!J29)*100</f>
        <v>28.22136146775075</v>
      </c>
      <c r="EF27" s="202">
        <f>('Expenditure DATA'!GO29/'Expenditure DATA'!K29)*100</f>
        <v>28.110711358404927</v>
      </c>
      <c r="EG27" s="202">
        <f>('Expenditure DATA'!GP29/'Expenditure DATA'!L29)*100</f>
        <v>28.018468787380268</v>
      </c>
      <c r="EH27" s="202">
        <f>('Expenditure DATA'!GQ29/'Expenditure DATA'!M29)*100</f>
        <v>29.735701562285392</v>
      </c>
      <c r="EI27" s="202">
        <f>('Expenditure DATA'!GR29/'Expenditure DATA'!N29)*100</f>
        <v>32.513720600615962</v>
      </c>
      <c r="EJ27" s="202">
        <f>('Expenditure DATA'!GS29/'Expenditure DATA'!O29)*100</f>
        <v>27.386932446719765</v>
      </c>
      <c r="EK27" s="202">
        <f>('Expenditure DATA'!GT29/'Expenditure DATA'!P29)*100</f>
        <v>26.633397876333849</v>
      </c>
      <c r="EL27" s="202">
        <f>('Expenditure DATA'!GU29/'Expenditure DATA'!Q29)*100</f>
        <v>27.043933838752576</v>
      </c>
      <c r="EM27" s="202">
        <f>('Expenditure DATA'!GV29/'Expenditure DATA'!R29)*100</f>
        <v>28.111320073949429</v>
      </c>
      <c r="EN27" s="202">
        <f>('Expenditure DATA'!GW29/'Expenditure DATA'!S29)*100</f>
        <v>27.76255061229978</v>
      </c>
      <c r="EO27" s="202">
        <f>('Expenditure DATA'!GX29/'Expenditure DATA'!T29)*100</f>
        <v>26.364739906456691</v>
      </c>
      <c r="EP27" s="202">
        <f>('Expenditure DATA'!GY29/'Expenditure DATA'!U29)*100</f>
        <v>27.846708484059857</v>
      </c>
      <c r="EQ27" s="202">
        <f>('Expenditure DATA'!GZ29/'Expenditure DATA'!V29)*100</f>
        <v>29.078706389696247</v>
      </c>
      <c r="ER27" s="202">
        <f>('Expenditure DATA'!HA29/'Expenditure DATA'!W29)*100</f>
        <v>28.348243493529719</v>
      </c>
      <c r="ES27" s="202">
        <f>('Expenditure DATA'!HB29/'Expenditure DATA'!X29)*100</f>
        <v>27.651813234404415</v>
      </c>
      <c r="ET27" s="202">
        <f>('Expenditure DATA'!HC29/'Expenditure DATA'!Y29)*100</f>
        <v>27.849984453075187</v>
      </c>
      <c r="EU27" s="202">
        <f>('Expenditure DATA'!HD29/'Expenditure DATA'!Z29)*100</f>
        <v>27.335884882346413</v>
      </c>
      <c r="EV27" s="202">
        <f>('Expenditure DATA'!HE29/'Expenditure DATA'!AA29)*100</f>
        <v>27.517605925039256</v>
      </c>
      <c r="EW27" s="202">
        <f>('Expenditure DATA'!HF29/'Expenditure DATA'!AB29)*100</f>
        <v>27.473961124430264</v>
      </c>
      <c r="EX27" s="202">
        <f>('Expenditure DATA'!HG29/'Expenditure DATA'!AC29)*100</f>
        <v>26.4090617580984</v>
      </c>
      <c r="EY27" s="202">
        <f>('Expenditure DATA'!HH29/'Expenditure DATA'!AD29)*100</f>
        <v>29.916216448683926</v>
      </c>
      <c r="EZ27" s="202">
        <f>('Expenditure DATA'!HI29/'Expenditure DATA'!AE29)*100</f>
        <v>28.977684590193075</v>
      </c>
      <c r="FA27" s="464">
        <f>('Expenditure DATA'!HJ29/'Expenditure DATA'!AF29)*100</f>
        <v>25.538789237544062</v>
      </c>
      <c r="FB27" s="203" t="e">
        <f>('Expenditure DATA'!HK29/'Expenditure DATA'!B29)*100</f>
        <v>#DIV/0!</v>
      </c>
      <c r="FC27" s="202" t="e">
        <f>('Expenditure DATA'!HL29/'Expenditure DATA'!C29)*100</f>
        <v>#DIV/0!</v>
      </c>
      <c r="FD27" s="202" t="e">
        <f>('Expenditure DATA'!HM29/'Expenditure DATA'!D29)*100</f>
        <v>#DIV/0!</v>
      </c>
      <c r="FE27" s="202" t="e">
        <f>('Expenditure DATA'!HN29/'Expenditure DATA'!E29)*100</f>
        <v>#DIV/0!</v>
      </c>
      <c r="FF27" s="202" t="e">
        <f>('Expenditure DATA'!HO29/'Expenditure DATA'!F29)*100</f>
        <v>#DIV/0!</v>
      </c>
      <c r="FG27" s="202" t="e">
        <f>('Expenditure DATA'!HP29/'Expenditure DATA'!G29)*100</f>
        <v>#DIV/0!</v>
      </c>
      <c r="FH27" s="202" t="e">
        <f>('Expenditure DATA'!HQ29/'Expenditure DATA'!H29)*100</f>
        <v>#DIV/0!</v>
      </c>
      <c r="FI27" s="202" t="e">
        <f>('Expenditure DATA'!HR29/'Expenditure DATA'!I29)*100</f>
        <v>#DIV/0!</v>
      </c>
      <c r="FJ27" s="202">
        <f>('Expenditure DATA'!HS29/'Expenditure DATA'!J29)*100</f>
        <v>6.3399386152052051</v>
      </c>
      <c r="FK27" s="202">
        <f>('Expenditure DATA'!HT29/'Expenditure DATA'!K29)*100</f>
        <v>5.9992119876725631</v>
      </c>
      <c r="FL27" s="202">
        <f>('Expenditure DATA'!HU29/'Expenditure DATA'!L29)*100</f>
        <v>5.7151679833241813</v>
      </c>
      <c r="FM27" s="202">
        <f>('Expenditure DATA'!HV29/'Expenditure DATA'!M29)*100</f>
        <v>5.3646190874777924</v>
      </c>
      <c r="FN27" s="202">
        <f>('Expenditure DATA'!HW29/'Expenditure DATA'!N29)*100</f>
        <v>5.3705428029455327</v>
      </c>
      <c r="FO27" s="202">
        <f>('Expenditure DATA'!HX29/'Expenditure DATA'!O29)*100</f>
        <v>5.5839045693076166</v>
      </c>
      <c r="FP27" s="202">
        <f>('Expenditure DATA'!HY29/'Expenditure DATA'!P29)*100</f>
        <v>5.4279019459131339</v>
      </c>
      <c r="FQ27" s="202">
        <f>('Expenditure DATA'!HZ29/'Expenditure DATA'!Q29)*100</f>
        <v>5.566137982807307</v>
      </c>
      <c r="FR27" s="202">
        <f>('Expenditure DATA'!IA29/'Expenditure DATA'!R29)*100</f>
        <v>5.4721084219299758</v>
      </c>
      <c r="FS27" s="202">
        <f>('Expenditure DATA'!IB29/'Expenditure DATA'!S29)*100</f>
        <v>5.3579550246964054</v>
      </c>
      <c r="FT27" s="202">
        <f>('Expenditure DATA'!IC29/'Expenditure DATA'!T29)*100</f>
        <v>5.6000734995832353</v>
      </c>
      <c r="FU27" s="202">
        <f>('Expenditure DATA'!ID29/'Expenditure DATA'!U29)*100</f>
        <v>5.4861614473099074</v>
      </c>
      <c r="FV27" s="202">
        <f>('Expenditure DATA'!IE29/'Expenditure DATA'!V29)*100</f>
        <v>5.3914634814094029</v>
      </c>
      <c r="FW27" s="202">
        <f>('Expenditure DATA'!IF29/'Expenditure DATA'!W29)*100</f>
        <v>5.5563813532299866</v>
      </c>
      <c r="FX27" s="202">
        <f>('Expenditure DATA'!IG29/'Expenditure DATA'!X29)*100</f>
        <v>5.7136156177068766</v>
      </c>
      <c r="FY27" s="202">
        <f>('Expenditure DATA'!IH29/'Expenditure DATA'!Y29)*100</f>
        <v>6.0485159239411885</v>
      </c>
      <c r="FZ27" s="202">
        <f>('Expenditure DATA'!II29/'Expenditure DATA'!Z29)*100</f>
        <v>6.2105991121357391</v>
      </c>
      <c r="GA27" s="202">
        <f>('Expenditure DATA'!IJ29/'Expenditure DATA'!AA29)*100</f>
        <v>6.8304476580747915</v>
      </c>
      <c r="GB27" s="202">
        <f>('Expenditure DATA'!IK29/'Expenditure DATA'!AB29)*100</f>
        <v>6.4812928103202054</v>
      </c>
      <c r="GC27" s="202">
        <f>('Expenditure DATA'!IL29/'Expenditure DATA'!AC29)*100</f>
        <v>6.6274552364919472</v>
      </c>
      <c r="GD27" s="202">
        <f>('Expenditure DATA'!IM29/'Expenditure DATA'!AD29)*100</f>
        <v>6.4191854849023553</v>
      </c>
      <c r="GE27" s="202">
        <f>('Expenditure DATA'!IN29/'Expenditure DATA'!AE29)*100</f>
        <v>5.9934531066136554</v>
      </c>
      <c r="GF27" s="464">
        <f>('Expenditure DATA'!IO29/'Expenditure DATA'!AF29)*100</f>
        <v>5.9701059215505978</v>
      </c>
      <c r="GG27" s="203" t="e">
        <f>('Expenditure DATA'!IP29/'Expenditure DATA'!B29)*100</f>
        <v>#DIV/0!</v>
      </c>
      <c r="GH27" s="202" t="e">
        <f>('Expenditure DATA'!IQ29/'Expenditure DATA'!C29)*100</f>
        <v>#DIV/0!</v>
      </c>
      <c r="GI27" s="202" t="e">
        <f>('Expenditure DATA'!IR29/'Expenditure DATA'!D29)*100</f>
        <v>#DIV/0!</v>
      </c>
      <c r="GJ27" s="202" t="e">
        <f>('Expenditure DATA'!IS29/'Expenditure DATA'!E29)*100</f>
        <v>#DIV/0!</v>
      </c>
      <c r="GK27" s="202" t="e">
        <f>('Expenditure DATA'!IT29/'Expenditure DATA'!F29)*100</f>
        <v>#DIV/0!</v>
      </c>
      <c r="GL27" s="202" t="e">
        <f>('Expenditure DATA'!IU29/'Expenditure DATA'!G29)*100</f>
        <v>#DIV/0!</v>
      </c>
      <c r="GM27" s="202" t="e">
        <f>('Expenditure DATA'!IV29/'Expenditure DATA'!H29)*100</f>
        <v>#DIV/0!</v>
      </c>
      <c r="GN27" s="202" t="e">
        <f>('Expenditure DATA'!IW29/'Expenditure DATA'!I29)*100</f>
        <v>#DIV/0!</v>
      </c>
      <c r="GO27" s="202">
        <f>('Expenditure DATA'!IX29/'Expenditure DATA'!J29)*100</f>
        <v>10.390808307849735</v>
      </c>
      <c r="GP27" s="202">
        <f>('Expenditure DATA'!IY29/'Expenditure DATA'!K29)*100</f>
        <v>10.3367319602692</v>
      </c>
      <c r="GQ27" s="202">
        <f>('Expenditure DATA'!IZ29/'Expenditure DATA'!L29)*100</f>
        <v>10.291651649350914</v>
      </c>
      <c r="GR27" s="202">
        <f>('Expenditure DATA'!JA29/'Expenditure DATA'!M29)*100</f>
        <v>9.8753242217933863</v>
      </c>
      <c r="GS27" s="202">
        <f>('Expenditure DATA'!JB29/'Expenditure DATA'!N29)*100</f>
        <v>9.8371577842428888</v>
      </c>
      <c r="GT27" s="202">
        <f>('Expenditure DATA'!JC29/'Expenditure DATA'!O29)*100</f>
        <v>9.6352919942040884</v>
      </c>
      <c r="GU27" s="202">
        <f>('Expenditure DATA'!JD29/'Expenditure DATA'!P29)*100</f>
        <v>9.7197326834631568</v>
      </c>
      <c r="GV27" s="202">
        <f>('Expenditure DATA'!JE29/'Expenditure DATA'!Q29)*100</f>
        <v>10.105490867078807</v>
      </c>
      <c r="GW27" s="202">
        <f>('Expenditure DATA'!JF29/'Expenditure DATA'!R29)*100</f>
        <v>9.8498904077073579</v>
      </c>
      <c r="GX27" s="202">
        <f>('Expenditure DATA'!JG29/'Expenditure DATA'!S29)*100</f>
        <v>12.124203783100484</v>
      </c>
      <c r="GY27" s="202">
        <f>('Expenditure DATA'!JH29/'Expenditure DATA'!T29)*100</f>
        <v>14.129025500272071</v>
      </c>
      <c r="GZ27" s="202">
        <f>('Expenditure DATA'!JI29/'Expenditure DATA'!U29)*100</f>
        <v>13.818358438436928</v>
      </c>
      <c r="HA27" s="202">
        <f>('Expenditure DATA'!JJ29/'Expenditure DATA'!V29)*100</f>
        <v>13.560093064045439</v>
      </c>
      <c r="HB27" s="202">
        <f>('Expenditure DATA'!JK29/'Expenditure DATA'!W29)*100</f>
        <v>12.65646609844023</v>
      </c>
      <c r="HC27" s="202">
        <f>('Expenditure DATA'!JL29/'Expenditure DATA'!X29)*100</f>
        <v>11.7949395717519</v>
      </c>
      <c r="HD27" s="202">
        <f>('Expenditure DATA'!JM29/'Expenditure DATA'!Y29)*100</f>
        <v>10.947783714823876</v>
      </c>
      <c r="HE27" s="202">
        <f>('Expenditure DATA'!JN29/'Expenditure DATA'!Z29)*100</f>
        <v>10.704202271176635</v>
      </c>
      <c r="HF27" s="202">
        <f>('Expenditure DATA'!JO29/'Expenditure DATA'!AA29)*100</f>
        <v>10.58343848578091</v>
      </c>
      <c r="HG27" s="202">
        <f>('Expenditure DATA'!JP29/'Expenditure DATA'!AB29)*100</f>
        <v>9.764823106513056</v>
      </c>
      <c r="HH27" s="202">
        <f>('Expenditure DATA'!JQ29/'Expenditure DATA'!AC29)*100</f>
        <v>10.713813774295694</v>
      </c>
      <c r="HI27" s="202">
        <f>('Expenditure DATA'!JR29/'Expenditure DATA'!AD29)*100</f>
        <v>10.498964659093305</v>
      </c>
      <c r="HJ27" s="202">
        <f>('Expenditure DATA'!JS29/'Expenditure DATA'!AE29)*100</f>
        <v>11.018224661063059</v>
      </c>
      <c r="HK27" s="464">
        <f>('Expenditure DATA'!JT29/'Expenditure DATA'!AF29)*100</f>
        <v>11.354083681300569</v>
      </c>
      <c r="HL27" s="203" t="e">
        <f t="shared" si="1"/>
        <v>#DIV/0!</v>
      </c>
      <c r="HM27" s="204" t="e">
        <f t="shared" si="2"/>
        <v>#DIV/0!</v>
      </c>
      <c r="HN27" s="204" t="e">
        <f t="shared" si="3"/>
        <v>#DIV/0!</v>
      </c>
      <c r="HO27" s="204" t="e">
        <f t="shared" si="4"/>
        <v>#DIV/0!</v>
      </c>
      <c r="HP27" s="204" t="e">
        <f t="shared" si="5"/>
        <v>#DIV/0!</v>
      </c>
      <c r="HQ27" s="204" t="e">
        <f t="shared" si="6"/>
        <v>#DIV/0!</v>
      </c>
      <c r="HR27" s="204" t="e">
        <f t="shared" si="7"/>
        <v>#DIV/0!</v>
      </c>
      <c r="HS27" s="204" t="e">
        <f t="shared" si="8"/>
        <v>#DIV/0!</v>
      </c>
      <c r="HT27" s="204">
        <f t="shared" si="9"/>
        <v>100</v>
      </c>
      <c r="HU27" s="204">
        <f t="shared" si="10"/>
        <v>100.00000000000001</v>
      </c>
      <c r="HV27" s="204">
        <f t="shared" si="11"/>
        <v>100</v>
      </c>
      <c r="HW27" s="204">
        <f t="shared" si="12"/>
        <v>100.00000000000001</v>
      </c>
      <c r="HX27" s="204">
        <f t="shared" si="13"/>
        <v>100</v>
      </c>
      <c r="HY27" s="204">
        <f t="shared" si="14"/>
        <v>100</v>
      </c>
      <c r="HZ27" s="204">
        <f t="shared" si="15"/>
        <v>100</v>
      </c>
      <c r="IA27" s="204">
        <f t="shared" si="16"/>
        <v>100</v>
      </c>
      <c r="IB27" s="204">
        <f t="shared" si="17"/>
        <v>100.00000000000001</v>
      </c>
      <c r="IC27" s="204">
        <f t="shared" si="18"/>
        <v>99.999999999999986</v>
      </c>
      <c r="ID27" s="204">
        <f t="shared" si="19"/>
        <v>100</v>
      </c>
      <c r="IE27" s="204">
        <f t="shared" si="20"/>
        <v>100</v>
      </c>
      <c r="IF27" s="204">
        <f t="shared" si="21"/>
        <v>100</v>
      </c>
      <c r="IG27" s="204">
        <f t="shared" si="22"/>
        <v>100.00000000000001</v>
      </c>
      <c r="IH27" s="204">
        <f t="shared" si="23"/>
        <v>100</v>
      </c>
      <c r="II27" s="204">
        <f t="shared" si="24"/>
        <v>99.999999999999986</v>
      </c>
      <c r="IJ27" s="204">
        <f t="shared" si="25"/>
        <v>100</v>
      </c>
      <c r="IK27" s="204">
        <f t="shared" si="26"/>
        <v>100</v>
      </c>
      <c r="IL27" s="204">
        <f t="shared" si="32"/>
        <v>100</v>
      </c>
      <c r="IM27" s="204">
        <f t="shared" si="33"/>
        <v>100</v>
      </c>
      <c r="IN27" s="204">
        <f t="shared" si="34"/>
        <v>100</v>
      </c>
      <c r="IO27" s="204">
        <f t="shared" si="35"/>
        <v>99.999999999999986</v>
      </c>
      <c r="IP27" s="204">
        <f t="shared" si="36"/>
        <v>99.999999999999986</v>
      </c>
    </row>
    <row r="28" spans="1:250" s="164" customFormat="1">
      <c r="A28" s="164" t="s">
        <v>52</v>
      </c>
      <c r="C28" s="202" t="e">
        <f>('Expenditure DATA'!CQ30/'Expenditure DATA'!B30)*100</f>
        <v>#DIV/0!</v>
      </c>
      <c r="D28" s="202" t="e">
        <f>('Expenditure DATA'!CR30/'Expenditure DATA'!C30)*100</f>
        <v>#DIV/0!</v>
      </c>
      <c r="E28" s="202" t="e">
        <f>('Expenditure DATA'!CS30/'Expenditure DATA'!D30)*100</f>
        <v>#DIV/0!</v>
      </c>
      <c r="F28" s="202" t="e">
        <f>('Expenditure DATA'!CT30/'Expenditure DATA'!E30)*100</f>
        <v>#DIV/0!</v>
      </c>
      <c r="G28" s="202" t="e">
        <f>('Expenditure DATA'!CU30/'Expenditure DATA'!F30)*100</f>
        <v>#DIV/0!</v>
      </c>
      <c r="H28" s="202" t="e">
        <f>('Expenditure DATA'!CV30/'Expenditure DATA'!G30)*100</f>
        <v>#DIV/0!</v>
      </c>
      <c r="I28" s="202" t="e">
        <f>('Expenditure DATA'!CW30/'Expenditure DATA'!H30)*100</f>
        <v>#DIV/0!</v>
      </c>
      <c r="J28" s="202" t="e">
        <f>('Expenditure DATA'!CX30/'Expenditure DATA'!I30)*100</f>
        <v>#DIV/0!</v>
      </c>
      <c r="K28" s="202">
        <f>('Expenditure DATA'!CY30/'Expenditure DATA'!J30)*100</f>
        <v>9.2819052465375798</v>
      </c>
      <c r="L28" s="202">
        <f>('Expenditure DATA'!CZ30/'Expenditure DATA'!K30)*100</f>
        <v>8.8063793102624128</v>
      </c>
      <c r="M28" s="202">
        <f>('Expenditure DATA'!DA30/'Expenditure DATA'!L30)*100</f>
        <v>8.4592502277419843</v>
      </c>
      <c r="N28" s="202">
        <f>('Expenditure DATA'!DB30/'Expenditure DATA'!M30)*100</f>
        <v>9.2673141590791666</v>
      </c>
      <c r="O28" s="202">
        <f>('Expenditure DATA'!DC30/'Expenditure DATA'!N30)*100</f>
        <v>8.847950991815857</v>
      </c>
      <c r="P28" s="202">
        <f>('Expenditure DATA'!DD30/'Expenditure DATA'!O30)*100</f>
        <v>9.8805710938034341</v>
      </c>
      <c r="Q28" s="202">
        <f>('Expenditure DATA'!DE30/'Expenditure DATA'!P30)*100</f>
        <v>8.8166994012457458</v>
      </c>
      <c r="R28" s="202">
        <f>('Expenditure DATA'!DF30/'Expenditure DATA'!Q30)*100</f>
        <v>8.7769295624701549</v>
      </c>
      <c r="S28" s="202">
        <f>('Expenditure DATA'!DG30/'Expenditure DATA'!R30)*100</f>
        <v>9.6881624325222244</v>
      </c>
      <c r="T28" s="202">
        <f>('Expenditure DATA'!DH30/'Expenditure DATA'!S30)*100</f>
        <v>9.9423146406189638</v>
      </c>
      <c r="U28" s="202">
        <f>('Expenditure DATA'!DI30/'Expenditure DATA'!T30)*100</f>
        <v>9.4314587997813337</v>
      </c>
      <c r="V28" s="202">
        <f>('Expenditure DATA'!DJ30/'Expenditure DATA'!U30)*100</f>
        <v>9.4894415947016846</v>
      </c>
      <c r="W28" s="202">
        <f>('Expenditure DATA'!DK30/'Expenditure DATA'!V30)*100</f>
        <v>9.5404584637020964</v>
      </c>
      <c r="X28" s="202">
        <f>('Expenditure DATA'!DL30/'Expenditure DATA'!W30)*100</f>
        <v>9.2037824517137281</v>
      </c>
      <c r="Y28" s="202">
        <f>('Expenditure DATA'!DM30/'Expenditure DATA'!X30)*100</f>
        <v>8.8814553836341279</v>
      </c>
      <c r="Z28" s="202">
        <f>('Expenditure DATA'!DN30/'Expenditure DATA'!Y30)*100</f>
        <v>9.4374168597004431</v>
      </c>
      <c r="AA28" s="202">
        <f>('Expenditure DATA'!DO30/'Expenditure DATA'!Z30)*100</f>
        <v>9.4995152728396146</v>
      </c>
      <c r="AB28" s="202">
        <f>('Expenditure DATA'!DP30/'Expenditure DATA'!AA30)*100</f>
        <v>9.3746083560293592</v>
      </c>
      <c r="AC28" s="202">
        <f>('Expenditure DATA'!DQ30/'Expenditure DATA'!AB30)*100</f>
        <v>9.3017990539784545</v>
      </c>
      <c r="AD28" s="202">
        <f>('Expenditure DATA'!DR30/'Expenditure DATA'!AC30)*100</f>
        <v>9.0961174351066294</v>
      </c>
      <c r="AE28" s="202">
        <f>('Expenditure DATA'!DS30/'Expenditure DATA'!AD30)*100</f>
        <v>8.9238158379084531</v>
      </c>
      <c r="AF28" s="202">
        <f>('Expenditure DATA'!DT30/'Expenditure DATA'!AE30)*100</f>
        <v>10.746779585644417</v>
      </c>
      <c r="AG28" s="464">
        <f>('Expenditure DATA'!DU30/'Expenditure DATA'!AF30)*100</f>
        <v>12.234803987206265</v>
      </c>
      <c r="AH28" s="203" t="e">
        <f>('Expenditure DATA'!BL30/'Expenditure DATA'!B30)*100</f>
        <v>#DIV/0!</v>
      </c>
      <c r="AI28" s="202" t="e">
        <f>('Expenditure DATA'!BM30/'Expenditure DATA'!C30)*100</f>
        <v>#DIV/0!</v>
      </c>
      <c r="AJ28" s="202" t="e">
        <f>('Expenditure DATA'!BN30/'Expenditure DATA'!D30)*100</f>
        <v>#DIV/0!</v>
      </c>
      <c r="AK28" s="202" t="e">
        <f>('Expenditure DATA'!BO30/'Expenditure DATA'!E30)*100</f>
        <v>#DIV/0!</v>
      </c>
      <c r="AL28" s="202" t="e">
        <f>('Expenditure DATA'!BP30/'Expenditure DATA'!F30)*100</f>
        <v>#DIV/0!</v>
      </c>
      <c r="AM28" s="202" t="e">
        <f>('Expenditure DATA'!BQ30/'Expenditure DATA'!G30)*100</f>
        <v>#DIV/0!</v>
      </c>
      <c r="AN28" s="202" t="e">
        <f>('Expenditure DATA'!BR30/'Expenditure DATA'!H30)*100</f>
        <v>#DIV/0!</v>
      </c>
      <c r="AO28" s="202" t="e">
        <f>('Expenditure DATA'!BS30/'Expenditure DATA'!I30)*100</f>
        <v>#DIV/0!</v>
      </c>
      <c r="AP28" s="202">
        <f>('Expenditure DATA'!BT30/'Expenditure DATA'!J30)*100</f>
        <v>15.512051093073032</v>
      </c>
      <c r="AQ28" s="202">
        <f>('Expenditure DATA'!BU30/'Expenditure DATA'!K30)*100</f>
        <v>14.332721641787122</v>
      </c>
      <c r="AR28" s="202">
        <f>('Expenditure DATA'!BV30/'Expenditure DATA'!L30)*100</f>
        <v>13.471823172986658</v>
      </c>
      <c r="AS28" s="202">
        <f>('Expenditure DATA'!BW30/'Expenditure DATA'!M30)*100</f>
        <v>13.070719629224694</v>
      </c>
      <c r="AT28" s="202">
        <f>('Expenditure DATA'!BX30/'Expenditure DATA'!N30)*100</f>
        <v>13.324400300356473</v>
      </c>
      <c r="AU28" s="202">
        <f>('Expenditure DATA'!BY30/'Expenditure DATA'!O30)*100</f>
        <v>14.255368501815521</v>
      </c>
      <c r="AV28" s="202">
        <f>('Expenditure DATA'!BZ30/'Expenditure DATA'!P30)*100</f>
        <v>14.425633375658112</v>
      </c>
      <c r="AW28" s="202">
        <f>('Expenditure DATA'!CA30/'Expenditure DATA'!Q30)*100</f>
        <v>14.096601078671062</v>
      </c>
      <c r="AX28" s="202">
        <f>('Expenditure DATA'!CB30/'Expenditure DATA'!R30)*100</f>
        <v>14.733944773608423</v>
      </c>
      <c r="AY28" s="202">
        <f>('Expenditure DATA'!CC30/'Expenditure DATA'!S30)*100</f>
        <v>15.495178785788234</v>
      </c>
      <c r="AZ28" s="202">
        <f>('Expenditure DATA'!CD30/'Expenditure DATA'!T30)*100</f>
        <v>15.671270398360166</v>
      </c>
      <c r="BA28" s="202">
        <f>('Expenditure DATA'!CE30/'Expenditure DATA'!U30)*100</f>
        <v>16.573271224451368</v>
      </c>
      <c r="BB28" s="202">
        <f>('Expenditure DATA'!CF30/'Expenditure DATA'!V30)*100</f>
        <v>17.366907647914079</v>
      </c>
      <c r="BC28" s="202">
        <f>('Expenditure DATA'!CG30/'Expenditure DATA'!W30)*100</f>
        <v>18.361049113946954</v>
      </c>
      <c r="BD28" s="202">
        <f>('Expenditure DATA'!CH30/'Expenditure DATA'!X30)*100</f>
        <v>19.312820825006092</v>
      </c>
      <c r="BE28" s="202">
        <f>('Expenditure DATA'!CI30/'Expenditure DATA'!Y30)*100</f>
        <v>18.52483248670023</v>
      </c>
      <c r="BF28" s="202">
        <f>('Expenditure DATA'!CJ30/'Expenditure DATA'!Z30)*100</f>
        <v>19.667567219915878</v>
      </c>
      <c r="BG28" s="202">
        <f>('Expenditure DATA'!CK30/'Expenditure DATA'!AA30)*100</f>
        <v>19.641159991916563</v>
      </c>
      <c r="BH28" s="202">
        <f>('Expenditure DATA'!CL30/'Expenditure DATA'!AB30)*100</f>
        <v>19.214588867484192</v>
      </c>
      <c r="BI28" s="202">
        <f>('Expenditure DATA'!CM30/'Expenditure DATA'!AC30)*100</f>
        <v>18.586599529544319</v>
      </c>
      <c r="BJ28" s="202">
        <f>('Expenditure DATA'!CN30/'Expenditure DATA'!AD30)*100</f>
        <v>17.138750757747392</v>
      </c>
      <c r="BK28" s="202">
        <f>('Expenditure DATA'!CO30/'Expenditure DATA'!AE30)*100</f>
        <v>15.883049028685639</v>
      </c>
      <c r="BL28" s="464">
        <f>('Expenditure DATA'!CP30/'Expenditure DATA'!AF30)*100</f>
        <v>15.394407624662721</v>
      </c>
      <c r="BM28" s="203" t="e">
        <f>('Expenditure DATA'!AG30/'Expenditure DATA'!B30)*100</f>
        <v>#DIV/0!</v>
      </c>
      <c r="BN28" s="202" t="e">
        <f>('Expenditure DATA'!AH30/'Expenditure DATA'!C30)*100</f>
        <v>#DIV/0!</v>
      </c>
      <c r="BO28" s="202" t="e">
        <f>('Expenditure DATA'!AI30/'Expenditure DATA'!D30)*100</f>
        <v>#DIV/0!</v>
      </c>
      <c r="BP28" s="202" t="e">
        <f>('Expenditure DATA'!AJ30/'Expenditure DATA'!E30)*100</f>
        <v>#DIV/0!</v>
      </c>
      <c r="BQ28" s="202" t="e">
        <f>('Expenditure DATA'!AK30/'Expenditure DATA'!F30)*100</f>
        <v>#DIV/0!</v>
      </c>
      <c r="BR28" s="202" t="e">
        <f>('Expenditure DATA'!AL30/'Expenditure DATA'!G30)*100</f>
        <v>#DIV/0!</v>
      </c>
      <c r="BS28" s="202" t="e">
        <f>('Expenditure DATA'!AM30/'Expenditure DATA'!H30)*100</f>
        <v>#DIV/0!</v>
      </c>
      <c r="BT28" s="202" t="e">
        <f>('Expenditure DATA'!AN30/'Expenditure DATA'!I30)*100</f>
        <v>#DIV/0!</v>
      </c>
      <c r="BU28" s="202">
        <f>('Expenditure DATA'!AO30/'Expenditure DATA'!J30)*100</f>
        <v>25.724888297907288</v>
      </c>
      <c r="BV28" s="202">
        <f>('Expenditure DATA'!AP30/'Expenditure DATA'!K30)*100</f>
        <v>24.06394224127671</v>
      </c>
      <c r="BW28" s="202">
        <f>('Expenditure DATA'!AQ30/'Expenditure DATA'!L30)*100</f>
        <v>22.851468563667527</v>
      </c>
      <c r="BX28" s="202">
        <f>('Expenditure DATA'!AR30/'Expenditure DATA'!M30)*100</f>
        <v>23.087801983220398</v>
      </c>
      <c r="BY28" s="202">
        <f>('Expenditure DATA'!AS30/'Expenditure DATA'!N30)*100</f>
        <v>22.852431719492756</v>
      </c>
      <c r="BZ28" s="202">
        <f>('Expenditure DATA'!AT30/'Expenditure DATA'!O30)*100</f>
        <v>24.92553536326788</v>
      </c>
      <c r="CA28" s="202">
        <f>('Expenditure DATA'!AU30/'Expenditure DATA'!P30)*100</f>
        <v>23.957859565077506</v>
      </c>
      <c r="CB28" s="202">
        <f>('Expenditure DATA'!AV30/'Expenditure DATA'!Q30)*100</f>
        <v>23.493471765564696</v>
      </c>
      <c r="CC28" s="202">
        <f>('Expenditure DATA'!AW30/'Expenditure DATA'!R30)*100</f>
        <v>25.112092758905401</v>
      </c>
      <c r="CD28" s="202">
        <f>('Expenditure DATA'!AX30/'Expenditure DATA'!S30)*100</f>
        <v>25.825954731958216</v>
      </c>
      <c r="CE28" s="202">
        <f>('Expenditure DATA'!AY30/'Expenditure DATA'!T30)*100</f>
        <v>25.403505179642988</v>
      </c>
      <c r="CF28" s="202">
        <f>('Expenditure DATA'!AZ30/'Expenditure DATA'!U30)*100</f>
        <v>26.539259878623611</v>
      </c>
      <c r="CG28" s="202">
        <f>('Expenditure DATA'!BA30/'Expenditure DATA'!V30)*100</f>
        <v>27.538567496928174</v>
      </c>
      <c r="CH28" s="202">
        <f>('Expenditure DATA'!BB30/'Expenditure DATA'!W30)*100</f>
        <v>28.285493500011867</v>
      </c>
      <c r="CI28" s="202">
        <f>('Expenditure DATA'!BC30/'Expenditure DATA'!X30)*100</f>
        <v>29.00058593331152</v>
      </c>
      <c r="CJ28" s="202">
        <f>('Expenditure DATA'!BD30/'Expenditure DATA'!Y30)*100</f>
        <v>28.712524560220643</v>
      </c>
      <c r="CK28" s="202">
        <f>('Expenditure DATA'!BE30/'Expenditure DATA'!Z30)*100</f>
        <v>29.89023917166022</v>
      </c>
      <c r="CL28" s="202">
        <f>('Expenditure DATA'!BF30/'Expenditure DATA'!AA30)*100</f>
        <v>29.748307415938314</v>
      </c>
      <c r="CM28" s="202">
        <f>('Expenditure DATA'!BG30/'Expenditure DATA'!AB30)*100</f>
        <v>29.274440570182858</v>
      </c>
      <c r="CN28" s="202">
        <f>('Expenditure DATA'!BH30/'Expenditure DATA'!AC30)*100</f>
        <v>28.409628754605855</v>
      </c>
      <c r="CO28" s="202">
        <f>('Expenditure DATA'!BI30/'Expenditure DATA'!AD30)*100</f>
        <v>26.937065791005637</v>
      </c>
      <c r="CP28" s="202">
        <f>('Expenditure DATA'!BJ30/'Expenditure DATA'!AE30)*100</f>
        <v>27.700200507322688</v>
      </c>
      <c r="CQ28" s="464">
        <f>('Expenditure DATA'!BK30/'Expenditure DATA'!AF30)*100</f>
        <v>28.738785403824529</v>
      </c>
      <c r="CR28" s="203" t="e">
        <f>('Expenditure DATA'!FA30/'Expenditure DATA'!B30)*100</f>
        <v>#DIV/0!</v>
      </c>
      <c r="CS28" s="202" t="e">
        <f>('Expenditure DATA'!FB30/'Expenditure DATA'!C30)*100</f>
        <v>#DIV/0!</v>
      </c>
      <c r="CT28" s="202" t="e">
        <f>('Expenditure DATA'!FC30/'Expenditure DATA'!D30)*100</f>
        <v>#DIV/0!</v>
      </c>
      <c r="CU28" s="202" t="e">
        <f>('Expenditure DATA'!FD30/'Expenditure DATA'!E30)*100</f>
        <v>#DIV/0!</v>
      </c>
      <c r="CV28" s="202" t="e">
        <f>('Expenditure DATA'!FE30/'Expenditure DATA'!F30)*100</f>
        <v>#DIV/0!</v>
      </c>
      <c r="CW28" s="202" t="e">
        <f>('Expenditure DATA'!FF30/'Expenditure DATA'!G30)*100</f>
        <v>#DIV/0!</v>
      </c>
      <c r="CX28" s="202" t="e">
        <f>('Expenditure DATA'!FG30/'Expenditure DATA'!H30)*100</f>
        <v>#DIV/0!</v>
      </c>
      <c r="CY28" s="202" t="e">
        <f>('Expenditure DATA'!FH30/'Expenditure DATA'!I30)*100</f>
        <v>#DIV/0!</v>
      </c>
      <c r="CZ28" s="202">
        <f>('Expenditure DATA'!FI30/'Expenditure DATA'!J30)*100</f>
        <v>17.432549970557908</v>
      </c>
      <c r="DA28" s="202">
        <f>('Expenditure DATA'!FJ30/'Expenditure DATA'!K30)*100</f>
        <v>17.163191624526235</v>
      </c>
      <c r="DB28" s="202">
        <f>('Expenditure DATA'!FK30/'Expenditure DATA'!L30)*100</f>
        <v>16.966562779715783</v>
      </c>
      <c r="DC28" s="202">
        <f>('Expenditure DATA'!FL30/'Expenditure DATA'!M30)*100</f>
        <v>18.156594460904508</v>
      </c>
      <c r="DD28" s="202">
        <f>('Expenditure DATA'!FM30/'Expenditure DATA'!N30)*100</f>
        <v>18.902987321918548</v>
      </c>
      <c r="DE28" s="202">
        <f>('Expenditure DATA'!FN30/'Expenditure DATA'!O30)*100</f>
        <v>21.428626656793558</v>
      </c>
      <c r="DF28" s="202">
        <f>('Expenditure DATA'!FO30/'Expenditure DATA'!P30)*100</f>
        <v>21.997530555530602</v>
      </c>
      <c r="DG28" s="202">
        <f>('Expenditure DATA'!FP30/'Expenditure DATA'!Q30)*100</f>
        <v>22.805027050135937</v>
      </c>
      <c r="DH28" s="202">
        <f>('Expenditure DATA'!FQ30/'Expenditure DATA'!R30)*100</f>
        <v>22.216336035345375</v>
      </c>
      <c r="DI28" s="202">
        <f>('Expenditure DATA'!FR30/'Expenditure DATA'!S30)*100</f>
        <v>22.456595454072641</v>
      </c>
      <c r="DJ28" s="202">
        <f>('Expenditure DATA'!FS30/'Expenditure DATA'!T30)*100</f>
        <v>23.060614264624284</v>
      </c>
      <c r="DK28" s="202">
        <f>('Expenditure DATA'!FT30/'Expenditure DATA'!U30)*100</f>
        <v>22.579245295468723</v>
      </c>
      <c r="DL28" s="202">
        <f>('Expenditure DATA'!FU30/'Expenditure DATA'!V30)*100</f>
        <v>22.155706939409701</v>
      </c>
      <c r="DM28" s="202">
        <f>('Expenditure DATA'!FV30/'Expenditure DATA'!W30)*100</f>
        <v>23.128567062167697</v>
      </c>
      <c r="DN28" s="202">
        <f>('Expenditure DATA'!FW30/'Expenditure DATA'!X30)*100</f>
        <v>24.059964428936386</v>
      </c>
      <c r="DO28" s="202">
        <f>('Expenditure DATA'!FX30/'Expenditure DATA'!Y30)*100</f>
        <v>24.864783457371605</v>
      </c>
      <c r="DP28" s="202">
        <f>('Expenditure DATA'!FY30/'Expenditure DATA'!Z30)*100</f>
        <v>24.626698156757588</v>
      </c>
      <c r="DQ28" s="202">
        <f>('Expenditure DATA'!FZ30/'Expenditure DATA'!AA30)*100</f>
        <v>24.400049184571103</v>
      </c>
      <c r="DR28" s="202">
        <f>('Expenditure DATA'!GA30/'Expenditure DATA'!AB30)*100</f>
        <v>25.053543069747992</v>
      </c>
      <c r="DS28" s="202">
        <f>('Expenditure DATA'!GB30/'Expenditure DATA'!AC30)*100</f>
        <v>24.441145962317655</v>
      </c>
      <c r="DT28" s="202">
        <f>('Expenditure DATA'!GC30/'Expenditure DATA'!AD30)*100</f>
        <v>26.846492017194123</v>
      </c>
      <c r="DU28" s="202">
        <f>('Expenditure DATA'!GD30/'Expenditure DATA'!AE30)*100</f>
        <v>28.412348052660491</v>
      </c>
      <c r="DV28" s="464">
        <f>('Expenditure DATA'!GE30/'Expenditure DATA'!AF30)*100</f>
        <v>26.704711594045321</v>
      </c>
      <c r="DW28" s="203" t="e">
        <f>('Expenditure DATA'!GF30/'Expenditure DATA'!B30)*100</f>
        <v>#DIV/0!</v>
      </c>
      <c r="DX28" s="202" t="e">
        <f>('Expenditure DATA'!GG30/'Expenditure DATA'!C30)*100</f>
        <v>#DIV/0!</v>
      </c>
      <c r="DY28" s="202" t="e">
        <f>('Expenditure DATA'!GH30/'Expenditure DATA'!D30)*100</f>
        <v>#DIV/0!</v>
      </c>
      <c r="DZ28" s="202" t="e">
        <f>('Expenditure DATA'!GI30/'Expenditure DATA'!E30)*100</f>
        <v>#DIV/0!</v>
      </c>
      <c r="EA28" s="202" t="e">
        <f>('Expenditure DATA'!GJ30/'Expenditure DATA'!F30)*100</f>
        <v>#DIV/0!</v>
      </c>
      <c r="EB28" s="202" t="e">
        <f>('Expenditure DATA'!GK30/'Expenditure DATA'!G30)*100</f>
        <v>#DIV/0!</v>
      </c>
      <c r="EC28" s="202" t="e">
        <f>('Expenditure DATA'!GL30/'Expenditure DATA'!H30)*100</f>
        <v>#DIV/0!</v>
      </c>
      <c r="ED28" s="202" t="e">
        <f>('Expenditure DATA'!GM30/'Expenditure DATA'!I30)*100</f>
        <v>#DIV/0!</v>
      </c>
      <c r="EE28" s="202">
        <f>('Expenditure DATA'!GN30/'Expenditure DATA'!J30)*100</f>
        <v>32.11360682268068</v>
      </c>
      <c r="EF28" s="202">
        <f>('Expenditure DATA'!GO30/'Expenditure DATA'!K30)*100</f>
        <v>33.855229389109923</v>
      </c>
      <c r="EG28" s="202">
        <f>('Expenditure DATA'!GP30/'Expenditure DATA'!L30)*100</f>
        <v>35.126596095870603</v>
      </c>
      <c r="EH28" s="202">
        <f>('Expenditure DATA'!GQ30/'Expenditure DATA'!M30)*100</f>
        <v>33.87905141771315</v>
      </c>
      <c r="EI28" s="202">
        <f>('Expenditure DATA'!GR30/'Expenditure DATA'!N30)*100</f>
        <v>32.202858310347736</v>
      </c>
      <c r="EJ28" s="202">
        <f>('Expenditure DATA'!GS30/'Expenditure DATA'!O30)*100</f>
        <v>28.456241617524171</v>
      </c>
      <c r="EK28" s="202">
        <f>('Expenditure DATA'!GT30/'Expenditure DATA'!P30)*100</f>
        <v>28.079264629951052</v>
      </c>
      <c r="EL28" s="202">
        <f>('Expenditure DATA'!GU30/'Expenditure DATA'!Q30)*100</f>
        <v>28.104975129117811</v>
      </c>
      <c r="EM28" s="202">
        <f>('Expenditure DATA'!GV30/'Expenditure DATA'!R30)*100</f>
        <v>25.862773307218845</v>
      </c>
      <c r="EN28" s="202">
        <f>('Expenditure DATA'!GW30/'Expenditure DATA'!S30)*100</f>
        <v>24.383661387606846</v>
      </c>
      <c r="EO28" s="202">
        <f>('Expenditure DATA'!GX30/'Expenditure DATA'!T30)*100</f>
        <v>25.956125441446069</v>
      </c>
      <c r="EP28" s="202">
        <f>('Expenditure DATA'!GY30/'Expenditure DATA'!U30)*100</f>
        <v>25.383722306083406</v>
      </c>
      <c r="EQ28" s="202">
        <f>('Expenditure DATA'!GZ30/'Expenditure DATA'!V30)*100</f>
        <v>24.880086429055808</v>
      </c>
      <c r="ER28" s="202">
        <f>('Expenditure DATA'!HA30/'Expenditure DATA'!W30)*100</f>
        <v>23.667671926852226</v>
      </c>
      <c r="ES28" s="202">
        <f>('Expenditure DATA'!HB30/'Expenditure DATA'!X30)*100</f>
        <v>22.506929854720358</v>
      </c>
      <c r="ET28" s="202">
        <f>('Expenditure DATA'!HC30/'Expenditure DATA'!Y30)*100</f>
        <v>22.970733542642332</v>
      </c>
      <c r="EU28" s="202">
        <f>('Expenditure DATA'!HD30/'Expenditure DATA'!Z30)*100</f>
        <v>22.505025700336585</v>
      </c>
      <c r="EV28" s="202">
        <f>('Expenditure DATA'!HE30/'Expenditure DATA'!AA30)*100</f>
        <v>23.681597931046657</v>
      </c>
      <c r="EW28" s="202">
        <f>('Expenditure DATA'!HF30/'Expenditure DATA'!AB30)*100</f>
        <v>23.493506311537796</v>
      </c>
      <c r="EX28" s="202">
        <f>('Expenditure DATA'!HG30/'Expenditure DATA'!AC30)*100</f>
        <v>25.710949052956728</v>
      </c>
      <c r="EY28" s="202">
        <f>('Expenditure DATA'!HH30/'Expenditure DATA'!AD30)*100</f>
        <v>26.206470076576977</v>
      </c>
      <c r="EZ28" s="202">
        <f>('Expenditure DATA'!HI30/'Expenditure DATA'!AE30)*100</f>
        <v>24.04187173593921</v>
      </c>
      <c r="FA28" s="464">
        <f>('Expenditure DATA'!HJ30/'Expenditure DATA'!AF30)*100</f>
        <v>23.394560932527568</v>
      </c>
      <c r="FB28" s="203" t="e">
        <f>('Expenditure DATA'!HK30/'Expenditure DATA'!B30)*100</f>
        <v>#DIV/0!</v>
      </c>
      <c r="FC28" s="202" t="e">
        <f>('Expenditure DATA'!HL30/'Expenditure DATA'!C30)*100</f>
        <v>#DIV/0!</v>
      </c>
      <c r="FD28" s="202" t="e">
        <f>('Expenditure DATA'!HM30/'Expenditure DATA'!D30)*100</f>
        <v>#DIV/0!</v>
      </c>
      <c r="FE28" s="202" t="e">
        <f>('Expenditure DATA'!HN30/'Expenditure DATA'!E30)*100</f>
        <v>#DIV/0!</v>
      </c>
      <c r="FF28" s="202" t="e">
        <f>('Expenditure DATA'!HO30/'Expenditure DATA'!F30)*100</f>
        <v>#DIV/0!</v>
      </c>
      <c r="FG28" s="202" t="e">
        <f>('Expenditure DATA'!HP30/'Expenditure DATA'!G30)*100</f>
        <v>#DIV/0!</v>
      </c>
      <c r="FH28" s="202" t="e">
        <f>('Expenditure DATA'!HQ30/'Expenditure DATA'!H30)*100</f>
        <v>#DIV/0!</v>
      </c>
      <c r="FI28" s="202" t="e">
        <f>('Expenditure DATA'!HR30/'Expenditure DATA'!I30)*100</f>
        <v>#DIV/0!</v>
      </c>
      <c r="FJ28" s="202">
        <f>('Expenditure DATA'!HS30/'Expenditure DATA'!J30)*100</f>
        <v>8.7761673806099996</v>
      </c>
      <c r="FK28" s="202">
        <f>('Expenditure DATA'!HT30/'Expenditure DATA'!K30)*100</f>
        <v>7.924979433684209</v>
      </c>
      <c r="FL28" s="202">
        <f>('Expenditure DATA'!HU30/'Expenditure DATA'!L30)*100</f>
        <v>7.3036209156120862</v>
      </c>
      <c r="FM28" s="202">
        <f>('Expenditure DATA'!HV30/'Expenditure DATA'!M30)*100</f>
        <v>7.4116355260937228</v>
      </c>
      <c r="FN28" s="202">
        <f>('Expenditure DATA'!HW30/'Expenditure DATA'!N30)*100</f>
        <v>8.4199640376868707</v>
      </c>
      <c r="FO28" s="202">
        <f>('Expenditure DATA'!HX30/'Expenditure DATA'!O30)*100</f>
        <v>6.5316251669060588</v>
      </c>
      <c r="FP28" s="202">
        <f>('Expenditure DATA'!HY30/'Expenditure DATA'!P30)*100</f>
        <v>6.4687172486082538</v>
      </c>
      <c r="FQ28" s="202">
        <f>('Expenditure DATA'!HZ30/'Expenditure DATA'!Q30)*100</f>
        <v>6.0992012975491141</v>
      </c>
      <c r="FR28" s="202">
        <f>('Expenditure DATA'!IA30/'Expenditure DATA'!R30)*100</f>
        <v>6.5588434954565775</v>
      </c>
      <c r="FS28" s="202">
        <f>('Expenditure DATA'!IB30/'Expenditure DATA'!S30)*100</f>
        <v>6.3690906841433206</v>
      </c>
      <c r="FT28" s="202">
        <f>('Expenditure DATA'!IC30/'Expenditure DATA'!T30)*100</f>
        <v>6.2394146700935735</v>
      </c>
      <c r="FU28" s="202">
        <f>('Expenditure DATA'!ID30/'Expenditure DATA'!U30)*100</f>
        <v>6.30804089561481</v>
      </c>
      <c r="FV28" s="202">
        <f>('Expenditure DATA'!IE30/'Expenditure DATA'!V30)*100</f>
        <v>6.3684225167874171</v>
      </c>
      <c r="FW28" s="202">
        <f>('Expenditure DATA'!IF30/'Expenditure DATA'!W30)*100</f>
        <v>6.6605933628795269</v>
      </c>
      <c r="FX28" s="202">
        <f>('Expenditure DATA'!IG30/'Expenditure DATA'!X30)*100</f>
        <v>6.940312050418397</v>
      </c>
      <c r="FY28" s="202">
        <f>('Expenditure DATA'!IH30/'Expenditure DATA'!Y30)*100</f>
        <v>6.1257397543817138</v>
      </c>
      <c r="FZ28" s="202">
        <f>('Expenditure DATA'!II30/'Expenditure DATA'!Z30)*100</f>
        <v>6.0662418827617142</v>
      </c>
      <c r="GA28" s="202">
        <f>('Expenditure DATA'!IJ30/'Expenditure DATA'!AA30)*100</f>
        <v>6.011258610255747</v>
      </c>
      <c r="GB28" s="202">
        <f>('Expenditure DATA'!IK30/'Expenditure DATA'!AB30)*100</f>
        <v>6.5418661182325293</v>
      </c>
      <c r="GC28" s="202">
        <f>('Expenditure DATA'!IL30/'Expenditure DATA'!AC30)*100</f>
        <v>6.2031710263861868</v>
      </c>
      <c r="GD28" s="202">
        <f>('Expenditure DATA'!IM30/'Expenditure DATA'!AD30)*100</f>
        <v>5.4805642345194734</v>
      </c>
      <c r="GE28" s="202">
        <f>('Expenditure DATA'!IN30/'Expenditure DATA'!AE30)*100</f>
        <v>5.3202931205031483</v>
      </c>
      <c r="GF28" s="464">
        <f>('Expenditure DATA'!IO30/'Expenditure DATA'!AF30)*100</f>
        <v>5.8539568816758045</v>
      </c>
      <c r="GG28" s="203" t="e">
        <f>('Expenditure DATA'!IP30/'Expenditure DATA'!B30)*100</f>
        <v>#DIV/0!</v>
      </c>
      <c r="GH28" s="202" t="e">
        <f>('Expenditure DATA'!IQ30/'Expenditure DATA'!C30)*100</f>
        <v>#DIV/0!</v>
      </c>
      <c r="GI28" s="202" t="e">
        <f>('Expenditure DATA'!IR30/'Expenditure DATA'!D30)*100</f>
        <v>#DIV/0!</v>
      </c>
      <c r="GJ28" s="202" t="e">
        <f>('Expenditure DATA'!IS30/'Expenditure DATA'!E30)*100</f>
        <v>#DIV/0!</v>
      </c>
      <c r="GK28" s="202" t="e">
        <f>('Expenditure DATA'!IT30/'Expenditure DATA'!F30)*100</f>
        <v>#DIV/0!</v>
      </c>
      <c r="GL28" s="202" t="e">
        <f>('Expenditure DATA'!IU30/'Expenditure DATA'!G30)*100</f>
        <v>#DIV/0!</v>
      </c>
      <c r="GM28" s="202" t="e">
        <f>('Expenditure DATA'!IV30/'Expenditure DATA'!H30)*100</f>
        <v>#DIV/0!</v>
      </c>
      <c r="GN28" s="202" t="e">
        <f>('Expenditure DATA'!IW30/'Expenditure DATA'!I30)*100</f>
        <v>#DIV/0!</v>
      </c>
      <c r="GO28" s="202">
        <f>('Expenditure DATA'!IX30/'Expenditure DATA'!J30)*100</f>
        <v>15.950725788892846</v>
      </c>
      <c r="GP28" s="202">
        <f>('Expenditure DATA'!IY30/'Expenditure DATA'!K30)*100</f>
        <v>16.991787335929558</v>
      </c>
      <c r="GQ28" s="202">
        <f>('Expenditure DATA'!IZ30/'Expenditure DATA'!L30)*100</f>
        <v>17.751751645133997</v>
      </c>
      <c r="GR28" s="202">
        <f>('Expenditure DATA'!JA30/'Expenditure DATA'!M30)*100</f>
        <v>17.464916612068215</v>
      </c>
      <c r="GS28" s="202">
        <f>('Expenditure DATA'!JB30/'Expenditure DATA'!N30)*100</f>
        <v>17.621758610554089</v>
      </c>
      <c r="GT28" s="202">
        <f>('Expenditure DATA'!JC30/'Expenditure DATA'!O30)*100</f>
        <v>18.657971195508331</v>
      </c>
      <c r="GU28" s="202">
        <f>('Expenditure DATA'!JD30/'Expenditure DATA'!P30)*100</f>
        <v>19.49662800083259</v>
      </c>
      <c r="GV28" s="202">
        <f>('Expenditure DATA'!JE30/'Expenditure DATA'!Q30)*100</f>
        <v>19.497324757632452</v>
      </c>
      <c r="GW28" s="202">
        <f>('Expenditure DATA'!JF30/'Expenditure DATA'!R30)*100</f>
        <v>20.249954403073801</v>
      </c>
      <c r="GX28" s="202">
        <f>('Expenditure DATA'!JG30/'Expenditure DATA'!S30)*100</f>
        <v>20.964697742218966</v>
      </c>
      <c r="GY28" s="202">
        <f>('Expenditure DATA'!JH30/'Expenditure DATA'!T30)*100</f>
        <v>19.340340444193089</v>
      </c>
      <c r="GZ28" s="202">
        <f>('Expenditure DATA'!JI30/'Expenditure DATA'!U30)*100</f>
        <v>19.189731624209443</v>
      </c>
      <c r="HA28" s="202">
        <f>('Expenditure DATA'!JJ30/'Expenditure DATA'!V30)*100</f>
        <v>19.057216617818899</v>
      </c>
      <c r="HB28" s="202">
        <f>('Expenditure DATA'!JK30/'Expenditure DATA'!W30)*100</f>
        <v>18.257674148088672</v>
      </c>
      <c r="HC28" s="202">
        <f>('Expenditure DATA'!JL30/'Expenditure DATA'!X30)*100</f>
        <v>17.492207732613334</v>
      </c>
      <c r="HD28" s="202">
        <f>('Expenditure DATA'!JM30/'Expenditure DATA'!Y30)*100</f>
        <v>17.326218685383708</v>
      </c>
      <c r="HE28" s="202">
        <f>('Expenditure DATA'!JN30/'Expenditure DATA'!Z30)*100</f>
        <v>16.911795088483899</v>
      </c>
      <c r="HF28" s="202">
        <f>('Expenditure DATA'!JO30/'Expenditure DATA'!AA30)*100</f>
        <v>16.158786858188186</v>
      </c>
      <c r="HG28" s="202">
        <f>('Expenditure DATA'!JP30/'Expenditure DATA'!AB30)*100</f>
        <v>15.636643930298833</v>
      </c>
      <c r="HH28" s="202">
        <f>('Expenditure DATA'!JQ30/'Expenditure DATA'!AC30)*100</f>
        <v>15.235105203733582</v>
      </c>
      <c r="HI28" s="202">
        <f>('Expenditure DATA'!JR30/'Expenditure DATA'!AD30)*100</f>
        <v>14.529407880703785</v>
      </c>
      <c r="HJ28" s="202">
        <f>('Expenditure DATA'!JS30/'Expenditure DATA'!AE30)*100</f>
        <v>14.525286583574456</v>
      </c>
      <c r="HK28" s="464">
        <f>('Expenditure DATA'!JT30/'Expenditure DATA'!AF30)*100</f>
        <v>15.307985187926779</v>
      </c>
      <c r="HL28" s="203" t="e">
        <f t="shared" si="1"/>
        <v>#DIV/0!</v>
      </c>
      <c r="HM28" s="204" t="e">
        <f t="shared" si="2"/>
        <v>#DIV/0!</v>
      </c>
      <c r="HN28" s="204" t="e">
        <f t="shared" si="3"/>
        <v>#DIV/0!</v>
      </c>
      <c r="HO28" s="204" t="e">
        <f t="shared" si="4"/>
        <v>#DIV/0!</v>
      </c>
      <c r="HP28" s="204" t="e">
        <f t="shared" si="5"/>
        <v>#DIV/0!</v>
      </c>
      <c r="HQ28" s="204" t="e">
        <f t="shared" si="6"/>
        <v>#DIV/0!</v>
      </c>
      <c r="HR28" s="204" t="e">
        <f t="shared" si="7"/>
        <v>#DIV/0!</v>
      </c>
      <c r="HS28" s="204" t="e">
        <f t="shared" si="8"/>
        <v>#DIV/0!</v>
      </c>
      <c r="HT28" s="204">
        <f t="shared" si="9"/>
        <v>99.997938260648738</v>
      </c>
      <c r="HU28" s="204">
        <f t="shared" si="10"/>
        <v>99.999130024526636</v>
      </c>
      <c r="HV28" s="204">
        <f t="shared" si="11"/>
        <v>99.999999999999986</v>
      </c>
      <c r="HW28" s="204">
        <f t="shared" si="12"/>
        <v>100</v>
      </c>
      <c r="HX28" s="204">
        <f t="shared" si="13"/>
        <v>100</v>
      </c>
      <c r="HY28" s="204">
        <f t="shared" si="14"/>
        <v>100</v>
      </c>
      <c r="HZ28" s="204">
        <f t="shared" si="15"/>
        <v>100</v>
      </c>
      <c r="IA28" s="204">
        <f t="shared" si="16"/>
        <v>100.00000000000001</v>
      </c>
      <c r="IB28" s="204">
        <f t="shared" si="17"/>
        <v>100</v>
      </c>
      <c r="IC28" s="204">
        <f t="shared" si="18"/>
        <v>100</v>
      </c>
      <c r="ID28" s="204">
        <f t="shared" si="19"/>
        <v>100</v>
      </c>
      <c r="IE28" s="204">
        <f t="shared" si="20"/>
        <v>100</v>
      </c>
      <c r="IF28" s="204">
        <f t="shared" si="21"/>
        <v>100</v>
      </c>
      <c r="IG28" s="204">
        <f t="shared" si="22"/>
        <v>99.999999999999986</v>
      </c>
      <c r="IH28" s="204">
        <f t="shared" si="23"/>
        <v>100</v>
      </c>
      <c r="II28" s="204">
        <f t="shared" si="24"/>
        <v>100</v>
      </c>
      <c r="IJ28" s="204">
        <f t="shared" si="25"/>
        <v>100.00000000000001</v>
      </c>
      <c r="IK28" s="204">
        <f t="shared" si="26"/>
        <v>100</v>
      </c>
      <c r="IL28" s="204">
        <f t="shared" si="32"/>
        <v>100.00000000000001</v>
      </c>
      <c r="IM28" s="204">
        <f t="shared" si="33"/>
        <v>100.00000000000001</v>
      </c>
      <c r="IN28" s="204">
        <f t="shared" si="34"/>
        <v>100</v>
      </c>
      <c r="IO28" s="204">
        <f t="shared" si="35"/>
        <v>100</v>
      </c>
      <c r="IP28" s="204">
        <f t="shared" si="36"/>
        <v>99.999999999999986</v>
      </c>
    </row>
    <row r="29" spans="1:250" s="164" customFormat="1">
      <c r="A29" s="164" t="s">
        <v>53</v>
      </c>
      <c r="C29" s="202" t="e">
        <f>('Expenditure DATA'!CQ31/'Expenditure DATA'!B31)*100</f>
        <v>#DIV/0!</v>
      </c>
      <c r="D29" s="202" t="e">
        <f>('Expenditure DATA'!CR31/'Expenditure DATA'!C31)*100</f>
        <v>#DIV/0!</v>
      </c>
      <c r="E29" s="202" t="e">
        <f>('Expenditure DATA'!CS31/'Expenditure DATA'!D31)*100</f>
        <v>#DIV/0!</v>
      </c>
      <c r="F29" s="202" t="e">
        <f>('Expenditure DATA'!CT31/'Expenditure DATA'!E31)*100</f>
        <v>#DIV/0!</v>
      </c>
      <c r="G29" s="202" t="e">
        <f>('Expenditure DATA'!CU31/'Expenditure DATA'!F31)*100</f>
        <v>#DIV/0!</v>
      </c>
      <c r="H29" s="202" t="e">
        <f>('Expenditure DATA'!CV31/'Expenditure DATA'!G31)*100</f>
        <v>#DIV/0!</v>
      </c>
      <c r="I29" s="202" t="e">
        <f>('Expenditure DATA'!CW31/'Expenditure DATA'!H31)*100</f>
        <v>#DIV/0!</v>
      </c>
      <c r="J29" s="202" t="e">
        <f>('Expenditure DATA'!CX31/'Expenditure DATA'!I31)*100</f>
        <v>#DIV/0!</v>
      </c>
      <c r="K29" s="202">
        <f>('Expenditure DATA'!CY31/'Expenditure DATA'!J31)*100</f>
        <v>11.660639701924566</v>
      </c>
      <c r="L29" s="202">
        <f>('Expenditure DATA'!CZ31/'Expenditure DATA'!K31)*100</f>
        <v>11.378165098728875</v>
      </c>
      <c r="M29" s="202">
        <f>('Expenditure DATA'!DA31/'Expenditure DATA'!L31)*100</f>
        <v>11.148867427869122</v>
      </c>
      <c r="N29" s="202">
        <f>('Expenditure DATA'!DB31/'Expenditure DATA'!M31)*100</f>
        <v>11.27102842654625</v>
      </c>
      <c r="O29" s="202">
        <f>('Expenditure DATA'!DC31/'Expenditure DATA'!N31)*100</f>
        <v>11.866042517881141</v>
      </c>
      <c r="P29" s="202">
        <f>('Expenditure DATA'!DD31/'Expenditure DATA'!O31)*100</f>
        <v>10.908364334512505</v>
      </c>
      <c r="Q29" s="202">
        <f>('Expenditure DATA'!DE31/'Expenditure DATA'!P31)*100</f>
        <v>11.224906445729724</v>
      </c>
      <c r="R29" s="202">
        <f>('Expenditure DATA'!DF31/'Expenditure DATA'!Q31)*100</f>
        <v>10.563522636764922</v>
      </c>
      <c r="S29" s="202">
        <f>('Expenditure DATA'!DG31/'Expenditure DATA'!R31)*100</f>
        <v>10.490065228879692</v>
      </c>
      <c r="T29" s="202">
        <f>('Expenditure DATA'!DH31/'Expenditure DATA'!S31)*100</f>
        <v>10.38087275052311</v>
      </c>
      <c r="U29" s="202">
        <f>('Expenditure DATA'!DI31/'Expenditure DATA'!T31)*100</f>
        <v>10.804279253424811</v>
      </c>
      <c r="V29" s="202">
        <f>('Expenditure DATA'!DJ31/'Expenditure DATA'!U31)*100</f>
        <v>10.463724048740124</v>
      </c>
      <c r="W29" s="202">
        <f>('Expenditure DATA'!DK31/'Expenditure DATA'!V31)*100</f>
        <v>10.172016064729247</v>
      </c>
      <c r="X29" s="202">
        <f>('Expenditure DATA'!DL31/'Expenditure DATA'!W31)*100</f>
        <v>10.582823358334128</v>
      </c>
      <c r="Y29" s="202">
        <f>('Expenditure DATA'!DM31/'Expenditure DATA'!X31)*100</f>
        <v>10.953518006480676</v>
      </c>
      <c r="Z29" s="202">
        <f>('Expenditure DATA'!DN31/'Expenditure DATA'!Y31)*100</f>
        <v>10.643898974516148</v>
      </c>
      <c r="AA29" s="202">
        <f>('Expenditure DATA'!DO31/'Expenditure DATA'!Z31)*100</f>
        <v>10.55885205229354</v>
      </c>
      <c r="AB29" s="202">
        <f>('Expenditure DATA'!DP31/'Expenditure DATA'!AA31)*100</f>
        <v>10.302765557393572</v>
      </c>
      <c r="AC29" s="202">
        <f>('Expenditure DATA'!DQ31/'Expenditure DATA'!AB31)*100</f>
        <v>11.249681598288932</v>
      </c>
      <c r="AD29" s="202">
        <f>('Expenditure DATA'!DR31/'Expenditure DATA'!AC31)*100</f>
        <v>11.027166500517309</v>
      </c>
      <c r="AE29" s="202">
        <f>('Expenditure DATA'!DS31/'Expenditure DATA'!AD31)*100</f>
        <v>10.667080125759936</v>
      </c>
      <c r="AF29" s="202">
        <f>('Expenditure DATA'!DT31/'Expenditure DATA'!AE31)*100</f>
        <v>10.313240486519517</v>
      </c>
      <c r="AG29" s="464">
        <f>('Expenditure DATA'!DU31/'Expenditure DATA'!AF31)*100</f>
        <v>11.134261470831699</v>
      </c>
      <c r="AH29" s="203" t="e">
        <f>('Expenditure DATA'!BL31/'Expenditure DATA'!B31)*100</f>
        <v>#DIV/0!</v>
      </c>
      <c r="AI29" s="202" t="e">
        <f>('Expenditure DATA'!BM31/'Expenditure DATA'!C31)*100</f>
        <v>#DIV/0!</v>
      </c>
      <c r="AJ29" s="202" t="e">
        <f>('Expenditure DATA'!BN31/'Expenditure DATA'!D31)*100</f>
        <v>#DIV/0!</v>
      </c>
      <c r="AK29" s="202" t="e">
        <f>('Expenditure DATA'!BO31/'Expenditure DATA'!E31)*100</f>
        <v>#DIV/0!</v>
      </c>
      <c r="AL29" s="202" t="e">
        <f>('Expenditure DATA'!BP31/'Expenditure DATA'!F31)*100</f>
        <v>#DIV/0!</v>
      </c>
      <c r="AM29" s="202" t="e">
        <f>('Expenditure DATA'!BQ31/'Expenditure DATA'!G31)*100</f>
        <v>#DIV/0!</v>
      </c>
      <c r="AN29" s="202" t="e">
        <f>('Expenditure DATA'!BR31/'Expenditure DATA'!H31)*100</f>
        <v>#DIV/0!</v>
      </c>
      <c r="AO29" s="202" t="e">
        <f>('Expenditure DATA'!BS31/'Expenditure DATA'!I31)*100</f>
        <v>#DIV/0!</v>
      </c>
      <c r="AP29" s="202">
        <f>('Expenditure DATA'!BT31/'Expenditure DATA'!J31)*100</f>
        <v>24.408773430006171</v>
      </c>
      <c r="AQ29" s="202">
        <f>('Expenditure DATA'!BU31/'Expenditure DATA'!K31)*100</f>
        <v>24.923822660844461</v>
      </c>
      <c r="AR29" s="202">
        <f>('Expenditure DATA'!BV31/'Expenditure DATA'!L31)*100</f>
        <v>25.341911889657386</v>
      </c>
      <c r="AS29" s="202">
        <f>('Expenditure DATA'!BW31/'Expenditure DATA'!M31)*100</f>
        <v>24.214065449531777</v>
      </c>
      <c r="AT29" s="202">
        <f>('Expenditure DATA'!BX31/'Expenditure DATA'!N31)*100</f>
        <v>24.054797122463999</v>
      </c>
      <c r="AU29" s="202">
        <f>('Expenditure DATA'!BY31/'Expenditure DATA'!O31)*100</f>
        <v>25.146016649207009</v>
      </c>
      <c r="AV29" s="202">
        <f>('Expenditure DATA'!BZ31/'Expenditure DATA'!P31)*100</f>
        <v>25.91518186158148</v>
      </c>
      <c r="AW29" s="202">
        <f>('Expenditure DATA'!CA31/'Expenditure DATA'!Q31)*100</f>
        <v>25.936456122701735</v>
      </c>
      <c r="AX29" s="202">
        <f>('Expenditure DATA'!CB31/'Expenditure DATA'!R31)*100</f>
        <v>25.275303674958828</v>
      </c>
      <c r="AY29" s="202">
        <f>('Expenditure DATA'!CC31/'Expenditure DATA'!S31)*100</f>
        <v>24.538129508710291</v>
      </c>
      <c r="AZ29" s="202">
        <f>('Expenditure DATA'!CD31/'Expenditure DATA'!T31)*100</f>
        <v>24.123229897051036</v>
      </c>
      <c r="BA29" s="202">
        <f>('Expenditure DATA'!CE31/'Expenditure DATA'!U31)*100</f>
        <v>24.038575112313882</v>
      </c>
      <c r="BB29" s="202">
        <f>('Expenditure DATA'!CF31/'Expenditure DATA'!V31)*100</f>
        <v>23.966062708295823</v>
      </c>
      <c r="BC29" s="202">
        <f>('Expenditure DATA'!CG31/'Expenditure DATA'!W31)*100</f>
        <v>23.258171527426338</v>
      </c>
      <c r="BD29" s="202">
        <f>('Expenditure DATA'!CH31/'Expenditure DATA'!X31)*100</f>
        <v>22.619401290618292</v>
      </c>
      <c r="BE29" s="202">
        <f>('Expenditure DATA'!CI31/'Expenditure DATA'!Y31)*100</f>
        <v>22.0705949944699</v>
      </c>
      <c r="BF29" s="202">
        <f>('Expenditure DATA'!CJ31/'Expenditure DATA'!Z31)*100</f>
        <v>22.019735183492951</v>
      </c>
      <c r="BG29" s="202">
        <f>('Expenditure DATA'!CK31/'Expenditure DATA'!AA31)*100</f>
        <v>21.23509178942577</v>
      </c>
      <c r="BH29" s="202">
        <f>('Expenditure DATA'!CL31/'Expenditure DATA'!AB31)*100</f>
        <v>19.881518469361762</v>
      </c>
      <c r="BI29" s="202">
        <f>('Expenditure DATA'!CM31/'Expenditure DATA'!AC31)*100</f>
        <v>19.789144873725835</v>
      </c>
      <c r="BJ29" s="202">
        <f>('Expenditure DATA'!CN31/'Expenditure DATA'!AD31)*100</f>
        <v>19.66172144435258</v>
      </c>
      <c r="BK29" s="202">
        <f>('Expenditure DATA'!CO31/'Expenditure DATA'!AE31)*100</f>
        <v>18.101744021690887</v>
      </c>
      <c r="BL29" s="464">
        <f>('Expenditure DATA'!CP31/'Expenditure DATA'!AF31)*100</f>
        <v>18.578045044520302</v>
      </c>
      <c r="BM29" s="203" t="e">
        <f>('Expenditure DATA'!AG31/'Expenditure DATA'!B31)*100</f>
        <v>#DIV/0!</v>
      </c>
      <c r="BN29" s="202" t="e">
        <f>('Expenditure DATA'!AH31/'Expenditure DATA'!C31)*100</f>
        <v>#DIV/0!</v>
      </c>
      <c r="BO29" s="202" t="e">
        <f>('Expenditure DATA'!AI31/'Expenditure DATA'!D31)*100</f>
        <v>#DIV/0!</v>
      </c>
      <c r="BP29" s="202" t="e">
        <f>('Expenditure DATA'!AJ31/'Expenditure DATA'!E31)*100</f>
        <v>#DIV/0!</v>
      </c>
      <c r="BQ29" s="202" t="e">
        <f>('Expenditure DATA'!AK31/'Expenditure DATA'!F31)*100</f>
        <v>#DIV/0!</v>
      </c>
      <c r="BR29" s="202" t="e">
        <f>('Expenditure DATA'!AL31/'Expenditure DATA'!G31)*100</f>
        <v>#DIV/0!</v>
      </c>
      <c r="BS29" s="202" t="e">
        <f>('Expenditure DATA'!AM31/'Expenditure DATA'!H31)*100</f>
        <v>#DIV/0!</v>
      </c>
      <c r="BT29" s="202" t="e">
        <f>('Expenditure DATA'!AN31/'Expenditure DATA'!I31)*100</f>
        <v>#DIV/0!</v>
      </c>
      <c r="BU29" s="202">
        <f>('Expenditure DATA'!AO31/'Expenditure DATA'!J31)*100</f>
        <v>38.077227880373016</v>
      </c>
      <c r="BV29" s="202">
        <f>('Expenditure DATA'!AP31/'Expenditure DATA'!K31)*100</f>
        <v>38.36983705231976</v>
      </c>
      <c r="BW29" s="202">
        <f>('Expenditure DATA'!AQ31/'Expenditure DATA'!L31)*100</f>
        <v>38.607361420317929</v>
      </c>
      <c r="BX29" s="202">
        <f>('Expenditure DATA'!AR31/'Expenditure DATA'!M31)*100</f>
        <v>37.487016276788687</v>
      </c>
      <c r="BY29" s="202">
        <f>('Expenditure DATA'!AS31/'Expenditure DATA'!N31)*100</f>
        <v>37.912422863454985</v>
      </c>
      <c r="BZ29" s="202">
        <f>('Expenditure DATA'!AT31/'Expenditure DATA'!O31)*100</f>
        <v>38.581669823087481</v>
      </c>
      <c r="CA29" s="202">
        <f>('Expenditure DATA'!AU31/'Expenditure DATA'!P31)*100</f>
        <v>40.196876464363577</v>
      </c>
      <c r="CB29" s="202">
        <f>('Expenditure DATA'!AV31/'Expenditure DATA'!Q31)*100</f>
        <v>38.424001679541306</v>
      </c>
      <c r="CC29" s="202">
        <f>('Expenditure DATA'!AW31/'Expenditure DATA'!R31)*100</f>
        <v>37.658935122145031</v>
      </c>
      <c r="CD29" s="202">
        <f>('Expenditure DATA'!AX31/'Expenditure DATA'!S31)*100</f>
        <v>36.52414856410909</v>
      </c>
      <c r="CE29" s="202">
        <f>('Expenditure DATA'!AY31/'Expenditure DATA'!T31)*100</f>
        <v>36.994501735548972</v>
      </c>
      <c r="CF29" s="202">
        <f>('Expenditure DATA'!AZ31/'Expenditure DATA'!U31)*100</f>
        <v>36.475023995445063</v>
      </c>
      <c r="CG29" s="202">
        <f>('Expenditure DATA'!BA31/'Expenditure DATA'!V31)*100</f>
        <v>36.03005706432873</v>
      </c>
      <c r="CH29" s="202">
        <f>('Expenditure DATA'!BB31/'Expenditure DATA'!W31)*100</f>
        <v>35.711247541338253</v>
      </c>
      <c r="CI29" s="202">
        <f>('Expenditure DATA'!BC31/'Expenditure DATA'!X31)*100</f>
        <v>35.423567683189496</v>
      </c>
      <c r="CJ29" s="202">
        <f>('Expenditure DATA'!BD31/'Expenditure DATA'!Y31)*100</f>
        <v>34.869799880752787</v>
      </c>
      <c r="CK29" s="202">
        <f>('Expenditure DATA'!BE31/'Expenditure DATA'!Z31)*100</f>
        <v>34.599017320106661</v>
      </c>
      <c r="CL29" s="202">
        <f>('Expenditure DATA'!BF31/'Expenditure DATA'!AA31)*100</f>
        <v>33.502381209022133</v>
      </c>
      <c r="CM29" s="202">
        <f>('Expenditure DATA'!BG31/'Expenditure DATA'!AB31)*100</f>
        <v>33.140343224153774</v>
      </c>
      <c r="CN29" s="202">
        <f>('Expenditure DATA'!BH31/'Expenditure DATA'!AC31)*100</f>
        <v>32.908535859379882</v>
      </c>
      <c r="CO29" s="202">
        <f>('Expenditure DATA'!BI31/'Expenditure DATA'!AD31)*100</f>
        <v>32.391059414748973</v>
      </c>
      <c r="CP29" s="202">
        <f>('Expenditure DATA'!BJ31/'Expenditure DATA'!AE31)*100</f>
        <v>30.325884860683534</v>
      </c>
      <c r="CQ29" s="464">
        <f>('Expenditure DATA'!BK31/'Expenditure DATA'!AF31)*100</f>
        <v>31.841062460156188</v>
      </c>
      <c r="CR29" s="203" t="e">
        <f>('Expenditure DATA'!FA31/'Expenditure DATA'!B31)*100</f>
        <v>#DIV/0!</v>
      </c>
      <c r="CS29" s="202" t="e">
        <f>('Expenditure DATA'!FB31/'Expenditure DATA'!C31)*100</f>
        <v>#DIV/0!</v>
      </c>
      <c r="CT29" s="202" t="e">
        <f>('Expenditure DATA'!FC31/'Expenditure DATA'!D31)*100</f>
        <v>#DIV/0!</v>
      </c>
      <c r="CU29" s="202" t="e">
        <f>('Expenditure DATA'!FD31/'Expenditure DATA'!E31)*100</f>
        <v>#DIV/0!</v>
      </c>
      <c r="CV29" s="202" t="e">
        <f>('Expenditure DATA'!FE31/'Expenditure DATA'!F31)*100</f>
        <v>#DIV/0!</v>
      </c>
      <c r="CW29" s="202" t="e">
        <f>('Expenditure DATA'!FF31/'Expenditure DATA'!G31)*100</f>
        <v>#DIV/0!</v>
      </c>
      <c r="CX29" s="202" t="e">
        <f>('Expenditure DATA'!FG31/'Expenditure DATA'!H31)*100</f>
        <v>#DIV/0!</v>
      </c>
      <c r="CY29" s="202" t="e">
        <f>('Expenditure DATA'!FH31/'Expenditure DATA'!I31)*100</f>
        <v>#DIV/0!</v>
      </c>
      <c r="CZ29" s="202">
        <f>('Expenditure DATA'!FI31/'Expenditure DATA'!J31)*100</f>
        <v>18.942372359674568</v>
      </c>
      <c r="DA29" s="202">
        <f>('Expenditure DATA'!FJ31/'Expenditure DATA'!K31)*100</f>
        <v>19.985874870756252</v>
      </c>
      <c r="DB29" s="202">
        <f>('Expenditure DATA'!FK31/'Expenditure DATA'!L31)*100</f>
        <v>20.832934013845186</v>
      </c>
      <c r="DC29" s="202">
        <f>('Expenditure DATA'!FL31/'Expenditure DATA'!M31)*100</f>
        <v>23.616033423400083</v>
      </c>
      <c r="DD29" s="202">
        <f>('Expenditure DATA'!FM31/'Expenditure DATA'!N31)*100</f>
        <v>22.677335132987089</v>
      </c>
      <c r="DE29" s="202">
        <f>('Expenditure DATA'!FN31/'Expenditure DATA'!O31)*100</f>
        <v>22.000533589997659</v>
      </c>
      <c r="DF29" s="202">
        <f>('Expenditure DATA'!FO31/'Expenditure DATA'!P31)*100</f>
        <v>21.663561024224013</v>
      </c>
      <c r="DG29" s="202">
        <f>('Expenditure DATA'!FP31/'Expenditure DATA'!Q31)*100</f>
        <v>21.447377143010765</v>
      </c>
      <c r="DH29" s="202">
        <f>('Expenditure DATA'!FQ31/'Expenditure DATA'!R31)*100</f>
        <v>22.48857240945684</v>
      </c>
      <c r="DI29" s="202">
        <f>('Expenditure DATA'!FR31/'Expenditure DATA'!S31)*100</f>
        <v>23.136025524098311</v>
      </c>
      <c r="DJ29" s="202">
        <f>('Expenditure DATA'!FS31/'Expenditure DATA'!T31)*100</f>
        <v>22.911751680168241</v>
      </c>
      <c r="DK29" s="202">
        <f>('Expenditure DATA'!FT31/'Expenditure DATA'!U31)*100</f>
        <v>23.849936555758255</v>
      </c>
      <c r="DL29" s="202">
        <f>('Expenditure DATA'!FU31/'Expenditure DATA'!V31)*100</f>
        <v>24.653553751805074</v>
      </c>
      <c r="DM29" s="202">
        <f>('Expenditure DATA'!FV31/'Expenditure DATA'!W31)*100</f>
        <v>25.401764136211373</v>
      </c>
      <c r="DN29" s="202">
        <f>('Expenditure DATA'!FW31/'Expenditure DATA'!X31)*100</f>
        <v>26.076916670026545</v>
      </c>
      <c r="DO29" s="202">
        <f>('Expenditure DATA'!FX31/'Expenditure DATA'!Y31)*100</f>
        <v>27.608731217850906</v>
      </c>
      <c r="DP29" s="202">
        <f>('Expenditure DATA'!FY31/'Expenditure DATA'!Z31)*100</f>
        <v>28.105536699420291</v>
      </c>
      <c r="DQ29" s="202">
        <f>('Expenditure DATA'!FZ31/'Expenditure DATA'!AA31)*100</f>
        <v>27.729213268294895</v>
      </c>
      <c r="DR29" s="202">
        <f>('Expenditure DATA'!GA31/'Expenditure DATA'!AB31)*100</f>
        <v>27.611012625723557</v>
      </c>
      <c r="DS29" s="202">
        <f>('Expenditure DATA'!GB31/'Expenditure DATA'!AC31)*100</f>
        <v>28.331497635073145</v>
      </c>
      <c r="DT29" s="202">
        <f>('Expenditure DATA'!GC31/'Expenditure DATA'!AD31)*100</f>
        <v>27.831686027807862</v>
      </c>
      <c r="DU29" s="202">
        <f>('Expenditure DATA'!GD31/'Expenditure DATA'!AE31)*100</f>
        <v>31.396900154731977</v>
      </c>
      <c r="DV29" s="464">
        <f>('Expenditure DATA'!GE31/'Expenditure DATA'!AF31)*100</f>
        <v>28.64523678313348</v>
      </c>
      <c r="DW29" s="203" t="e">
        <f>('Expenditure DATA'!GF31/'Expenditure DATA'!B31)*100</f>
        <v>#DIV/0!</v>
      </c>
      <c r="DX29" s="202" t="e">
        <f>('Expenditure DATA'!GG31/'Expenditure DATA'!C31)*100</f>
        <v>#DIV/0!</v>
      </c>
      <c r="DY29" s="202" t="e">
        <f>('Expenditure DATA'!GH31/'Expenditure DATA'!D31)*100</f>
        <v>#DIV/0!</v>
      </c>
      <c r="DZ29" s="202" t="e">
        <f>('Expenditure DATA'!GI31/'Expenditure DATA'!E31)*100</f>
        <v>#DIV/0!</v>
      </c>
      <c r="EA29" s="202" t="e">
        <f>('Expenditure DATA'!GJ31/'Expenditure DATA'!F31)*100</f>
        <v>#DIV/0!</v>
      </c>
      <c r="EB29" s="202" t="e">
        <f>('Expenditure DATA'!GK31/'Expenditure DATA'!G31)*100</f>
        <v>#DIV/0!</v>
      </c>
      <c r="EC29" s="202" t="e">
        <f>('Expenditure DATA'!GL31/'Expenditure DATA'!H31)*100</f>
        <v>#DIV/0!</v>
      </c>
      <c r="ED29" s="202" t="e">
        <f>('Expenditure DATA'!GM31/'Expenditure DATA'!I31)*100</f>
        <v>#DIV/0!</v>
      </c>
      <c r="EE29" s="202">
        <f>('Expenditure DATA'!GN31/'Expenditure DATA'!J31)*100</f>
        <v>30.042838159117146</v>
      </c>
      <c r="EF29" s="202">
        <f>('Expenditure DATA'!GO31/'Expenditure DATA'!K31)*100</f>
        <v>28.696438838257976</v>
      </c>
      <c r="EG29" s="202">
        <f>('Expenditure DATA'!GP31/'Expenditure DATA'!L31)*100</f>
        <v>27.603504376796746</v>
      </c>
      <c r="EH29" s="202">
        <f>('Expenditure DATA'!GQ31/'Expenditure DATA'!M31)*100</f>
        <v>26.514035144538628</v>
      </c>
      <c r="EI29" s="202">
        <f>('Expenditure DATA'!GR31/'Expenditure DATA'!N31)*100</f>
        <v>27.259501901255671</v>
      </c>
      <c r="EJ29" s="202">
        <f>('Expenditure DATA'!GS31/'Expenditure DATA'!O31)*100</f>
        <v>27.683105650588946</v>
      </c>
      <c r="EK29" s="202">
        <f>('Expenditure DATA'!GT31/'Expenditure DATA'!P31)*100</f>
        <v>26.463747582768853</v>
      </c>
      <c r="EL29" s="202">
        <f>('Expenditure DATA'!GU31/'Expenditure DATA'!Q31)*100</f>
        <v>27.654230385701407</v>
      </c>
      <c r="EM29" s="202">
        <f>('Expenditure DATA'!GV31/'Expenditure DATA'!R31)*100</f>
        <v>27.738590732175851</v>
      </c>
      <c r="EN29" s="202">
        <f>('Expenditure DATA'!GW31/'Expenditure DATA'!S31)*100</f>
        <v>27.401910101827664</v>
      </c>
      <c r="EO29" s="202">
        <f>('Expenditure DATA'!GX31/'Expenditure DATA'!T31)*100</f>
        <v>27.496435642782856</v>
      </c>
      <c r="EP29" s="202">
        <f>('Expenditure DATA'!GY31/'Expenditure DATA'!U31)*100</f>
        <v>27.364853631743468</v>
      </c>
      <c r="EQ29" s="202">
        <f>('Expenditure DATA'!GZ31/'Expenditure DATA'!V31)*100</f>
        <v>27.252144964706833</v>
      </c>
      <c r="ER29" s="202">
        <f>('Expenditure DATA'!HA31/'Expenditure DATA'!W31)*100</f>
        <v>26.659496027413336</v>
      </c>
      <c r="ES29" s="202">
        <f>('Expenditure DATA'!HB31/'Expenditure DATA'!X31)*100</f>
        <v>26.124715382803497</v>
      </c>
      <c r="ET29" s="202">
        <f>('Expenditure DATA'!HC31/'Expenditure DATA'!Y31)*100</f>
        <v>25.185125280892674</v>
      </c>
      <c r="EU29" s="202">
        <f>('Expenditure DATA'!HD31/'Expenditure DATA'!Z31)*100</f>
        <v>25.591442426754963</v>
      </c>
      <c r="EV29" s="202">
        <f>('Expenditure DATA'!HE31/'Expenditure DATA'!AA31)*100</f>
        <v>26.755761360062852</v>
      </c>
      <c r="EW29" s="202">
        <f>('Expenditure DATA'!HF31/'Expenditure DATA'!AB31)*100</f>
        <v>26.49728211268172</v>
      </c>
      <c r="EX29" s="202">
        <f>('Expenditure DATA'!HG31/'Expenditure DATA'!AC31)*100</f>
        <v>25.868551168435367</v>
      </c>
      <c r="EY29" s="202">
        <f>('Expenditure DATA'!HH31/'Expenditure DATA'!AD31)*100</f>
        <v>27.121768379377421</v>
      </c>
      <c r="EZ29" s="202">
        <f>('Expenditure DATA'!HI31/'Expenditure DATA'!AE31)*100</f>
        <v>26.92394564349253</v>
      </c>
      <c r="FA29" s="464">
        <f>('Expenditure DATA'!HJ31/'Expenditure DATA'!AF31)*100</f>
        <v>27.318083904108388</v>
      </c>
      <c r="FB29" s="203" t="e">
        <f>('Expenditure DATA'!HK31/'Expenditure DATA'!B31)*100</f>
        <v>#DIV/0!</v>
      </c>
      <c r="FC29" s="202" t="e">
        <f>('Expenditure DATA'!HL31/'Expenditure DATA'!C31)*100</f>
        <v>#DIV/0!</v>
      </c>
      <c r="FD29" s="202" t="e">
        <f>('Expenditure DATA'!HM31/'Expenditure DATA'!D31)*100</f>
        <v>#DIV/0!</v>
      </c>
      <c r="FE29" s="202" t="e">
        <f>('Expenditure DATA'!HN31/'Expenditure DATA'!E31)*100</f>
        <v>#DIV/0!</v>
      </c>
      <c r="FF29" s="202" t="e">
        <f>('Expenditure DATA'!HO31/'Expenditure DATA'!F31)*100</f>
        <v>#DIV/0!</v>
      </c>
      <c r="FG29" s="202" t="e">
        <f>('Expenditure DATA'!HP31/'Expenditure DATA'!G31)*100</f>
        <v>#DIV/0!</v>
      </c>
      <c r="FH29" s="202" t="e">
        <f>('Expenditure DATA'!HQ31/'Expenditure DATA'!H31)*100</f>
        <v>#DIV/0!</v>
      </c>
      <c r="FI29" s="202" t="e">
        <f>('Expenditure DATA'!HR31/'Expenditure DATA'!I31)*100</f>
        <v>#DIV/0!</v>
      </c>
      <c r="FJ29" s="202">
        <f>('Expenditure DATA'!HS31/'Expenditure DATA'!J31)*100</f>
        <v>5.2888548741843611</v>
      </c>
      <c r="FK29" s="202">
        <f>('Expenditure DATA'!HT31/'Expenditure DATA'!K31)*100</f>
        <v>5.2773193147875803</v>
      </c>
      <c r="FL29" s="202">
        <f>('Expenditure DATA'!HU31/'Expenditure DATA'!L31)*100</f>
        <v>5.2679553688900675</v>
      </c>
      <c r="FM29" s="202">
        <f>('Expenditure DATA'!HV31/'Expenditure DATA'!M31)*100</f>
        <v>5.2119672335936631</v>
      </c>
      <c r="FN29" s="202">
        <f>('Expenditure DATA'!HW31/'Expenditure DATA'!N31)*100</f>
        <v>5.3522721424527813</v>
      </c>
      <c r="FO29" s="202">
        <f>('Expenditure DATA'!HX31/'Expenditure DATA'!O31)*100</f>
        <v>5.2182980323811199</v>
      </c>
      <c r="FP29" s="202">
        <f>('Expenditure DATA'!HY31/'Expenditure DATA'!P31)*100</f>
        <v>5.7053914979463167</v>
      </c>
      <c r="FQ29" s="202">
        <f>('Expenditure DATA'!HZ31/'Expenditure DATA'!Q31)*100</f>
        <v>5.5175312384626451</v>
      </c>
      <c r="FR29" s="202">
        <f>('Expenditure DATA'!IA31/'Expenditure DATA'!R31)*100</f>
        <v>5.5548119317546227</v>
      </c>
      <c r="FS29" s="202">
        <f>('Expenditure DATA'!IB31/'Expenditure DATA'!S31)*100</f>
        <v>6.7541241968922447</v>
      </c>
      <c r="FT29" s="202">
        <f>('Expenditure DATA'!IC31/'Expenditure DATA'!T31)*100</f>
        <v>6.5101146411216924</v>
      </c>
      <c r="FU29" s="202">
        <f>('Expenditure DATA'!ID31/'Expenditure DATA'!U31)*100</f>
        <v>6.318671227094284</v>
      </c>
      <c r="FV29" s="202">
        <f>('Expenditure DATA'!IE31/'Expenditure DATA'!V31)*100</f>
        <v>6.1546873220184528</v>
      </c>
      <c r="FW29" s="202">
        <f>('Expenditure DATA'!IF31/'Expenditure DATA'!W31)*100</f>
        <v>6.3401664719583417</v>
      </c>
      <c r="FX29" s="202">
        <f>('Expenditure DATA'!IG31/'Expenditure DATA'!X31)*100</f>
        <v>6.507534795977481</v>
      </c>
      <c r="FY29" s="202">
        <f>('Expenditure DATA'!IH31/'Expenditure DATA'!Y31)*100</f>
        <v>6.2520194442167023</v>
      </c>
      <c r="FZ29" s="202">
        <f>('Expenditure DATA'!II31/'Expenditure DATA'!Z31)*100</f>
        <v>6.1375277515641784</v>
      </c>
      <c r="GA29" s="202">
        <f>('Expenditure DATA'!IJ31/'Expenditure DATA'!AA31)*100</f>
        <v>6.3546739451693979</v>
      </c>
      <c r="GB29" s="202">
        <f>('Expenditure DATA'!IK31/'Expenditure DATA'!AB31)*100</f>
        <v>6.9864090165177002</v>
      </c>
      <c r="GC29" s="202">
        <f>('Expenditure DATA'!IL31/'Expenditure DATA'!AC31)*100</f>
        <v>6.8354972044077202</v>
      </c>
      <c r="GD29" s="202">
        <f>('Expenditure DATA'!IM31/'Expenditure DATA'!AD31)*100</f>
        <v>6.3441717990259843</v>
      </c>
      <c r="GE29" s="202">
        <f>('Expenditure DATA'!IN31/'Expenditure DATA'!AE31)*100</f>
        <v>5.6221891128143797</v>
      </c>
      <c r="GF29" s="464">
        <f>('Expenditure DATA'!IO31/'Expenditure DATA'!AF31)*100</f>
        <v>5.7737195418855372</v>
      </c>
      <c r="GG29" s="203" t="e">
        <f>('Expenditure DATA'!IP31/'Expenditure DATA'!B31)*100</f>
        <v>#DIV/0!</v>
      </c>
      <c r="GH29" s="202" t="e">
        <f>('Expenditure DATA'!IQ31/'Expenditure DATA'!C31)*100</f>
        <v>#DIV/0!</v>
      </c>
      <c r="GI29" s="202" t="e">
        <f>('Expenditure DATA'!IR31/'Expenditure DATA'!D31)*100</f>
        <v>#DIV/0!</v>
      </c>
      <c r="GJ29" s="202" t="e">
        <f>('Expenditure DATA'!IS31/'Expenditure DATA'!E31)*100</f>
        <v>#DIV/0!</v>
      </c>
      <c r="GK29" s="202" t="e">
        <f>('Expenditure DATA'!IT31/'Expenditure DATA'!F31)*100</f>
        <v>#DIV/0!</v>
      </c>
      <c r="GL29" s="202" t="e">
        <f>('Expenditure DATA'!IU31/'Expenditure DATA'!G31)*100</f>
        <v>#DIV/0!</v>
      </c>
      <c r="GM29" s="202" t="e">
        <f>('Expenditure DATA'!IV31/'Expenditure DATA'!H31)*100</f>
        <v>#DIV/0!</v>
      </c>
      <c r="GN29" s="202" t="e">
        <f>('Expenditure DATA'!IW31/'Expenditure DATA'!I31)*100</f>
        <v>#DIV/0!</v>
      </c>
      <c r="GO29" s="202">
        <f>('Expenditure DATA'!IX31/'Expenditure DATA'!J31)*100</f>
        <v>7.6487067266509019</v>
      </c>
      <c r="GP29" s="202">
        <f>('Expenditure DATA'!IY31/'Expenditure DATA'!K31)*100</f>
        <v>7.6705299238784317</v>
      </c>
      <c r="GQ29" s="202">
        <f>('Expenditure DATA'!IZ31/'Expenditure DATA'!L31)*100</f>
        <v>7.688244820150075</v>
      </c>
      <c r="GR29" s="202">
        <f>('Expenditure DATA'!JA31/'Expenditure DATA'!M31)*100</f>
        <v>7.1709479216789429</v>
      </c>
      <c r="GS29" s="202">
        <f>('Expenditure DATA'!JB31/'Expenditure DATA'!N31)*100</f>
        <v>6.7984679598494706</v>
      </c>
      <c r="GT29" s="202">
        <f>('Expenditure DATA'!JC31/'Expenditure DATA'!O31)*100</f>
        <v>6.5163929039448076</v>
      </c>
      <c r="GU29" s="202">
        <f>('Expenditure DATA'!JD31/'Expenditure DATA'!P31)*100</f>
        <v>5.9704234306972408</v>
      </c>
      <c r="GV29" s="202">
        <f>('Expenditure DATA'!JE31/'Expenditure DATA'!Q31)*100</f>
        <v>6.9568595532838788</v>
      </c>
      <c r="GW29" s="202">
        <f>('Expenditure DATA'!JF31/'Expenditure DATA'!R31)*100</f>
        <v>6.559089804467658</v>
      </c>
      <c r="GX29" s="202">
        <f>('Expenditure DATA'!JG31/'Expenditure DATA'!S31)*100</f>
        <v>6.1837916130726898</v>
      </c>
      <c r="GY29" s="202">
        <f>('Expenditure DATA'!JH31/'Expenditure DATA'!T31)*100</f>
        <v>6.0871963003782366</v>
      </c>
      <c r="GZ29" s="202">
        <f>('Expenditure DATA'!JI31/'Expenditure DATA'!U31)*100</f>
        <v>5.9915145899589319</v>
      </c>
      <c r="HA29" s="202">
        <f>('Expenditure DATA'!JJ31/'Expenditure DATA'!V31)*100</f>
        <v>5.909556897140904</v>
      </c>
      <c r="HB29" s="202">
        <f>('Expenditure DATA'!JK31/'Expenditure DATA'!W31)*100</f>
        <v>5.8873258230786991</v>
      </c>
      <c r="HC29" s="202">
        <f>('Expenditure DATA'!JL31/'Expenditure DATA'!X31)*100</f>
        <v>5.8672654680029792</v>
      </c>
      <c r="HD29" s="202">
        <f>('Expenditure DATA'!JM31/'Expenditure DATA'!Y31)*100</f>
        <v>6.0843241762869216</v>
      </c>
      <c r="HE29" s="202">
        <f>('Expenditure DATA'!JN31/'Expenditure DATA'!Z31)*100</f>
        <v>5.5664758021539074</v>
      </c>
      <c r="HF29" s="202">
        <f>('Expenditure DATA'!JO31/'Expenditure DATA'!AA31)*100</f>
        <v>5.6579702174507185</v>
      </c>
      <c r="HG29" s="202">
        <f>('Expenditure DATA'!JP31/'Expenditure DATA'!AB31)*100</f>
        <v>5.7649530209232456</v>
      </c>
      <c r="HH29" s="202">
        <f>('Expenditure DATA'!JQ31/'Expenditure DATA'!AC31)*100</f>
        <v>6.0559083091313246</v>
      </c>
      <c r="HI29" s="202">
        <f>('Expenditure DATA'!JR31/'Expenditure DATA'!AD31)*100</f>
        <v>6.311343405029139</v>
      </c>
      <c r="HJ29" s="202">
        <f>('Expenditure DATA'!JS31/'Expenditure DATA'!AE31)*100</f>
        <v>5.7310802282775759</v>
      </c>
      <c r="HK29" s="464">
        <f>('Expenditure DATA'!JT31/'Expenditure DATA'!AF31)*100</f>
        <v>6.4218973107164015</v>
      </c>
      <c r="HL29" s="203" t="e">
        <f t="shared" si="1"/>
        <v>#DIV/0!</v>
      </c>
      <c r="HM29" s="204" t="e">
        <f t="shared" si="2"/>
        <v>#DIV/0!</v>
      </c>
      <c r="HN29" s="204" t="e">
        <f t="shared" si="3"/>
        <v>#DIV/0!</v>
      </c>
      <c r="HO29" s="204" t="e">
        <f t="shared" si="4"/>
        <v>#DIV/0!</v>
      </c>
      <c r="HP29" s="204" t="e">
        <f t="shared" si="5"/>
        <v>#DIV/0!</v>
      </c>
      <c r="HQ29" s="204" t="e">
        <f t="shared" si="6"/>
        <v>#DIV/0!</v>
      </c>
      <c r="HR29" s="204" t="e">
        <f t="shared" si="7"/>
        <v>#DIV/0!</v>
      </c>
      <c r="HS29" s="204" t="e">
        <f t="shared" si="8"/>
        <v>#DIV/0!</v>
      </c>
      <c r="HT29" s="204">
        <f t="shared" si="9"/>
        <v>100</v>
      </c>
      <c r="HU29" s="204">
        <f t="shared" si="10"/>
        <v>100</v>
      </c>
      <c r="HV29" s="204">
        <f t="shared" si="11"/>
        <v>100.00000000000001</v>
      </c>
      <c r="HW29" s="204">
        <f t="shared" si="12"/>
        <v>100.00000000000001</v>
      </c>
      <c r="HX29" s="204">
        <f t="shared" si="13"/>
        <v>100</v>
      </c>
      <c r="HY29" s="204">
        <f t="shared" si="14"/>
        <v>100</v>
      </c>
      <c r="HZ29" s="204">
        <f t="shared" si="15"/>
        <v>100.00000000000001</v>
      </c>
      <c r="IA29" s="204">
        <f t="shared" si="16"/>
        <v>100.00000000000001</v>
      </c>
      <c r="IB29" s="204">
        <f t="shared" si="17"/>
        <v>100.00000000000001</v>
      </c>
      <c r="IC29" s="204">
        <f t="shared" si="18"/>
        <v>100</v>
      </c>
      <c r="ID29" s="204">
        <f t="shared" si="19"/>
        <v>100</v>
      </c>
      <c r="IE29" s="204">
        <f t="shared" si="20"/>
        <v>100</v>
      </c>
      <c r="IF29" s="204">
        <f t="shared" si="21"/>
        <v>99.999999999999986</v>
      </c>
      <c r="IG29" s="204">
        <f t="shared" si="22"/>
        <v>100</v>
      </c>
      <c r="IH29" s="204">
        <f t="shared" si="23"/>
        <v>100</v>
      </c>
      <c r="II29" s="204">
        <f t="shared" si="24"/>
        <v>100</v>
      </c>
      <c r="IJ29" s="204">
        <f t="shared" si="25"/>
        <v>100</v>
      </c>
      <c r="IK29" s="204">
        <f t="shared" si="26"/>
        <v>100</v>
      </c>
      <c r="IL29" s="204">
        <f t="shared" si="32"/>
        <v>99.999999999999986</v>
      </c>
      <c r="IM29" s="204">
        <f t="shared" si="33"/>
        <v>99.999990176427445</v>
      </c>
      <c r="IN29" s="204">
        <f t="shared" si="34"/>
        <v>100.00002902598938</v>
      </c>
      <c r="IO29" s="204">
        <f t="shared" si="35"/>
        <v>100</v>
      </c>
      <c r="IP29" s="204">
        <f t="shared" si="36"/>
        <v>100</v>
      </c>
    </row>
    <row r="30" spans="1:250" s="164" customFormat="1">
      <c r="A30" s="164" t="s">
        <v>63</v>
      </c>
      <c r="C30" s="202" t="e">
        <f>('Expenditure DATA'!CQ32/'Expenditure DATA'!B32)*100</f>
        <v>#DIV/0!</v>
      </c>
      <c r="D30" s="202" t="e">
        <f>('Expenditure DATA'!CR32/'Expenditure DATA'!C32)*100</f>
        <v>#DIV/0!</v>
      </c>
      <c r="E30" s="202" t="e">
        <f>('Expenditure DATA'!CS32/'Expenditure DATA'!D32)*100</f>
        <v>#DIV/0!</v>
      </c>
      <c r="F30" s="202" t="e">
        <f>('Expenditure DATA'!CT32/'Expenditure DATA'!E32)*100</f>
        <v>#DIV/0!</v>
      </c>
      <c r="G30" s="202" t="e">
        <f>('Expenditure DATA'!CU32/'Expenditure DATA'!F32)*100</f>
        <v>#DIV/0!</v>
      </c>
      <c r="H30" s="202" t="e">
        <f>('Expenditure DATA'!CV32/'Expenditure DATA'!G32)*100</f>
        <v>#DIV/0!</v>
      </c>
      <c r="I30" s="202" t="e">
        <f>('Expenditure DATA'!CW32/'Expenditure DATA'!H32)*100</f>
        <v>#DIV/0!</v>
      </c>
      <c r="J30" s="202" t="e">
        <f>('Expenditure DATA'!CX32/'Expenditure DATA'!I32)*100</f>
        <v>#DIV/0!</v>
      </c>
      <c r="K30" s="202">
        <f>('Expenditure DATA'!CY32/'Expenditure DATA'!J32)*100</f>
        <v>7.289405158308238</v>
      </c>
      <c r="L30" s="202">
        <f>('Expenditure DATA'!CZ32/'Expenditure DATA'!K32)*100</f>
        <v>7.9132526524034894</v>
      </c>
      <c r="M30" s="202">
        <f>('Expenditure DATA'!DA32/'Expenditure DATA'!L32)*100</f>
        <v>8.4488095290962431</v>
      </c>
      <c r="N30" s="202">
        <f>('Expenditure DATA'!DB32/'Expenditure DATA'!M32)*100</f>
        <v>8.4982993865678917</v>
      </c>
      <c r="O30" s="202">
        <f>('Expenditure DATA'!DC32/'Expenditure DATA'!N32)*100</f>
        <v>8.7949399083813073</v>
      </c>
      <c r="P30" s="202">
        <f>('Expenditure DATA'!DD32/'Expenditure DATA'!O32)*100</f>
        <v>10.057257814042506</v>
      </c>
      <c r="Q30" s="202">
        <f>('Expenditure DATA'!DE32/'Expenditure DATA'!P32)*100</f>
        <v>10.203679307487668</v>
      </c>
      <c r="R30" s="202">
        <f>('Expenditure DATA'!DF32/'Expenditure DATA'!Q32)*100</f>
        <v>10.551092902463537</v>
      </c>
      <c r="S30" s="202">
        <f>('Expenditure DATA'!DG32/'Expenditure DATA'!R32)*100</f>
        <v>9.4538029683421616</v>
      </c>
      <c r="T30" s="202">
        <f>('Expenditure DATA'!DH32/'Expenditure DATA'!S32)*100</f>
        <v>11.059945622788202</v>
      </c>
      <c r="U30" s="202">
        <f>('Expenditure DATA'!DI32/'Expenditure DATA'!T32)*100</f>
        <v>10.595049139160965</v>
      </c>
      <c r="V30" s="202">
        <f>('Expenditure DATA'!DJ32/'Expenditure DATA'!U32)*100</f>
        <v>10.293371822936685</v>
      </c>
      <c r="W30" s="202">
        <f>('Expenditure DATA'!DK32/'Expenditure DATA'!V32)*100</f>
        <v>10.023280308493286</v>
      </c>
      <c r="X30" s="202">
        <f>('Expenditure DATA'!DL32/'Expenditure DATA'!W32)*100</f>
        <v>10.368702422602402</v>
      </c>
      <c r="Y30" s="202">
        <f>('Expenditure DATA'!DM32/'Expenditure DATA'!X32)*100</f>
        <v>10.683316352994648</v>
      </c>
      <c r="Z30" s="202">
        <f>('Expenditure DATA'!DN32/'Expenditure DATA'!Y32)*100</f>
        <v>10.683492072110075</v>
      </c>
      <c r="AA30" s="202">
        <f>('Expenditure DATA'!DO32/'Expenditure DATA'!Z32)*100</f>
        <v>11.337626238212165</v>
      </c>
      <c r="AB30" s="202">
        <f>('Expenditure DATA'!DP32/'Expenditure DATA'!AA32)*100</f>
        <v>11.342391161284743</v>
      </c>
      <c r="AC30" s="202">
        <f>('Expenditure DATA'!DQ32/'Expenditure DATA'!AB32)*100</f>
        <v>11.518360892043274</v>
      </c>
      <c r="AD30" s="202">
        <f>('Expenditure DATA'!DR32/'Expenditure DATA'!AC32)*100</f>
        <v>11.112127233163216</v>
      </c>
      <c r="AE30" s="202">
        <f>('Expenditure DATA'!DS32/'Expenditure DATA'!AD32)*100</f>
        <v>10.11628637956178</v>
      </c>
      <c r="AF30" s="202">
        <f>('Expenditure DATA'!DT32/'Expenditure DATA'!AE32)*100</f>
        <v>9.8255959219963724</v>
      </c>
      <c r="AG30" s="464">
        <f>('Expenditure DATA'!DU32/'Expenditure DATA'!AF32)*100</f>
        <v>9.610047881025876</v>
      </c>
      <c r="AH30" s="203" t="e">
        <f>('Expenditure DATA'!BL32/'Expenditure DATA'!B32)*100</f>
        <v>#DIV/0!</v>
      </c>
      <c r="AI30" s="202" t="e">
        <f>('Expenditure DATA'!BM32/'Expenditure DATA'!C32)*100</f>
        <v>#DIV/0!</v>
      </c>
      <c r="AJ30" s="202" t="e">
        <f>('Expenditure DATA'!BN32/'Expenditure DATA'!D32)*100</f>
        <v>#DIV/0!</v>
      </c>
      <c r="AK30" s="202" t="e">
        <f>('Expenditure DATA'!BO32/'Expenditure DATA'!E32)*100</f>
        <v>#DIV/0!</v>
      </c>
      <c r="AL30" s="202" t="e">
        <f>('Expenditure DATA'!BP32/'Expenditure DATA'!F32)*100</f>
        <v>#DIV/0!</v>
      </c>
      <c r="AM30" s="202" t="e">
        <f>('Expenditure DATA'!BQ32/'Expenditure DATA'!G32)*100</f>
        <v>#DIV/0!</v>
      </c>
      <c r="AN30" s="202" t="e">
        <f>('Expenditure DATA'!BR32/'Expenditure DATA'!H32)*100</f>
        <v>#DIV/0!</v>
      </c>
      <c r="AO30" s="202" t="e">
        <f>('Expenditure DATA'!BS32/'Expenditure DATA'!I32)*100</f>
        <v>#DIV/0!</v>
      </c>
      <c r="AP30" s="202">
        <f>('Expenditure DATA'!BT32/'Expenditure DATA'!J32)*100</f>
        <v>27.790767634194324</v>
      </c>
      <c r="AQ30" s="202">
        <f>('Expenditure DATA'!BU32/'Expenditure DATA'!K32)*100</f>
        <v>26.998371272339405</v>
      </c>
      <c r="AR30" s="202">
        <f>('Expenditure DATA'!BV32/'Expenditure DATA'!L32)*100</f>
        <v>26.318119568718824</v>
      </c>
      <c r="AS30" s="202">
        <f>('Expenditure DATA'!BW32/'Expenditure DATA'!M32)*100</f>
        <v>26.093511510630528</v>
      </c>
      <c r="AT30" s="202">
        <f>('Expenditure DATA'!BX32/'Expenditure DATA'!N32)*100</f>
        <v>27.361014927815802</v>
      </c>
      <c r="AU30" s="202">
        <f>('Expenditure DATA'!BY32/'Expenditure DATA'!O32)*100</f>
        <v>26.833327770294389</v>
      </c>
      <c r="AV30" s="202">
        <f>('Expenditure DATA'!BZ32/'Expenditure DATA'!P32)*100</f>
        <v>26.342810256079691</v>
      </c>
      <c r="AW30" s="202">
        <f>('Expenditure DATA'!CA32/'Expenditure DATA'!Q32)*100</f>
        <v>24.40122448040141</v>
      </c>
      <c r="AX30" s="202">
        <f>('Expenditure DATA'!CB32/'Expenditure DATA'!R32)*100</f>
        <v>24.893981537318275</v>
      </c>
      <c r="AY30" s="202">
        <f>('Expenditure DATA'!CC32/'Expenditure DATA'!S32)*100</f>
        <v>23.680877378245903</v>
      </c>
      <c r="AZ30" s="202">
        <f>('Expenditure DATA'!CD32/'Expenditure DATA'!T32)*100</f>
        <v>22.925683140572868</v>
      </c>
      <c r="BA30" s="202">
        <f>('Expenditure DATA'!CE32/'Expenditure DATA'!U32)*100</f>
        <v>22.65586618317932</v>
      </c>
      <c r="BB30" s="202">
        <f>('Expenditure DATA'!CF32/'Expenditure DATA'!V32)*100</f>
        <v>22.414299228271926</v>
      </c>
      <c r="BC30" s="202">
        <f>('Expenditure DATA'!CG32/'Expenditure DATA'!W32)*100</f>
        <v>22.214469567449036</v>
      </c>
      <c r="BD30" s="202">
        <f>('Expenditure DATA'!CH32/'Expenditure DATA'!X32)*100</f>
        <v>22.03246270560528</v>
      </c>
      <c r="BE30" s="202">
        <f>('Expenditure DATA'!CI32/'Expenditure DATA'!Y32)*100</f>
        <v>21.73591867674298</v>
      </c>
      <c r="BF30" s="202">
        <f>('Expenditure DATA'!CJ32/'Expenditure DATA'!Z32)*100</f>
        <v>21.492586101050108</v>
      </c>
      <c r="BG30" s="202">
        <f>('Expenditure DATA'!CK32/'Expenditure DATA'!AA32)*100</f>
        <v>21.501618901854311</v>
      </c>
      <c r="BH30" s="202">
        <f>('Expenditure DATA'!CL32/'Expenditure DATA'!AB32)*100</f>
        <v>21.154813534881097</v>
      </c>
      <c r="BI30" s="202">
        <f>('Expenditure DATA'!CM32/'Expenditure DATA'!AC32)*100</f>
        <v>21.40475426945838</v>
      </c>
      <c r="BJ30" s="202">
        <f>('Expenditure DATA'!CN32/'Expenditure DATA'!AD32)*100</f>
        <v>20.058482407662716</v>
      </c>
      <c r="BK30" s="202">
        <f>('Expenditure DATA'!CO32/'Expenditure DATA'!AE32)*100</f>
        <v>19.986287991379331</v>
      </c>
      <c r="BL30" s="464">
        <f>('Expenditure DATA'!CP32/'Expenditure DATA'!AF32)*100</f>
        <v>19.732456032837302</v>
      </c>
      <c r="BM30" s="203" t="e">
        <f>('Expenditure DATA'!AG32/'Expenditure DATA'!B32)*100</f>
        <v>#DIV/0!</v>
      </c>
      <c r="BN30" s="202" t="e">
        <f>('Expenditure DATA'!AH32/'Expenditure DATA'!C32)*100</f>
        <v>#DIV/0!</v>
      </c>
      <c r="BO30" s="202" t="e">
        <f>('Expenditure DATA'!AI32/'Expenditure DATA'!D32)*100</f>
        <v>#DIV/0!</v>
      </c>
      <c r="BP30" s="202" t="e">
        <f>('Expenditure DATA'!AJ32/'Expenditure DATA'!E32)*100</f>
        <v>#DIV/0!</v>
      </c>
      <c r="BQ30" s="202" t="e">
        <f>('Expenditure DATA'!AK32/'Expenditure DATA'!F32)*100</f>
        <v>#DIV/0!</v>
      </c>
      <c r="BR30" s="202" t="e">
        <f>('Expenditure DATA'!AL32/'Expenditure DATA'!G32)*100</f>
        <v>#DIV/0!</v>
      </c>
      <c r="BS30" s="202" t="e">
        <f>('Expenditure DATA'!AM32/'Expenditure DATA'!H32)*100</f>
        <v>#DIV/0!</v>
      </c>
      <c r="BT30" s="202" t="e">
        <f>('Expenditure DATA'!AN32/'Expenditure DATA'!I32)*100</f>
        <v>#DIV/0!</v>
      </c>
      <c r="BU30" s="202">
        <f>('Expenditure DATA'!AO32/'Expenditure DATA'!J32)*100</f>
        <v>37.965446274519792</v>
      </c>
      <c r="BV30" s="202">
        <f>('Expenditure DATA'!AP32/'Expenditure DATA'!K32)*100</f>
        <v>37.740474442981942</v>
      </c>
      <c r="BW30" s="202">
        <f>('Expenditure DATA'!AQ32/'Expenditure DATA'!L32)*100</f>
        <v>37.547341966563174</v>
      </c>
      <c r="BX30" s="202">
        <f>('Expenditure DATA'!AR32/'Expenditure DATA'!M32)*100</f>
        <v>37.294236727709212</v>
      </c>
      <c r="BY30" s="202">
        <f>('Expenditure DATA'!AS32/'Expenditure DATA'!N32)*100</f>
        <v>39.20349623963304</v>
      </c>
      <c r="BZ30" s="202">
        <f>('Expenditure DATA'!AT32/'Expenditure DATA'!O32)*100</f>
        <v>40.0993935910397</v>
      </c>
      <c r="CA30" s="202">
        <f>('Expenditure DATA'!AU32/'Expenditure DATA'!P32)*100</f>
        <v>39.797274159304152</v>
      </c>
      <c r="CB30" s="202">
        <f>('Expenditure DATA'!AV32/'Expenditure DATA'!Q32)*100</f>
        <v>37.446876526444733</v>
      </c>
      <c r="CC30" s="202">
        <f>('Expenditure DATA'!AW32/'Expenditure DATA'!R32)*100</f>
        <v>36.96097137208104</v>
      </c>
      <c r="CD30" s="202">
        <f>('Expenditure DATA'!AX32/'Expenditure DATA'!S32)*100</f>
        <v>37.721715498297421</v>
      </c>
      <c r="CE30" s="202">
        <f>('Expenditure DATA'!AY32/'Expenditure DATA'!T32)*100</f>
        <v>36.635145350257616</v>
      </c>
      <c r="CF30" s="202">
        <f>('Expenditure DATA'!AZ32/'Expenditure DATA'!U32)*100</f>
        <v>36.215952575906961</v>
      </c>
      <c r="CG30" s="202">
        <f>('Expenditure DATA'!BA32/'Expenditure DATA'!V32)*100</f>
        <v>35.840649544558303</v>
      </c>
      <c r="CH30" s="202">
        <f>('Expenditure DATA'!BB32/'Expenditure DATA'!W32)*100</f>
        <v>35.527809543219242</v>
      </c>
      <c r="CI30" s="202">
        <f>('Expenditure DATA'!BC32/'Expenditure DATA'!X32)*100</f>
        <v>35.242871728340063</v>
      </c>
      <c r="CJ30" s="202">
        <f>('Expenditure DATA'!BD32/'Expenditure DATA'!Y32)*100</f>
        <v>34.851949379001098</v>
      </c>
      <c r="CK30" s="202">
        <f>('Expenditure DATA'!BE32/'Expenditure DATA'!Z32)*100</f>
        <v>35.510573960891136</v>
      </c>
      <c r="CL30" s="202">
        <f>('Expenditure DATA'!BF32/'Expenditure DATA'!AA32)*100</f>
        <v>35.525483132208443</v>
      </c>
      <c r="CM30" s="202">
        <f>('Expenditure DATA'!BG32/'Expenditure DATA'!AB32)*100</f>
        <v>35.13986623401621</v>
      </c>
      <c r="CN30" s="202">
        <f>('Expenditure DATA'!BH32/'Expenditure DATA'!AC32)*100</f>
        <v>34.831424008663269</v>
      </c>
      <c r="CO30" s="202">
        <f>('Expenditure DATA'!BI32/'Expenditure DATA'!AD32)*100</f>
        <v>32.569497652550012</v>
      </c>
      <c r="CP30" s="202">
        <f>('Expenditure DATA'!BJ32/'Expenditure DATA'!AE32)*100</f>
        <v>32.396666566821942</v>
      </c>
      <c r="CQ30" s="464">
        <f>('Expenditure DATA'!BK32/'Expenditure DATA'!AF32)*100</f>
        <v>31.819728992491065</v>
      </c>
      <c r="CR30" s="203" t="e">
        <f>('Expenditure DATA'!FA32/'Expenditure DATA'!B32)*100</f>
        <v>#DIV/0!</v>
      </c>
      <c r="CS30" s="202" t="e">
        <f>('Expenditure DATA'!FB32/'Expenditure DATA'!C32)*100</f>
        <v>#DIV/0!</v>
      </c>
      <c r="CT30" s="202" t="e">
        <f>('Expenditure DATA'!FC32/'Expenditure DATA'!D32)*100</f>
        <v>#DIV/0!</v>
      </c>
      <c r="CU30" s="202" t="e">
        <f>('Expenditure DATA'!FD32/'Expenditure DATA'!E32)*100</f>
        <v>#DIV/0!</v>
      </c>
      <c r="CV30" s="202" t="e">
        <f>('Expenditure DATA'!FE32/'Expenditure DATA'!F32)*100</f>
        <v>#DIV/0!</v>
      </c>
      <c r="CW30" s="202" t="e">
        <f>('Expenditure DATA'!FF32/'Expenditure DATA'!G32)*100</f>
        <v>#DIV/0!</v>
      </c>
      <c r="CX30" s="202" t="e">
        <f>('Expenditure DATA'!FG32/'Expenditure DATA'!H32)*100</f>
        <v>#DIV/0!</v>
      </c>
      <c r="CY30" s="202" t="e">
        <f>('Expenditure DATA'!FH32/'Expenditure DATA'!I32)*100</f>
        <v>#DIV/0!</v>
      </c>
      <c r="CZ30" s="202">
        <f>('Expenditure DATA'!FI32/'Expenditure DATA'!J32)*100</f>
        <v>17.753609924427156</v>
      </c>
      <c r="DA30" s="202">
        <f>('Expenditure DATA'!FJ32/'Expenditure DATA'!K32)*100</f>
        <v>18.080200454264478</v>
      </c>
      <c r="DB30" s="202">
        <f>('Expenditure DATA'!FK32/'Expenditure DATA'!L32)*100</f>
        <v>18.360569944841291</v>
      </c>
      <c r="DC30" s="202">
        <f>('Expenditure DATA'!FL32/'Expenditure DATA'!M32)*100</f>
        <v>19.883389268771662</v>
      </c>
      <c r="DD30" s="202">
        <f>('Expenditure DATA'!FM32/'Expenditure DATA'!N32)*100</f>
        <v>18.787135802057556</v>
      </c>
      <c r="DE30" s="202">
        <f>('Expenditure DATA'!FN32/'Expenditure DATA'!O32)*100</f>
        <v>18.840485421349289</v>
      </c>
      <c r="DF30" s="202">
        <f>('Expenditure DATA'!FO32/'Expenditure DATA'!P32)*100</f>
        <v>20.223702110116015</v>
      </c>
      <c r="DG30" s="202">
        <f>('Expenditure DATA'!FP32/'Expenditure DATA'!Q32)*100</f>
        <v>20.066236512941693</v>
      </c>
      <c r="DH30" s="202">
        <f>('Expenditure DATA'!FQ32/'Expenditure DATA'!R32)*100</f>
        <v>19.649104670555573</v>
      </c>
      <c r="DI30" s="202">
        <f>('Expenditure DATA'!FR32/'Expenditure DATA'!S32)*100</f>
        <v>19.14179425230402</v>
      </c>
      <c r="DJ30" s="202">
        <f>('Expenditure DATA'!FS32/'Expenditure DATA'!T32)*100</f>
        <v>20.076626624402412</v>
      </c>
      <c r="DK30" s="202">
        <f>('Expenditure DATA'!FT32/'Expenditure DATA'!U32)*100</f>
        <v>20.589375532643754</v>
      </c>
      <c r="DL30" s="202">
        <f>('Expenditure DATA'!FU32/'Expenditure DATA'!V32)*100</f>
        <v>21.048439312742968</v>
      </c>
      <c r="DM30" s="202">
        <f>('Expenditure DATA'!FV32/'Expenditure DATA'!W32)*100</f>
        <v>20.822039303600878</v>
      </c>
      <c r="DN30" s="202">
        <f>('Expenditure DATA'!FW32/'Expenditure DATA'!X32)*100</f>
        <v>20.615831901678341</v>
      </c>
      <c r="DO30" s="202">
        <f>('Expenditure DATA'!FX32/'Expenditure DATA'!Y32)*100</f>
        <v>21.356247263574588</v>
      </c>
      <c r="DP30" s="202">
        <f>('Expenditure DATA'!FY32/'Expenditure DATA'!Z32)*100</f>
        <v>20.063769589880582</v>
      </c>
      <c r="DQ30" s="202">
        <f>('Expenditure DATA'!FZ32/'Expenditure DATA'!AA32)*100</f>
        <v>20.072201894547629</v>
      </c>
      <c r="DR30" s="202">
        <f>('Expenditure DATA'!GA32/'Expenditure DATA'!AB32)*100</f>
        <v>19.793179816913955</v>
      </c>
      <c r="DS30" s="202">
        <f>('Expenditure DATA'!GB32/'Expenditure DATA'!AC32)*100</f>
        <v>21.792098205197206</v>
      </c>
      <c r="DT30" s="202">
        <f>('Expenditure DATA'!GC32/'Expenditure DATA'!AD32)*100</f>
        <v>21.546484986963449</v>
      </c>
      <c r="DU30" s="202">
        <f>('Expenditure DATA'!GD32/'Expenditure DATA'!AE32)*100</f>
        <v>22.756818809069404</v>
      </c>
      <c r="DV30" s="464">
        <f>('Expenditure DATA'!GE32/'Expenditure DATA'!AF32)*100</f>
        <v>22.411188508261095</v>
      </c>
      <c r="DW30" s="203" t="e">
        <f>('Expenditure DATA'!GF32/'Expenditure DATA'!B32)*100</f>
        <v>#DIV/0!</v>
      </c>
      <c r="DX30" s="202" t="e">
        <f>('Expenditure DATA'!GG32/'Expenditure DATA'!C32)*100</f>
        <v>#DIV/0!</v>
      </c>
      <c r="DY30" s="202" t="e">
        <f>('Expenditure DATA'!GH32/'Expenditure DATA'!D32)*100</f>
        <v>#DIV/0!</v>
      </c>
      <c r="DZ30" s="202" t="e">
        <f>('Expenditure DATA'!GI32/'Expenditure DATA'!E32)*100</f>
        <v>#DIV/0!</v>
      </c>
      <c r="EA30" s="202" t="e">
        <f>('Expenditure DATA'!GJ32/'Expenditure DATA'!F32)*100</f>
        <v>#DIV/0!</v>
      </c>
      <c r="EB30" s="202" t="e">
        <f>('Expenditure DATA'!GK32/'Expenditure DATA'!G32)*100</f>
        <v>#DIV/0!</v>
      </c>
      <c r="EC30" s="202" t="e">
        <f>('Expenditure DATA'!GL32/'Expenditure DATA'!H32)*100</f>
        <v>#DIV/0!</v>
      </c>
      <c r="ED30" s="202" t="e">
        <f>('Expenditure DATA'!GM32/'Expenditure DATA'!I32)*100</f>
        <v>#DIV/0!</v>
      </c>
      <c r="EE30" s="202">
        <f>('Expenditure DATA'!GN32/'Expenditure DATA'!J32)*100</f>
        <v>26.493988234320387</v>
      </c>
      <c r="EF30" s="202">
        <f>('Expenditure DATA'!GO32/'Expenditure DATA'!K32)*100</f>
        <v>26.701355018332144</v>
      </c>
      <c r="EG30" s="202">
        <f>('Expenditure DATA'!GP32/'Expenditure DATA'!L32)*100</f>
        <v>26.879374018530623</v>
      </c>
      <c r="EH30" s="202">
        <f>('Expenditure DATA'!GQ32/'Expenditure DATA'!M32)*100</f>
        <v>26.064647149289954</v>
      </c>
      <c r="EI30" s="202">
        <f>('Expenditure DATA'!GR32/'Expenditure DATA'!N32)*100</f>
        <v>26.146453526168003</v>
      </c>
      <c r="EJ30" s="202">
        <f>('Expenditure DATA'!GS32/'Expenditure DATA'!O32)*100</f>
        <v>25.479218089418591</v>
      </c>
      <c r="EK30" s="202">
        <f>('Expenditure DATA'!GT32/'Expenditure DATA'!P32)*100</f>
        <v>25.525004330887889</v>
      </c>
      <c r="EL30" s="202">
        <f>('Expenditure DATA'!GU32/'Expenditure DATA'!Q32)*100</f>
        <v>26.840543906624418</v>
      </c>
      <c r="EM30" s="202">
        <f>('Expenditure DATA'!GV32/'Expenditure DATA'!R32)*100</f>
        <v>26.457683632367452</v>
      </c>
      <c r="EN30" s="202">
        <f>('Expenditure DATA'!GW32/'Expenditure DATA'!S32)*100</f>
        <v>27.331013530938193</v>
      </c>
      <c r="EO30" s="202">
        <f>('Expenditure DATA'!GX32/'Expenditure DATA'!T32)*100</f>
        <v>27.758479990254198</v>
      </c>
      <c r="EP30" s="202">
        <f>('Expenditure DATA'!GY32/'Expenditure DATA'!U32)*100</f>
        <v>27.558005948899623</v>
      </c>
      <c r="EQ30" s="202">
        <f>('Expenditure DATA'!GZ32/'Expenditure DATA'!V32)*100</f>
        <v>27.378521663790856</v>
      </c>
      <c r="ER30" s="202">
        <f>('Expenditure DATA'!HA32/'Expenditure DATA'!W32)*100</f>
        <v>28.73717273732559</v>
      </c>
      <c r="ES30" s="202">
        <f>('Expenditure DATA'!HB32/'Expenditure DATA'!X32)*100</f>
        <v>29.974645779197424</v>
      </c>
      <c r="ET30" s="202">
        <f>('Expenditure DATA'!HC32/'Expenditure DATA'!Y32)*100</f>
        <v>29.297153699925595</v>
      </c>
      <c r="EU30" s="202">
        <f>('Expenditure DATA'!HD32/'Expenditure DATA'!Z32)*100</f>
        <v>28.87684960303385</v>
      </c>
      <c r="EV30" s="202">
        <f>('Expenditure DATA'!HE32/'Expenditure DATA'!AA32)*100</f>
        <v>28.896687362036094</v>
      </c>
      <c r="EW30" s="202">
        <f>('Expenditure DATA'!HF32/'Expenditure DATA'!AB32)*100</f>
        <v>28.813186846496485</v>
      </c>
      <c r="EX30" s="202">
        <f>('Expenditure DATA'!HG32/'Expenditure DATA'!AC32)*100</f>
        <v>28.665519299246423</v>
      </c>
      <c r="EY30" s="202">
        <f>('Expenditure DATA'!HH32/'Expenditure DATA'!AD32)*100</f>
        <v>28.761668005903012</v>
      </c>
      <c r="EZ30" s="202">
        <f>('Expenditure DATA'!HI32/'Expenditure DATA'!AE32)*100</f>
        <v>28.589365402965296</v>
      </c>
      <c r="FA30" s="464">
        <f>('Expenditure DATA'!HJ32/'Expenditure DATA'!AF32)*100</f>
        <v>29.925415554888048</v>
      </c>
      <c r="FB30" s="203" t="e">
        <f>('Expenditure DATA'!HK32/'Expenditure DATA'!B32)*100</f>
        <v>#DIV/0!</v>
      </c>
      <c r="FC30" s="202" t="e">
        <f>('Expenditure DATA'!HL32/'Expenditure DATA'!C32)*100</f>
        <v>#DIV/0!</v>
      </c>
      <c r="FD30" s="202" t="e">
        <f>('Expenditure DATA'!HM32/'Expenditure DATA'!D32)*100</f>
        <v>#DIV/0!</v>
      </c>
      <c r="FE30" s="202" t="e">
        <f>('Expenditure DATA'!HN32/'Expenditure DATA'!E32)*100</f>
        <v>#DIV/0!</v>
      </c>
      <c r="FF30" s="202" t="e">
        <f>('Expenditure DATA'!HO32/'Expenditure DATA'!F32)*100</f>
        <v>#DIV/0!</v>
      </c>
      <c r="FG30" s="202" t="e">
        <f>('Expenditure DATA'!HP32/'Expenditure DATA'!G32)*100</f>
        <v>#DIV/0!</v>
      </c>
      <c r="FH30" s="202" t="e">
        <f>('Expenditure DATA'!HQ32/'Expenditure DATA'!H32)*100</f>
        <v>#DIV/0!</v>
      </c>
      <c r="FI30" s="202" t="e">
        <f>('Expenditure DATA'!HR32/'Expenditure DATA'!I32)*100</f>
        <v>#DIV/0!</v>
      </c>
      <c r="FJ30" s="202">
        <f>('Expenditure DATA'!HS32/'Expenditure DATA'!J32)*100</f>
        <v>5.6949024938402077</v>
      </c>
      <c r="FK30" s="202">
        <f>('Expenditure DATA'!HT32/'Expenditure DATA'!K32)*100</f>
        <v>5.9488170356715431</v>
      </c>
      <c r="FL30" s="202">
        <f>('Expenditure DATA'!HU32/'Expenditure DATA'!L32)*100</f>
        <v>6.1667960774360342</v>
      </c>
      <c r="FM30" s="202">
        <f>('Expenditure DATA'!HV32/'Expenditure DATA'!M32)*100</f>
        <v>6.4033137317689031</v>
      </c>
      <c r="FN30" s="202">
        <f>('Expenditure DATA'!HW32/'Expenditure DATA'!N32)*100</f>
        <v>6.3175074139010077</v>
      </c>
      <c r="FO30" s="202">
        <f>('Expenditure DATA'!HX32/'Expenditure DATA'!O32)*100</f>
        <v>5.7589616314375442</v>
      </c>
      <c r="FP30" s="202">
        <f>('Expenditure DATA'!HY32/'Expenditure DATA'!P32)*100</f>
        <v>5.5927676186562563</v>
      </c>
      <c r="FQ30" s="202">
        <f>('Expenditure DATA'!HZ32/'Expenditure DATA'!Q32)*100</f>
        <v>5.9834076256383897</v>
      </c>
      <c r="FR30" s="202">
        <f>('Expenditure DATA'!IA32/'Expenditure DATA'!R32)*100</f>
        <v>6.5722332633410474</v>
      </c>
      <c r="FS30" s="202">
        <f>('Expenditure DATA'!IB32/'Expenditure DATA'!S32)*100</f>
        <v>6.8110824028381822</v>
      </c>
      <c r="FT30" s="202">
        <f>('Expenditure DATA'!IC32/'Expenditure DATA'!T32)*100</f>
        <v>6.695289445808962</v>
      </c>
      <c r="FU30" s="202">
        <f>('Expenditure DATA'!ID32/'Expenditure DATA'!U32)*100</f>
        <v>6.6579320054141675</v>
      </c>
      <c r="FV30" s="202">
        <f>('Expenditure DATA'!IE32/'Expenditure DATA'!V32)*100</f>
        <v>6.6244859121571675</v>
      </c>
      <c r="FW30" s="202">
        <f>('Expenditure DATA'!IF32/'Expenditure DATA'!W32)*100</f>
        <v>6.4120556455052213</v>
      </c>
      <c r="FX30" s="202">
        <f>('Expenditure DATA'!IG32/'Expenditure DATA'!X32)*100</f>
        <v>6.2185720253322261</v>
      </c>
      <c r="FY30" s="202">
        <f>('Expenditure DATA'!IH32/'Expenditure DATA'!Y32)*100</f>
        <v>6.717719925075019</v>
      </c>
      <c r="FZ30" s="202">
        <f>('Expenditure DATA'!II32/'Expenditure DATA'!Z32)*100</f>
        <v>7.2544599394450513</v>
      </c>
      <c r="GA30" s="202">
        <f>('Expenditure DATA'!IJ32/'Expenditure DATA'!AA32)*100</f>
        <v>7.2574636828230936</v>
      </c>
      <c r="GB30" s="202">
        <f>('Expenditure DATA'!IK32/'Expenditure DATA'!AB32)*100</f>
        <v>6.9056623686827274</v>
      </c>
      <c r="GC30" s="202">
        <f>('Expenditure DATA'!IL32/'Expenditure DATA'!AC32)*100</f>
        <v>7.2154289762914994</v>
      </c>
      <c r="GD30" s="202">
        <f>('Expenditure DATA'!IM32/'Expenditure DATA'!AD32)*100</f>
        <v>7.1043801431188243</v>
      </c>
      <c r="GE30" s="202">
        <f>('Expenditure DATA'!IN32/'Expenditure DATA'!AE32)*100</f>
        <v>7.0818999144170478</v>
      </c>
      <c r="GF30" s="464">
        <f>('Expenditure DATA'!IO32/'Expenditure DATA'!AF32)*100</f>
        <v>6.5391546689701654</v>
      </c>
      <c r="GG30" s="203" t="e">
        <f>('Expenditure DATA'!IP32/'Expenditure DATA'!B32)*100</f>
        <v>#DIV/0!</v>
      </c>
      <c r="GH30" s="202" t="e">
        <f>('Expenditure DATA'!IQ32/'Expenditure DATA'!C32)*100</f>
        <v>#DIV/0!</v>
      </c>
      <c r="GI30" s="202" t="e">
        <f>('Expenditure DATA'!IR32/'Expenditure DATA'!D32)*100</f>
        <v>#DIV/0!</v>
      </c>
      <c r="GJ30" s="202" t="e">
        <f>('Expenditure DATA'!IS32/'Expenditure DATA'!E32)*100</f>
        <v>#DIV/0!</v>
      </c>
      <c r="GK30" s="202" t="e">
        <f>('Expenditure DATA'!IT32/'Expenditure DATA'!F32)*100</f>
        <v>#DIV/0!</v>
      </c>
      <c r="GL30" s="202" t="e">
        <f>('Expenditure DATA'!IU32/'Expenditure DATA'!G32)*100</f>
        <v>#DIV/0!</v>
      </c>
      <c r="GM30" s="202" t="e">
        <f>('Expenditure DATA'!IV32/'Expenditure DATA'!H32)*100</f>
        <v>#DIV/0!</v>
      </c>
      <c r="GN30" s="202" t="e">
        <f>('Expenditure DATA'!IW32/'Expenditure DATA'!I32)*100</f>
        <v>#DIV/0!</v>
      </c>
      <c r="GO30" s="202">
        <f>('Expenditure DATA'!IX32/'Expenditure DATA'!J32)*100</f>
        <v>12.09205307289246</v>
      </c>
      <c r="GP30" s="202">
        <f>('Expenditure DATA'!IY32/'Expenditure DATA'!K32)*100</f>
        <v>11.529153048749892</v>
      </c>
      <c r="GQ30" s="202">
        <f>('Expenditure DATA'!IZ32/'Expenditure DATA'!L32)*100</f>
        <v>11.045917992628882</v>
      </c>
      <c r="GR30" s="202">
        <f>('Expenditure DATA'!JA32/'Expenditure DATA'!M32)*100</f>
        <v>10.354413122460274</v>
      </c>
      <c r="GS30" s="202">
        <f>('Expenditure DATA'!JB32/'Expenditure DATA'!N32)*100</f>
        <v>9.5454070182403932</v>
      </c>
      <c r="GT30" s="202">
        <f>('Expenditure DATA'!JC32/'Expenditure DATA'!O32)*100</f>
        <v>9.821941266754882</v>
      </c>
      <c r="GU30" s="202">
        <f>('Expenditure DATA'!JD32/'Expenditure DATA'!P32)*100</f>
        <v>8.8612517810356799</v>
      </c>
      <c r="GV30" s="202">
        <f>('Expenditure DATA'!JE32/'Expenditure DATA'!Q32)*100</f>
        <v>9.662935428350762</v>
      </c>
      <c r="GW30" s="202">
        <f>('Expenditure DATA'!JF32/'Expenditure DATA'!R32)*100</f>
        <v>10.36000706165489</v>
      </c>
      <c r="GX30" s="202">
        <f>('Expenditure DATA'!JG32/'Expenditure DATA'!S32)*100</f>
        <v>8.9943943156221859</v>
      </c>
      <c r="GY30" s="202">
        <f>('Expenditure DATA'!JH32/'Expenditure DATA'!T32)*100</f>
        <v>8.8344585892768279</v>
      </c>
      <c r="GZ30" s="202">
        <f>('Expenditure DATA'!JI32/'Expenditure DATA'!U32)*100</f>
        <v>8.9787339371355053</v>
      </c>
      <c r="HA30" s="202">
        <f>('Expenditure DATA'!JJ32/'Expenditure DATA'!V32)*100</f>
        <v>9.1079035667507071</v>
      </c>
      <c r="HB30" s="202">
        <f>('Expenditure DATA'!JK32/'Expenditure DATA'!W32)*100</f>
        <v>8.5009227703490673</v>
      </c>
      <c r="HC30" s="202">
        <f>('Expenditure DATA'!JL32/'Expenditure DATA'!X32)*100</f>
        <v>7.948078565451949</v>
      </c>
      <c r="HD30" s="202">
        <f>('Expenditure DATA'!JM32/'Expenditure DATA'!Y32)*100</f>
        <v>7.7769297324237083</v>
      </c>
      <c r="HE30" s="202">
        <f>('Expenditure DATA'!JN32/'Expenditure DATA'!Z32)*100</f>
        <v>8.2943469067493787</v>
      </c>
      <c r="HF30" s="202">
        <f>('Expenditure DATA'!JO32/'Expenditure DATA'!AA32)*100</f>
        <v>8.2481639283847468</v>
      </c>
      <c r="HG30" s="202">
        <f>('Expenditure DATA'!JP32/'Expenditure DATA'!AB32)*100</f>
        <v>9.3481047338906205</v>
      </c>
      <c r="HH30" s="202">
        <f>('Expenditure DATA'!JQ32/'Expenditure DATA'!AC32)*100</f>
        <v>7.4955295106015996</v>
      </c>
      <c r="HI30" s="202">
        <f>('Expenditure DATA'!JR32/'Expenditure DATA'!AD32)*100</f>
        <v>10.017956763102056</v>
      </c>
      <c r="HJ30" s="202">
        <f>('Expenditure DATA'!JS32/'Expenditure DATA'!AE32)*100</f>
        <v>9.1752493067263163</v>
      </c>
      <c r="HK30" s="464">
        <f>('Expenditure DATA'!JT32/'Expenditure DATA'!AF32)*100</f>
        <v>9.3045122753896194</v>
      </c>
      <c r="HL30" s="203" t="e">
        <f t="shared" si="1"/>
        <v>#DIV/0!</v>
      </c>
      <c r="HM30" s="204" t="e">
        <f t="shared" si="2"/>
        <v>#DIV/0!</v>
      </c>
      <c r="HN30" s="204" t="e">
        <f t="shared" si="3"/>
        <v>#DIV/0!</v>
      </c>
      <c r="HO30" s="204" t="e">
        <f t="shared" si="4"/>
        <v>#DIV/0!</v>
      </c>
      <c r="HP30" s="204" t="e">
        <f t="shared" si="5"/>
        <v>#DIV/0!</v>
      </c>
      <c r="HQ30" s="204" t="e">
        <f t="shared" si="6"/>
        <v>#DIV/0!</v>
      </c>
      <c r="HR30" s="204" t="e">
        <f t="shared" si="7"/>
        <v>#DIV/0!</v>
      </c>
      <c r="HS30" s="204" t="e">
        <f t="shared" si="8"/>
        <v>#DIV/0!</v>
      </c>
      <c r="HT30" s="204">
        <f t="shared" si="9"/>
        <v>99.999999999999986</v>
      </c>
      <c r="HU30" s="204">
        <f t="shared" si="10"/>
        <v>100</v>
      </c>
      <c r="HV30" s="204">
        <f t="shared" si="11"/>
        <v>100.00000000000001</v>
      </c>
      <c r="HW30" s="204">
        <f t="shared" si="12"/>
        <v>100</v>
      </c>
      <c r="HX30" s="204">
        <f t="shared" si="13"/>
        <v>100.00000000000001</v>
      </c>
      <c r="HY30" s="204">
        <f t="shared" si="14"/>
        <v>100</v>
      </c>
      <c r="HZ30" s="204">
        <f t="shared" si="15"/>
        <v>99.999999999999986</v>
      </c>
      <c r="IA30" s="204">
        <f t="shared" si="16"/>
        <v>100</v>
      </c>
      <c r="IB30" s="204">
        <f t="shared" si="17"/>
        <v>100</v>
      </c>
      <c r="IC30" s="204">
        <f t="shared" si="18"/>
        <v>100</v>
      </c>
      <c r="ID30" s="204">
        <f t="shared" si="19"/>
        <v>100.00000000000003</v>
      </c>
      <c r="IE30" s="204">
        <f t="shared" si="20"/>
        <v>100</v>
      </c>
      <c r="IF30" s="204">
        <f t="shared" si="21"/>
        <v>100.00000000000001</v>
      </c>
      <c r="IG30" s="204">
        <f t="shared" si="22"/>
        <v>100</v>
      </c>
      <c r="IH30" s="204">
        <f t="shared" si="23"/>
        <v>100</v>
      </c>
      <c r="II30" s="204">
        <f t="shared" si="24"/>
        <v>100.00000000000001</v>
      </c>
      <c r="IJ30" s="204">
        <f t="shared" si="25"/>
        <v>100</v>
      </c>
      <c r="IK30" s="204">
        <f t="shared" si="26"/>
        <v>100</v>
      </c>
      <c r="IL30" s="204">
        <f t="shared" si="32"/>
        <v>100</v>
      </c>
      <c r="IM30" s="204">
        <f t="shared" si="33"/>
        <v>100</v>
      </c>
      <c r="IN30" s="204">
        <f t="shared" si="34"/>
        <v>99.999987551637361</v>
      </c>
      <c r="IO30" s="204">
        <f t="shared" si="35"/>
        <v>100.00000000000001</v>
      </c>
      <c r="IP30" s="204">
        <f t="shared" si="36"/>
        <v>100</v>
      </c>
    </row>
    <row r="31" spans="1:250" s="164" customFormat="1">
      <c r="A31" s="164" t="s">
        <v>65</v>
      </c>
      <c r="C31" s="202" t="e">
        <f>('Expenditure DATA'!CQ33/'Expenditure DATA'!B33)*100</f>
        <v>#DIV/0!</v>
      </c>
      <c r="D31" s="202" t="e">
        <f>('Expenditure DATA'!CR33/'Expenditure DATA'!C33)*100</f>
        <v>#DIV/0!</v>
      </c>
      <c r="E31" s="202" t="e">
        <f>('Expenditure DATA'!CS33/'Expenditure DATA'!D33)*100</f>
        <v>#DIV/0!</v>
      </c>
      <c r="F31" s="202" t="e">
        <f>('Expenditure DATA'!CT33/'Expenditure DATA'!E33)*100</f>
        <v>#DIV/0!</v>
      </c>
      <c r="G31" s="202" t="e">
        <f>('Expenditure DATA'!CU33/'Expenditure DATA'!F33)*100</f>
        <v>#DIV/0!</v>
      </c>
      <c r="H31" s="202" t="e">
        <f>('Expenditure DATA'!CV33/'Expenditure DATA'!G33)*100</f>
        <v>#DIV/0!</v>
      </c>
      <c r="I31" s="202" t="e">
        <f>('Expenditure DATA'!CW33/'Expenditure DATA'!H33)*100</f>
        <v>#DIV/0!</v>
      </c>
      <c r="J31" s="202" t="e">
        <f>('Expenditure DATA'!CX33/'Expenditure DATA'!I33)*100</f>
        <v>#DIV/0!</v>
      </c>
      <c r="K31" s="202">
        <f>('Expenditure DATA'!CY33/'Expenditure DATA'!J33)*100</f>
        <v>6.6067753242949117</v>
      </c>
      <c r="L31" s="202">
        <f>('Expenditure DATA'!CZ33/'Expenditure DATA'!K33)*100</f>
        <v>6.8859599322893041</v>
      </c>
      <c r="M31" s="202">
        <f>('Expenditure DATA'!DA33/'Expenditure DATA'!L33)*100</f>
        <v>7.1028522590077472</v>
      </c>
      <c r="N31" s="202">
        <f>('Expenditure DATA'!DB33/'Expenditure DATA'!M33)*100</f>
        <v>7.1397353283788618</v>
      </c>
      <c r="O31" s="202">
        <f>('Expenditure DATA'!DC33/'Expenditure DATA'!N33)*100</f>
        <v>6.4976680333450876</v>
      </c>
      <c r="P31" s="202">
        <f>('Expenditure DATA'!DD33/'Expenditure DATA'!O33)*100</f>
        <v>7.2365330051650485</v>
      </c>
      <c r="Q31" s="202">
        <f>('Expenditure DATA'!DE33/'Expenditure DATA'!P33)*100</f>
        <v>6.9862342527135617</v>
      </c>
      <c r="R31" s="202">
        <f>('Expenditure DATA'!DF33/'Expenditure DATA'!Q33)*100</f>
        <v>6.7512788249473248</v>
      </c>
      <c r="S31" s="202">
        <f>('Expenditure DATA'!DG33/'Expenditure DATA'!R33)*100</f>
        <v>6.7923423023314209</v>
      </c>
      <c r="T31" s="202">
        <f>('Expenditure DATA'!DH33/'Expenditure DATA'!S33)*100</f>
        <v>7.3436593627219739</v>
      </c>
      <c r="U31" s="202">
        <f>('Expenditure DATA'!DI33/'Expenditure DATA'!T33)*100</f>
        <v>6.7258889618843725</v>
      </c>
      <c r="V31" s="202">
        <f>('Expenditure DATA'!DJ33/'Expenditure DATA'!U33)*100</f>
        <v>6.8119363771511443</v>
      </c>
      <c r="W31" s="202">
        <f>('Expenditure DATA'!DK33/'Expenditure DATA'!V33)*100</f>
        <v>6.8832787229441612</v>
      </c>
      <c r="X31" s="202">
        <f>('Expenditure DATA'!DL33/'Expenditure DATA'!W33)*100</f>
        <v>7.111077210216064</v>
      </c>
      <c r="Y31" s="202">
        <f>('Expenditure DATA'!DM33/'Expenditure DATA'!X33)*100</f>
        <v>7.3079875623468498</v>
      </c>
      <c r="Z31" s="202">
        <f>('Expenditure DATA'!DN33/'Expenditure DATA'!Y33)*100</f>
        <v>7.1019615434344621</v>
      </c>
      <c r="AA31" s="202">
        <f>('Expenditure DATA'!DO33/'Expenditure DATA'!Z33)*100</f>
        <v>8.0455281438793822</v>
      </c>
      <c r="AB31" s="202">
        <f>('Expenditure DATA'!DP33/'Expenditure DATA'!AA33)*100</f>
        <v>8.0455281438793822</v>
      </c>
      <c r="AC31" s="202">
        <f>('Expenditure DATA'!DQ33/'Expenditure DATA'!AB33)*100</f>
        <v>7.8096892449664974</v>
      </c>
      <c r="AD31" s="202">
        <f>('Expenditure DATA'!DR33/'Expenditure DATA'!AC33)*100</f>
        <v>7.1369818826087146</v>
      </c>
      <c r="AE31" s="202">
        <f>('Expenditure DATA'!DS33/'Expenditure DATA'!AD33)*100</f>
        <v>7.3797222935694879</v>
      </c>
      <c r="AF31" s="202">
        <f>('Expenditure DATA'!DT33/'Expenditure DATA'!AE33)*100</f>
        <v>6.8648366640097711</v>
      </c>
      <c r="AG31" s="464">
        <f>('Expenditure DATA'!DU33/'Expenditure DATA'!AF33)*100</f>
        <v>6.5298095757421919</v>
      </c>
      <c r="AH31" s="203" t="e">
        <f>('Expenditure DATA'!BL33/'Expenditure DATA'!B33)*100</f>
        <v>#DIV/0!</v>
      </c>
      <c r="AI31" s="202" t="e">
        <f>('Expenditure DATA'!BM33/'Expenditure DATA'!C33)*100</f>
        <v>#DIV/0!</v>
      </c>
      <c r="AJ31" s="202" t="e">
        <f>('Expenditure DATA'!BN33/'Expenditure DATA'!D33)*100</f>
        <v>#DIV/0!</v>
      </c>
      <c r="AK31" s="202" t="e">
        <f>('Expenditure DATA'!BO33/'Expenditure DATA'!E33)*100</f>
        <v>#DIV/0!</v>
      </c>
      <c r="AL31" s="202" t="e">
        <f>('Expenditure DATA'!BP33/'Expenditure DATA'!F33)*100</f>
        <v>#DIV/0!</v>
      </c>
      <c r="AM31" s="202" t="e">
        <f>('Expenditure DATA'!BQ33/'Expenditure DATA'!G33)*100</f>
        <v>#DIV/0!</v>
      </c>
      <c r="AN31" s="202" t="e">
        <f>('Expenditure DATA'!BR33/'Expenditure DATA'!H33)*100</f>
        <v>#DIV/0!</v>
      </c>
      <c r="AO31" s="202" t="e">
        <f>('Expenditure DATA'!BS33/'Expenditure DATA'!I33)*100</f>
        <v>#DIV/0!</v>
      </c>
      <c r="AP31" s="202">
        <f>('Expenditure DATA'!BT33/'Expenditure DATA'!J33)*100</f>
        <v>22.375985202801925</v>
      </c>
      <c r="AQ31" s="202">
        <f>('Expenditure DATA'!BU33/'Expenditure DATA'!K33)*100</f>
        <v>22.40501255077799</v>
      </c>
      <c r="AR31" s="202">
        <f>('Expenditure DATA'!BV33/'Expenditure DATA'!L33)*100</f>
        <v>22.427563253290643</v>
      </c>
      <c r="AS31" s="202">
        <f>('Expenditure DATA'!BW33/'Expenditure DATA'!M33)*100</f>
        <v>21.291719972117242</v>
      </c>
      <c r="AT31" s="202">
        <f>('Expenditure DATA'!BX33/'Expenditure DATA'!N33)*100</f>
        <v>20.119115507450967</v>
      </c>
      <c r="AU31" s="202">
        <f>('Expenditure DATA'!BY33/'Expenditure DATA'!O33)*100</f>
        <v>20.136096058161058</v>
      </c>
      <c r="AV31" s="202">
        <f>('Expenditure DATA'!BZ33/'Expenditure DATA'!P33)*100</f>
        <v>21.966377752687443</v>
      </c>
      <c r="AW31" s="202">
        <f>('Expenditure DATA'!CA33/'Expenditure DATA'!Q33)*100</f>
        <v>22.87318115622724</v>
      </c>
      <c r="AX31" s="202">
        <f>('Expenditure DATA'!CB33/'Expenditure DATA'!R33)*100</f>
        <v>22.345386150891557</v>
      </c>
      <c r="AY31" s="202">
        <f>('Expenditure DATA'!CC33/'Expenditure DATA'!S33)*100</f>
        <v>23.595824982251486</v>
      </c>
      <c r="AZ31" s="202">
        <f>('Expenditure DATA'!CD33/'Expenditure DATA'!T33)*100</f>
        <v>23.650628751995441</v>
      </c>
      <c r="BA31" s="202">
        <f>('Expenditure DATA'!CE33/'Expenditure DATA'!U33)*100</f>
        <v>23.605551710455533</v>
      </c>
      <c r="BB31" s="202">
        <f>('Expenditure DATA'!CF33/'Expenditure DATA'!V33)*100</f>
        <v>23.568178108065549</v>
      </c>
      <c r="BC31" s="202">
        <f>('Expenditure DATA'!CG33/'Expenditure DATA'!W33)*100</f>
        <v>22.971411438212748</v>
      </c>
      <c r="BD31" s="202">
        <f>('Expenditure DATA'!CH33/'Expenditure DATA'!X33)*100</f>
        <v>22.455562819076082</v>
      </c>
      <c r="BE31" s="202">
        <f>('Expenditure DATA'!CI33/'Expenditure DATA'!Y33)*100</f>
        <v>22.040059809628826</v>
      </c>
      <c r="BF31" s="202">
        <f>('Expenditure DATA'!CJ33/'Expenditure DATA'!Z33)*100</f>
        <v>23.99331441405366</v>
      </c>
      <c r="BG31" s="202">
        <f>('Expenditure DATA'!CK33/'Expenditure DATA'!AA33)*100</f>
        <v>23.99331441405366</v>
      </c>
      <c r="BH31" s="202">
        <f>('Expenditure DATA'!CL33/'Expenditure DATA'!AB33)*100</f>
        <v>25.410082466502047</v>
      </c>
      <c r="BI31" s="202">
        <f>('Expenditure DATA'!CM33/'Expenditure DATA'!AC33)*100</f>
        <v>22.789390790208223</v>
      </c>
      <c r="BJ31" s="202">
        <f>('Expenditure DATA'!CN33/'Expenditure DATA'!AD33)*100</f>
        <v>22.502447276808976</v>
      </c>
      <c r="BK31" s="202">
        <f>('Expenditure DATA'!CO33/'Expenditure DATA'!AE33)*100</f>
        <v>21.461064242504893</v>
      </c>
      <c r="BL31" s="464">
        <f>('Expenditure DATA'!CP33/'Expenditure DATA'!AF33)*100</f>
        <v>20.861516559694699</v>
      </c>
      <c r="BM31" s="203" t="e">
        <f>('Expenditure DATA'!AG33/'Expenditure DATA'!B33)*100</f>
        <v>#DIV/0!</v>
      </c>
      <c r="BN31" s="202" t="e">
        <f>('Expenditure DATA'!AH33/'Expenditure DATA'!C33)*100</f>
        <v>#DIV/0!</v>
      </c>
      <c r="BO31" s="202" t="e">
        <f>('Expenditure DATA'!AI33/'Expenditure DATA'!D33)*100</f>
        <v>#DIV/0!</v>
      </c>
      <c r="BP31" s="202" t="e">
        <f>('Expenditure DATA'!AJ33/'Expenditure DATA'!E33)*100</f>
        <v>#DIV/0!</v>
      </c>
      <c r="BQ31" s="202" t="e">
        <f>('Expenditure DATA'!AK33/'Expenditure DATA'!F33)*100</f>
        <v>#DIV/0!</v>
      </c>
      <c r="BR31" s="202" t="e">
        <f>('Expenditure DATA'!AL33/'Expenditure DATA'!G33)*100</f>
        <v>#DIV/0!</v>
      </c>
      <c r="BS31" s="202" t="e">
        <f>('Expenditure DATA'!AM33/'Expenditure DATA'!H33)*100</f>
        <v>#DIV/0!</v>
      </c>
      <c r="BT31" s="202" t="e">
        <f>('Expenditure DATA'!AN33/'Expenditure DATA'!I33)*100</f>
        <v>#DIV/0!</v>
      </c>
      <c r="BU31" s="202">
        <f>('Expenditure DATA'!AO33/'Expenditure DATA'!J33)*100</f>
        <v>30.374823230902635</v>
      </c>
      <c r="BV31" s="202">
        <f>('Expenditure DATA'!AP33/'Expenditure DATA'!K33)*100</f>
        <v>30.712750820754199</v>
      </c>
      <c r="BW31" s="202">
        <f>('Expenditure DATA'!AQ33/'Expenditure DATA'!L33)*100</f>
        <v>30.975279266544209</v>
      </c>
      <c r="BX31" s="202">
        <f>('Expenditure DATA'!AR33/'Expenditure DATA'!M33)*100</f>
        <v>29.817170500784517</v>
      </c>
      <c r="BY31" s="202">
        <f>('Expenditure DATA'!AS33/'Expenditure DATA'!N33)*100</f>
        <v>28.032750002227591</v>
      </c>
      <c r="BZ31" s="202">
        <f>('Expenditure DATA'!AT33/'Expenditure DATA'!O33)*100</f>
        <v>28.67983687229043</v>
      </c>
      <c r="CA31" s="202">
        <f>('Expenditure DATA'!AU33/'Expenditure DATA'!P33)*100</f>
        <v>30.271183722719414</v>
      </c>
      <c r="CB31" s="202">
        <f>('Expenditure DATA'!AV33/'Expenditure DATA'!Q33)*100</f>
        <v>30.795865274751449</v>
      </c>
      <c r="CC31" s="202">
        <f>('Expenditure DATA'!AW33/'Expenditure DATA'!R33)*100</f>
        <v>30.350802217975165</v>
      </c>
      <c r="CD31" s="202">
        <f>('Expenditure DATA'!AX33/'Expenditure DATA'!S33)*100</f>
        <v>32.107908375964875</v>
      </c>
      <c r="CE31" s="202">
        <f>('Expenditure DATA'!AY33/'Expenditure DATA'!T33)*100</f>
        <v>31.457504216248932</v>
      </c>
      <c r="CF31" s="202">
        <f>('Expenditure DATA'!AZ33/'Expenditure DATA'!U33)*100</f>
        <v>31.699259983993755</v>
      </c>
      <c r="CG31" s="202">
        <f>('Expenditure DATA'!BA33/'Expenditure DATA'!V33)*100</f>
        <v>31.899700909806988</v>
      </c>
      <c r="CH31" s="202">
        <f>('Expenditure DATA'!BB33/'Expenditure DATA'!W33)*100</f>
        <v>31.531984247477446</v>
      </c>
      <c r="CI31" s="202">
        <f>('Expenditure DATA'!BC33/'Expenditure DATA'!X33)*100</f>
        <v>31.214127801937309</v>
      </c>
      <c r="CJ31" s="202">
        <f>('Expenditure DATA'!BD33/'Expenditure DATA'!Y33)*100</f>
        <v>30.742741125561185</v>
      </c>
      <c r="CK31" s="202">
        <f>('Expenditure DATA'!BE33/'Expenditure DATA'!Z33)*100</f>
        <v>33.529763044727268</v>
      </c>
      <c r="CL31" s="202">
        <f>('Expenditure DATA'!BF33/'Expenditure DATA'!AA33)*100</f>
        <v>33.529763044727268</v>
      </c>
      <c r="CM31" s="202">
        <f>('Expenditure DATA'!BG33/'Expenditure DATA'!AB33)*100</f>
        <v>34.888747472368614</v>
      </c>
      <c r="CN31" s="202">
        <f>('Expenditure DATA'!BH33/'Expenditure DATA'!AC33)*100</f>
        <v>31.700005413383053</v>
      </c>
      <c r="CO31" s="202">
        <f>('Expenditure DATA'!BI33/'Expenditure DATA'!AD33)*100</f>
        <v>31.857153738036025</v>
      </c>
      <c r="CP31" s="202">
        <f>('Expenditure DATA'!BJ33/'Expenditure DATA'!AE33)*100</f>
        <v>30.354323881651275</v>
      </c>
      <c r="CQ31" s="464">
        <f>('Expenditure DATA'!BK33/'Expenditure DATA'!AF33)*100</f>
        <v>29.709670986415038</v>
      </c>
      <c r="CR31" s="203" t="e">
        <f>('Expenditure DATA'!FA33/'Expenditure DATA'!B33)*100</f>
        <v>#DIV/0!</v>
      </c>
      <c r="CS31" s="202" t="e">
        <f>('Expenditure DATA'!FB33/'Expenditure DATA'!C33)*100</f>
        <v>#DIV/0!</v>
      </c>
      <c r="CT31" s="202" t="e">
        <f>('Expenditure DATA'!FC33/'Expenditure DATA'!D33)*100</f>
        <v>#DIV/0!</v>
      </c>
      <c r="CU31" s="202" t="e">
        <f>('Expenditure DATA'!FD33/'Expenditure DATA'!E33)*100</f>
        <v>#DIV/0!</v>
      </c>
      <c r="CV31" s="202" t="e">
        <f>('Expenditure DATA'!FE33/'Expenditure DATA'!F33)*100</f>
        <v>#DIV/0!</v>
      </c>
      <c r="CW31" s="202" t="e">
        <f>('Expenditure DATA'!FF33/'Expenditure DATA'!G33)*100</f>
        <v>#DIV/0!</v>
      </c>
      <c r="CX31" s="202" t="e">
        <f>('Expenditure DATA'!FG33/'Expenditure DATA'!H33)*100</f>
        <v>#DIV/0!</v>
      </c>
      <c r="CY31" s="202" t="e">
        <f>('Expenditure DATA'!FH33/'Expenditure DATA'!I33)*100</f>
        <v>#DIV/0!</v>
      </c>
      <c r="CZ31" s="202">
        <f>('Expenditure DATA'!FI33/'Expenditure DATA'!J33)*100</f>
        <v>14.303772237988913</v>
      </c>
      <c r="DA31" s="202">
        <f>('Expenditure DATA'!FJ33/'Expenditure DATA'!K33)*100</f>
        <v>15.917558505008699</v>
      </c>
      <c r="DB31" s="202">
        <f>('Expenditure DATA'!FK33/'Expenditure DATA'!L33)*100</f>
        <v>17.171273245211086</v>
      </c>
      <c r="DC31" s="202">
        <f>('Expenditure DATA'!FL33/'Expenditure DATA'!M33)*100</f>
        <v>18.331143890560529</v>
      </c>
      <c r="DD31" s="202">
        <f>('Expenditure DATA'!FM33/'Expenditure DATA'!N33)*100</f>
        <v>17.601749866026481</v>
      </c>
      <c r="DE31" s="202">
        <f>('Expenditure DATA'!FN33/'Expenditure DATA'!O33)*100</f>
        <v>18.464046350975483</v>
      </c>
      <c r="DF31" s="202">
        <f>('Expenditure DATA'!FO33/'Expenditure DATA'!P33)*100</f>
        <v>19.225378951309633</v>
      </c>
      <c r="DG31" s="202">
        <f>('Expenditure DATA'!FP33/'Expenditure DATA'!Q33)*100</f>
        <v>17.262037145439677</v>
      </c>
      <c r="DH31" s="202">
        <f>('Expenditure DATA'!FQ33/'Expenditure DATA'!R33)*100</f>
        <v>17.680273927918719</v>
      </c>
      <c r="DI31" s="202">
        <f>('Expenditure DATA'!FR33/'Expenditure DATA'!S33)*100</f>
        <v>16.878598884477501</v>
      </c>
      <c r="DJ31" s="202">
        <f>('Expenditure DATA'!FS33/'Expenditure DATA'!T33)*100</f>
        <v>16.996111001441459</v>
      </c>
      <c r="DK31" s="202">
        <f>('Expenditure DATA'!FT33/'Expenditure DATA'!U33)*100</f>
        <v>17.461364097022823</v>
      </c>
      <c r="DL31" s="202">
        <f>('Expenditure DATA'!FU33/'Expenditure DATA'!V33)*100</f>
        <v>17.847107784074108</v>
      </c>
      <c r="DM31" s="202">
        <f>('Expenditure DATA'!FV33/'Expenditure DATA'!W33)*100</f>
        <v>18.160915122546093</v>
      </c>
      <c r="DN31" s="202">
        <f>('Expenditure DATA'!FW33/'Expenditure DATA'!X33)*100</f>
        <v>18.432172031491181</v>
      </c>
      <c r="DO31" s="202">
        <f>('Expenditure DATA'!FX33/'Expenditure DATA'!Y33)*100</f>
        <v>18.487659526771143</v>
      </c>
      <c r="DP31" s="202">
        <f>('Expenditure DATA'!FY33/'Expenditure DATA'!Z33)*100</f>
        <v>18.473028419543734</v>
      </c>
      <c r="DQ31" s="202">
        <f>('Expenditure DATA'!FZ33/'Expenditure DATA'!AA33)*100</f>
        <v>18.473028419543734</v>
      </c>
      <c r="DR31" s="202">
        <f>('Expenditure DATA'!GA33/'Expenditure DATA'!AB33)*100</f>
        <v>17.639531093629845</v>
      </c>
      <c r="DS31" s="202">
        <f>('Expenditure DATA'!GB33/'Expenditure DATA'!AC33)*100</f>
        <v>18.923325969785239</v>
      </c>
      <c r="DT31" s="202">
        <f>('Expenditure DATA'!GC33/'Expenditure DATA'!AD33)*100</f>
        <v>20.16547090151029</v>
      </c>
      <c r="DU31" s="202">
        <f>('Expenditure DATA'!GD33/'Expenditure DATA'!AE33)*100</f>
        <v>20.190027793107852</v>
      </c>
      <c r="DV31" s="464">
        <f>('Expenditure DATA'!GE33/'Expenditure DATA'!AF33)*100</f>
        <v>21.199189347966254</v>
      </c>
      <c r="DW31" s="203" t="e">
        <f>('Expenditure DATA'!GF33/'Expenditure DATA'!B33)*100</f>
        <v>#DIV/0!</v>
      </c>
      <c r="DX31" s="202" t="e">
        <f>('Expenditure DATA'!GG33/'Expenditure DATA'!C33)*100</f>
        <v>#DIV/0!</v>
      </c>
      <c r="DY31" s="202" t="e">
        <f>('Expenditure DATA'!GH33/'Expenditure DATA'!D33)*100</f>
        <v>#DIV/0!</v>
      </c>
      <c r="DZ31" s="202" t="e">
        <f>('Expenditure DATA'!GI33/'Expenditure DATA'!E33)*100</f>
        <v>#DIV/0!</v>
      </c>
      <c r="EA31" s="202" t="e">
        <f>('Expenditure DATA'!GJ33/'Expenditure DATA'!F33)*100</f>
        <v>#DIV/0!</v>
      </c>
      <c r="EB31" s="202" t="e">
        <f>('Expenditure DATA'!GK33/'Expenditure DATA'!G33)*100</f>
        <v>#DIV/0!</v>
      </c>
      <c r="EC31" s="202" t="e">
        <f>('Expenditure DATA'!GL33/'Expenditure DATA'!H33)*100</f>
        <v>#DIV/0!</v>
      </c>
      <c r="ED31" s="202" t="e">
        <f>('Expenditure DATA'!GM33/'Expenditure DATA'!I33)*100</f>
        <v>#DIV/0!</v>
      </c>
      <c r="EE31" s="202">
        <f>('Expenditure DATA'!GN33/'Expenditure DATA'!J33)*100</f>
        <v>35.969431797681096</v>
      </c>
      <c r="EF31" s="202">
        <f>('Expenditure DATA'!GO33/'Expenditure DATA'!K33)*100</f>
        <v>33.885616332412155</v>
      </c>
      <c r="EG31" s="202">
        <f>('Expenditure DATA'!GP33/'Expenditure DATA'!L33)*100</f>
        <v>32.266746338249952</v>
      </c>
      <c r="EH31" s="202">
        <f>('Expenditure DATA'!GQ33/'Expenditure DATA'!M33)*100</f>
        <v>33.720059384984161</v>
      </c>
      <c r="EI31" s="202">
        <f>('Expenditure DATA'!GR33/'Expenditure DATA'!N33)*100</f>
        <v>34.810584990128604</v>
      </c>
      <c r="EJ31" s="202">
        <f>('Expenditure DATA'!GS33/'Expenditure DATA'!O33)*100</f>
        <v>33.594116571163106</v>
      </c>
      <c r="EK31" s="202">
        <f>('Expenditure DATA'!GT33/'Expenditure DATA'!P33)*100</f>
        <v>32.307779170050537</v>
      </c>
      <c r="EL31" s="202">
        <f>('Expenditure DATA'!GU33/'Expenditure DATA'!Q33)*100</f>
        <v>33.885921603291528</v>
      </c>
      <c r="EM31" s="202">
        <f>('Expenditure DATA'!GV33/'Expenditure DATA'!R33)*100</f>
        <v>34.210244776569773</v>
      </c>
      <c r="EN31" s="202">
        <f>('Expenditure DATA'!GW33/'Expenditure DATA'!S33)*100</f>
        <v>33.003213867533105</v>
      </c>
      <c r="EO31" s="202">
        <f>('Expenditure DATA'!GX33/'Expenditure DATA'!T33)*100</f>
        <v>36.073552812186563</v>
      </c>
      <c r="EP31" s="202">
        <f>('Expenditure DATA'!GY33/'Expenditure DATA'!U33)*100</f>
        <v>35.058003482182428</v>
      </c>
      <c r="EQ31" s="202">
        <f>('Expenditure DATA'!GZ33/'Expenditure DATA'!V33)*100</f>
        <v>34.216006412934043</v>
      </c>
      <c r="ER31" s="202">
        <f>('Expenditure DATA'!HA33/'Expenditure DATA'!W33)*100</f>
        <v>35.154248503659211</v>
      </c>
      <c r="ES31" s="202">
        <f>('Expenditure DATA'!HB33/'Expenditure DATA'!X33)*100</f>
        <v>35.965270484889921</v>
      </c>
      <c r="ET31" s="202">
        <f>('Expenditure DATA'!HC33/'Expenditure DATA'!Y33)*100</f>
        <v>35.438725027233524</v>
      </c>
      <c r="EU31" s="202">
        <f>('Expenditure DATA'!HD33/'Expenditure DATA'!Z33)*100</f>
        <v>33.924862603083966</v>
      </c>
      <c r="EV31" s="202">
        <f>('Expenditure DATA'!HE33/'Expenditure DATA'!AA33)*100</f>
        <v>33.924862603083966</v>
      </c>
      <c r="EW31" s="202">
        <f>('Expenditure DATA'!HF33/'Expenditure DATA'!AB33)*100</f>
        <v>32.697032119655276</v>
      </c>
      <c r="EX31" s="202">
        <f>('Expenditure DATA'!HG33/'Expenditure DATA'!AC33)*100</f>
        <v>34.335067991133968</v>
      </c>
      <c r="EY31" s="202">
        <f>('Expenditure DATA'!HH33/'Expenditure DATA'!AD33)*100</f>
        <v>33.481745019464029</v>
      </c>
      <c r="EZ31" s="202">
        <f>('Expenditure DATA'!HI33/'Expenditure DATA'!AE33)*100</f>
        <v>35.270460497383347</v>
      </c>
      <c r="FA31" s="464">
        <f>('Expenditure DATA'!HJ33/'Expenditure DATA'!AF33)*100</f>
        <v>34.621019203278856</v>
      </c>
      <c r="FB31" s="203" t="e">
        <f>('Expenditure DATA'!HK33/'Expenditure DATA'!B33)*100</f>
        <v>#DIV/0!</v>
      </c>
      <c r="FC31" s="202" t="e">
        <f>('Expenditure DATA'!HL33/'Expenditure DATA'!C33)*100</f>
        <v>#DIV/0!</v>
      </c>
      <c r="FD31" s="202" t="e">
        <f>('Expenditure DATA'!HM33/'Expenditure DATA'!D33)*100</f>
        <v>#DIV/0!</v>
      </c>
      <c r="FE31" s="202" t="e">
        <f>('Expenditure DATA'!HN33/'Expenditure DATA'!E33)*100</f>
        <v>#DIV/0!</v>
      </c>
      <c r="FF31" s="202" t="e">
        <f>('Expenditure DATA'!HO33/'Expenditure DATA'!F33)*100</f>
        <v>#DIV/0!</v>
      </c>
      <c r="FG31" s="202" t="e">
        <f>('Expenditure DATA'!HP33/'Expenditure DATA'!G33)*100</f>
        <v>#DIV/0!</v>
      </c>
      <c r="FH31" s="202" t="e">
        <f>('Expenditure DATA'!HQ33/'Expenditure DATA'!H33)*100</f>
        <v>#DIV/0!</v>
      </c>
      <c r="FI31" s="202" t="e">
        <f>('Expenditure DATA'!HR33/'Expenditure DATA'!I33)*100</f>
        <v>#DIV/0!</v>
      </c>
      <c r="FJ31" s="202">
        <f>('Expenditure DATA'!HS33/'Expenditure DATA'!J33)*100</f>
        <v>7.5913234258578504</v>
      </c>
      <c r="FK31" s="202">
        <f>('Expenditure DATA'!HT33/'Expenditure DATA'!K33)*100</f>
        <v>7.3681659431562183</v>
      </c>
      <c r="FL31" s="202">
        <f>('Expenditure DATA'!HU33/'Expenditure DATA'!L33)*100</f>
        <v>7.1947998468105343</v>
      </c>
      <c r="FM31" s="202">
        <f>('Expenditure DATA'!HV33/'Expenditure DATA'!M33)*100</f>
        <v>7.5998401998860512</v>
      </c>
      <c r="FN31" s="202">
        <f>('Expenditure DATA'!HW33/'Expenditure DATA'!N33)*100</f>
        <v>7.9029579825942626</v>
      </c>
      <c r="FO31" s="202">
        <f>('Expenditure DATA'!HX33/'Expenditure DATA'!O33)*100</f>
        <v>9.0401543459163261</v>
      </c>
      <c r="FP31" s="202">
        <f>('Expenditure DATA'!HY33/'Expenditure DATA'!P33)*100</f>
        <v>8.0232017865975216</v>
      </c>
      <c r="FQ31" s="202">
        <f>('Expenditure DATA'!HZ33/'Expenditure DATA'!Q33)*100</f>
        <v>7.8185291735512861</v>
      </c>
      <c r="FR31" s="202">
        <f>('Expenditure DATA'!IA33/'Expenditure DATA'!R33)*100</f>
        <v>7.8061726913292286</v>
      </c>
      <c r="FS31" s="202">
        <f>('Expenditure DATA'!IB33/'Expenditure DATA'!S33)*100</f>
        <v>8.4059578241162178</v>
      </c>
      <c r="FT31" s="202">
        <f>('Expenditure DATA'!IC33/'Expenditure DATA'!T33)*100</f>
        <v>7.5988673623353629</v>
      </c>
      <c r="FU31" s="202">
        <f>('Expenditure DATA'!ID33/'Expenditure DATA'!U33)*100</f>
        <v>7.6705806199064837</v>
      </c>
      <c r="FV31" s="202">
        <f>('Expenditure DATA'!IE33/'Expenditure DATA'!V33)*100</f>
        <v>7.7300384432904972</v>
      </c>
      <c r="FW31" s="202">
        <f>('Expenditure DATA'!IF33/'Expenditure DATA'!W33)*100</f>
        <v>6.9445948501320105</v>
      </c>
      <c r="FX31" s="202">
        <f>('Expenditure DATA'!IG33/'Expenditure DATA'!X33)*100</f>
        <v>6.265652788839474</v>
      </c>
      <c r="FY31" s="202">
        <f>('Expenditure DATA'!IH33/'Expenditure DATA'!Y33)*100</f>
        <v>7.9095294662055586</v>
      </c>
      <c r="FZ31" s="202">
        <f>('Expenditure DATA'!II33/'Expenditure DATA'!Z33)*100</f>
        <v>7.7954802653341941</v>
      </c>
      <c r="GA31" s="202">
        <f>('Expenditure DATA'!IJ33/'Expenditure DATA'!AA33)*100</f>
        <v>7.7954802653341941</v>
      </c>
      <c r="GB31" s="202">
        <f>('Expenditure DATA'!IK33/'Expenditure DATA'!AB33)*100</f>
        <v>7.9498309080485425</v>
      </c>
      <c r="GC31" s="202">
        <f>('Expenditure DATA'!IL33/'Expenditure DATA'!AC33)*100</f>
        <v>8.4127588652655749</v>
      </c>
      <c r="GD31" s="202">
        <f>('Expenditure DATA'!IM33/'Expenditure DATA'!AD33)*100</f>
        <v>7.5208154941732825</v>
      </c>
      <c r="GE31" s="202">
        <f>('Expenditure DATA'!IN33/'Expenditure DATA'!AE33)*100</f>
        <v>6.8810968248719702</v>
      </c>
      <c r="GF31" s="464">
        <f>('Expenditure DATA'!IO33/'Expenditure DATA'!AF33)*100</f>
        <v>6.5088210003561739</v>
      </c>
      <c r="GG31" s="203" t="e">
        <f>('Expenditure DATA'!IP33/'Expenditure DATA'!B33)*100</f>
        <v>#DIV/0!</v>
      </c>
      <c r="GH31" s="202" t="e">
        <f>('Expenditure DATA'!IQ33/'Expenditure DATA'!C33)*100</f>
        <v>#DIV/0!</v>
      </c>
      <c r="GI31" s="202" t="e">
        <f>('Expenditure DATA'!IR33/'Expenditure DATA'!D33)*100</f>
        <v>#DIV/0!</v>
      </c>
      <c r="GJ31" s="202" t="e">
        <f>('Expenditure DATA'!IS33/'Expenditure DATA'!E33)*100</f>
        <v>#DIV/0!</v>
      </c>
      <c r="GK31" s="202" t="e">
        <f>('Expenditure DATA'!IT33/'Expenditure DATA'!F33)*100</f>
        <v>#DIV/0!</v>
      </c>
      <c r="GL31" s="202" t="e">
        <f>('Expenditure DATA'!IU33/'Expenditure DATA'!G33)*100</f>
        <v>#DIV/0!</v>
      </c>
      <c r="GM31" s="202" t="e">
        <f>('Expenditure DATA'!IV33/'Expenditure DATA'!H33)*100</f>
        <v>#DIV/0!</v>
      </c>
      <c r="GN31" s="202" t="e">
        <f>('Expenditure DATA'!IW33/'Expenditure DATA'!I33)*100</f>
        <v>#DIV/0!</v>
      </c>
      <c r="GO31" s="202">
        <f>('Expenditure DATA'!IX33/'Expenditure DATA'!J33)*100</f>
        <v>11.760649307569498</v>
      </c>
      <c r="GP31" s="202">
        <f>('Expenditure DATA'!IY33/'Expenditure DATA'!K33)*100</f>
        <v>12.115908398668727</v>
      </c>
      <c r="GQ31" s="202">
        <f>('Expenditure DATA'!IZ33/'Expenditure DATA'!L33)*100</f>
        <v>12.39190130318422</v>
      </c>
      <c r="GR31" s="202">
        <f>('Expenditure DATA'!JA33/'Expenditure DATA'!M33)*100</f>
        <v>10.531786023784754</v>
      </c>
      <c r="GS31" s="202">
        <f>('Expenditure DATA'!JB33/'Expenditure DATA'!N33)*100</f>
        <v>11.651957159023068</v>
      </c>
      <c r="GT31" s="202">
        <f>('Expenditure DATA'!JC33/'Expenditure DATA'!O33)*100</f>
        <v>10.221845859654646</v>
      </c>
      <c r="GU31" s="202">
        <f>('Expenditure DATA'!JD33/'Expenditure DATA'!P33)*100</f>
        <v>10.172456369322898</v>
      </c>
      <c r="GV31" s="202">
        <f>('Expenditure DATA'!JE33/'Expenditure DATA'!Q33)*100</f>
        <v>10.237646802966047</v>
      </c>
      <c r="GW31" s="202">
        <f>('Expenditure DATA'!JF33/'Expenditure DATA'!R33)*100</f>
        <v>9.952506386207121</v>
      </c>
      <c r="GX31" s="202">
        <f>('Expenditure DATA'!JG33/'Expenditure DATA'!S33)*100</f>
        <v>9.6043210479082983</v>
      </c>
      <c r="GY31" s="202">
        <f>('Expenditure DATA'!JH33/'Expenditure DATA'!T33)*100</f>
        <v>7.8739646077876895</v>
      </c>
      <c r="GZ31" s="202">
        <f>('Expenditure DATA'!JI33/'Expenditure DATA'!U33)*100</f>
        <v>8.1107918168945048</v>
      </c>
      <c r="HA31" s="202">
        <f>('Expenditure DATA'!JJ33/'Expenditure DATA'!V33)*100</f>
        <v>8.3071464498943666</v>
      </c>
      <c r="HB31" s="202">
        <f>('Expenditure DATA'!JK33/'Expenditure DATA'!W33)*100</f>
        <v>8.208257276185245</v>
      </c>
      <c r="HC31" s="202">
        <f>('Expenditure DATA'!JL33/'Expenditure DATA'!X33)*100</f>
        <v>8.1227768928421238</v>
      </c>
      <c r="HD31" s="202">
        <f>('Expenditure DATA'!JM33/'Expenditure DATA'!Y33)*100</f>
        <v>7.421344854228594</v>
      </c>
      <c r="HE31" s="202">
        <f>('Expenditure DATA'!JN33/'Expenditure DATA'!Z33)*100</f>
        <v>6.2768656673108518</v>
      </c>
      <c r="HF31" s="202">
        <f>('Expenditure DATA'!JO33/'Expenditure DATA'!AA33)*100</f>
        <v>6.2768656673108518</v>
      </c>
      <c r="HG31" s="202">
        <f>('Expenditure DATA'!JP33/'Expenditure DATA'!AB33)*100</f>
        <v>6.8248584062977322</v>
      </c>
      <c r="HH31" s="202">
        <f>('Expenditure DATA'!JQ33/'Expenditure DATA'!AC33)*100</f>
        <v>6.6288523957623315</v>
      </c>
      <c r="HI31" s="202">
        <f>('Expenditure DATA'!JR33/'Expenditure DATA'!AD33)*100</f>
        <v>6.9748092215392772</v>
      </c>
      <c r="HJ31" s="202">
        <f>('Expenditure DATA'!JS33/'Expenditure DATA'!AE33)*100</f>
        <v>7.304091002985559</v>
      </c>
      <c r="HK31" s="464">
        <f>('Expenditure DATA'!JT33/'Expenditure DATA'!AF33)*100</f>
        <v>7.961299461983681</v>
      </c>
      <c r="HL31" s="203" t="e">
        <f t="shared" si="1"/>
        <v>#DIV/0!</v>
      </c>
      <c r="HM31" s="204" t="e">
        <f t="shared" si="2"/>
        <v>#DIV/0!</v>
      </c>
      <c r="HN31" s="204" t="e">
        <f t="shared" si="3"/>
        <v>#DIV/0!</v>
      </c>
      <c r="HO31" s="204" t="e">
        <f t="shared" si="4"/>
        <v>#DIV/0!</v>
      </c>
      <c r="HP31" s="204" t="e">
        <f t="shared" si="5"/>
        <v>#DIV/0!</v>
      </c>
      <c r="HQ31" s="204" t="e">
        <f t="shared" si="6"/>
        <v>#DIV/0!</v>
      </c>
      <c r="HR31" s="204" t="e">
        <f t="shared" si="7"/>
        <v>#DIV/0!</v>
      </c>
      <c r="HS31" s="204" t="e">
        <f t="shared" si="8"/>
        <v>#DIV/0!</v>
      </c>
      <c r="HT31" s="204">
        <f t="shared" si="9"/>
        <v>99.999999999999986</v>
      </c>
      <c r="HU31" s="204">
        <f t="shared" si="10"/>
        <v>99.999999999999986</v>
      </c>
      <c r="HV31" s="204">
        <f t="shared" si="11"/>
        <v>100</v>
      </c>
      <c r="HW31" s="204">
        <f t="shared" si="12"/>
        <v>100</v>
      </c>
      <c r="HX31" s="204">
        <f t="shared" si="13"/>
        <v>100</v>
      </c>
      <c r="HY31" s="204">
        <f t="shared" si="14"/>
        <v>99.999999999999986</v>
      </c>
      <c r="HZ31" s="204">
        <f t="shared" si="15"/>
        <v>100.00000000000001</v>
      </c>
      <c r="IA31" s="204">
        <f t="shared" si="16"/>
        <v>99.999999999999972</v>
      </c>
      <c r="IB31" s="204">
        <f t="shared" si="17"/>
        <v>100</v>
      </c>
      <c r="IC31" s="204">
        <f t="shared" si="18"/>
        <v>100</v>
      </c>
      <c r="ID31" s="204">
        <f t="shared" si="19"/>
        <v>100</v>
      </c>
      <c r="IE31" s="204">
        <f t="shared" si="20"/>
        <v>100</v>
      </c>
      <c r="IF31" s="204">
        <f t="shared" si="21"/>
        <v>99.999999999999986</v>
      </c>
      <c r="IG31" s="204">
        <f t="shared" si="22"/>
        <v>100.00000000000001</v>
      </c>
      <c r="IH31" s="204">
        <f t="shared" si="23"/>
        <v>100</v>
      </c>
      <c r="II31" s="204">
        <f t="shared" si="24"/>
        <v>100</v>
      </c>
      <c r="IJ31" s="204">
        <f t="shared" si="25"/>
        <v>100.00000000000001</v>
      </c>
      <c r="IK31" s="204">
        <f t="shared" si="26"/>
        <v>100.00000000000001</v>
      </c>
      <c r="IL31" s="204">
        <f t="shared" si="32"/>
        <v>100.00000000000001</v>
      </c>
      <c r="IM31" s="204">
        <f t="shared" si="33"/>
        <v>100.00001063533017</v>
      </c>
      <c r="IN31" s="204">
        <f t="shared" si="34"/>
        <v>99.999994374722888</v>
      </c>
      <c r="IO31" s="204">
        <f t="shared" si="35"/>
        <v>100</v>
      </c>
      <c r="IP31" s="204">
        <f t="shared" si="36"/>
        <v>100.00000000000001</v>
      </c>
    </row>
    <row r="32" spans="1:250" s="164" customFormat="1">
      <c r="A32" s="164" t="s">
        <v>68</v>
      </c>
      <c r="C32" s="202" t="e">
        <f>('Expenditure DATA'!CQ34/'Expenditure DATA'!B34)*100</f>
        <v>#DIV/0!</v>
      </c>
      <c r="D32" s="202" t="e">
        <f>('Expenditure DATA'!CR34/'Expenditure DATA'!C34)*100</f>
        <v>#DIV/0!</v>
      </c>
      <c r="E32" s="202" t="e">
        <f>('Expenditure DATA'!CS34/'Expenditure DATA'!D34)*100</f>
        <v>#DIV/0!</v>
      </c>
      <c r="F32" s="202" t="e">
        <f>('Expenditure DATA'!CT34/'Expenditure DATA'!E34)*100</f>
        <v>#DIV/0!</v>
      </c>
      <c r="G32" s="202" t="e">
        <f>('Expenditure DATA'!CU34/'Expenditure DATA'!F34)*100</f>
        <v>#DIV/0!</v>
      </c>
      <c r="H32" s="202" t="e">
        <f>('Expenditure DATA'!CV34/'Expenditure DATA'!G34)*100</f>
        <v>#DIV/0!</v>
      </c>
      <c r="I32" s="202" t="e">
        <f>('Expenditure DATA'!CW34/'Expenditure DATA'!H34)*100</f>
        <v>#DIV/0!</v>
      </c>
      <c r="J32" s="202" t="e">
        <f>('Expenditure DATA'!CX34/'Expenditure DATA'!I34)*100</f>
        <v>#DIV/0!</v>
      </c>
      <c r="K32" s="202">
        <f>('Expenditure DATA'!CY34/'Expenditure DATA'!J34)*100</f>
        <v>13.426822535733427</v>
      </c>
      <c r="L32" s="202">
        <f>('Expenditure DATA'!CZ34/'Expenditure DATA'!K34)*100</f>
        <v>12.942637883232946</v>
      </c>
      <c r="M32" s="202">
        <f>('Expenditure DATA'!DA34/'Expenditure DATA'!L34)*100</f>
        <v>12.541348752945492</v>
      </c>
      <c r="N32" s="202">
        <f>('Expenditure DATA'!DB34/'Expenditure DATA'!M34)*100</f>
        <v>12.382356911735691</v>
      </c>
      <c r="O32" s="202">
        <f>('Expenditure DATA'!DC34/'Expenditure DATA'!N34)*100</f>
        <v>12.196383763120487</v>
      </c>
      <c r="P32" s="202">
        <f>('Expenditure DATA'!DD34/'Expenditure DATA'!O34)*100</f>
        <v>13.091741258157686</v>
      </c>
      <c r="Q32" s="202">
        <f>('Expenditure DATA'!DE34/'Expenditure DATA'!P34)*100</f>
        <v>12.764272877854735</v>
      </c>
      <c r="R32" s="202">
        <f>('Expenditure DATA'!DF34/'Expenditure DATA'!Q34)*100</f>
        <v>12.769817664924979</v>
      </c>
      <c r="S32" s="202">
        <f>('Expenditure DATA'!DG34/'Expenditure DATA'!R34)*100</f>
        <v>12.535748081947784</v>
      </c>
      <c r="T32" s="202">
        <f>('Expenditure DATA'!DH34/'Expenditure DATA'!S34)*100</f>
        <v>12.090374900284049</v>
      </c>
      <c r="U32" s="202">
        <f>('Expenditure DATA'!DI34/'Expenditure DATA'!T34)*100</f>
        <v>13.950104116856455</v>
      </c>
      <c r="V32" s="202">
        <f>('Expenditure DATA'!DJ34/'Expenditure DATA'!U34)*100</f>
        <v>13.330166667425134</v>
      </c>
      <c r="W32" s="202">
        <f>('Expenditure DATA'!DK34/'Expenditure DATA'!V34)*100</f>
        <v>12.782720311213899</v>
      </c>
      <c r="X32" s="202">
        <f>('Expenditure DATA'!DL34/'Expenditure DATA'!W34)*100</f>
        <v>12.615224631123608</v>
      </c>
      <c r="Y32" s="202">
        <f>('Expenditure DATA'!DM34/'Expenditure DATA'!X34)*100</f>
        <v>12.463399742540904</v>
      </c>
      <c r="Z32" s="202">
        <f>('Expenditure DATA'!DN34/'Expenditure DATA'!Y34)*100</f>
        <v>12.098137283090567</v>
      </c>
      <c r="AA32" s="202">
        <f>('Expenditure DATA'!DO34/'Expenditure DATA'!Z34)*100</f>
        <v>12.08429514818674</v>
      </c>
      <c r="AB32" s="202">
        <f>('Expenditure DATA'!DP34/'Expenditure DATA'!AA34)*100</f>
        <v>12.087961832026702</v>
      </c>
      <c r="AC32" s="202">
        <f>('Expenditure DATA'!DQ34/'Expenditure DATA'!AB34)*100</f>
        <v>11.556002590352314</v>
      </c>
      <c r="AD32" s="202">
        <f>('Expenditure DATA'!DR34/'Expenditure DATA'!AC34)*100</f>
        <v>11.74134592622717</v>
      </c>
      <c r="AE32" s="202">
        <f>('Expenditure DATA'!DS34/'Expenditure DATA'!AD34)*100</f>
        <v>12.522137749445022</v>
      </c>
      <c r="AF32" s="202">
        <f>('Expenditure DATA'!DT34/'Expenditure DATA'!AE34)*100</f>
        <v>12.308203543453407</v>
      </c>
      <c r="AG32" s="464">
        <f>('Expenditure DATA'!DU34/'Expenditure DATA'!AF34)*100</f>
        <v>13.050990705112534</v>
      </c>
      <c r="AH32" s="203" t="e">
        <f>('Expenditure DATA'!BL34/'Expenditure DATA'!B34)*100</f>
        <v>#DIV/0!</v>
      </c>
      <c r="AI32" s="202" t="e">
        <f>('Expenditure DATA'!BM34/'Expenditure DATA'!C34)*100</f>
        <v>#DIV/0!</v>
      </c>
      <c r="AJ32" s="202" t="e">
        <f>('Expenditure DATA'!BN34/'Expenditure DATA'!D34)*100</f>
        <v>#DIV/0!</v>
      </c>
      <c r="AK32" s="202" t="e">
        <f>('Expenditure DATA'!BO34/'Expenditure DATA'!E34)*100</f>
        <v>#DIV/0!</v>
      </c>
      <c r="AL32" s="202" t="e">
        <f>('Expenditure DATA'!BP34/'Expenditure DATA'!F34)*100</f>
        <v>#DIV/0!</v>
      </c>
      <c r="AM32" s="202" t="e">
        <f>('Expenditure DATA'!BQ34/'Expenditure DATA'!G34)*100</f>
        <v>#DIV/0!</v>
      </c>
      <c r="AN32" s="202" t="e">
        <f>('Expenditure DATA'!BR34/'Expenditure DATA'!H34)*100</f>
        <v>#DIV/0!</v>
      </c>
      <c r="AO32" s="202" t="e">
        <f>('Expenditure DATA'!BS34/'Expenditure DATA'!I34)*100</f>
        <v>#DIV/0!</v>
      </c>
      <c r="AP32" s="202">
        <f>('Expenditure DATA'!BT34/'Expenditure DATA'!J34)*100</f>
        <v>22.853657160587854</v>
      </c>
      <c r="AQ32" s="202">
        <f>('Expenditure DATA'!BU34/'Expenditure DATA'!K34)*100</f>
        <v>22.302397719551724</v>
      </c>
      <c r="AR32" s="202">
        <f>('Expenditure DATA'!BV34/'Expenditure DATA'!L34)*100</f>
        <v>21.845517435317767</v>
      </c>
      <c r="AS32" s="202">
        <f>('Expenditure DATA'!BW34/'Expenditure DATA'!M34)*100</f>
        <v>21.419945279585399</v>
      </c>
      <c r="AT32" s="202">
        <f>('Expenditure DATA'!BX34/'Expenditure DATA'!N34)*100</f>
        <v>19.839860115822734</v>
      </c>
      <c r="AU32" s="202">
        <f>('Expenditure DATA'!BY34/'Expenditure DATA'!O34)*100</f>
        <v>20.244097869825776</v>
      </c>
      <c r="AV32" s="202">
        <f>('Expenditure DATA'!BZ34/'Expenditure DATA'!P34)*100</f>
        <v>19.235394562652292</v>
      </c>
      <c r="AW32" s="202">
        <f>('Expenditure DATA'!CA34/'Expenditure DATA'!Q34)*100</f>
        <v>21.338066905374557</v>
      </c>
      <c r="AX32" s="202">
        <f>('Expenditure DATA'!CB34/'Expenditure DATA'!R34)*100</f>
        <v>21.481011334343656</v>
      </c>
      <c r="AY32" s="202">
        <f>('Expenditure DATA'!CC34/'Expenditure DATA'!S34)*100</f>
        <v>21.650872519197598</v>
      </c>
      <c r="AZ32" s="202">
        <f>('Expenditure DATA'!CD34/'Expenditure DATA'!T34)*100</f>
        <v>21.125636452594279</v>
      </c>
      <c r="BA32" s="202">
        <f>('Expenditure DATA'!CE34/'Expenditure DATA'!U34)*100</f>
        <v>21.547622906278612</v>
      </c>
      <c r="BB32" s="202">
        <f>('Expenditure DATA'!CF34/'Expenditure DATA'!V34)*100</f>
        <v>21.920265253747534</v>
      </c>
      <c r="BC32" s="202">
        <f>('Expenditure DATA'!CG34/'Expenditure DATA'!W34)*100</f>
        <v>22.223372952166116</v>
      </c>
      <c r="BD32" s="202">
        <f>('Expenditure DATA'!CH34/'Expenditure DATA'!X34)*100</f>
        <v>22.49812208310582</v>
      </c>
      <c r="BE32" s="202">
        <f>('Expenditure DATA'!CI34/'Expenditure DATA'!Y34)*100</f>
        <v>21.054197520597118</v>
      </c>
      <c r="BF32" s="202">
        <f>('Expenditure DATA'!CJ34/'Expenditure DATA'!Z34)*100</f>
        <v>19.913746007881368</v>
      </c>
      <c r="BG32" s="202">
        <f>('Expenditure DATA'!CK34/'Expenditure DATA'!AA34)*100</f>
        <v>19.919399814404706</v>
      </c>
      <c r="BH32" s="202">
        <f>('Expenditure DATA'!CL34/'Expenditure DATA'!AB34)*100</f>
        <v>20.594088249130479</v>
      </c>
      <c r="BI32" s="202">
        <f>('Expenditure DATA'!CM34/'Expenditure DATA'!AC34)*100</f>
        <v>21.093001431615019</v>
      </c>
      <c r="BJ32" s="202">
        <f>('Expenditure DATA'!CN34/'Expenditure DATA'!AD34)*100</f>
        <v>19.260826031331629</v>
      </c>
      <c r="BK32" s="202">
        <f>('Expenditure DATA'!CO34/'Expenditure DATA'!AE34)*100</f>
        <v>20.877908135642482</v>
      </c>
      <c r="BL32" s="464">
        <f>('Expenditure DATA'!CP34/'Expenditure DATA'!AF34)*100</f>
        <v>19.538718186798203</v>
      </c>
      <c r="BM32" s="203" t="e">
        <f>('Expenditure DATA'!AG34/'Expenditure DATA'!B34)*100</f>
        <v>#DIV/0!</v>
      </c>
      <c r="BN32" s="202" t="e">
        <f>('Expenditure DATA'!AH34/'Expenditure DATA'!C34)*100</f>
        <v>#DIV/0!</v>
      </c>
      <c r="BO32" s="202" t="e">
        <f>('Expenditure DATA'!AI34/'Expenditure DATA'!D34)*100</f>
        <v>#DIV/0!</v>
      </c>
      <c r="BP32" s="202" t="e">
        <f>('Expenditure DATA'!AJ34/'Expenditure DATA'!E34)*100</f>
        <v>#DIV/0!</v>
      </c>
      <c r="BQ32" s="202" t="e">
        <f>('Expenditure DATA'!AK34/'Expenditure DATA'!F34)*100</f>
        <v>#DIV/0!</v>
      </c>
      <c r="BR32" s="202" t="e">
        <f>('Expenditure DATA'!AL34/'Expenditure DATA'!G34)*100</f>
        <v>#DIV/0!</v>
      </c>
      <c r="BS32" s="202" t="e">
        <f>('Expenditure DATA'!AM34/'Expenditure DATA'!H34)*100</f>
        <v>#DIV/0!</v>
      </c>
      <c r="BT32" s="202" t="e">
        <f>('Expenditure DATA'!AN34/'Expenditure DATA'!I34)*100</f>
        <v>#DIV/0!</v>
      </c>
      <c r="BU32" s="202">
        <f>('Expenditure DATA'!AO34/'Expenditure DATA'!J34)*100</f>
        <v>38.016054352688009</v>
      </c>
      <c r="BV32" s="202">
        <f>('Expenditure DATA'!AP34/'Expenditure DATA'!K34)*100</f>
        <v>36.935036754221855</v>
      </c>
      <c r="BW32" s="202">
        <f>('Expenditure DATA'!AQ34/'Expenditure DATA'!L34)*100</f>
        <v>36.03909631151339</v>
      </c>
      <c r="BX32" s="202">
        <f>('Expenditure DATA'!AR34/'Expenditure DATA'!M34)*100</f>
        <v>35.316322235925739</v>
      </c>
      <c r="BY32" s="202">
        <f>('Expenditure DATA'!AS34/'Expenditure DATA'!N34)*100</f>
        <v>33.915690950067493</v>
      </c>
      <c r="BZ32" s="202">
        <f>('Expenditure DATA'!AT34/'Expenditure DATA'!O34)*100</f>
        <v>35.180678423547597</v>
      </c>
      <c r="CA32" s="202">
        <f>('Expenditure DATA'!AU34/'Expenditure DATA'!P34)*100</f>
        <v>33.670203308966954</v>
      </c>
      <c r="CB32" s="202">
        <f>('Expenditure DATA'!AV34/'Expenditure DATA'!Q34)*100</f>
        <v>35.782798898550418</v>
      </c>
      <c r="CC32" s="202">
        <f>('Expenditure DATA'!AW34/'Expenditure DATA'!R34)*100</f>
        <v>35.77991371926565</v>
      </c>
      <c r="CD32" s="202">
        <f>('Expenditure DATA'!AX34/'Expenditure DATA'!S34)*100</f>
        <v>35.558124614328648</v>
      </c>
      <c r="CE32" s="202">
        <f>('Expenditure DATA'!AY34/'Expenditure DATA'!T34)*100</f>
        <v>36.904501735809056</v>
      </c>
      <c r="CF32" s="202">
        <f>('Expenditure DATA'!AZ34/'Expenditure DATA'!U34)*100</f>
        <v>36.858096558574985</v>
      </c>
      <c r="CG32" s="202">
        <f>('Expenditure DATA'!BA34/'Expenditure DATA'!V34)*100</f>
        <v>36.817117673996478</v>
      </c>
      <c r="CH32" s="202">
        <f>('Expenditure DATA'!BB34/'Expenditure DATA'!W34)*100</f>
        <v>37.010695746106641</v>
      </c>
      <c r="CI32" s="202">
        <f>('Expenditure DATA'!BC34/'Expenditure DATA'!X34)*100</f>
        <v>37.186162774356788</v>
      </c>
      <c r="CJ32" s="202">
        <f>('Expenditure DATA'!BD34/'Expenditure DATA'!Y34)*100</f>
        <v>34.88048604856909</v>
      </c>
      <c r="CK32" s="202">
        <f>('Expenditure DATA'!BE34/'Expenditure DATA'!Z34)*100</f>
        <v>34.564242614769341</v>
      </c>
      <c r="CL32" s="202">
        <f>('Expenditure DATA'!BF34/'Expenditure DATA'!AA34)*100</f>
        <v>34.574341756208547</v>
      </c>
      <c r="CM32" s="202">
        <f>('Expenditure DATA'!BG34/'Expenditure DATA'!AB34)*100</f>
        <v>34.526859505806812</v>
      </c>
      <c r="CN32" s="202">
        <f>('Expenditure DATA'!BH34/'Expenditure DATA'!AC34)*100</f>
        <v>34.902450090744104</v>
      </c>
      <c r="CO32" s="202">
        <f>('Expenditure DATA'!BI34/'Expenditure DATA'!AD34)*100</f>
        <v>33.753181089128461</v>
      </c>
      <c r="CP32" s="202">
        <f>('Expenditure DATA'!BJ34/'Expenditure DATA'!AE34)*100</f>
        <v>35.064391469683116</v>
      </c>
      <c r="CQ32" s="464">
        <f>('Expenditure DATA'!BK34/'Expenditure DATA'!AF34)*100</f>
        <v>34.902148909712515</v>
      </c>
      <c r="CR32" s="203" t="e">
        <f>('Expenditure DATA'!FA34/'Expenditure DATA'!B34)*100</f>
        <v>#DIV/0!</v>
      </c>
      <c r="CS32" s="202" t="e">
        <f>('Expenditure DATA'!FB34/'Expenditure DATA'!C34)*100</f>
        <v>#DIV/0!</v>
      </c>
      <c r="CT32" s="202" t="e">
        <f>('Expenditure DATA'!FC34/'Expenditure DATA'!D34)*100</f>
        <v>#DIV/0!</v>
      </c>
      <c r="CU32" s="202" t="e">
        <f>('Expenditure DATA'!FD34/'Expenditure DATA'!E34)*100</f>
        <v>#DIV/0!</v>
      </c>
      <c r="CV32" s="202" t="e">
        <f>('Expenditure DATA'!FE34/'Expenditure DATA'!F34)*100</f>
        <v>#DIV/0!</v>
      </c>
      <c r="CW32" s="202" t="e">
        <f>('Expenditure DATA'!FF34/'Expenditure DATA'!G34)*100</f>
        <v>#DIV/0!</v>
      </c>
      <c r="CX32" s="202" t="e">
        <f>('Expenditure DATA'!FG34/'Expenditure DATA'!H34)*100</f>
        <v>#DIV/0!</v>
      </c>
      <c r="CY32" s="202" t="e">
        <f>('Expenditure DATA'!FH34/'Expenditure DATA'!I34)*100</f>
        <v>#DIV/0!</v>
      </c>
      <c r="CZ32" s="202">
        <f>('Expenditure DATA'!FI34/'Expenditure DATA'!J34)*100</f>
        <v>18.783088931603782</v>
      </c>
      <c r="DA32" s="202">
        <f>('Expenditure DATA'!FJ34/'Expenditure DATA'!K34)*100</f>
        <v>20.799320204636231</v>
      </c>
      <c r="DB32" s="202">
        <f>('Expenditure DATA'!FK34/'Expenditure DATA'!L34)*100</f>
        <v>22.470359734359366</v>
      </c>
      <c r="DC32" s="202">
        <f>('Expenditure DATA'!FL34/'Expenditure DATA'!M34)*100</f>
        <v>22.21198021561969</v>
      </c>
      <c r="DD32" s="202">
        <f>('Expenditure DATA'!FM34/'Expenditure DATA'!N34)*100</f>
        <v>24.242176802472919</v>
      </c>
      <c r="DE32" s="202">
        <f>('Expenditure DATA'!FN34/'Expenditure DATA'!O34)*100</f>
        <v>23.419174892480378</v>
      </c>
      <c r="DF32" s="202">
        <f>('Expenditure DATA'!FO34/'Expenditure DATA'!P34)*100</f>
        <v>25.554229581166897</v>
      </c>
      <c r="DG32" s="202">
        <f>('Expenditure DATA'!FP34/'Expenditure DATA'!Q34)*100</f>
        <v>25.37976327524159</v>
      </c>
      <c r="DH32" s="202">
        <f>('Expenditure DATA'!FQ34/'Expenditure DATA'!R34)*100</f>
        <v>24.315816288980532</v>
      </c>
      <c r="DI32" s="202">
        <f>('Expenditure DATA'!FR34/'Expenditure DATA'!S34)*100</f>
        <v>24.039649946432551</v>
      </c>
      <c r="DJ32" s="202">
        <f>('Expenditure DATA'!FS34/'Expenditure DATA'!T34)*100</f>
        <v>23.54608476752913</v>
      </c>
      <c r="DK32" s="202">
        <f>('Expenditure DATA'!FT34/'Expenditure DATA'!U34)*100</f>
        <v>24.801351230490713</v>
      </c>
      <c r="DL32" s="202">
        <f>('Expenditure DATA'!FU34/'Expenditure DATA'!V34)*100</f>
        <v>25.909835726552121</v>
      </c>
      <c r="DM32" s="202">
        <f>('Expenditure DATA'!FV34/'Expenditure DATA'!W34)*100</f>
        <v>26.68685483997707</v>
      </c>
      <c r="DN32" s="202">
        <f>('Expenditure DATA'!FW34/'Expenditure DATA'!X34)*100</f>
        <v>27.391176529102307</v>
      </c>
      <c r="DO32" s="202">
        <f>('Expenditure DATA'!FX34/'Expenditure DATA'!Y34)*100</f>
        <v>29.689199012144407</v>
      </c>
      <c r="DP32" s="202">
        <f>('Expenditure DATA'!FY34/'Expenditure DATA'!Z34)*100</f>
        <v>28.295565948495817</v>
      </c>
      <c r="DQ32" s="202">
        <f>('Expenditure DATA'!FZ34/'Expenditure DATA'!AA34)*100</f>
        <v>28.304151546011735</v>
      </c>
      <c r="DR32" s="202">
        <f>('Expenditure DATA'!GA34/'Expenditure DATA'!AB34)*100</f>
        <v>29.625736236321831</v>
      </c>
      <c r="DS32" s="202">
        <f>('Expenditure DATA'!GB34/'Expenditure DATA'!AC34)*100</f>
        <v>29.96016992949448</v>
      </c>
      <c r="DT32" s="202">
        <f>('Expenditure DATA'!GC34/'Expenditure DATA'!AD34)*100</f>
        <v>31.818372875287331</v>
      </c>
      <c r="DU32" s="202">
        <f>('Expenditure DATA'!GD34/'Expenditure DATA'!AE34)*100</f>
        <v>31.430362279980915</v>
      </c>
      <c r="DV32" s="464">
        <f>('Expenditure DATA'!GE34/'Expenditure DATA'!AF34)*100</f>
        <v>31.654889313015598</v>
      </c>
      <c r="DW32" s="203" t="e">
        <f>('Expenditure DATA'!GF34/'Expenditure DATA'!B34)*100</f>
        <v>#DIV/0!</v>
      </c>
      <c r="DX32" s="202" t="e">
        <f>('Expenditure DATA'!GG34/'Expenditure DATA'!C34)*100</f>
        <v>#DIV/0!</v>
      </c>
      <c r="DY32" s="202" t="e">
        <f>('Expenditure DATA'!GH34/'Expenditure DATA'!D34)*100</f>
        <v>#DIV/0!</v>
      </c>
      <c r="DZ32" s="202" t="e">
        <f>('Expenditure DATA'!GI34/'Expenditure DATA'!E34)*100</f>
        <v>#DIV/0!</v>
      </c>
      <c r="EA32" s="202" t="e">
        <f>('Expenditure DATA'!GJ34/'Expenditure DATA'!F34)*100</f>
        <v>#DIV/0!</v>
      </c>
      <c r="EB32" s="202" t="e">
        <f>('Expenditure DATA'!GK34/'Expenditure DATA'!G34)*100</f>
        <v>#DIV/0!</v>
      </c>
      <c r="EC32" s="202" t="e">
        <f>('Expenditure DATA'!GL34/'Expenditure DATA'!H34)*100</f>
        <v>#DIV/0!</v>
      </c>
      <c r="ED32" s="202" t="e">
        <f>('Expenditure DATA'!GM34/'Expenditure DATA'!I34)*100</f>
        <v>#DIV/0!</v>
      </c>
      <c r="EE32" s="202">
        <f>('Expenditure DATA'!GN34/'Expenditure DATA'!J34)*100</f>
        <v>27.873604210237872</v>
      </c>
      <c r="EF32" s="202">
        <f>('Expenditure DATA'!GO34/'Expenditure DATA'!K34)*100</f>
        <v>27.946686175658915</v>
      </c>
      <c r="EG32" s="202">
        <f>('Expenditure DATA'!GP34/'Expenditure DATA'!L34)*100</f>
        <v>28.007256039226565</v>
      </c>
      <c r="EH32" s="202">
        <f>('Expenditure DATA'!GQ34/'Expenditure DATA'!M34)*100</f>
        <v>30.280675776962084</v>
      </c>
      <c r="EI32" s="202">
        <f>('Expenditure DATA'!GR34/'Expenditure DATA'!N34)*100</f>
        <v>29.463322391345304</v>
      </c>
      <c r="EJ32" s="202">
        <f>('Expenditure DATA'!GS34/'Expenditure DATA'!O34)*100</f>
        <v>28.746734042690324</v>
      </c>
      <c r="EK32" s="202">
        <f>('Expenditure DATA'!GT34/'Expenditure DATA'!P34)*100</f>
        <v>28.24643937504397</v>
      </c>
      <c r="EL32" s="202">
        <f>('Expenditure DATA'!GU34/'Expenditure DATA'!Q34)*100</f>
        <v>26.564521080956162</v>
      </c>
      <c r="EM32" s="202">
        <f>('Expenditure DATA'!GV34/'Expenditure DATA'!R34)*100</f>
        <v>27.655623069899793</v>
      </c>
      <c r="EN32" s="202">
        <f>('Expenditure DATA'!GW34/'Expenditure DATA'!S34)*100</f>
        <v>28.291313093878411</v>
      </c>
      <c r="EO32" s="202">
        <f>('Expenditure DATA'!GX34/'Expenditure DATA'!T34)*100</f>
        <v>27.015910584568442</v>
      </c>
      <c r="EP32" s="202">
        <f>('Expenditure DATA'!GY34/'Expenditure DATA'!U34)*100</f>
        <v>26.328571756281082</v>
      </c>
      <c r="EQ32" s="202">
        <f>('Expenditure DATA'!GZ34/'Expenditure DATA'!V34)*100</f>
        <v>25.721605460933738</v>
      </c>
      <c r="ER32" s="202">
        <f>('Expenditure DATA'!HA34/'Expenditure DATA'!W34)*100</f>
        <v>24.212441304111206</v>
      </c>
      <c r="ES32" s="202">
        <f>('Expenditure DATA'!HB34/'Expenditure DATA'!X34)*100</f>
        <v>22.844473605845355</v>
      </c>
      <c r="ET32" s="202">
        <f>('Expenditure DATA'!HC34/'Expenditure DATA'!Y34)*100</f>
        <v>23.519429993355448</v>
      </c>
      <c r="EU32" s="202">
        <f>('Expenditure DATA'!HD34/'Expenditure DATA'!Z34)*100</f>
        <v>23.897637025824839</v>
      </c>
      <c r="EV32" s="202">
        <f>('Expenditure DATA'!HE34/'Expenditure DATA'!AA34)*100</f>
        <v>23.881243188728654</v>
      </c>
      <c r="EW32" s="202">
        <f>('Expenditure DATA'!HF34/'Expenditure DATA'!AB34)*100</f>
        <v>22.543886452441182</v>
      </c>
      <c r="EX32" s="202">
        <f>('Expenditure DATA'!HG34/'Expenditure DATA'!AC34)*100</f>
        <v>22.205066495092534</v>
      </c>
      <c r="EY32" s="202">
        <f>('Expenditure DATA'!HH34/'Expenditure DATA'!AD34)*100</f>
        <v>21.667087506144313</v>
      </c>
      <c r="EZ32" s="202">
        <f>('Expenditure DATA'!HI34/'Expenditure DATA'!AE34)*100</f>
        <v>21.159491411427169</v>
      </c>
      <c r="FA32" s="464">
        <f>('Expenditure DATA'!HJ34/'Expenditure DATA'!AF34)*100</f>
        <v>21.690025946874588</v>
      </c>
      <c r="FB32" s="203" t="e">
        <f>('Expenditure DATA'!HK34/'Expenditure DATA'!B34)*100</f>
        <v>#DIV/0!</v>
      </c>
      <c r="FC32" s="202" t="e">
        <f>('Expenditure DATA'!HL34/'Expenditure DATA'!C34)*100</f>
        <v>#DIV/0!</v>
      </c>
      <c r="FD32" s="202" t="e">
        <f>('Expenditure DATA'!HM34/'Expenditure DATA'!D34)*100</f>
        <v>#DIV/0!</v>
      </c>
      <c r="FE32" s="202" t="e">
        <f>('Expenditure DATA'!HN34/'Expenditure DATA'!E34)*100</f>
        <v>#DIV/0!</v>
      </c>
      <c r="FF32" s="202" t="e">
        <f>('Expenditure DATA'!HO34/'Expenditure DATA'!F34)*100</f>
        <v>#DIV/0!</v>
      </c>
      <c r="FG32" s="202" t="e">
        <f>('Expenditure DATA'!HP34/'Expenditure DATA'!G34)*100</f>
        <v>#DIV/0!</v>
      </c>
      <c r="FH32" s="202" t="e">
        <f>('Expenditure DATA'!HQ34/'Expenditure DATA'!H34)*100</f>
        <v>#DIV/0!</v>
      </c>
      <c r="FI32" s="202" t="e">
        <f>('Expenditure DATA'!HR34/'Expenditure DATA'!I34)*100</f>
        <v>#DIV/0!</v>
      </c>
      <c r="FJ32" s="202">
        <f>('Expenditure DATA'!HS34/'Expenditure DATA'!J34)*100</f>
        <v>5.8903033160458893</v>
      </c>
      <c r="FK32" s="202">
        <f>('Expenditure DATA'!HT34/'Expenditure DATA'!K34)*100</f>
        <v>5.8332026818898663</v>
      </c>
      <c r="FL32" s="202">
        <f>('Expenditure DATA'!HU34/'Expenditure DATA'!L34)*100</f>
        <v>5.7858780430335965</v>
      </c>
      <c r="FM32" s="202">
        <f>('Expenditure DATA'!HV34/'Expenditure DATA'!M34)*100</f>
        <v>5.2865399875019019</v>
      </c>
      <c r="FN32" s="202">
        <f>('Expenditure DATA'!HW34/'Expenditure DATA'!N34)*100</f>
        <v>5.4489243923759298</v>
      </c>
      <c r="FO32" s="202">
        <f>('Expenditure DATA'!HX34/'Expenditure DATA'!O34)*100</f>
        <v>5.8751476507835925</v>
      </c>
      <c r="FP32" s="202">
        <f>('Expenditure DATA'!HY34/'Expenditure DATA'!P34)*100</f>
        <v>5.6108030672217852</v>
      </c>
      <c r="FQ32" s="202">
        <f>('Expenditure DATA'!HZ34/'Expenditure DATA'!Q34)*100</f>
        <v>5.6072679055984942</v>
      </c>
      <c r="FR32" s="202">
        <f>('Expenditure DATA'!IA34/'Expenditure DATA'!R34)*100</f>
        <v>5.5931977076567367</v>
      </c>
      <c r="FS32" s="202">
        <f>('Expenditure DATA'!IB34/'Expenditure DATA'!S34)*100</f>
        <v>5.5212660278436623</v>
      </c>
      <c r="FT32" s="202">
        <f>('Expenditure DATA'!IC34/'Expenditure DATA'!T34)*100</f>
        <v>5.6239441142660347</v>
      </c>
      <c r="FU32" s="202">
        <f>('Expenditure DATA'!ID34/'Expenditure DATA'!U34)*100</f>
        <v>5.5440459885704696</v>
      </c>
      <c r="FV32" s="202">
        <f>('Expenditure DATA'!IE34/'Expenditure DATA'!V34)*100</f>
        <v>5.4734905836336205</v>
      </c>
      <c r="FW32" s="202">
        <f>('Expenditure DATA'!IF34/'Expenditure DATA'!W34)*100</f>
        <v>5.5977860972180453</v>
      </c>
      <c r="FX32" s="202">
        <f>('Expenditure DATA'!IG34/'Expenditure DATA'!X34)*100</f>
        <v>5.7104525999667262</v>
      </c>
      <c r="FY32" s="202">
        <f>('Expenditure DATA'!IH34/'Expenditure DATA'!Y34)*100</f>
        <v>5.7150032059041997</v>
      </c>
      <c r="FZ32" s="202">
        <f>('Expenditure DATA'!II34/'Expenditure DATA'!Z34)*100</f>
        <v>5.744100826084412</v>
      </c>
      <c r="GA32" s="202">
        <f>('Expenditure DATA'!IJ34/'Expenditure DATA'!AA34)*100</f>
        <v>5.745843733007475</v>
      </c>
      <c r="GB32" s="202">
        <f>('Expenditure DATA'!IK34/'Expenditure DATA'!AB34)*100</f>
        <v>5.8136747954620898</v>
      </c>
      <c r="GC32" s="202">
        <f>('Expenditure DATA'!IL34/'Expenditure DATA'!AC34)*100</f>
        <v>5.8295768974968842</v>
      </c>
      <c r="GD32" s="202">
        <f>('Expenditure DATA'!IM34/'Expenditure DATA'!AD34)*100</f>
        <v>5.9645080735921336</v>
      </c>
      <c r="GE32" s="202">
        <f>('Expenditure DATA'!IN34/'Expenditure DATA'!AE34)*100</f>
        <v>5.602308633068545</v>
      </c>
      <c r="GF32" s="464">
        <f>('Expenditure DATA'!IO34/'Expenditure DATA'!AF34)*100</f>
        <v>5.8961704944559061</v>
      </c>
      <c r="GG32" s="203" t="e">
        <f>('Expenditure DATA'!IP34/'Expenditure DATA'!B34)*100</f>
        <v>#DIV/0!</v>
      </c>
      <c r="GH32" s="202" t="e">
        <f>('Expenditure DATA'!IQ34/'Expenditure DATA'!C34)*100</f>
        <v>#DIV/0!</v>
      </c>
      <c r="GI32" s="202" t="e">
        <f>('Expenditure DATA'!IR34/'Expenditure DATA'!D34)*100</f>
        <v>#DIV/0!</v>
      </c>
      <c r="GJ32" s="202" t="e">
        <f>('Expenditure DATA'!IS34/'Expenditure DATA'!E34)*100</f>
        <v>#DIV/0!</v>
      </c>
      <c r="GK32" s="202" t="e">
        <f>('Expenditure DATA'!IT34/'Expenditure DATA'!F34)*100</f>
        <v>#DIV/0!</v>
      </c>
      <c r="GL32" s="202" t="e">
        <f>('Expenditure DATA'!IU34/'Expenditure DATA'!G34)*100</f>
        <v>#DIV/0!</v>
      </c>
      <c r="GM32" s="202" t="e">
        <f>('Expenditure DATA'!IV34/'Expenditure DATA'!H34)*100</f>
        <v>#DIV/0!</v>
      </c>
      <c r="GN32" s="202" t="e">
        <f>('Expenditure DATA'!IW34/'Expenditure DATA'!I34)*100</f>
        <v>#DIV/0!</v>
      </c>
      <c r="GO32" s="202">
        <f>('Expenditure DATA'!IX34/'Expenditure DATA'!J34)*100</f>
        <v>9.4369491894244355</v>
      </c>
      <c r="GP32" s="202">
        <f>('Expenditure DATA'!IY34/'Expenditure DATA'!K34)*100</f>
        <v>8.4857541835931425</v>
      </c>
      <c r="GQ32" s="202">
        <f>('Expenditure DATA'!IZ34/'Expenditure DATA'!L34)*100</f>
        <v>7.6974098718670847</v>
      </c>
      <c r="GR32" s="202">
        <f>('Expenditure DATA'!JA34/'Expenditure DATA'!M34)*100</f>
        <v>6.9044817839905832</v>
      </c>
      <c r="GS32" s="202">
        <f>('Expenditure DATA'!JB34/'Expenditure DATA'!N34)*100</f>
        <v>6.929885463738354</v>
      </c>
      <c r="GT32" s="202">
        <f>('Expenditure DATA'!JC34/'Expenditure DATA'!O34)*100</f>
        <v>6.7782649904981076</v>
      </c>
      <c r="GU32" s="202">
        <f>('Expenditure DATA'!JD34/'Expenditure DATA'!P34)*100</f>
        <v>6.9183246676003911</v>
      </c>
      <c r="GV32" s="202">
        <f>('Expenditure DATA'!JE34/'Expenditure DATA'!Q34)*100</f>
        <v>6.6656488396533309</v>
      </c>
      <c r="GW32" s="202">
        <f>('Expenditure DATA'!JF34/'Expenditure DATA'!R34)*100</f>
        <v>6.6554492141972883</v>
      </c>
      <c r="GX32" s="202">
        <f>('Expenditure DATA'!JG34/'Expenditure DATA'!S34)*100</f>
        <v>6.589646317516717</v>
      </c>
      <c r="GY32" s="202">
        <f>('Expenditure DATA'!JH34/'Expenditure DATA'!T34)*100</f>
        <v>6.9095587978273354</v>
      </c>
      <c r="GZ32" s="202">
        <f>('Expenditure DATA'!JI34/'Expenditure DATA'!U34)*100</f>
        <v>6.4679344660827613</v>
      </c>
      <c r="HA32" s="202">
        <f>('Expenditure DATA'!JJ34/'Expenditure DATA'!V34)*100</f>
        <v>6.0779505548840396</v>
      </c>
      <c r="HB32" s="202">
        <f>('Expenditure DATA'!JK34/'Expenditure DATA'!W34)*100</f>
        <v>6.4922220125870362</v>
      </c>
      <c r="HC32" s="202">
        <f>('Expenditure DATA'!JL34/'Expenditure DATA'!X34)*100</f>
        <v>6.8677344907288331</v>
      </c>
      <c r="HD32" s="202">
        <f>('Expenditure DATA'!JM34/'Expenditure DATA'!Y34)*100</f>
        <v>6.1958817400268558</v>
      </c>
      <c r="HE32" s="202">
        <f>('Expenditure DATA'!JN34/'Expenditure DATA'!Z34)*100</f>
        <v>7.4984535848255804</v>
      </c>
      <c r="HF32" s="202">
        <f>('Expenditure DATA'!JO34/'Expenditure DATA'!AA34)*100</f>
        <v>7.4944197760435785</v>
      </c>
      <c r="HG32" s="202">
        <f>('Expenditure DATA'!JP34/'Expenditure DATA'!AB34)*100</f>
        <v>7.4898430099680846</v>
      </c>
      <c r="HH32" s="202">
        <f>('Expenditure DATA'!JQ34/'Expenditure DATA'!AC34)*100</f>
        <v>7.102736587172001</v>
      </c>
      <c r="HI32" s="202">
        <f>('Expenditure DATA'!JR34/'Expenditure DATA'!AD34)*100</f>
        <v>6.796850455847772</v>
      </c>
      <c r="HJ32" s="202">
        <f>('Expenditure DATA'!JS34/'Expenditure DATA'!AE34)*100</f>
        <v>6.7434462058402547</v>
      </c>
      <c r="HK32" s="464">
        <f>('Expenditure DATA'!JT34/'Expenditure DATA'!AF34)*100</f>
        <v>5.8567653359413798</v>
      </c>
      <c r="HL32" s="203" t="e">
        <f t="shared" si="1"/>
        <v>#DIV/0!</v>
      </c>
      <c r="HM32" s="204" t="e">
        <f t="shared" si="2"/>
        <v>#DIV/0!</v>
      </c>
      <c r="HN32" s="204" t="e">
        <f t="shared" si="3"/>
        <v>#DIV/0!</v>
      </c>
      <c r="HO32" s="204" t="e">
        <f t="shared" si="4"/>
        <v>#DIV/0!</v>
      </c>
      <c r="HP32" s="204" t="e">
        <f t="shared" si="5"/>
        <v>#DIV/0!</v>
      </c>
      <c r="HQ32" s="204" t="e">
        <f t="shared" si="6"/>
        <v>#DIV/0!</v>
      </c>
      <c r="HR32" s="204" t="e">
        <f t="shared" si="7"/>
        <v>#DIV/0!</v>
      </c>
      <c r="HS32" s="204" t="e">
        <f t="shared" si="8"/>
        <v>#DIV/0!</v>
      </c>
      <c r="HT32" s="204">
        <f t="shared" si="9"/>
        <v>99.999999999999986</v>
      </c>
      <c r="HU32" s="204">
        <f t="shared" si="10"/>
        <v>100.00000000000001</v>
      </c>
      <c r="HV32" s="204">
        <f t="shared" si="11"/>
        <v>99.999999999999986</v>
      </c>
      <c r="HW32" s="204">
        <f t="shared" si="12"/>
        <v>100</v>
      </c>
      <c r="HX32" s="204">
        <f t="shared" si="13"/>
        <v>100</v>
      </c>
      <c r="HY32" s="204">
        <f t="shared" si="14"/>
        <v>99.999999999999986</v>
      </c>
      <c r="HZ32" s="204">
        <f t="shared" si="15"/>
        <v>100</v>
      </c>
      <c r="IA32" s="204">
        <f t="shared" si="16"/>
        <v>100</v>
      </c>
      <c r="IB32" s="204">
        <f t="shared" si="17"/>
        <v>100</v>
      </c>
      <c r="IC32" s="204">
        <f t="shared" si="18"/>
        <v>100</v>
      </c>
      <c r="ID32" s="204">
        <f t="shared" si="19"/>
        <v>100</v>
      </c>
      <c r="IE32" s="204">
        <f t="shared" si="20"/>
        <v>100.00000000000001</v>
      </c>
      <c r="IF32" s="204">
        <f t="shared" si="21"/>
        <v>99.999999999999986</v>
      </c>
      <c r="IG32" s="204">
        <f t="shared" si="22"/>
        <v>100</v>
      </c>
      <c r="IH32" s="204">
        <f t="shared" si="23"/>
        <v>100.00000000000001</v>
      </c>
      <c r="II32" s="204">
        <f t="shared" si="24"/>
        <v>100</v>
      </c>
      <c r="IJ32" s="204">
        <f t="shared" si="25"/>
        <v>99.999999999999986</v>
      </c>
      <c r="IK32" s="204">
        <f t="shared" si="26"/>
        <v>100</v>
      </c>
      <c r="IL32" s="204">
        <f t="shared" si="32"/>
        <v>100</v>
      </c>
      <c r="IM32" s="204">
        <f t="shared" si="33"/>
        <v>100</v>
      </c>
      <c r="IN32" s="204">
        <f t="shared" si="34"/>
        <v>100</v>
      </c>
      <c r="IO32" s="204">
        <f t="shared" si="35"/>
        <v>100</v>
      </c>
      <c r="IP32" s="204">
        <f t="shared" si="36"/>
        <v>99.999999999999972</v>
      </c>
    </row>
    <row r="33" spans="1:250" s="164" customFormat="1">
      <c r="A33" s="164" t="s">
        <v>72</v>
      </c>
      <c r="C33" s="202" t="e">
        <f>('Expenditure DATA'!CQ35/'Expenditure DATA'!B35)*100</f>
        <v>#DIV/0!</v>
      </c>
      <c r="D33" s="202" t="e">
        <f>('Expenditure DATA'!CR35/'Expenditure DATA'!C35)*100</f>
        <v>#DIV/0!</v>
      </c>
      <c r="E33" s="202" t="e">
        <f>('Expenditure DATA'!CS35/'Expenditure DATA'!D35)*100</f>
        <v>#DIV/0!</v>
      </c>
      <c r="F33" s="202" t="e">
        <f>('Expenditure DATA'!CT35/'Expenditure DATA'!E35)*100</f>
        <v>#DIV/0!</v>
      </c>
      <c r="G33" s="202" t="e">
        <f>('Expenditure DATA'!CU35/'Expenditure DATA'!F35)*100</f>
        <v>#DIV/0!</v>
      </c>
      <c r="H33" s="202" t="e">
        <f>('Expenditure DATA'!CV35/'Expenditure DATA'!G35)*100</f>
        <v>#DIV/0!</v>
      </c>
      <c r="I33" s="202" t="e">
        <f>('Expenditure DATA'!CW35/'Expenditure DATA'!H35)*100</f>
        <v>#DIV/0!</v>
      </c>
      <c r="J33" s="202" t="e">
        <f>('Expenditure DATA'!CX35/'Expenditure DATA'!I35)*100</f>
        <v>#DIV/0!</v>
      </c>
      <c r="K33" s="202">
        <f>('Expenditure DATA'!CY35/'Expenditure DATA'!J35)*100</f>
        <v>10.645070210131156</v>
      </c>
      <c r="L33" s="202">
        <f>('Expenditure DATA'!CZ35/'Expenditure DATA'!K35)*100</f>
        <v>10.278960231540973</v>
      </c>
      <c r="M33" s="202">
        <f>('Expenditure DATA'!DA35/'Expenditure DATA'!L35)*100</f>
        <v>9.9785953414849882</v>
      </c>
      <c r="N33" s="202">
        <f>('Expenditure DATA'!DB35/'Expenditure DATA'!M35)*100</f>
        <v>9.9175409281451312</v>
      </c>
      <c r="O33" s="202">
        <f>('Expenditure DATA'!DC35/'Expenditure DATA'!N35)*100</f>
        <v>10.143158445462859</v>
      </c>
      <c r="P33" s="202">
        <f>('Expenditure DATA'!DD35/'Expenditure DATA'!O35)*100</f>
        <v>9.8672375104643866</v>
      </c>
      <c r="Q33" s="202">
        <f>('Expenditure DATA'!DE35/'Expenditure DATA'!P35)*100</f>
        <v>9.820692117571598</v>
      </c>
      <c r="R33" s="202">
        <f>('Expenditure DATA'!DF35/'Expenditure DATA'!Q35)*100</f>
        <v>10.074703243320613</v>
      </c>
      <c r="S33" s="202">
        <f>('Expenditure DATA'!DG35/'Expenditure DATA'!R35)*100</f>
        <v>10.47631345850936</v>
      </c>
      <c r="T33" s="202">
        <f>('Expenditure DATA'!DH35/'Expenditure DATA'!S35)*100</f>
        <v>10.585829286415349</v>
      </c>
      <c r="U33" s="202">
        <f>('Expenditure DATA'!DI35/'Expenditure DATA'!T35)*100</f>
        <v>10.111057735588796</v>
      </c>
      <c r="V33" s="202">
        <f>('Expenditure DATA'!DJ35/'Expenditure DATA'!U35)*100</f>
        <v>10.60600807723406</v>
      </c>
      <c r="W33" s="202">
        <f>('Expenditure DATA'!DK35/'Expenditure DATA'!V35)*100</f>
        <v>11.040060200676169</v>
      </c>
      <c r="X33" s="202">
        <f>('Expenditure DATA'!DL35/'Expenditure DATA'!W35)*100</f>
        <v>11.390486646274937</v>
      </c>
      <c r="Y33" s="202">
        <f>('Expenditure DATA'!DM35/'Expenditure DATA'!X35)*100</f>
        <v>11.751601618481397</v>
      </c>
      <c r="Z33" s="202">
        <f>('Expenditure DATA'!DN35/'Expenditure DATA'!Y35)*100</f>
        <v>11.507204114657227</v>
      </c>
      <c r="AA33" s="202">
        <f>('Expenditure DATA'!DO35/'Expenditure DATA'!Z35)*100</f>
        <v>11.321581268135329</v>
      </c>
      <c r="AB33" s="202">
        <f>('Expenditure DATA'!DP35/'Expenditure DATA'!AA35)*100</f>
        <v>11.310205052486213</v>
      </c>
      <c r="AC33" s="202">
        <f>('Expenditure DATA'!DQ35/'Expenditure DATA'!AB35)*100</f>
        <v>11.616696551644003</v>
      </c>
      <c r="AD33" s="202">
        <f>('Expenditure DATA'!DR35/'Expenditure DATA'!AC35)*100</f>
        <v>12.50651005810969</v>
      </c>
      <c r="AE33" s="202">
        <f>('Expenditure DATA'!DS35/'Expenditure DATA'!AD35)*100</f>
        <v>12.584029632060329</v>
      </c>
      <c r="AF33" s="202">
        <f>('Expenditure DATA'!DT35/'Expenditure DATA'!AE35)*100</f>
        <v>13.038983105536728</v>
      </c>
      <c r="AG33" s="464">
        <f>('Expenditure DATA'!DU35/'Expenditure DATA'!AF35)*100</f>
        <v>12.352297040559375</v>
      </c>
      <c r="AH33" s="203" t="e">
        <f>('Expenditure DATA'!BL35/'Expenditure DATA'!B35)*100</f>
        <v>#DIV/0!</v>
      </c>
      <c r="AI33" s="202" t="e">
        <f>('Expenditure DATA'!BM35/'Expenditure DATA'!C35)*100</f>
        <v>#DIV/0!</v>
      </c>
      <c r="AJ33" s="202" t="e">
        <f>('Expenditure DATA'!BN35/'Expenditure DATA'!D35)*100</f>
        <v>#DIV/0!</v>
      </c>
      <c r="AK33" s="202" t="e">
        <f>('Expenditure DATA'!BO35/'Expenditure DATA'!E35)*100</f>
        <v>#DIV/0!</v>
      </c>
      <c r="AL33" s="202" t="e">
        <f>('Expenditure DATA'!BP35/'Expenditure DATA'!F35)*100</f>
        <v>#DIV/0!</v>
      </c>
      <c r="AM33" s="202" t="e">
        <f>('Expenditure DATA'!BQ35/'Expenditure DATA'!G35)*100</f>
        <v>#DIV/0!</v>
      </c>
      <c r="AN33" s="202" t="e">
        <f>('Expenditure DATA'!BR35/'Expenditure DATA'!H35)*100</f>
        <v>#DIV/0!</v>
      </c>
      <c r="AO33" s="202" t="e">
        <f>('Expenditure DATA'!BS35/'Expenditure DATA'!I35)*100</f>
        <v>#DIV/0!</v>
      </c>
      <c r="AP33" s="202">
        <f>('Expenditure DATA'!BT35/'Expenditure DATA'!J35)*100</f>
        <v>26.453743097167276</v>
      </c>
      <c r="AQ33" s="202">
        <f>('Expenditure DATA'!BU35/'Expenditure DATA'!K35)*100</f>
        <v>25.220397903516595</v>
      </c>
      <c r="AR33" s="202">
        <f>('Expenditure DATA'!BV35/'Expenditure DATA'!L35)*100</f>
        <v>24.208533668298241</v>
      </c>
      <c r="AS33" s="202">
        <f>('Expenditure DATA'!BW35/'Expenditure DATA'!M35)*100</f>
        <v>24.948956841562985</v>
      </c>
      <c r="AT33" s="202">
        <f>('Expenditure DATA'!BX35/'Expenditure DATA'!N35)*100</f>
        <v>24.531728533385557</v>
      </c>
      <c r="AU33" s="202">
        <f>('Expenditure DATA'!BY35/'Expenditure DATA'!O35)*100</f>
        <v>22.616266373011175</v>
      </c>
      <c r="AV33" s="202">
        <f>('Expenditure DATA'!BZ35/'Expenditure DATA'!P35)*100</f>
        <v>23.828446577307062</v>
      </c>
      <c r="AW33" s="202">
        <f>('Expenditure DATA'!CA35/'Expenditure DATA'!Q35)*100</f>
        <v>22.124355680973729</v>
      </c>
      <c r="AX33" s="202">
        <f>('Expenditure DATA'!CB35/'Expenditure DATA'!R35)*100</f>
        <v>22.588889044901489</v>
      </c>
      <c r="AY33" s="202">
        <f>('Expenditure DATA'!CC35/'Expenditure DATA'!S35)*100</f>
        <v>22.103007973768079</v>
      </c>
      <c r="AZ33" s="202">
        <f>('Expenditure DATA'!CD35/'Expenditure DATA'!T35)*100</f>
        <v>20.949534835216372</v>
      </c>
      <c r="BA33" s="202">
        <f>('Expenditure DATA'!CE35/'Expenditure DATA'!U35)*100</f>
        <v>20.927076624803508</v>
      </c>
      <c r="BB33" s="202">
        <f>('Expenditure DATA'!CF35/'Expenditure DATA'!V35)*100</f>
        <v>20.907381651190583</v>
      </c>
      <c r="BC33" s="202">
        <f>('Expenditure DATA'!CG35/'Expenditure DATA'!W35)*100</f>
        <v>21.011378972064403</v>
      </c>
      <c r="BD33" s="202">
        <f>('Expenditure DATA'!CH35/'Expenditure DATA'!X35)*100</f>
        <v>21.118548365552172</v>
      </c>
      <c r="BE33" s="202">
        <f>('Expenditure DATA'!CI35/'Expenditure DATA'!Y35)*100</f>
        <v>20.639891543149034</v>
      </c>
      <c r="BF33" s="202">
        <f>('Expenditure DATA'!CJ35/'Expenditure DATA'!Z35)*100</f>
        <v>20.52897521078205</v>
      </c>
      <c r="BG33" s="202">
        <f>('Expenditure DATA'!CK35/'Expenditure DATA'!AA35)*100</f>
        <v>20.508316791289555</v>
      </c>
      <c r="BH33" s="202">
        <f>('Expenditure DATA'!CL35/'Expenditure DATA'!AB35)*100</f>
        <v>21.721758465444996</v>
      </c>
      <c r="BI33" s="202">
        <f>('Expenditure DATA'!CM35/'Expenditure DATA'!AC35)*100</f>
        <v>21.156196848233712</v>
      </c>
      <c r="BJ33" s="202">
        <f>('Expenditure DATA'!CN35/'Expenditure DATA'!AD35)*100</f>
        <v>19.550288292489132</v>
      </c>
      <c r="BK33" s="202">
        <f>('Expenditure DATA'!CO35/'Expenditure DATA'!AE35)*100</f>
        <v>18.9303297194454</v>
      </c>
      <c r="BL33" s="464">
        <f>('Expenditure DATA'!CP35/'Expenditure DATA'!AF35)*100</f>
        <v>18.667009357024877</v>
      </c>
      <c r="BM33" s="203" t="e">
        <f>('Expenditure DATA'!AG35/'Expenditure DATA'!B35)*100</f>
        <v>#DIV/0!</v>
      </c>
      <c r="BN33" s="202" t="e">
        <f>('Expenditure DATA'!AH35/'Expenditure DATA'!C35)*100</f>
        <v>#DIV/0!</v>
      </c>
      <c r="BO33" s="202" t="e">
        <f>('Expenditure DATA'!AI35/'Expenditure DATA'!D35)*100</f>
        <v>#DIV/0!</v>
      </c>
      <c r="BP33" s="202" t="e">
        <f>('Expenditure DATA'!AJ35/'Expenditure DATA'!E35)*100</f>
        <v>#DIV/0!</v>
      </c>
      <c r="BQ33" s="202" t="e">
        <f>('Expenditure DATA'!AK35/'Expenditure DATA'!F35)*100</f>
        <v>#DIV/0!</v>
      </c>
      <c r="BR33" s="202" t="e">
        <f>('Expenditure DATA'!AL35/'Expenditure DATA'!G35)*100</f>
        <v>#DIV/0!</v>
      </c>
      <c r="BS33" s="202" t="e">
        <f>('Expenditure DATA'!AM35/'Expenditure DATA'!H35)*100</f>
        <v>#DIV/0!</v>
      </c>
      <c r="BT33" s="202" t="e">
        <f>('Expenditure DATA'!AN35/'Expenditure DATA'!I35)*100</f>
        <v>#DIV/0!</v>
      </c>
      <c r="BU33" s="202">
        <f>('Expenditure DATA'!AO35/'Expenditure DATA'!J35)*100</f>
        <v>38.705983760087797</v>
      </c>
      <c r="BV33" s="202">
        <f>('Expenditure DATA'!AP35/'Expenditure DATA'!K35)*100</f>
        <v>37.05836571443669</v>
      </c>
      <c r="BW33" s="202">
        <f>('Expenditure DATA'!AQ35/'Expenditure DATA'!L35)*100</f>
        <v>35.706622680712329</v>
      </c>
      <c r="BX33" s="202">
        <f>('Expenditure DATA'!AR35/'Expenditure DATA'!M35)*100</f>
        <v>36.587417061159094</v>
      </c>
      <c r="BY33" s="202">
        <f>('Expenditure DATA'!AS35/'Expenditure DATA'!N35)*100</f>
        <v>36.609239074518634</v>
      </c>
      <c r="BZ33" s="202">
        <f>('Expenditure DATA'!AT35/'Expenditure DATA'!O35)*100</f>
        <v>34.342645861556889</v>
      </c>
      <c r="CA33" s="202">
        <f>('Expenditure DATA'!AU35/'Expenditure DATA'!P35)*100</f>
        <v>35.634743727689894</v>
      </c>
      <c r="CB33" s="202">
        <f>('Expenditure DATA'!AV35/'Expenditure DATA'!Q35)*100</f>
        <v>34.123249315642049</v>
      </c>
      <c r="CC33" s="202">
        <f>('Expenditure DATA'!AW35/'Expenditure DATA'!R35)*100</f>
        <v>35.120583674085417</v>
      </c>
      <c r="CD33" s="202">
        <f>('Expenditure DATA'!AX35/'Expenditure DATA'!S35)*100</f>
        <v>34.532711705165433</v>
      </c>
      <c r="CE33" s="202">
        <f>('Expenditure DATA'!AY35/'Expenditure DATA'!T35)*100</f>
        <v>32.661663145452877</v>
      </c>
      <c r="CF33" s="202">
        <f>('Expenditure DATA'!AZ35/'Expenditure DATA'!U35)*100</f>
        <v>33.02903229619028</v>
      </c>
      <c r="CG33" s="202">
        <f>('Expenditure DATA'!BA35/'Expenditure DATA'!V35)*100</f>
        <v>33.351200696831526</v>
      </c>
      <c r="CH33" s="202">
        <f>('Expenditure DATA'!BB35/'Expenditure DATA'!W35)*100</f>
        <v>33.897408033623996</v>
      </c>
      <c r="CI33" s="202">
        <f>('Expenditure DATA'!BC35/'Expenditure DATA'!X35)*100</f>
        <v>34.460275504735513</v>
      </c>
      <c r="CJ33" s="202">
        <f>('Expenditure DATA'!BD35/'Expenditure DATA'!Y35)*100</f>
        <v>33.813870362098569</v>
      </c>
      <c r="CK33" s="202">
        <f>('Expenditure DATA'!BE35/'Expenditure DATA'!Z35)*100</f>
        <v>33.538660234463038</v>
      </c>
      <c r="CL33" s="202">
        <f>('Expenditure DATA'!BF35/'Expenditure DATA'!AA35)*100</f>
        <v>33.50495972723057</v>
      </c>
      <c r="CM33" s="202">
        <f>('Expenditure DATA'!BG35/'Expenditure DATA'!AB35)*100</f>
        <v>34.94376174476767</v>
      </c>
      <c r="CN33" s="202">
        <f>('Expenditure DATA'!BH35/'Expenditure DATA'!AC35)*100</f>
        <v>35.428955172438975</v>
      </c>
      <c r="CO33" s="202">
        <f>('Expenditure DATA'!BI35/'Expenditure DATA'!AD35)*100</f>
        <v>34.083375797778402</v>
      </c>
      <c r="CP33" s="202">
        <f>('Expenditure DATA'!BJ35/'Expenditure DATA'!AE35)*100</f>
        <v>33.674046508913058</v>
      </c>
      <c r="CQ33" s="464">
        <f>('Expenditure DATA'!BK35/'Expenditure DATA'!AF35)*100</f>
        <v>32.82956790294989</v>
      </c>
      <c r="CR33" s="203" t="e">
        <f>('Expenditure DATA'!FA35/'Expenditure DATA'!B35)*100</f>
        <v>#DIV/0!</v>
      </c>
      <c r="CS33" s="202" t="e">
        <f>('Expenditure DATA'!FB35/'Expenditure DATA'!C35)*100</f>
        <v>#DIV/0!</v>
      </c>
      <c r="CT33" s="202" t="e">
        <f>('Expenditure DATA'!FC35/'Expenditure DATA'!D35)*100</f>
        <v>#DIV/0!</v>
      </c>
      <c r="CU33" s="202" t="e">
        <f>('Expenditure DATA'!FD35/'Expenditure DATA'!E35)*100</f>
        <v>#DIV/0!</v>
      </c>
      <c r="CV33" s="202" t="e">
        <f>('Expenditure DATA'!FE35/'Expenditure DATA'!F35)*100</f>
        <v>#DIV/0!</v>
      </c>
      <c r="CW33" s="202" t="e">
        <f>('Expenditure DATA'!FF35/'Expenditure DATA'!G35)*100</f>
        <v>#DIV/0!</v>
      </c>
      <c r="CX33" s="202" t="e">
        <f>('Expenditure DATA'!FG35/'Expenditure DATA'!H35)*100</f>
        <v>#DIV/0!</v>
      </c>
      <c r="CY33" s="202" t="e">
        <f>('Expenditure DATA'!FH35/'Expenditure DATA'!I35)*100</f>
        <v>#DIV/0!</v>
      </c>
      <c r="CZ33" s="202">
        <f>('Expenditure DATA'!FI35/'Expenditure DATA'!J35)*100</f>
        <v>17.462131522656456</v>
      </c>
      <c r="DA33" s="202">
        <f>('Expenditure DATA'!FJ35/'Expenditure DATA'!K35)*100</f>
        <v>18.741858822761674</v>
      </c>
      <c r="DB33" s="202">
        <f>('Expenditure DATA'!FK35/'Expenditure DATA'!L35)*100</f>
        <v>19.791775985025151</v>
      </c>
      <c r="DC33" s="202">
        <f>('Expenditure DATA'!FL35/'Expenditure DATA'!M35)*100</f>
        <v>20.652231423354568</v>
      </c>
      <c r="DD33" s="202">
        <f>('Expenditure DATA'!FM35/'Expenditure DATA'!N35)*100</f>
        <v>21.335247147053757</v>
      </c>
      <c r="DE33" s="202">
        <f>('Expenditure DATA'!FN35/'Expenditure DATA'!O35)*100</f>
        <v>23.320855192834781</v>
      </c>
      <c r="DF33" s="202">
        <f>('Expenditure DATA'!FO35/'Expenditure DATA'!P35)*100</f>
        <v>22.839030316797825</v>
      </c>
      <c r="DG33" s="202">
        <f>('Expenditure DATA'!FP35/'Expenditure DATA'!Q35)*100</f>
        <v>22.62114975521909</v>
      </c>
      <c r="DH33" s="202">
        <f>('Expenditure DATA'!FQ35/'Expenditure DATA'!R35)*100</f>
        <v>22.708649932023871</v>
      </c>
      <c r="DI33" s="202">
        <f>('Expenditure DATA'!FR35/'Expenditure DATA'!S35)*100</f>
        <v>23.576635459580416</v>
      </c>
      <c r="DJ33" s="202">
        <f>('Expenditure DATA'!FS35/'Expenditure DATA'!T35)*100</f>
        <v>25.374414684490731</v>
      </c>
      <c r="DK33" s="202">
        <f>('Expenditure DATA'!FT35/'Expenditure DATA'!U35)*100</f>
        <v>26.511109499197115</v>
      </c>
      <c r="DL33" s="202">
        <f>('Expenditure DATA'!FU35/'Expenditure DATA'!V35)*100</f>
        <v>27.507946467505661</v>
      </c>
      <c r="DM33" s="202">
        <f>('Expenditure DATA'!FV35/'Expenditure DATA'!W35)*100</f>
        <v>25.554320823668768</v>
      </c>
      <c r="DN33" s="202">
        <f>('Expenditure DATA'!FW35/'Expenditure DATA'!X35)*100</f>
        <v>23.541106698603112</v>
      </c>
      <c r="DO33" s="202">
        <f>('Expenditure DATA'!FX35/'Expenditure DATA'!Y35)*100</f>
        <v>24.409008196894735</v>
      </c>
      <c r="DP33" s="202">
        <f>('Expenditure DATA'!FY35/'Expenditure DATA'!Z35)*100</f>
        <v>23.166652057927838</v>
      </c>
      <c r="DQ33" s="202">
        <f>('Expenditure DATA'!FZ35/'Expenditure DATA'!AA35)*100</f>
        <v>23.143373610912597</v>
      </c>
      <c r="DR33" s="202">
        <f>('Expenditure DATA'!GA35/'Expenditure DATA'!AB35)*100</f>
        <v>22.974834540535756</v>
      </c>
      <c r="DS33" s="202">
        <f>('Expenditure DATA'!GB35/'Expenditure DATA'!AC35)*100</f>
        <v>23.632789097410338</v>
      </c>
      <c r="DT33" s="202">
        <f>('Expenditure DATA'!GC35/'Expenditure DATA'!AD35)*100</f>
        <v>25.520907441583461</v>
      </c>
      <c r="DU33" s="202">
        <f>('Expenditure DATA'!GD35/'Expenditure DATA'!AE35)*100</f>
        <v>27.706568166735529</v>
      </c>
      <c r="DV33" s="464">
        <f>('Expenditure DATA'!GE35/'Expenditure DATA'!AF35)*100</f>
        <v>28.24788077294702</v>
      </c>
      <c r="DW33" s="203" t="e">
        <f>('Expenditure DATA'!GF35/'Expenditure DATA'!B35)*100</f>
        <v>#DIV/0!</v>
      </c>
      <c r="DX33" s="202" t="e">
        <f>('Expenditure DATA'!GG35/'Expenditure DATA'!C35)*100</f>
        <v>#DIV/0!</v>
      </c>
      <c r="DY33" s="202" t="e">
        <f>('Expenditure DATA'!GH35/'Expenditure DATA'!D35)*100</f>
        <v>#DIV/0!</v>
      </c>
      <c r="DZ33" s="202" t="e">
        <f>('Expenditure DATA'!GI35/'Expenditure DATA'!E35)*100</f>
        <v>#DIV/0!</v>
      </c>
      <c r="EA33" s="202" t="e">
        <f>('Expenditure DATA'!GJ35/'Expenditure DATA'!F35)*100</f>
        <v>#DIV/0!</v>
      </c>
      <c r="EB33" s="202" t="e">
        <f>('Expenditure DATA'!GK35/'Expenditure DATA'!G35)*100</f>
        <v>#DIV/0!</v>
      </c>
      <c r="EC33" s="202" t="e">
        <f>('Expenditure DATA'!GL35/'Expenditure DATA'!H35)*100</f>
        <v>#DIV/0!</v>
      </c>
      <c r="ED33" s="202" t="e">
        <f>('Expenditure DATA'!GM35/'Expenditure DATA'!I35)*100</f>
        <v>#DIV/0!</v>
      </c>
      <c r="EE33" s="202">
        <f>('Expenditure DATA'!GN35/'Expenditure DATA'!J35)*100</f>
        <v>26.033275703561724</v>
      </c>
      <c r="EF33" s="202">
        <f>('Expenditure DATA'!GO35/'Expenditure DATA'!K35)*100</f>
        <v>25.866165242890833</v>
      </c>
      <c r="EG33" s="202">
        <f>('Expenditure DATA'!GP35/'Expenditure DATA'!L35)*100</f>
        <v>25.729064049036715</v>
      </c>
      <c r="EH33" s="202">
        <f>('Expenditure DATA'!GQ35/'Expenditure DATA'!M35)*100</f>
        <v>26.665769003947915</v>
      </c>
      <c r="EI33" s="202">
        <f>('Expenditure DATA'!GR35/'Expenditure DATA'!N35)*100</f>
        <v>26.201407727685798</v>
      </c>
      <c r="EJ33" s="202">
        <f>('Expenditure DATA'!GS35/'Expenditure DATA'!O35)*100</f>
        <v>25.20762959986898</v>
      </c>
      <c r="EK33" s="202">
        <f>('Expenditure DATA'!GT35/'Expenditure DATA'!P35)*100</f>
        <v>26.154141705730648</v>
      </c>
      <c r="EL33" s="202">
        <f>('Expenditure DATA'!GU35/'Expenditure DATA'!Q35)*100</f>
        <v>27.637908202759228</v>
      </c>
      <c r="EM33" s="202">
        <f>('Expenditure DATA'!GV35/'Expenditure DATA'!R35)*100</f>
        <v>27.64020175288579</v>
      </c>
      <c r="EN33" s="202">
        <f>('Expenditure DATA'!GW35/'Expenditure DATA'!S35)*100</f>
        <v>27.418716754792339</v>
      </c>
      <c r="EO33" s="202">
        <f>('Expenditure DATA'!GX35/'Expenditure DATA'!T35)*100</f>
        <v>26.313270557436375</v>
      </c>
      <c r="EP33" s="202">
        <f>('Expenditure DATA'!GY35/'Expenditure DATA'!U35)*100</f>
        <v>25.25667013743163</v>
      </c>
      <c r="EQ33" s="202">
        <f>('Expenditure DATA'!GZ35/'Expenditure DATA'!V35)*100</f>
        <v>24.330072825854103</v>
      </c>
      <c r="ER33" s="202">
        <f>('Expenditure DATA'!HA35/'Expenditure DATA'!W35)*100</f>
        <v>25.230186226948568</v>
      </c>
      <c r="ES33" s="202">
        <f>('Expenditure DATA'!HB35/'Expenditure DATA'!X35)*100</f>
        <v>26.157754422503825</v>
      </c>
      <c r="ET33" s="202">
        <f>('Expenditure DATA'!HC35/'Expenditure DATA'!Y35)*100</f>
        <v>27.105054129379287</v>
      </c>
      <c r="EU33" s="202">
        <f>('Expenditure DATA'!HD35/'Expenditure DATA'!Z35)*100</f>
        <v>28.353695735979013</v>
      </c>
      <c r="EV33" s="202">
        <f>('Expenditure DATA'!HE35/'Expenditure DATA'!AA35)*100</f>
        <v>28.409390028052488</v>
      </c>
      <c r="EW33" s="202">
        <f>('Expenditure DATA'!HF35/'Expenditure DATA'!AB35)*100</f>
        <v>27.771665672830231</v>
      </c>
      <c r="EX33" s="202">
        <f>('Expenditure DATA'!HG35/'Expenditure DATA'!AC35)*100</f>
        <v>26.798008137712458</v>
      </c>
      <c r="EY33" s="202">
        <f>('Expenditure DATA'!HH35/'Expenditure DATA'!AD35)*100</f>
        <v>27.031349813035067</v>
      </c>
      <c r="EZ33" s="202">
        <f>('Expenditure DATA'!HI35/'Expenditure DATA'!AE35)*100</f>
        <v>25.847130584217293</v>
      </c>
      <c r="FA33" s="464">
        <f>('Expenditure DATA'!HJ35/'Expenditure DATA'!AF35)*100</f>
        <v>25.337981796430388</v>
      </c>
      <c r="FB33" s="203" t="e">
        <f>('Expenditure DATA'!HK35/'Expenditure DATA'!B35)*100</f>
        <v>#DIV/0!</v>
      </c>
      <c r="FC33" s="202" t="e">
        <f>('Expenditure DATA'!HL35/'Expenditure DATA'!C35)*100</f>
        <v>#DIV/0!</v>
      </c>
      <c r="FD33" s="202" t="e">
        <f>('Expenditure DATA'!HM35/'Expenditure DATA'!D35)*100</f>
        <v>#DIV/0!</v>
      </c>
      <c r="FE33" s="202" t="e">
        <f>('Expenditure DATA'!HN35/'Expenditure DATA'!E35)*100</f>
        <v>#DIV/0!</v>
      </c>
      <c r="FF33" s="202" t="e">
        <f>('Expenditure DATA'!HO35/'Expenditure DATA'!F35)*100</f>
        <v>#DIV/0!</v>
      </c>
      <c r="FG33" s="202" t="e">
        <f>('Expenditure DATA'!HP35/'Expenditure DATA'!G35)*100</f>
        <v>#DIV/0!</v>
      </c>
      <c r="FH33" s="202" t="e">
        <f>('Expenditure DATA'!HQ35/'Expenditure DATA'!H35)*100</f>
        <v>#DIV/0!</v>
      </c>
      <c r="FI33" s="202" t="e">
        <f>('Expenditure DATA'!HR35/'Expenditure DATA'!I35)*100</f>
        <v>#DIV/0!</v>
      </c>
      <c r="FJ33" s="202">
        <f>('Expenditure DATA'!HS35/'Expenditure DATA'!J35)*100</f>
        <v>6.3146030361070613</v>
      </c>
      <c r="FK33" s="202">
        <f>('Expenditure DATA'!HT35/'Expenditure DATA'!K35)*100</f>
        <v>6.4243536456673054</v>
      </c>
      <c r="FL33" s="202">
        <f>('Expenditure DATA'!HU35/'Expenditure DATA'!L35)*100</f>
        <v>6.5143955229771855</v>
      </c>
      <c r="FM33" s="202">
        <f>('Expenditure DATA'!HV35/'Expenditure DATA'!M35)*100</f>
        <v>7.0279662471301432</v>
      </c>
      <c r="FN33" s="202">
        <f>('Expenditure DATA'!HW35/'Expenditure DATA'!N35)*100</f>
        <v>7.3141581355652159</v>
      </c>
      <c r="FO33" s="202">
        <f>('Expenditure DATA'!HX35/'Expenditure DATA'!O35)*100</f>
        <v>7.6657569750398142</v>
      </c>
      <c r="FP33" s="202">
        <f>('Expenditure DATA'!HY35/'Expenditure DATA'!P35)*100</f>
        <v>7.5952460678180245</v>
      </c>
      <c r="FQ33" s="202">
        <f>('Expenditure DATA'!HZ35/'Expenditure DATA'!Q35)*100</f>
        <v>7.5572927743447078</v>
      </c>
      <c r="FR33" s="202">
        <f>('Expenditure DATA'!IA35/'Expenditure DATA'!R35)*100</f>
        <v>6.9202170418596758</v>
      </c>
      <c r="FS33" s="202">
        <f>('Expenditure DATA'!IB35/'Expenditure DATA'!S35)*100</f>
        <v>7.0097806877726043</v>
      </c>
      <c r="FT33" s="202">
        <f>('Expenditure DATA'!IC35/'Expenditure DATA'!T35)*100</f>
        <v>6.8509535797463785</v>
      </c>
      <c r="FU33" s="202">
        <f>('Expenditure DATA'!ID35/'Expenditure DATA'!U35)*100</f>
        <v>6.8853542138508779</v>
      </c>
      <c r="FV33" s="202">
        <f>('Expenditure DATA'!IE35/'Expenditure DATA'!V35)*100</f>
        <v>6.915522226729057</v>
      </c>
      <c r="FW33" s="202">
        <f>('Expenditure DATA'!IF35/'Expenditure DATA'!W35)*100</f>
        <v>7.2365018956343992</v>
      </c>
      <c r="FX33" s="202">
        <f>('Expenditure DATA'!IG35/'Expenditure DATA'!X35)*100</f>
        <v>7.5672719207606072</v>
      </c>
      <c r="FY33" s="202">
        <f>('Expenditure DATA'!IH35/'Expenditure DATA'!Y35)*100</f>
        <v>6.2679552843928228</v>
      </c>
      <c r="FZ33" s="202">
        <f>('Expenditure DATA'!II35/'Expenditure DATA'!Z35)*100</f>
        <v>6.5433529465471434</v>
      </c>
      <c r="GA33" s="202">
        <f>('Expenditure DATA'!IJ35/'Expenditure DATA'!AA35)*100</f>
        <v>6.536778017442697</v>
      </c>
      <c r="GB33" s="202">
        <f>('Expenditure DATA'!IK35/'Expenditure DATA'!AB35)*100</f>
        <v>6.1164239499076585</v>
      </c>
      <c r="GC33" s="202">
        <f>('Expenditure DATA'!IL35/'Expenditure DATA'!AC35)*100</f>
        <v>5.9200913931553965</v>
      </c>
      <c r="GD33" s="202">
        <f>('Expenditure DATA'!IM35/'Expenditure DATA'!AD35)*100</f>
        <v>5.4260401120811093</v>
      </c>
      <c r="GE33" s="202">
        <f>('Expenditure DATA'!IN35/'Expenditure DATA'!AE35)*100</f>
        <v>5.1765046567471087</v>
      </c>
      <c r="GF33" s="464">
        <f>('Expenditure DATA'!IO35/'Expenditure DATA'!AF35)*100</f>
        <v>6.0572516825837734</v>
      </c>
      <c r="GG33" s="203" t="e">
        <f>('Expenditure DATA'!IP35/'Expenditure DATA'!B35)*100</f>
        <v>#DIV/0!</v>
      </c>
      <c r="GH33" s="202" t="e">
        <f>('Expenditure DATA'!IQ35/'Expenditure DATA'!C35)*100</f>
        <v>#DIV/0!</v>
      </c>
      <c r="GI33" s="202" t="e">
        <f>('Expenditure DATA'!IR35/'Expenditure DATA'!D35)*100</f>
        <v>#DIV/0!</v>
      </c>
      <c r="GJ33" s="202" t="e">
        <f>('Expenditure DATA'!IS35/'Expenditure DATA'!E35)*100</f>
        <v>#DIV/0!</v>
      </c>
      <c r="GK33" s="202" t="e">
        <f>('Expenditure DATA'!IT35/'Expenditure DATA'!F35)*100</f>
        <v>#DIV/0!</v>
      </c>
      <c r="GL33" s="202" t="e">
        <f>('Expenditure DATA'!IU35/'Expenditure DATA'!G35)*100</f>
        <v>#DIV/0!</v>
      </c>
      <c r="GM33" s="202" t="e">
        <f>('Expenditure DATA'!IV35/'Expenditure DATA'!H35)*100</f>
        <v>#DIV/0!</v>
      </c>
      <c r="GN33" s="202" t="e">
        <f>('Expenditure DATA'!IW35/'Expenditure DATA'!I35)*100</f>
        <v>#DIV/0!</v>
      </c>
      <c r="GO33" s="202">
        <f>('Expenditure DATA'!IX35/'Expenditure DATA'!J35)*100</f>
        <v>11.484005977586948</v>
      </c>
      <c r="GP33" s="202">
        <f>('Expenditure DATA'!IY35/'Expenditure DATA'!K35)*100</f>
        <v>11.909256574243498</v>
      </c>
      <c r="GQ33" s="202">
        <f>('Expenditure DATA'!IZ35/'Expenditure DATA'!L35)*100</f>
        <v>12.25814176224862</v>
      </c>
      <c r="GR33" s="202">
        <f>('Expenditure DATA'!JA35/'Expenditure DATA'!M35)*100</f>
        <v>9.0666162644082693</v>
      </c>
      <c r="GS33" s="202">
        <f>('Expenditure DATA'!JB35/'Expenditure DATA'!N35)*100</f>
        <v>8.5399479151765867</v>
      </c>
      <c r="GT33" s="202">
        <f>('Expenditure DATA'!JC35/'Expenditure DATA'!O35)*100</f>
        <v>9.4631123706995339</v>
      </c>
      <c r="GU33" s="202">
        <f>('Expenditure DATA'!JD35/'Expenditure DATA'!P35)*100</f>
        <v>7.7768381819636083</v>
      </c>
      <c r="GV33" s="202">
        <f>('Expenditure DATA'!JE35/'Expenditure DATA'!Q35)*100</f>
        <v>8.0603999520349277</v>
      </c>
      <c r="GW33" s="202">
        <f>('Expenditure DATA'!JF35/'Expenditure DATA'!R35)*100</f>
        <v>7.6103475991452409</v>
      </c>
      <c r="GX33" s="202">
        <f>('Expenditure DATA'!JG35/'Expenditure DATA'!S35)*100</f>
        <v>7.4621553926891986</v>
      </c>
      <c r="GY33" s="202">
        <f>('Expenditure DATA'!JH35/'Expenditure DATA'!T35)*100</f>
        <v>8.7996980328736463</v>
      </c>
      <c r="GZ33" s="202">
        <f>('Expenditure DATA'!JI35/'Expenditure DATA'!U35)*100</f>
        <v>8.3178338533300913</v>
      </c>
      <c r="HA33" s="202">
        <f>('Expenditure DATA'!JJ35/'Expenditure DATA'!V35)*100</f>
        <v>7.8952577830796509</v>
      </c>
      <c r="HB33" s="202">
        <f>('Expenditure DATA'!JK35/'Expenditure DATA'!W35)*100</f>
        <v>8.0815830201242704</v>
      </c>
      <c r="HC33" s="202">
        <f>('Expenditure DATA'!JL35/'Expenditure DATA'!X35)*100</f>
        <v>8.273591453396941</v>
      </c>
      <c r="HD33" s="202">
        <f>('Expenditure DATA'!JM35/'Expenditure DATA'!Y35)*100</f>
        <v>8.4041120272345857</v>
      </c>
      <c r="HE33" s="202">
        <f>('Expenditure DATA'!JN35/'Expenditure DATA'!Z35)*100</f>
        <v>8.3976390250829649</v>
      </c>
      <c r="HF33" s="202">
        <f>('Expenditure DATA'!JO35/'Expenditure DATA'!AA35)*100</f>
        <v>8.4054986163616405</v>
      </c>
      <c r="HG33" s="202">
        <f>('Expenditure DATA'!JP35/'Expenditure DATA'!AB35)*100</f>
        <v>8.193314091958694</v>
      </c>
      <c r="HH33" s="202">
        <f>('Expenditure DATA'!JQ35/'Expenditure DATA'!AC35)*100</f>
        <v>8.2201627792531173</v>
      </c>
      <c r="HI33" s="202">
        <f>('Expenditure DATA'!JR35/'Expenditure DATA'!AD35)*100</f>
        <v>7.9383364604040541</v>
      </c>
      <c r="HJ33" s="202">
        <f>('Expenditure DATA'!JS35/'Expenditure DATA'!AE35)*100</f>
        <v>7.5957500833870126</v>
      </c>
      <c r="HK33" s="464">
        <f>('Expenditure DATA'!JT35/'Expenditure DATA'!AF35)*100</f>
        <v>7.5273178450889251</v>
      </c>
      <c r="HL33" s="203" t="e">
        <f t="shared" si="1"/>
        <v>#DIV/0!</v>
      </c>
      <c r="HM33" s="204" t="e">
        <f t="shared" si="2"/>
        <v>#DIV/0!</v>
      </c>
      <c r="HN33" s="204" t="e">
        <f t="shared" si="3"/>
        <v>#DIV/0!</v>
      </c>
      <c r="HO33" s="204" t="e">
        <f t="shared" si="4"/>
        <v>#DIV/0!</v>
      </c>
      <c r="HP33" s="204" t="e">
        <f t="shared" si="5"/>
        <v>#DIV/0!</v>
      </c>
      <c r="HQ33" s="204" t="e">
        <f t="shared" si="6"/>
        <v>#DIV/0!</v>
      </c>
      <c r="HR33" s="204" t="e">
        <f t="shared" si="7"/>
        <v>#DIV/0!</v>
      </c>
      <c r="HS33" s="204" t="e">
        <f t="shared" si="8"/>
        <v>#DIV/0!</v>
      </c>
      <c r="HT33" s="204">
        <f t="shared" si="9"/>
        <v>99.999999999999986</v>
      </c>
      <c r="HU33" s="204">
        <f t="shared" si="10"/>
        <v>100</v>
      </c>
      <c r="HV33" s="204">
        <f t="shared" si="11"/>
        <v>100</v>
      </c>
      <c r="HW33" s="204">
        <f t="shared" si="12"/>
        <v>99.999999999999986</v>
      </c>
      <c r="HX33" s="204">
        <f t="shared" si="13"/>
        <v>99.999999999999986</v>
      </c>
      <c r="HY33" s="204">
        <f t="shared" si="14"/>
        <v>100</v>
      </c>
      <c r="HZ33" s="204">
        <f t="shared" si="15"/>
        <v>100</v>
      </c>
      <c r="IA33" s="204">
        <f t="shared" si="16"/>
        <v>100</v>
      </c>
      <c r="IB33" s="204">
        <f t="shared" si="17"/>
        <v>99.999999999999986</v>
      </c>
      <c r="IC33" s="204">
        <f t="shared" si="18"/>
        <v>99.999999999999986</v>
      </c>
      <c r="ID33" s="204">
        <f t="shared" si="19"/>
        <v>100.00000000000001</v>
      </c>
      <c r="IE33" s="204">
        <f t="shared" si="20"/>
        <v>99.999999999999986</v>
      </c>
      <c r="IF33" s="204">
        <f t="shared" si="21"/>
        <v>100</v>
      </c>
      <c r="IG33" s="204">
        <f t="shared" si="22"/>
        <v>100</v>
      </c>
      <c r="IH33" s="204">
        <f t="shared" si="23"/>
        <v>100</v>
      </c>
      <c r="II33" s="204">
        <f t="shared" si="24"/>
        <v>100</v>
      </c>
      <c r="IJ33" s="204">
        <f t="shared" si="25"/>
        <v>100</v>
      </c>
      <c r="IK33" s="204">
        <f t="shared" si="26"/>
        <v>100</v>
      </c>
      <c r="IL33" s="204">
        <f t="shared" si="32"/>
        <v>100</v>
      </c>
      <c r="IM33" s="204">
        <f t="shared" si="33"/>
        <v>100.00000657997029</v>
      </c>
      <c r="IN33" s="204">
        <f t="shared" si="34"/>
        <v>100.0000096248821</v>
      </c>
      <c r="IO33" s="204">
        <f t="shared" si="35"/>
        <v>100.00000000000001</v>
      </c>
      <c r="IP33" s="204">
        <f t="shared" si="36"/>
        <v>100</v>
      </c>
    </row>
    <row r="34" spans="1:250" s="164" customFormat="1">
      <c r="A34" s="164" t="s">
        <v>76</v>
      </c>
      <c r="C34" s="202" t="e">
        <f>('Expenditure DATA'!CQ36/'Expenditure DATA'!B36)*100</f>
        <v>#DIV/0!</v>
      </c>
      <c r="D34" s="202" t="e">
        <f>('Expenditure DATA'!CR36/'Expenditure DATA'!C36)*100</f>
        <v>#DIV/0!</v>
      </c>
      <c r="E34" s="202" t="e">
        <f>('Expenditure DATA'!CS36/'Expenditure DATA'!D36)*100</f>
        <v>#DIV/0!</v>
      </c>
      <c r="F34" s="202" t="e">
        <f>('Expenditure DATA'!CT36/'Expenditure DATA'!E36)*100</f>
        <v>#DIV/0!</v>
      </c>
      <c r="G34" s="202" t="e">
        <f>('Expenditure DATA'!CU36/'Expenditure DATA'!F36)*100</f>
        <v>#DIV/0!</v>
      </c>
      <c r="H34" s="202" t="e">
        <f>('Expenditure DATA'!CV36/'Expenditure DATA'!G36)*100</f>
        <v>#DIV/0!</v>
      </c>
      <c r="I34" s="202" t="e">
        <f>('Expenditure DATA'!CW36/'Expenditure DATA'!H36)*100</f>
        <v>#DIV/0!</v>
      </c>
      <c r="J34" s="202" t="e">
        <f>('Expenditure DATA'!CX36/'Expenditure DATA'!I36)*100</f>
        <v>#DIV/0!</v>
      </c>
      <c r="K34" s="202">
        <f>('Expenditure DATA'!CY36/'Expenditure DATA'!J36)*100</f>
        <v>14.885336624998136</v>
      </c>
      <c r="L34" s="202">
        <f>('Expenditure DATA'!CZ36/'Expenditure DATA'!K36)*100</f>
        <v>15.037763529415047</v>
      </c>
      <c r="M34" s="202">
        <f>('Expenditure DATA'!DA36/'Expenditure DATA'!L36)*100</f>
        <v>15.168106102024678</v>
      </c>
      <c r="N34" s="202">
        <f>('Expenditure DATA'!DB36/'Expenditure DATA'!M36)*100</f>
        <v>14.747527511511546</v>
      </c>
      <c r="O34" s="202">
        <f>('Expenditure DATA'!DC36/'Expenditure DATA'!N36)*100</f>
        <v>14.898580620168413</v>
      </c>
      <c r="P34" s="202">
        <f>('Expenditure DATA'!DD36/'Expenditure DATA'!O36)*100</f>
        <v>14.475383943554549</v>
      </c>
      <c r="Q34" s="202">
        <f>('Expenditure DATA'!DE36/'Expenditure DATA'!P36)*100</f>
        <v>14.519260095959947</v>
      </c>
      <c r="R34" s="202">
        <f>('Expenditure DATA'!DF36/'Expenditure DATA'!Q36)*100</f>
        <v>14.604479358530718</v>
      </c>
      <c r="S34" s="202">
        <f>('Expenditure DATA'!DG36/'Expenditure DATA'!R36)*100</f>
        <v>14.487666974966098</v>
      </c>
      <c r="T34" s="202">
        <f>('Expenditure DATA'!DH36/'Expenditure DATA'!S36)*100</f>
        <v>14.631784217286139</v>
      </c>
      <c r="U34" s="202">
        <f>('Expenditure DATA'!DI36/'Expenditure DATA'!T36)*100</f>
        <v>14.812876726085683</v>
      </c>
      <c r="V34" s="202">
        <f>('Expenditure DATA'!DJ36/'Expenditure DATA'!U36)*100</f>
        <v>15.760531970228175</v>
      </c>
      <c r="W34" s="202">
        <f>('Expenditure DATA'!DK36/'Expenditure DATA'!V36)*100</f>
        <v>16.572030258665414</v>
      </c>
      <c r="X34" s="202">
        <f>('Expenditure DATA'!DL36/'Expenditure DATA'!W36)*100</f>
        <v>16.295397708436582</v>
      </c>
      <c r="Y34" s="202">
        <f>('Expenditure DATA'!DM36/'Expenditure DATA'!X36)*100</f>
        <v>16.039571296335374</v>
      </c>
      <c r="Z34" s="202">
        <f>('Expenditure DATA'!DN36/'Expenditure DATA'!Y36)*100</f>
        <v>15.035029130342686</v>
      </c>
      <c r="AA34" s="202">
        <f>('Expenditure DATA'!DO36/'Expenditure DATA'!Z36)*100</f>
        <v>15.436004985992929</v>
      </c>
      <c r="AB34" s="202">
        <f>('Expenditure DATA'!DP36/'Expenditure DATA'!AA36)*100</f>
        <v>15.434001114549659</v>
      </c>
      <c r="AC34" s="202">
        <f>('Expenditure DATA'!DQ36/'Expenditure DATA'!AB36)*100</f>
        <v>15.775490127772814</v>
      </c>
      <c r="AD34" s="202">
        <f>('Expenditure DATA'!DR36/'Expenditure DATA'!AC36)*100</f>
        <v>16.346620857194473</v>
      </c>
      <c r="AE34" s="202">
        <f>('Expenditure DATA'!DS36/'Expenditure DATA'!AD36)*100</f>
        <v>15.620207890503801</v>
      </c>
      <c r="AF34" s="202">
        <f>('Expenditure DATA'!DT36/'Expenditure DATA'!AE36)*100</f>
        <v>16.240388170323143</v>
      </c>
      <c r="AG34" s="464">
        <f>('Expenditure DATA'!DU36/'Expenditure DATA'!AF36)*100</f>
        <v>17.099933364333381</v>
      </c>
      <c r="AH34" s="203" t="e">
        <f>('Expenditure DATA'!BL36/'Expenditure DATA'!B36)*100</f>
        <v>#DIV/0!</v>
      </c>
      <c r="AI34" s="202" t="e">
        <f>('Expenditure DATA'!BM36/'Expenditure DATA'!C36)*100</f>
        <v>#DIV/0!</v>
      </c>
      <c r="AJ34" s="202" t="e">
        <f>('Expenditure DATA'!BN36/'Expenditure DATA'!D36)*100</f>
        <v>#DIV/0!</v>
      </c>
      <c r="AK34" s="202" t="e">
        <f>('Expenditure DATA'!BO36/'Expenditure DATA'!E36)*100</f>
        <v>#DIV/0!</v>
      </c>
      <c r="AL34" s="202" t="e">
        <f>('Expenditure DATA'!BP36/'Expenditure DATA'!F36)*100</f>
        <v>#DIV/0!</v>
      </c>
      <c r="AM34" s="202" t="e">
        <f>('Expenditure DATA'!BQ36/'Expenditure DATA'!G36)*100</f>
        <v>#DIV/0!</v>
      </c>
      <c r="AN34" s="202" t="e">
        <f>('Expenditure DATA'!BR36/'Expenditure DATA'!H36)*100</f>
        <v>#DIV/0!</v>
      </c>
      <c r="AO34" s="202" t="e">
        <f>('Expenditure DATA'!BS36/'Expenditure DATA'!I36)*100</f>
        <v>#DIV/0!</v>
      </c>
      <c r="AP34" s="202">
        <f>('Expenditure DATA'!BT36/'Expenditure DATA'!J36)*100</f>
        <v>24.976064345489355</v>
      </c>
      <c r="AQ34" s="202">
        <f>('Expenditure DATA'!BU36/'Expenditure DATA'!K36)*100</f>
        <v>25.509285024756046</v>
      </c>
      <c r="AR34" s="202">
        <f>('Expenditure DATA'!BV36/'Expenditure DATA'!L36)*100</f>
        <v>25.965250166672067</v>
      </c>
      <c r="AS34" s="202">
        <f>('Expenditure DATA'!BW36/'Expenditure DATA'!M36)*100</f>
        <v>25.725460244258148</v>
      </c>
      <c r="AT34" s="202">
        <f>('Expenditure DATA'!BX36/'Expenditure DATA'!N36)*100</f>
        <v>26.196482206682496</v>
      </c>
      <c r="AU34" s="202">
        <f>('Expenditure DATA'!BY36/'Expenditure DATA'!O36)*100</f>
        <v>26.0294375214201</v>
      </c>
      <c r="AV34" s="202">
        <f>('Expenditure DATA'!BZ36/'Expenditure DATA'!P36)*100</f>
        <v>25.376982471757415</v>
      </c>
      <c r="AW34" s="202">
        <f>('Expenditure DATA'!CA36/'Expenditure DATA'!Q36)*100</f>
        <v>23.617517538230931</v>
      </c>
      <c r="AX34" s="202">
        <f>('Expenditure DATA'!CB36/'Expenditure DATA'!R36)*100</f>
        <v>22.933817554735992</v>
      </c>
      <c r="AY34" s="202">
        <f>('Expenditure DATA'!CC36/'Expenditure DATA'!S36)*100</f>
        <v>22.834448369561834</v>
      </c>
      <c r="AZ34" s="202">
        <f>('Expenditure DATA'!CD36/'Expenditure DATA'!T36)*100</f>
        <v>21.921947607862283</v>
      </c>
      <c r="BA34" s="202">
        <f>('Expenditure DATA'!CE36/'Expenditure DATA'!U36)*100</f>
        <v>22.030405479272574</v>
      </c>
      <c r="BB34" s="202">
        <f>('Expenditure DATA'!CF36/'Expenditure DATA'!V36)*100</f>
        <v>22.123280369757289</v>
      </c>
      <c r="BC34" s="202">
        <f>('Expenditure DATA'!CG36/'Expenditure DATA'!W36)*100</f>
        <v>21.822292096892379</v>
      </c>
      <c r="BD34" s="202">
        <f>('Expenditure DATA'!CH36/'Expenditure DATA'!X36)*100</f>
        <v>21.543941809235083</v>
      </c>
      <c r="BE34" s="202">
        <f>('Expenditure DATA'!CI36/'Expenditure DATA'!Y36)*100</f>
        <v>21.440867373823373</v>
      </c>
      <c r="BF34" s="202">
        <f>('Expenditure DATA'!CJ36/'Expenditure DATA'!Z36)*100</f>
        <v>21.08466885934045</v>
      </c>
      <c r="BG34" s="202">
        <f>('Expenditure DATA'!CK36/'Expenditure DATA'!AA36)*100</f>
        <v>21.08193168959631</v>
      </c>
      <c r="BH34" s="202">
        <f>('Expenditure DATA'!CL36/'Expenditure DATA'!AB36)*100</f>
        <v>22.633918248136496</v>
      </c>
      <c r="BI34" s="202">
        <f>('Expenditure DATA'!CM36/'Expenditure DATA'!AC36)*100</f>
        <v>21.8669639634982</v>
      </c>
      <c r="BJ34" s="202">
        <f>('Expenditure DATA'!CN36/'Expenditure DATA'!AD36)*100</f>
        <v>20.300231684648434</v>
      </c>
      <c r="BK34" s="202">
        <f>('Expenditure DATA'!CO36/'Expenditure DATA'!AE36)*100</f>
        <v>20.051712776464754</v>
      </c>
      <c r="BL34" s="464">
        <f>('Expenditure DATA'!CP36/'Expenditure DATA'!AF36)*100</f>
        <v>19.830062113624635</v>
      </c>
      <c r="BM34" s="203" t="e">
        <f>('Expenditure DATA'!AG36/'Expenditure DATA'!B36)*100</f>
        <v>#DIV/0!</v>
      </c>
      <c r="BN34" s="202" t="e">
        <f>('Expenditure DATA'!AH36/'Expenditure DATA'!C36)*100</f>
        <v>#DIV/0!</v>
      </c>
      <c r="BO34" s="202" t="e">
        <f>('Expenditure DATA'!AI36/'Expenditure DATA'!D36)*100</f>
        <v>#DIV/0!</v>
      </c>
      <c r="BP34" s="202" t="e">
        <f>('Expenditure DATA'!AJ36/'Expenditure DATA'!E36)*100</f>
        <v>#DIV/0!</v>
      </c>
      <c r="BQ34" s="202" t="e">
        <f>('Expenditure DATA'!AK36/'Expenditure DATA'!F36)*100</f>
        <v>#DIV/0!</v>
      </c>
      <c r="BR34" s="202" t="e">
        <f>('Expenditure DATA'!AL36/'Expenditure DATA'!G36)*100</f>
        <v>#DIV/0!</v>
      </c>
      <c r="BS34" s="202" t="e">
        <f>('Expenditure DATA'!AM36/'Expenditure DATA'!H36)*100</f>
        <v>#DIV/0!</v>
      </c>
      <c r="BT34" s="202" t="e">
        <f>('Expenditure DATA'!AN36/'Expenditure DATA'!I36)*100</f>
        <v>#DIV/0!</v>
      </c>
      <c r="BU34" s="202">
        <f>('Expenditure DATA'!AO36/'Expenditure DATA'!J36)*100</f>
        <v>41.910252683917534</v>
      </c>
      <c r="BV34" s="202">
        <f>('Expenditure DATA'!AP36/'Expenditure DATA'!K36)*100</f>
        <v>42.578028677797981</v>
      </c>
      <c r="BW34" s="202">
        <f>('Expenditure DATA'!AQ36/'Expenditure DATA'!L36)*100</f>
        <v>43.149054123091204</v>
      </c>
      <c r="BX34" s="202">
        <f>('Expenditure DATA'!AR36/'Expenditure DATA'!M36)*100</f>
        <v>42.60442889340311</v>
      </c>
      <c r="BY34" s="202">
        <f>('Expenditure DATA'!AS36/'Expenditure DATA'!N36)*100</f>
        <v>43.282190270634842</v>
      </c>
      <c r="BZ34" s="202">
        <f>('Expenditure DATA'!AT36/'Expenditure DATA'!O36)*100</f>
        <v>42.420434669234417</v>
      </c>
      <c r="CA34" s="202">
        <f>('Expenditure DATA'!AU36/'Expenditure DATA'!P36)*100</f>
        <v>42.41331743001119</v>
      </c>
      <c r="CB34" s="202">
        <f>('Expenditure DATA'!AV36/'Expenditure DATA'!Q36)*100</f>
        <v>40.340442717113881</v>
      </c>
      <c r="CC34" s="202">
        <f>('Expenditure DATA'!AW36/'Expenditure DATA'!R36)*100</f>
        <v>39.447733715270431</v>
      </c>
      <c r="CD34" s="202">
        <f>('Expenditure DATA'!AX36/'Expenditure DATA'!S36)*100</f>
        <v>39.486448926257808</v>
      </c>
      <c r="CE34" s="202">
        <f>('Expenditure DATA'!AY36/'Expenditure DATA'!T36)*100</f>
        <v>39.024343736269238</v>
      </c>
      <c r="CF34" s="202">
        <f>('Expenditure DATA'!AZ36/'Expenditure DATA'!U36)*100</f>
        <v>40.216857435319689</v>
      </c>
      <c r="CG34" s="202">
        <f>('Expenditure DATA'!BA36/'Expenditure DATA'!V36)*100</f>
        <v>41.23803347132958</v>
      </c>
      <c r="CH34" s="202">
        <f>('Expenditure DATA'!BB36/'Expenditure DATA'!W36)*100</f>
        <v>40.392976280642735</v>
      </c>
      <c r="CI34" s="202">
        <f>('Expenditure DATA'!BC36/'Expenditure DATA'!X36)*100</f>
        <v>39.611477686442939</v>
      </c>
      <c r="CJ34" s="202">
        <f>('Expenditure DATA'!BD36/'Expenditure DATA'!Y36)*100</f>
        <v>38.558156151638087</v>
      </c>
      <c r="CK34" s="202">
        <f>('Expenditure DATA'!BE36/'Expenditure DATA'!Z36)*100</f>
        <v>38.591271433567243</v>
      </c>
      <c r="CL34" s="202">
        <f>('Expenditure DATA'!BF36/'Expenditure DATA'!AA36)*100</f>
        <v>38.586261591522266</v>
      </c>
      <c r="CM34" s="202">
        <f>('Expenditure DATA'!BG36/'Expenditure DATA'!AB36)*100</f>
        <v>40.4292793507108</v>
      </c>
      <c r="CN34" s="202">
        <f>('Expenditure DATA'!BH36/'Expenditure DATA'!AC36)*100</f>
        <v>40.308420433177133</v>
      </c>
      <c r="CO34" s="202">
        <f>('Expenditure DATA'!BI36/'Expenditure DATA'!AD36)*100</f>
        <v>38.010657717648314</v>
      </c>
      <c r="CP34" s="202">
        <f>('Expenditure DATA'!BJ36/'Expenditure DATA'!AE36)*100</f>
        <v>38.698278202837429</v>
      </c>
      <c r="CQ34" s="464">
        <f>('Expenditure DATA'!BK36/'Expenditure DATA'!AF36)*100</f>
        <v>39.243618378798075</v>
      </c>
      <c r="CR34" s="203" t="e">
        <f>('Expenditure DATA'!FA36/'Expenditure DATA'!B36)*100</f>
        <v>#DIV/0!</v>
      </c>
      <c r="CS34" s="202" t="e">
        <f>('Expenditure DATA'!FB36/'Expenditure DATA'!C36)*100</f>
        <v>#DIV/0!</v>
      </c>
      <c r="CT34" s="202" t="e">
        <f>('Expenditure DATA'!FC36/'Expenditure DATA'!D36)*100</f>
        <v>#DIV/0!</v>
      </c>
      <c r="CU34" s="202" t="e">
        <f>('Expenditure DATA'!FD36/'Expenditure DATA'!E36)*100</f>
        <v>#DIV/0!</v>
      </c>
      <c r="CV34" s="202" t="e">
        <f>('Expenditure DATA'!FE36/'Expenditure DATA'!F36)*100</f>
        <v>#DIV/0!</v>
      </c>
      <c r="CW34" s="202" t="e">
        <f>('Expenditure DATA'!FF36/'Expenditure DATA'!G36)*100</f>
        <v>#DIV/0!</v>
      </c>
      <c r="CX34" s="202" t="e">
        <f>('Expenditure DATA'!FG36/'Expenditure DATA'!H36)*100</f>
        <v>#DIV/0!</v>
      </c>
      <c r="CY34" s="202" t="e">
        <f>('Expenditure DATA'!FH36/'Expenditure DATA'!I36)*100</f>
        <v>#DIV/0!</v>
      </c>
      <c r="CZ34" s="202">
        <f>('Expenditure DATA'!FI36/'Expenditure DATA'!J36)*100</f>
        <v>17.698980371352356</v>
      </c>
      <c r="DA34" s="202">
        <f>('Expenditure DATA'!FJ36/'Expenditure DATA'!K36)*100</f>
        <v>18.524077327667023</v>
      </c>
      <c r="DB34" s="202">
        <f>('Expenditure DATA'!FK36/'Expenditure DATA'!L36)*100</f>
        <v>19.229630329283335</v>
      </c>
      <c r="DC34" s="202">
        <f>('Expenditure DATA'!FL36/'Expenditure DATA'!M36)*100</f>
        <v>19.638401376433791</v>
      </c>
      <c r="DD34" s="202">
        <f>('Expenditure DATA'!FM36/'Expenditure DATA'!N36)*100</f>
        <v>19.933152097246388</v>
      </c>
      <c r="DE34" s="202">
        <f>('Expenditure DATA'!FN36/'Expenditure DATA'!O36)*100</f>
        <v>19.513353485959765</v>
      </c>
      <c r="DF34" s="202">
        <f>('Expenditure DATA'!FO36/'Expenditure DATA'!P36)*100</f>
        <v>18.719902032565162</v>
      </c>
      <c r="DG34" s="202">
        <f>('Expenditure DATA'!FP36/'Expenditure DATA'!Q36)*100</f>
        <v>18.244227658828706</v>
      </c>
      <c r="DH34" s="202">
        <f>('Expenditure DATA'!FQ36/'Expenditure DATA'!R36)*100</f>
        <v>17.728937676941804</v>
      </c>
      <c r="DI34" s="202">
        <f>('Expenditure DATA'!FR36/'Expenditure DATA'!S36)*100</f>
        <v>19.924370956064024</v>
      </c>
      <c r="DJ34" s="202">
        <f>('Expenditure DATA'!FS36/'Expenditure DATA'!T36)*100</f>
        <v>20.197843648782847</v>
      </c>
      <c r="DK34" s="202">
        <f>('Expenditure DATA'!FT36/'Expenditure DATA'!U36)*100</f>
        <v>19.647913275790959</v>
      </c>
      <c r="DL34" s="202">
        <f>('Expenditure DATA'!FU36/'Expenditure DATA'!V36)*100</f>
        <v>19.17699565126351</v>
      </c>
      <c r="DM34" s="202">
        <f>('Expenditure DATA'!FV36/'Expenditure DATA'!W36)*100</f>
        <v>20.523196305907302</v>
      </c>
      <c r="DN34" s="202">
        <f>('Expenditure DATA'!FW36/'Expenditure DATA'!X36)*100</f>
        <v>21.768146269897155</v>
      </c>
      <c r="DO34" s="202">
        <f>('Expenditure DATA'!FX36/'Expenditure DATA'!Y36)*100</f>
        <v>23.206647353864181</v>
      </c>
      <c r="DP34" s="202">
        <f>('Expenditure DATA'!FY36/'Expenditure DATA'!Z36)*100</f>
        <v>21.073403775509554</v>
      </c>
      <c r="DQ34" s="202">
        <f>('Expenditure DATA'!FZ36/'Expenditure DATA'!AA36)*100</f>
        <v>21.063992224760316</v>
      </c>
      <c r="DR34" s="202">
        <f>('Expenditure DATA'!GA36/'Expenditure DATA'!AB36)*100</f>
        <v>19.940870930775798</v>
      </c>
      <c r="DS34" s="202">
        <f>('Expenditure DATA'!GB36/'Expenditure DATA'!AC36)*100</f>
        <v>20.724845704293998</v>
      </c>
      <c r="DT34" s="202">
        <f>('Expenditure DATA'!GC36/'Expenditure DATA'!AD36)*100</f>
        <v>21.899657442857887</v>
      </c>
      <c r="DU34" s="202">
        <f>('Expenditure DATA'!GD36/'Expenditure DATA'!AE36)*100</f>
        <v>21.580984928635356</v>
      </c>
      <c r="DV34" s="464">
        <f>('Expenditure DATA'!GE36/'Expenditure DATA'!AF36)*100</f>
        <v>21.926488684262672</v>
      </c>
      <c r="DW34" s="203" t="e">
        <f>('Expenditure DATA'!GF36/'Expenditure DATA'!B36)*100</f>
        <v>#DIV/0!</v>
      </c>
      <c r="DX34" s="202" t="e">
        <f>('Expenditure DATA'!GG36/'Expenditure DATA'!C36)*100</f>
        <v>#DIV/0!</v>
      </c>
      <c r="DY34" s="202" t="e">
        <f>('Expenditure DATA'!GH36/'Expenditure DATA'!D36)*100</f>
        <v>#DIV/0!</v>
      </c>
      <c r="DZ34" s="202" t="e">
        <f>('Expenditure DATA'!GI36/'Expenditure DATA'!E36)*100</f>
        <v>#DIV/0!</v>
      </c>
      <c r="EA34" s="202" t="e">
        <f>('Expenditure DATA'!GJ36/'Expenditure DATA'!F36)*100</f>
        <v>#DIV/0!</v>
      </c>
      <c r="EB34" s="202" t="e">
        <f>('Expenditure DATA'!GK36/'Expenditure DATA'!G36)*100</f>
        <v>#DIV/0!</v>
      </c>
      <c r="EC34" s="202" t="e">
        <f>('Expenditure DATA'!GL36/'Expenditure DATA'!H36)*100</f>
        <v>#DIV/0!</v>
      </c>
      <c r="ED34" s="202" t="e">
        <f>('Expenditure DATA'!GM36/'Expenditure DATA'!I36)*100</f>
        <v>#DIV/0!</v>
      </c>
      <c r="EE34" s="202">
        <f>('Expenditure DATA'!GN36/'Expenditure DATA'!J36)*100</f>
        <v>25.326139669734328</v>
      </c>
      <c r="EF34" s="202">
        <f>('Expenditure DATA'!GO36/'Expenditure DATA'!K36)*100</f>
        <v>24.050894590092195</v>
      </c>
      <c r="EG34" s="202">
        <f>('Expenditure DATA'!GP36/'Expenditure DATA'!L36)*100</f>
        <v>22.960413057162139</v>
      </c>
      <c r="EH34" s="202">
        <f>('Expenditure DATA'!GQ36/'Expenditure DATA'!M36)*100</f>
        <v>23.750807394028694</v>
      </c>
      <c r="EI34" s="202">
        <f>('Expenditure DATA'!GR36/'Expenditure DATA'!N36)*100</f>
        <v>23.08046061667147</v>
      </c>
      <c r="EJ34" s="202">
        <f>('Expenditure DATA'!GS36/'Expenditure DATA'!O36)*100</f>
        <v>22.841303678815752</v>
      </c>
      <c r="EK34" s="202">
        <f>('Expenditure DATA'!GT36/'Expenditure DATA'!P36)*100</f>
        <v>23.288987344944729</v>
      </c>
      <c r="EL34" s="202">
        <f>('Expenditure DATA'!GU36/'Expenditure DATA'!Q36)*100</f>
        <v>26.260337737774357</v>
      </c>
      <c r="EM34" s="202">
        <f>('Expenditure DATA'!GV36/'Expenditure DATA'!R36)*100</f>
        <v>28.124583658886309</v>
      </c>
      <c r="EN34" s="202">
        <f>('Expenditure DATA'!GW36/'Expenditure DATA'!S36)*100</f>
        <v>24.786658147008922</v>
      </c>
      <c r="EO34" s="202">
        <f>('Expenditure DATA'!GX36/'Expenditure DATA'!T36)*100</f>
        <v>25.52783987783322</v>
      </c>
      <c r="EP34" s="202">
        <f>('Expenditure DATA'!GY36/'Expenditure DATA'!U36)*100</f>
        <v>25.415627919741368</v>
      </c>
      <c r="EQ34" s="202">
        <f>('Expenditure DATA'!GZ36/'Expenditure DATA'!V36)*100</f>
        <v>25.319538321233292</v>
      </c>
      <c r="ER34" s="202">
        <f>('Expenditure DATA'!HA36/'Expenditure DATA'!W36)*100</f>
        <v>25.004746352033401</v>
      </c>
      <c r="ES34" s="202">
        <f>('Expenditure DATA'!HB36/'Expenditure DATA'!X36)*100</f>
        <v>24.713630574182734</v>
      </c>
      <c r="ET34" s="202">
        <f>('Expenditure DATA'!HC36/'Expenditure DATA'!Y36)*100</f>
        <v>24.579358457605441</v>
      </c>
      <c r="EU34" s="202">
        <f>('Expenditure DATA'!HD36/'Expenditure DATA'!Z36)*100</f>
        <v>24.824664757847533</v>
      </c>
      <c r="EV34" s="202">
        <f>('Expenditure DATA'!HE36/'Expenditure DATA'!AA36)*100</f>
        <v>24.849487770707984</v>
      </c>
      <c r="EW34" s="202">
        <f>('Expenditure DATA'!HF36/'Expenditure DATA'!AB36)*100</f>
        <v>25.058483644027913</v>
      </c>
      <c r="EX34" s="202">
        <f>('Expenditure DATA'!HG36/'Expenditure DATA'!AC36)*100</f>
        <v>24.993750647829639</v>
      </c>
      <c r="EY34" s="202">
        <f>('Expenditure DATA'!HH36/'Expenditure DATA'!AD36)*100</f>
        <v>26.182628911147265</v>
      </c>
      <c r="EZ34" s="202">
        <f>('Expenditure DATA'!HI36/'Expenditure DATA'!AE36)*100</f>
        <v>25.681610064221967</v>
      </c>
      <c r="FA34" s="464">
        <f>('Expenditure DATA'!HJ36/'Expenditure DATA'!AF36)*100</f>
        <v>24.797792460666422</v>
      </c>
      <c r="FB34" s="203" t="e">
        <f>('Expenditure DATA'!HK36/'Expenditure DATA'!B36)*100</f>
        <v>#DIV/0!</v>
      </c>
      <c r="FC34" s="202" t="e">
        <f>('Expenditure DATA'!HL36/'Expenditure DATA'!C36)*100</f>
        <v>#DIV/0!</v>
      </c>
      <c r="FD34" s="202" t="e">
        <f>('Expenditure DATA'!HM36/'Expenditure DATA'!D36)*100</f>
        <v>#DIV/0!</v>
      </c>
      <c r="FE34" s="202" t="e">
        <f>('Expenditure DATA'!HN36/'Expenditure DATA'!E36)*100</f>
        <v>#DIV/0!</v>
      </c>
      <c r="FF34" s="202" t="e">
        <f>('Expenditure DATA'!HO36/'Expenditure DATA'!F36)*100</f>
        <v>#DIV/0!</v>
      </c>
      <c r="FG34" s="202" t="e">
        <f>('Expenditure DATA'!HP36/'Expenditure DATA'!G36)*100</f>
        <v>#DIV/0!</v>
      </c>
      <c r="FH34" s="202" t="e">
        <f>('Expenditure DATA'!HQ36/'Expenditure DATA'!H36)*100</f>
        <v>#DIV/0!</v>
      </c>
      <c r="FI34" s="202" t="e">
        <f>('Expenditure DATA'!HR36/'Expenditure DATA'!I36)*100</f>
        <v>#DIV/0!</v>
      </c>
      <c r="FJ34" s="202">
        <f>('Expenditure DATA'!HS36/'Expenditure DATA'!J36)*100</f>
        <v>5.4568051635707198</v>
      </c>
      <c r="FK34" s="202">
        <f>('Expenditure DATA'!HT36/'Expenditure DATA'!K36)*100</f>
        <v>5.5814115541813054</v>
      </c>
      <c r="FL34" s="202">
        <f>('Expenditure DATA'!HU36/'Expenditure DATA'!L36)*100</f>
        <v>5.6879643807831073</v>
      </c>
      <c r="FM34" s="202">
        <f>('Expenditure DATA'!HV36/'Expenditure DATA'!M36)*100</f>
        <v>5.9214748698163646</v>
      </c>
      <c r="FN34" s="202">
        <f>('Expenditure DATA'!HW36/'Expenditure DATA'!N36)*100</f>
        <v>6.3596700751248765</v>
      </c>
      <c r="FO34" s="202">
        <f>('Expenditure DATA'!HX36/'Expenditure DATA'!O36)*100</f>
        <v>6.5703113233624721</v>
      </c>
      <c r="FP34" s="202">
        <f>('Expenditure DATA'!HY36/'Expenditure DATA'!P36)*100</f>
        <v>6.9382985083915605</v>
      </c>
      <c r="FQ34" s="202">
        <f>('Expenditure DATA'!HZ36/'Expenditure DATA'!Q36)*100</f>
        <v>6.5203567501657522</v>
      </c>
      <c r="FR34" s="202">
        <f>('Expenditure DATA'!IA36/'Expenditure DATA'!R36)*100</f>
        <v>6.9859428031211719</v>
      </c>
      <c r="FS34" s="202">
        <f>('Expenditure DATA'!IB36/'Expenditure DATA'!S36)*100</f>
        <v>7.7494147843775325</v>
      </c>
      <c r="FT34" s="202">
        <f>('Expenditure DATA'!IC36/'Expenditure DATA'!T36)*100</f>
        <v>7.0809499306328698</v>
      </c>
      <c r="FU34" s="202">
        <f>('Expenditure DATA'!ID36/'Expenditure DATA'!U36)*100</f>
        <v>7.0989303144099392</v>
      </c>
      <c r="FV34" s="202">
        <f>('Expenditure DATA'!IE36/'Expenditure DATA'!V36)*100</f>
        <v>7.1143273174347472</v>
      </c>
      <c r="FW34" s="202">
        <f>('Expenditure DATA'!IF36/'Expenditure DATA'!W36)*100</f>
        <v>7.2509427887689171</v>
      </c>
      <c r="FX34" s="202">
        <f>('Expenditure DATA'!IG36/'Expenditure DATA'!X36)*100</f>
        <v>7.3772831122052711</v>
      </c>
      <c r="FY34" s="202">
        <f>('Expenditure DATA'!IH36/'Expenditure DATA'!Y36)*100</f>
        <v>8.2519466825620373</v>
      </c>
      <c r="FZ34" s="202">
        <f>('Expenditure DATA'!II36/'Expenditure DATA'!Z36)*100</f>
        <v>7.7871622317061862</v>
      </c>
      <c r="GA34" s="202">
        <f>('Expenditure DATA'!IJ36/'Expenditure DATA'!AA36)*100</f>
        <v>7.7861513178049275</v>
      </c>
      <c r="GB34" s="202">
        <f>('Expenditure DATA'!IK36/'Expenditure DATA'!AB36)*100</f>
        <v>7.0121066379203123</v>
      </c>
      <c r="GC34" s="202">
        <f>('Expenditure DATA'!IL36/'Expenditure DATA'!AC36)*100</f>
        <v>7.216889379693388</v>
      </c>
      <c r="GD34" s="202">
        <f>('Expenditure DATA'!IM36/'Expenditure DATA'!AD36)*100</f>
        <v>7.4475632010347832</v>
      </c>
      <c r="GE34" s="202">
        <f>('Expenditure DATA'!IN36/'Expenditure DATA'!AE36)*100</f>
        <v>6.9705521712733756</v>
      </c>
      <c r="GF34" s="464">
        <f>('Expenditure DATA'!IO36/'Expenditure DATA'!AF36)*100</f>
        <v>6.2697933428692041</v>
      </c>
      <c r="GG34" s="203" t="e">
        <f>('Expenditure DATA'!IP36/'Expenditure DATA'!B36)*100</f>
        <v>#DIV/0!</v>
      </c>
      <c r="GH34" s="202" t="e">
        <f>('Expenditure DATA'!IQ36/'Expenditure DATA'!C36)*100</f>
        <v>#DIV/0!</v>
      </c>
      <c r="GI34" s="202" t="e">
        <f>('Expenditure DATA'!IR36/'Expenditure DATA'!D36)*100</f>
        <v>#DIV/0!</v>
      </c>
      <c r="GJ34" s="202" t="e">
        <f>('Expenditure DATA'!IS36/'Expenditure DATA'!E36)*100</f>
        <v>#DIV/0!</v>
      </c>
      <c r="GK34" s="202" t="e">
        <f>('Expenditure DATA'!IT36/'Expenditure DATA'!F36)*100</f>
        <v>#DIV/0!</v>
      </c>
      <c r="GL34" s="202" t="e">
        <f>('Expenditure DATA'!IU36/'Expenditure DATA'!G36)*100</f>
        <v>#DIV/0!</v>
      </c>
      <c r="GM34" s="202" t="e">
        <f>('Expenditure DATA'!IV36/'Expenditure DATA'!H36)*100</f>
        <v>#DIV/0!</v>
      </c>
      <c r="GN34" s="202" t="e">
        <f>('Expenditure DATA'!IW36/'Expenditure DATA'!I36)*100</f>
        <v>#DIV/0!</v>
      </c>
      <c r="GO34" s="202">
        <f>('Expenditure DATA'!IX36/'Expenditure DATA'!J36)*100</f>
        <v>9.6078221114250582</v>
      </c>
      <c r="GP34" s="202">
        <f>('Expenditure DATA'!IY36/'Expenditure DATA'!K36)*100</f>
        <v>9.2655878502614968</v>
      </c>
      <c r="GQ34" s="202">
        <f>('Expenditure DATA'!IZ36/'Expenditure DATA'!L36)*100</f>
        <v>8.9729381096802161</v>
      </c>
      <c r="GR34" s="202">
        <f>('Expenditure DATA'!JA36/'Expenditure DATA'!M36)*100</f>
        <v>8.0848874663180439</v>
      </c>
      <c r="GS34" s="202">
        <f>('Expenditure DATA'!JB36/'Expenditure DATA'!N36)*100</f>
        <v>7.3445269403224298</v>
      </c>
      <c r="GT34" s="202">
        <f>('Expenditure DATA'!JC36/'Expenditure DATA'!O36)*100</f>
        <v>8.6545968426275799</v>
      </c>
      <c r="GU34" s="202">
        <f>('Expenditure DATA'!JD36/'Expenditure DATA'!P36)*100</f>
        <v>8.6394946840873512</v>
      </c>
      <c r="GV34" s="202">
        <f>('Expenditure DATA'!JE36/'Expenditure DATA'!Q36)*100</f>
        <v>8.6346351361172982</v>
      </c>
      <c r="GW34" s="202">
        <f>('Expenditure DATA'!JF36/'Expenditure DATA'!R36)*100</f>
        <v>7.7128021457802758</v>
      </c>
      <c r="GX34" s="202">
        <f>('Expenditure DATA'!JG36/'Expenditure DATA'!S36)*100</f>
        <v>8.053107186291717</v>
      </c>
      <c r="GY34" s="202">
        <f>('Expenditure DATA'!JH36/'Expenditure DATA'!T36)*100</f>
        <v>8.1690228064818218</v>
      </c>
      <c r="GZ34" s="202">
        <f>('Expenditure DATA'!JI36/'Expenditure DATA'!U36)*100</f>
        <v>7.620671054738021</v>
      </c>
      <c r="HA34" s="202">
        <f>('Expenditure DATA'!JJ36/'Expenditure DATA'!V36)*100</f>
        <v>7.1511052387388601</v>
      </c>
      <c r="HB34" s="202">
        <f>('Expenditure DATA'!JK36/'Expenditure DATA'!W36)*100</f>
        <v>6.8281382726476449</v>
      </c>
      <c r="HC34" s="202">
        <f>('Expenditure DATA'!JL36/'Expenditure DATA'!X36)*100</f>
        <v>6.5294623572718926</v>
      </c>
      <c r="HD34" s="202">
        <f>('Expenditure DATA'!JM36/'Expenditure DATA'!Y36)*100</f>
        <v>5.403891354330244</v>
      </c>
      <c r="HE34" s="202">
        <f>('Expenditure DATA'!JN36/'Expenditure DATA'!Z36)*100</f>
        <v>7.7234978013694828</v>
      </c>
      <c r="HF34" s="202">
        <f>('Expenditure DATA'!JO36/'Expenditure DATA'!AA36)*100</f>
        <v>7.7141070952045077</v>
      </c>
      <c r="HG34" s="202">
        <f>('Expenditure DATA'!JP36/'Expenditure DATA'!AB36)*100</f>
        <v>7.5592594365651742</v>
      </c>
      <c r="HH34" s="202">
        <f>('Expenditure DATA'!JQ36/'Expenditure DATA'!AC36)*100</f>
        <v>6.7560887614501892</v>
      </c>
      <c r="HI34" s="202">
        <f>('Expenditure DATA'!JR36/'Expenditure DATA'!AD36)*100</f>
        <v>6.4594978141393256</v>
      </c>
      <c r="HJ34" s="202">
        <f>('Expenditure DATA'!JS36/'Expenditure DATA'!AE36)*100</f>
        <v>7.0685746330318766</v>
      </c>
      <c r="HK34" s="464">
        <f>('Expenditure DATA'!JT36/'Expenditure DATA'!AF36)*100</f>
        <v>7.7623071334036258</v>
      </c>
      <c r="HL34" s="203" t="e">
        <f t="shared" si="1"/>
        <v>#DIV/0!</v>
      </c>
      <c r="HM34" s="204" t="e">
        <f t="shared" si="2"/>
        <v>#DIV/0!</v>
      </c>
      <c r="HN34" s="204" t="e">
        <f t="shared" si="3"/>
        <v>#DIV/0!</v>
      </c>
      <c r="HO34" s="204" t="e">
        <f t="shared" si="4"/>
        <v>#DIV/0!</v>
      </c>
      <c r="HP34" s="204" t="e">
        <f t="shared" si="5"/>
        <v>#DIV/0!</v>
      </c>
      <c r="HQ34" s="204" t="e">
        <f t="shared" si="6"/>
        <v>#DIV/0!</v>
      </c>
      <c r="HR34" s="204" t="e">
        <f t="shared" si="7"/>
        <v>#DIV/0!</v>
      </c>
      <c r="HS34" s="204" t="e">
        <f t="shared" si="8"/>
        <v>#DIV/0!</v>
      </c>
      <c r="HT34" s="204">
        <f t="shared" si="9"/>
        <v>100</v>
      </c>
      <c r="HU34" s="204">
        <f t="shared" si="10"/>
        <v>100</v>
      </c>
      <c r="HV34" s="204">
        <f t="shared" si="11"/>
        <v>100.00000000000001</v>
      </c>
      <c r="HW34" s="204">
        <f t="shared" si="12"/>
        <v>100</v>
      </c>
      <c r="HX34" s="204">
        <f t="shared" si="13"/>
        <v>100.00000000000001</v>
      </c>
      <c r="HY34" s="204">
        <f t="shared" si="14"/>
        <v>99.999999999999986</v>
      </c>
      <c r="HZ34" s="204">
        <f t="shared" si="15"/>
        <v>99.999999999999986</v>
      </c>
      <c r="IA34" s="204">
        <f t="shared" si="16"/>
        <v>99.999999999999986</v>
      </c>
      <c r="IB34" s="204">
        <f t="shared" si="17"/>
        <v>99.999999999999986</v>
      </c>
      <c r="IC34" s="204">
        <f t="shared" si="18"/>
        <v>100</v>
      </c>
      <c r="ID34" s="204">
        <f t="shared" si="19"/>
        <v>99.999999999999986</v>
      </c>
      <c r="IE34" s="204">
        <f t="shared" si="20"/>
        <v>99.999999999999986</v>
      </c>
      <c r="IF34" s="204">
        <f t="shared" si="21"/>
        <v>99.999999999999986</v>
      </c>
      <c r="IG34" s="204">
        <f t="shared" si="22"/>
        <v>100.00000000000001</v>
      </c>
      <c r="IH34" s="204">
        <f t="shared" si="23"/>
        <v>100</v>
      </c>
      <c r="II34" s="204">
        <f t="shared" si="24"/>
        <v>99.999999999999986</v>
      </c>
      <c r="IJ34" s="204">
        <f t="shared" si="25"/>
        <v>100</v>
      </c>
      <c r="IK34" s="204">
        <f t="shared" si="26"/>
        <v>100</v>
      </c>
      <c r="IL34" s="204">
        <f t="shared" si="32"/>
        <v>100</v>
      </c>
      <c r="IM34" s="204">
        <f t="shared" si="33"/>
        <v>99.999994926444344</v>
      </c>
      <c r="IN34" s="204">
        <f t="shared" si="34"/>
        <v>100.00000508682757</v>
      </c>
      <c r="IO34" s="204">
        <f t="shared" si="35"/>
        <v>100.00000000000001</v>
      </c>
      <c r="IP34" s="204">
        <f t="shared" si="36"/>
        <v>100</v>
      </c>
    </row>
    <row r="35" spans="1:250" s="164" customFormat="1">
      <c r="A35" s="164" t="s">
        <v>78</v>
      </c>
      <c r="C35" s="202" t="e">
        <f>('Expenditure DATA'!CQ37/'Expenditure DATA'!B37)*100</f>
        <v>#DIV/0!</v>
      </c>
      <c r="D35" s="202" t="e">
        <f>('Expenditure DATA'!CR37/'Expenditure DATA'!C37)*100</f>
        <v>#DIV/0!</v>
      </c>
      <c r="E35" s="202" t="e">
        <f>('Expenditure DATA'!CS37/'Expenditure DATA'!D37)*100</f>
        <v>#DIV/0!</v>
      </c>
      <c r="F35" s="202" t="e">
        <f>('Expenditure DATA'!CT37/'Expenditure DATA'!E37)*100</f>
        <v>#DIV/0!</v>
      </c>
      <c r="G35" s="202" t="e">
        <f>('Expenditure DATA'!CU37/'Expenditure DATA'!F37)*100</f>
        <v>#DIV/0!</v>
      </c>
      <c r="H35" s="202" t="e">
        <f>('Expenditure DATA'!CV37/'Expenditure DATA'!G37)*100</f>
        <v>#DIV/0!</v>
      </c>
      <c r="I35" s="202" t="e">
        <f>('Expenditure DATA'!CW37/'Expenditure DATA'!H37)*100</f>
        <v>#DIV/0!</v>
      </c>
      <c r="J35" s="202" t="e">
        <f>('Expenditure DATA'!CX37/'Expenditure DATA'!I37)*100</f>
        <v>#DIV/0!</v>
      </c>
      <c r="K35" s="202">
        <f>('Expenditure DATA'!CY37/'Expenditure DATA'!J37)*100</f>
        <v>10.266932578129049</v>
      </c>
      <c r="L35" s="202">
        <f>('Expenditure DATA'!CZ37/'Expenditure DATA'!K37)*100</f>
        <v>9.7446956281039263</v>
      </c>
      <c r="M35" s="202">
        <f>('Expenditure DATA'!DA37/'Expenditure DATA'!L37)*100</f>
        <v>9.3440207242696633</v>
      </c>
      <c r="N35" s="202">
        <f>('Expenditure DATA'!DB37/'Expenditure DATA'!M37)*100</f>
        <v>8.9924598387072265</v>
      </c>
      <c r="O35" s="202">
        <f>('Expenditure DATA'!DC37/'Expenditure DATA'!N37)*100</f>
        <v>9.6629964189020345</v>
      </c>
      <c r="P35" s="202">
        <f>('Expenditure DATA'!DD37/'Expenditure DATA'!O37)*100</f>
        <v>9.6315905304291984</v>
      </c>
      <c r="Q35" s="202">
        <f>('Expenditure DATA'!DE37/'Expenditure DATA'!P37)*100</f>
        <v>9.5672727686805459</v>
      </c>
      <c r="R35" s="202">
        <f>('Expenditure DATA'!DF37/'Expenditure DATA'!Q37)*100</f>
        <v>9.4289356437648948</v>
      </c>
      <c r="S35" s="202">
        <f>('Expenditure DATA'!DG37/'Expenditure DATA'!R37)*100</f>
        <v>9.3650391233222816</v>
      </c>
      <c r="T35" s="202">
        <f>('Expenditure DATA'!DH37/'Expenditure DATA'!S37)*100</f>
        <v>9.790061138867614</v>
      </c>
      <c r="U35" s="202">
        <f>('Expenditure DATA'!DI37/'Expenditure DATA'!T37)*100</f>
        <v>9.9570923659031525</v>
      </c>
      <c r="V35" s="202">
        <f>('Expenditure DATA'!DJ37/'Expenditure DATA'!U37)*100</f>
        <v>10.141640209368775</v>
      </c>
      <c r="W35" s="202">
        <f>('Expenditure DATA'!DK37/'Expenditure DATA'!V37)*100</f>
        <v>10.301488402841576</v>
      </c>
      <c r="X35" s="202">
        <f>('Expenditure DATA'!DL37/'Expenditure DATA'!W37)*100</f>
        <v>10.297104040914189</v>
      </c>
      <c r="Y35" s="202">
        <f>('Expenditure DATA'!DM37/'Expenditure DATA'!X37)*100</f>
        <v>10.293124612005045</v>
      </c>
      <c r="Z35" s="202">
        <f>('Expenditure DATA'!DN37/'Expenditure DATA'!Y37)*100</f>
        <v>10.203492122770685</v>
      </c>
      <c r="AA35" s="202">
        <f>('Expenditure DATA'!DO37/'Expenditure DATA'!Z37)*100</f>
        <v>10.26161640836936</v>
      </c>
      <c r="AB35" s="202">
        <f>('Expenditure DATA'!DP37/'Expenditure DATA'!AA37)*100</f>
        <v>10.330702374713653</v>
      </c>
      <c r="AC35" s="202">
        <f>('Expenditure DATA'!DQ37/'Expenditure DATA'!AB37)*100</f>
        <v>10.38707051853973</v>
      </c>
      <c r="AD35" s="202">
        <f>('Expenditure DATA'!DR37/'Expenditure DATA'!AC37)*100</f>
        <v>10.533040972622763</v>
      </c>
      <c r="AE35" s="202">
        <f>('Expenditure DATA'!DS37/'Expenditure DATA'!AD37)*100</f>
        <v>9.8453358902198467</v>
      </c>
      <c r="AF35" s="202">
        <f>('Expenditure DATA'!DT37/'Expenditure DATA'!AE37)*100</f>
        <v>10.256097453126777</v>
      </c>
      <c r="AG35" s="464">
        <f>('Expenditure DATA'!DU37/'Expenditure DATA'!AF37)*100</f>
        <v>10.109674777730795</v>
      </c>
      <c r="AH35" s="203" t="e">
        <f>('Expenditure DATA'!BL37/'Expenditure DATA'!B37)*100</f>
        <v>#DIV/0!</v>
      </c>
      <c r="AI35" s="202" t="e">
        <f>('Expenditure DATA'!BM37/'Expenditure DATA'!C37)*100</f>
        <v>#DIV/0!</v>
      </c>
      <c r="AJ35" s="202" t="e">
        <f>('Expenditure DATA'!BN37/'Expenditure DATA'!D37)*100</f>
        <v>#DIV/0!</v>
      </c>
      <c r="AK35" s="202" t="e">
        <f>('Expenditure DATA'!BO37/'Expenditure DATA'!E37)*100</f>
        <v>#DIV/0!</v>
      </c>
      <c r="AL35" s="202" t="e">
        <f>('Expenditure DATA'!BP37/'Expenditure DATA'!F37)*100</f>
        <v>#DIV/0!</v>
      </c>
      <c r="AM35" s="202" t="e">
        <f>('Expenditure DATA'!BQ37/'Expenditure DATA'!G37)*100</f>
        <v>#DIV/0!</v>
      </c>
      <c r="AN35" s="202" t="e">
        <f>('Expenditure DATA'!BR37/'Expenditure DATA'!H37)*100</f>
        <v>#DIV/0!</v>
      </c>
      <c r="AO35" s="202" t="e">
        <f>('Expenditure DATA'!BS37/'Expenditure DATA'!I37)*100</f>
        <v>#DIV/0!</v>
      </c>
      <c r="AP35" s="202">
        <f>('Expenditure DATA'!BT37/'Expenditure DATA'!J37)*100</f>
        <v>25.761853375042371</v>
      </c>
      <c r="AQ35" s="202">
        <f>('Expenditure DATA'!BU37/'Expenditure DATA'!K37)*100</f>
        <v>25.22063895712316</v>
      </c>
      <c r="AR35" s="202">
        <f>('Expenditure DATA'!BV37/'Expenditure DATA'!L37)*100</f>
        <v>24.805404005166842</v>
      </c>
      <c r="AS35" s="202">
        <f>('Expenditure DATA'!BW37/'Expenditure DATA'!M37)*100</f>
        <v>23.789428743437036</v>
      </c>
      <c r="AT35" s="202">
        <f>('Expenditure DATA'!BX37/'Expenditure DATA'!N37)*100</f>
        <v>24.347929054258465</v>
      </c>
      <c r="AU35" s="202">
        <f>('Expenditure DATA'!BY37/'Expenditure DATA'!O37)*100</f>
        <v>22.986730221435536</v>
      </c>
      <c r="AV35" s="202">
        <f>('Expenditure DATA'!BZ37/'Expenditure DATA'!P37)*100</f>
        <v>23.695590865908471</v>
      </c>
      <c r="AW35" s="202">
        <f>('Expenditure DATA'!CA37/'Expenditure DATA'!Q37)*100</f>
        <v>22.991048475313072</v>
      </c>
      <c r="AX35" s="202">
        <f>('Expenditure DATA'!CB37/'Expenditure DATA'!R37)*100</f>
        <v>22.847173622917914</v>
      </c>
      <c r="AY35" s="202">
        <f>('Expenditure DATA'!CC37/'Expenditure DATA'!S37)*100</f>
        <v>22.68709446876117</v>
      </c>
      <c r="AZ35" s="202">
        <f>('Expenditure DATA'!CD37/'Expenditure DATA'!T37)*100</f>
        <v>22.898375158089912</v>
      </c>
      <c r="BA35" s="202">
        <f>('Expenditure DATA'!CE37/'Expenditure DATA'!U37)*100</f>
        <v>21.981766931043033</v>
      </c>
      <c r="BB35" s="202">
        <f>('Expenditure DATA'!CF37/'Expenditure DATA'!V37)*100</f>
        <v>21.187836389974198</v>
      </c>
      <c r="BC35" s="202">
        <f>('Expenditure DATA'!CG37/'Expenditure DATA'!W37)*100</f>
        <v>21.060776437033411</v>
      </c>
      <c r="BD35" s="202">
        <f>('Expenditure DATA'!CH37/'Expenditure DATA'!X37)*100</f>
        <v>20.94545154864576</v>
      </c>
      <c r="BE35" s="202">
        <f>('Expenditure DATA'!CI37/'Expenditure DATA'!Y37)*100</f>
        <v>20.809841728699588</v>
      </c>
      <c r="BF35" s="202">
        <f>('Expenditure DATA'!CJ37/'Expenditure DATA'!Z37)*100</f>
        <v>20.565548157726337</v>
      </c>
      <c r="BG35" s="202">
        <f>('Expenditure DATA'!CK37/'Expenditure DATA'!AA37)*100</f>
        <v>20.688457724899969</v>
      </c>
      <c r="BH35" s="202">
        <f>('Expenditure DATA'!CL37/'Expenditure DATA'!AB37)*100</f>
        <v>20.966891795686657</v>
      </c>
      <c r="BI35" s="202">
        <f>('Expenditure DATA'!CM37/'Expenditure DATA'!AC37)*100</f>
        <v>20.851003684687111</v>
      </c>
      <c r="BJ35" s="202">
        <f>('Expenditure DATA'!CN37/'Expenditure DATA'!AD37)*100</f>
        <v>20.004433235569159</v>
      </c>
      <c r="BK35" s="202">
        <f>('Expenditure DATA'!CO37/'Expenditure DATA'!AE37)*100</f>
        <v>19.766258520773757</v>
      </c>
      <c r="BL35" s="464">
        <f>('Expenditure DATA'!CP37/'Expenditure DATA'!AF37)*100</f>
        <v>20.139868052000903</v>
      </c>
      <c r="BM35" s="203" t="e">
        <f>('Expenditure DATA'!AG37/'Expenditure DATA'!B37)*100</f>
        <v>#DIV/0!</v>
      </c>
      <c r="BN35" s="202" t="e">
        <f>('Expenditure DATA'!AH37/'Expenditure DATA'!C37)*100</f>
        <v>#DIV/0!</v>
      </c>
      <c r="BO35" s="202" t="e">
        <f>('Expenditure DATA'!AI37/'Expenditure DATA'!D37)*100</f>
        <v>#DIV/0!</v>
      </c>
      <c r="BP35" s="202" t="e">
        <f>('Expenditure DATA'!AJ37/'Expenditure DATA'!E37)*100</f>
        <v>#DIV/0!</v>
      </c>
      <c r="BQ35" s="202" t="e">
        <f>('Expenditure DATA'!AK37/'Expenditure DATA'!F37)*100</f>
        <v>#DIV/0!</v>
      </c>
      <c r="BR35" s="202" t="e">
        <f>('Expenditure DATA'!AL37/'Expenditure DATA'!G37)*100</f>
        <v>#DIV/0!</v>
      </c>
      <c r="BS35" s="202" t="e">
        <f>('Expenditure DATA'!AM37/'Expenditure DATA'!H37)*100</f>
        <v>#DIV/0!</v>
      </c>
      <c r="BT35" s="202" t="e">
        <f>('Expenditure DATA'!AN37/'Expenditure DATA'!I37)*100</f>
        <v>#DIV/0!</v>
      </c>
      <c r="BU35" s="202">
        <f>('Expenditure DATA'!AO37/'Expenditure DATA'!J37)*100</f>
        <v>38.113108122433005</v>
      </c>
      <c r="BV35" s="202">
        <f>('Expenditure DATA'!AP37/'Expenditure DATA'!K37)*100</f>
        <v>37.245462120335461</v>
      </c>
      <c r="BW35" s="202">
        <f>('Expenditure DATA'!AQ37/'Expenditure DATA'!L37)*100</f>
        <v>36.579779658694456</v>
      </c>
      <c r="BX35" s="202">
        <f>('Expenditure DATA'!AR37/'Expenditure DATA'!M37)*100</f>
        <v>34.874121440489809</v>
      </c>
      <c r="BY35" s="202">
        <f>('Expenditure DATA'!AS37/'Expenditure DATA'!N37)*100</f>
        <v>36.751770056909763</v>
      </c>
      <c r="BZ35" s="202">
        <f>('Expenditure DATA'!AT37/'Expenditure DATA'!O37)*100</f>
        <v>34.94521892027668</v>
      </c>
      <c r="CA35" s="202">
        <f>('Expenditure DATA'!AU37/'Expenditure DATA'!P37)*100</f>
        <v>35.645232895317491</v>
      </c>
      <c r="CB35" s="202">
        <f>('Expenditure DATA'!AV37/'Expenditure DATA'!Q37)*100</f>
        <v>34.603718229759842</v>
      </c>
      <c r="CC35" s="202">
        <f>('Expenditure DATA'!AW37/'Expenditure DATA'!R37)*100</f>
        <v>34.704760684853255</v>
      </c>
      <c r="CD35" s="202">
        <f>('Expenditure DATA'!AX37/'Expenditure DATA'!S37)*100</f>
        <v>35.073668799318142</v>
      </c>
      <c r="CE35" s="202">
        <f>('Expenditure DATA'!AY37/'Expenditure DATA'!T37)*100</f>
        <v>35.149090208172012</v>
      </c>
      <c r="CF35" s="202">
        <f>('Expenditure DATA'!AZ37/'Expenditure DATA'!U37)*100</f>
        <v>34.523276750338475</v>
      </c>
      <c r="CG35" s="202">
        <f>('Expenditure DATA'!BA37/'Expenditure DATA'!V37)*100</f>
        <v>33.981221374306458</v>
      </c>
      <c r="CH35" s="202">
        <f>('Expenditure DATA'!BB37/'Expenditure DATA'!W37)*100</f>
        <v>34.113426091913119</v>
      </c>
      <c r="CI35" s="202">
        <f>('Expenditure DATA'!BC37/'Expenditure DATA'!X37)*100</f>
        <v>34.233420582304703</v>
      </c>
      <c r="CJ35" s="202">
        <f>('Expenditure DATA'!BD37/'Expenditure DATA'!Y37)*100</f>
        <v>33.892530524021282</v>
      </c>
      <c r="CK35" s="202">
        <f>('Expenditure DATA'!BE37/'Expenditure DATA'!Z37)*100</f>
        <v>33.778266010826279</v>
      </c>
      <c r="CL35" s="202">
        <f>('Expenditure DATA'!BF37/'Expenditure DATA'!AA37)*100</f>
        <v>33.980141109093807</v>
      </c>
      <c r="CM35" s="202">
        <f>('Expenditure DATA'!BG37/'Expenditure DATA'!AB37)*100</f>
        <v>34.326446426945125</v>
      </c>
      <c r="CN35" s="202">
        <f>('Expenditure DATA'!BH37/'Expenditure DATA'!AC37)*100</f>
        <v>34.441462348837305</v>
      </c>
      <c r="CO35" s="202">
        <f>('Expenditure DATA'!BI37/'Expenditure DATA'!AD37)*100</f>
        <v>32.941118163070001</v>
      </c>
      <c r="CP35" s="202">
        <f>('Expenditure DATA'!BJ37/'Expenditure DATA'!AE37)*100</f>
        <v>33.166684754808301</v>
      </c>
      <c r="CQ35" s="464">
        <f>('Expenditure DATA'!BK37/'Expenditure DATA'!AF37)*100</f>
        <v>33.693131392886109</v>
      </c>
      <c r="CR35" s="203" t="e">
        <f>('Expenditure DATA'!FA37/'Expenditure DATA'!B37)*100</f>
        <v>#DIV/0!</v>
      </c>
      <c r="CS35" s="202" t="e">
        <f>('Expenditure DATA'!FB37/'Expenditure DATA'!C37)*100</f>
        <v>#DIV/0!</v>
      </c>
      <c r="CT35" s="202" t="e">
        <f>('Expenditure DATA'!FC37/'Expenditure DATA'!D37)*100</f>
        <v>#DIV/0!</v>
      </c>
      <c r="CU35" s="202" t="e">
        <f>('Expenditure DATA'!FD37/'Expenditure DATA'!E37)*100</f>
        <v>#DIV/0!</v>
      </c>
      <c r="CV35" s="202" t="e">
        <f>('Expenditure DATA'!FE37/'Expenditure DATA'!F37)*100</f>
        <v>#DIV/0!</v>
      </c>
      <c r="CW35" s="202" t="e">
        <f>('Expenditure DATA'!FF37/'Expenditure DATA'!G37)*100</f>
        <v>#DIV/0!</v>
      </c>
      <c r="CX35" s="202" t="e">
        <f>('Expenditure DATA'!FG37/'Expenditure DATA'!H37)*100</f>
        <v>#DIV/0!</v>
      </c>
      <c r="CY35" s="202" t="e">
        <f>('Expenditure DATA'!FH37/'Expenditure DATA'!I37)*100</f>
        <v>#DIV/0!</v>
      </c>
      <c r="CZ35" s="202">
        <f>('Expenditure DATA'!FI37/'Expenditure DATA'!J37)*100</f>
        <v>21.237116740738191</v>
      </c>
      <c r="DA35" s="202">
        <f>('Expenditure DATA'!FJ37/'Expenditure DATA'!K37)*100</f>
        <v>21.91627343759718</v>
      </c>
      <c r="DB35" s="202">
        <f>('Expenditure DATA'!FK37/'Expenditure DATA'!L37)*100</f>
        <v>22.43734159294177</v>
      </c>
      <c r="DC35" s="202">
        <f>('Expenditure DATA'!FL37/'Expenditure DATA'!M37)*100</f>
        <v>21.249859086689867</v>
      </c>
      <c r="DD35" s="202">
        <f>('Expenditure DATA'!FM37/'Expenditure DATA'!N37)*100</f>
        <v>24.256950857245496</v>
      </c>
      <c r="DE35" s="202">
        <f>('Expenditure DATA'!FN37/'Expenditure DATA'!O37)*100</f>
        <v>23.616916207710361</v>
      </c>
      <c r="DF35" s="202">
        <f>('Expenditure DATA'!FO37/'Expenditure DATA'!P37)*100</f>
        <v>23.970779094020592</v>
      </c>
      <c r="DG35" s="202">
        <f>('Expenditure DATA'!FP37/'Expenditure DATA'!Q37)*100</f>
        <v>24.462211555846327</v>
      </c>
      <c r="DH35" s="202">
        <f>('Expenditure DATA'!FQ37/'Expenditure DATA'!R37)*100</f>
        <v>25.135664984983087</v>
      </c>
      <c r="DI35" s="202">
        <f>('Expenditure DATA'!FR37/'Expenditure DATA'!S37)*100</f>
        <v>24.575028016350249</v>
      </c>
      <c r="DJ35" s="202">
        <f>('Expenditure DATA'!FS37/'Expenditure DATA'!T37)*100</f>
        <v>25.536859114832673</v>
      </c>
      <c r="DK35" s="202">
        <f>('Expenditure DATA'!FT37/'Expenditure DATA'!U37)*100</f>
        <v>26.216127174457611</v>
      </c>
      <c r="DL35" s="202">
        <f>('Expenditure DATA'!FU37/'Expenditure DATA'!V37)*100</f>
        <v>26.80448285597523</v>
      </c>
      <c r="DM35" s="202">
        <f>('Expenditure DATA'!FV37/'Expenditure DATA'!W37)*100</f>
        <v>26.787961860233633</v>
      </c>
      <c r="DN35" s="202">
        <f>('Expenditure DATA'!FW37/'Expenditure DATA'!X37)*100</f>
        <v>26.772966718602813</v>
      </c>
      <c r="DO35" s="202">
        <f>('Expenditure DATA'!FX37/'Expenditure DATA'!Y37)*100</f>
        <v>26.675432167233687</v>
      </c>
      <c r="DP35" s="202">
        <f>('Expenditure DATA'!FY37/'Expenditure DATA'!Z37)*100</f>
        <v>26.361375816231803</v>
      </c>
      <c r="DQ35" s="202">
        <f>('Expenditure DATA'!FZ37/'Expenditure DATA'!AA37)*100</f>
        <v>25.914777848041993</v>
      </c>
      <c r="DR35" s="202">
        <f>('Expenditure DATA'!GA37/'Expenditure DATA'!AB37)*100</f>
        <v>26.096014783280129</v>
      </c>
      <c r="DS35" s="202">
        <f>('Expenditure DATA'!GB37/'Expenditure DATA'!AC37)*100</f>
        <v>26.519792967221544</v>
      </c>
      <c r="DT35" s="202">
        <f>('Expenditure DATA'!GC37/'Expenditure DATA'!AD37)*100</f>
        <v>27.441969377751018</v>
      </c>
      <c r="DU35" s="202">
        <f>('Expenditure DATA'!GD37/'Expenditure DATA'!AE37)*100</f>
        <v>27.813876085805529</v>
      </c>
      <c r="DV35" s="464">
        <f>('Expenditure DATA'!GE37/'Expenditure DATA'!AF37)*100</f>
        <v>27.148121179550603</v>
      </c>
      <c r="DW35" s="203" t="e">
        <f>('Expenditure DATA'!GF37/'Expenditure DATA'!B37)*100</f>
        <v>#DIV/0!</v>
      </c>
      <c r="DX35" s="202" t="e">
        <f>('Expenditure DATA'!GG37/'Expenditure DATA'!C37)*100</f>
        <v>#DIV/0!</v>
      </c>
      <c r="DY35" s="202" t="e">
        <f>('Expenditure DATA'!GH37/'Expenditure DATA'!D37)*100</f>
        <v>#DIV/0!</v>
      </c>
      <c r="DZ35" s="202" t="e">
        <f>('Expenditure DATA'!GI37/'Expenditure DATA'!E37)*100</f>
        <v>#DIV/0!</v>
      </c>
      <c r="EA35" s="202" t="e">
        <f>('Expenditure DATA'!GJ37/'Expenditure DATA'!F37)*100</f>
        <v>#DIV/0!</v>
      </c>
      <c r="EB35" s="202" t="e">
        <f>('Expenditure DATA'!GK37/'Expenditure DATA'!G37)*100</f>
        <v>#DIV/0!</v>
      </c>
      <c r="EC35" s="202" t="e">
        <f>('Expenditure DATA'!GL37/'Expenditure DATA'!H37)*100</f>
        <v>#DIV/0!</v>
      </c>
      <c r="ED35" s="202" t="e">
        <f>('Expenditure DATA'!GM37/'Expenditure DATA'!I37)*100</f>
        <v>#DIV/0!</v>
      </c>
      <c r="EE35" s="202">
        <f>('Expenditure DATA'!GN37/'Expenditure DATA'!J37)*100</f>
        <v>27.570847504599993</v>
      </c>
      <c r="EF35" s="202">
        <f>('Expenditure DATA'!GO37/'Expenditure DATA'!K37)*100</f>
        <v>27.90094965591215</v>
      </c>
      <c r="EG35" s="202">
        <f>('Expenditure DATA'!GP37/'Expenditure DATA'!L37)*100</f>
        <v>28.154213328132439</v>
      </c>
      <c r="EH35" s="202">
        <f>('Expenditure DATA'!GQ37/'Expenditure DATA'!M37)*100</f>
        <v>31.966498210301019</v>
      </c>
      <c r="EI35" s="202">
        <f>('Expenditure DATA'!GR37/'Expenditure DATA'!N37)*100</f>
        <v>26.340831574482053</v>
      </c>
      <c r="EJ35" s="202">
        <f>('Expenditure DATA'!GS37/'Expenditure DATA'!O37)*100</f>
        <v>28.474471104237509</v>
      </c>
      <c r="EK35" s="202">
        <f>('Expenditure DATA'!GT37/'Expenditure DATA'!P37)*100</f>
        <v>27.604381716200276</v>
      </c>
      <c r="EL35" s="202">
        <f>('Expenditure DATA'!GU37/'Expenditure DATA'!Q37)*100</f>
        <v>27.646899394352015</v>
      </c>
      <c r="EM35" s="202">
        <f>('Expenditure DATA'!GV37/'Expenditure DATA'!R37)*100</f>
        <v>27.711218878762946</v>
      </c>
      <c r="EN35" s="202">
        <f>('Expenditure DATA'!GW37/'Expenditure DATA'!S37)*100</f>
        <v>27.993648957257406</v>
      </c>
      <c r="EO35" s="202">
        <f>('Expenditure DATA'!GX37/'Expenditure DATA'!T37)*100</f>
        <v>26.943980672883711</v>
      </c>
      <c r="EP35" s="202">
        <f>('Expenditure DATA'!GY37/'Expenditure DATA'!U37)*100</f>
        <v>27.058354950074403</v>
      </c>
      <c r="EQ35" s="202">
        <f>('Expenditure DATA'!GZ37/'Expenditure DATA'!V37)*100</f>
        <v>27.15742151864201</v>
      </c>
      <c r="ER35" s="202">
        <f>('Expenditure DATA'!HA37/'Expenditure DATA'!W37)*100</f>
        <v>27.141621453806891</v>
      </c>
      <c r="ES35" s="202">
        <f>('Expenditure DATA'!HB37/'Expenditure DATA'!X37)*100</f>
        <v>27.1272806589974</v>
      </c>
      <c r="ET35" s="202">
        <f>('Expenditure DATA'!HC37/'Expenditure DATA'!Y37)*100</f>
        <v>27.585391387391905</v>
      </c>
      <c r="EU35" s="202">
        <f>('Expenditure DATA'!HD37/'Expenditure DATA'!Z37)*100</f>
        <v>28.203807715693468</v>
      </c>
      <c r="EV35" s="202">
        <f>('Expenditure DATA'!HE37/'Expenditure DATA'!AA37)*100</f>
        <v>28.425499901750108</v>
      </c>
      <c r="EW35" s="202">
        <f>('Expenditure DATA'!HF37/'Expenditure DATA'!AB37)*100</f>
        <v>28.039380309968159</v>
      </c>
      <c r="EX35" s="202">
        <f>('Expenditure DATA'!HG37/'Expenditure DATA'!AC37)*100</f>
        <v>27.381905731278739</v>
      </c>
      <c r="EY35" s="202">
        <f>('Expenditure DATA'!HH37/'Expenditure DATA'!AD37)*100</f>
        <v>28.166065694459398</v>
      </c>
      <c r="EZ35" s="202">
        <f>('Expenditure DATA'!HI37/'Expenditure DATA'!AE37)*100</f>
        <v>27.686098984229844</v>
      </c>
      <c r="FA35" s="464">
        <f>('Expenditure DATA'!HJ37/'Expenditure DATA'!AF37)*100</f>
        <v>27.143413144296463</v>
      </c>
      <c r="FB35" s="203" t="e">
        <f>('Expenditure DATA'!HK37/'Expenditure DATA'!B37)*100</f>
        <v>#DIV/0!</v>
      </c>
      <c r="FC35" s="202" t="e">
        <f>('Expenditure DATA'!HL37/'Expenditure DATA'!C37)*100</f>
        <v>#DIV/0!</v>
      </c>
      <c r="FD35" s="202" t="e">
        <f>('Expenditure DATA'!HM37/'Expenditure DATA'!D37)*100</f>
        <v>#DIV/0!</v>
      </c>
      <c r="FE35" s="202" t="e">
        <f>('Expenditure DATA'!HN37/'Expenditure DATA'!E37)*100</f>
        <v>#DIV/0!</v>
      </c>
      <c r="FF35" s="202" t="e">
        <f>('Expenditure DATA'!HO37/'Expenditure DATA'!F37)*100</f>
        <v>#DIV/0!</v>
      </c>
      <c r="FG35" s="202" t="e">
        <f>('Expenditure DATA'!HP37/'Expenditure DATA'!G37)*100</f>
        <v>#DIV/0!</v>
      </c>
      <c r="FH35" s="202" t="e">
        <f>('Expenditure DATA'!HQ37/'Expenditure DATA'!H37)*100</f>
        <v>#DIV/0!</v>
      </c>
      <c r="FI35" s="202" t="e">
        <f>('Expenditure DATA'!HR37/'Expenditure DATA'!I37)*100</f>
        <v>#DIV/0!</v>
      </c>
      <c r="FJ35" s="202">
        <f>('Expenditure DATA'!HS37/'Expenditure DATA'!J37)*100</f>
        <v>4.8792096720629292</v>
      </c>
      <c r="FK35" s="202">
        <f>('Expenditure DATA'!HT37/'Expenditure DATA'!K37)*100</f>
        <v>4.9168817183057154</v>
      </c>
      <c r="FL35" s="202">
        <f>('Expenditure DATA'!HU37/'Expenditure DATA'!L37)*100</f>
        <v>4.9457847737192449</v>
      </c>
      <c r="FM35" s="202">
        <f>('Expenditure DATA'!HV37/'Expenditure DATA'!M37)*100</f>
        <v>4.4293470656851897</v>
      </c>
      <c r="FN35" s="202">
        <f>('Expenditure DATA'!HW37/'Expenditure DATA'!N37)*100</f>
        <v>4.9246968968687872</v>
      </c>
      <c r="FO35" s="202">
        <f>('Expenditure DATA'!HX37/'Expenditure DATA'!O37)*100</f>
        <v>4.9622537031770868</v>
      </c>
      <c r="FP35" s="202">
        <f>('Expenditure DATA'!HY37/'Expenditure DATA'!P37)*100</f>
        <v>4.8761514331245985</v>
      </c>
      <c r="FQ35" s="202">
        <f>('Expenditure DATA'!HZ37/'Expenditure DATA'!Q37)*100</f>
        <v>5.0436849998964766</v>
      </c>
      <c r="FR35" s="202">
        <f>('Expenditure DATA'!IA37/'Expenditure DATA'!R37)*100</f>
        <v>4.7664119724600429</v>
      </c>
      <c r="FS35" s="202">
        <f>('Expenditure DATA'!IB37/'Expenditure DATA'!S37)*100</f>
        <v>4.5778000416669666</v>
      </c>
      <c r="FT35" s="202">
        <f>('Expenditure DATA'!IC37/'Expenditure DATA'!T37)*100</f>
        <v>4.7661643100554034</v>
      </c>
      <c r="FU35" s="202">
        <f>('Expenditure DATA'!ID37/'Expenditure DATA'!U37)*100</f>
        <v>4.6272063606579934</v>
      </c>
      <c r="FV35" s="202">
        <f>('Expenditure DATA'!IE37/'Expenditure DATA'!V37)*100</f>
        <v>4.506846367483659</v>
      </c>
      <c r="FW35" s="202">
        <f>('Expenditure DATA'!IF37/'Expenditure DATA'!W37)*100</f>
        <v>4.4326166108264555</v>
      </c>
      <c r="FX35" s="202">
        <f>('Expenditure DATA'!IG37/'Expenditure DATA'!X37)*100</f>
        <v>4.3652426019164716</v>
      </c>
      <c r="FY35" s="202">
        <f>('Expenditure DATA'!IH37/'Expenditure DATA'!Y37)*100</f>
        <v>4.3719224536537178</v>
      </c>
      <c r="FZ35" s="202">
        <f>('Expenditure DATA'!II37/'Expenditure DATA'!Z37)*100</f>
        <v>4.3376489399452245</v>
      </c>
      <c r="GA35" s="202">
        <f>('Expenditure DATA'!IJ37/'Expenditure DATA'!AA37)*100</f>
        <v>4.3367515538232908</v>
      </c>
      <c r="GB35" s="202">
        <f>('Expenditure DATA'!IK37/'Expenditure DATA'!AB37)*100</f>
        <v>4.2750089696534914</v>
      </c>
      <c r="GC35" s="202">
        <f>('Expenditure DATA'!IL37/'Expenditure DATA'!AC37)*100</f>
        <v>4.1663436340007829</v>
      </c>
      <c r="GD35" s="202">
        <f>('Expenditure DATA'!IM37/'Expenditure DATA'!AD37)*100</f>
        <v>4.0072118425490082</v>
      </c>
      <c r="GE35" s="202">
        <f>('Expenditure DATA'!IN37/'Expenditure DATA'!AE37)*100</f>
        <v>3.9319754806832057</v>
      </c>
      <c r="GF35" s="464">
        <f>('Expenditure DATA'!IO37/'Expenditure DATA'!AF37)*100</f>
        <v>4.3694147869347635</v>
      </c>
      <c r="GG35" s="203" t="e">
        <f>('Expenditure DATA'!IP37/'Expenditure DATA'!B37)*100</f>
        <v>#DIV/0!</v>
      </c>
      <c r="GH35" s="202" t="e">
        <f>('Expenditure DATA'!IQ37/'Expenditure DATA'!C37)*100</f>
        <v>#DIV/0!</v>
      </c>
      <c r="GI35" s="202" t="e">
        <f>('Expenditure DATA'!IR37/'Expenditure DATA'!D37)*100</f>
        <v>#DIV/0!</v>
      </c>
      <c r="GJ35" s="202" t="e">
        <f>('Expenditure DATA'!IS37/'Expenditure DATA'!E37)*100</f>
        <v>#DIV/0!</v>
      </c>
      <c r="GK35" s="202" t="e">
        <f>('Expenditure DATA'!IT37/'Expenditure DATA'!F37)*100</f>
        <v>#DIV/0!</v>
      </c>
      <c r="GL35" s="202" t="e">
        <f>('Expenditure DATA'!IU37/'Expenditure DATA'!G37)*100</f>
        <v>#DIV/0!</v>
      </c>
      <c r="GM35" s="202" t="e">
        <f>('Expenditure DATA'!IV37/'Expenditure DATA'!H37)*100</f>
        <v>#DIV/0!</v>
      </c>
      <c r="GN35" s="202" t="e">
        <f>('Expenditure DATA'!IW37/'Expenditure DATA'!I37)*100</f>
        <v>#DIV/0!</v>
      </c>
      <c r="GO35" s="202">
        <f>('Expenditure DATA'!IX37/'Expenditure DATA'!J37)*100</f>
        <v>8.1997179601658932</v>
      </c>
      <c r="GP35" s="202">
        <f>('Expenditure DATA'!IY37/'Expenditure DATA'!K37)*100</f>
        <v>8.0204330678494848</v>
      </c>
      <c r="GQ35" s="202">
        <f>('Expenditure DATA'!IZ37/'Expenditure DATA'!L37)*100</f>
        <v>7.8828806465120875</v>
      </c>
      <c r="GR35" s="202">
        <f>('Expenditure DATA'!JA37/'Expenditure DATA'!M37)*100</f>
        <v>7.4801741968341062</v>
      </c>
      <c r="GS35" s="202">
        <f>('Expenditure DATA'!JB37/'Expenditure DATA'!N37)*100</f>
        <v>7.725750614493891</v>
      </c>
      <c r="GT35" s="202">
        <f>('Expenditure DATA'!JC37/'Expenditure DATA'!O37)*100</f>
        <v>8.001140064598367</v>
      </c>
      <c r="GU35" s="202">
        <f>('Expenditure DATA'!JD37/'Expenditure DATA'!P37)*100</f>
        <v>7.9034548613370461</v>
      </c>
      <c r="GV35" s="202">
        <f>('Expenditure DATA'!JE37/'Expenditure DATA'!Q37)*100</f>
        <v>8.2434858201453363</v>
      </c>
      <c r="GW35" s="202">
        <f>('Expenditure DATA'!JF37/'Expenditure DATA'!R37)*100</f>
        <v>7.6819434789406671</v>
      </c>
      <c r="GX35" s="202">
        <f>('Expenditure DATA'!JG37/'Expenditure DATA'!S37)*100</f>
        <v>7.7798541854072418</v>
      </c>
      <c r="GY35" s="202">
        <f>('Expenditure DATA'!JH37/'Expenditure DATA'!T37)*100</f>
        <v>7.603905694056194</v>
      </c>
      <c r="GZ35" s="202">
        <f>('Expenditure DATA'!JI37/'Expenditure DATA'!U37)*100</f>
        <v>7.5750347644714928</v>
      </c>
      <c r="HA35" s="202">
        <f>('Expenditure DATA'!JJ37/'Expenditure DATA'!V37)*100</f>
        <v>7.5500278835926355</v>
      </c>
      <c r="HB35" s="202">
        <f>('Expenditure DATA'!JK37/'Expenditure DATA'!W37)*100</f>
        <v>7.524373983219899</v>
      </c>
      <c r="HC35" s="202">
        <f>('Expenditure DATA'!JL37/'Expenditure DATA'!X37)*100</f>
        <v>7.5010894381786102</v>
      </c>
      <c r="HD35" s="202">
        <f>('Expenditure DATA'!JM37/'Expenditure DATA'!Y37)*100</f>
        <v>7.4747234676994072</v>
      </c>
      <c r="HE35" s="202">
        <f>('Expenditure DATA'!JN37/'Expenditure DATA'!Z37)*100</f>
        <v>7.318901517303221</v>
      </c>
      <c r="HF35" s="202">
        <f>('Expenditure DATA'!JO37/'Expenditure DATA'!AA37)*100</f>
        <v>7.3428295872907983</v>
      </c>
      <c r="HG35" s="202">
        <f>('Expenditure DATA'!JP37/'Expenditure DATA'!AB37)*100</f>
        <v>7.2631495101530845</v>
      </c>
      <c r="HH35" s="202">
        <f>('Expenditure DATA'!JQ37/'Expenditure DATA'!AC37)*100</f>
        <v>7.490497088299608</v>
      </c>
      <c r="HI35" s="202">
        <f>('Expenditure DATA'!JR37/'Expenditure DATA'!AD37)*100</f>
        <v>7.44363316155279</v>
      </c>
      <c r="HJ35" s="202">
        <f>('Expenditure DATA'!JS37/'Expenditure DATA'!AE37)*100</f>
        <v>7.4013646944731155</v>
      </c>
      <c r="HK35" s="464">
        <f>('Expenditure DATA'!JT37/'Expenditure DATA'!AF37)*100</f>
        <v>7.6459194963320583</v>
      </c>
      <c r="HL35" s="203" t="e">
        <f t="shared" si="1"/>
        <v>#DIV/0!</v>
      </c>
      <c r="HM35" s="204" t="e">
        <f t="shared" si="2"/>
        <v>#DIV/0!</v>
      </c>
      <c r="HN35" s="204" t="e">
        <f t="shared" si="3"/>
        <v>#DIV/0!</v>
      </c>
      <c r="HO35" s="204" t="e">
        <f t="shared" si="4"/>
        <v>#DIV/0!</v>
      </c>
      <c r="HP35" s="204" t="e">
        <f t="shared" si="5"/>
        <v>#DIV/0!</v>
      </c>
      <c r="HQ35" s="204" t="e">
        <f t="shared" si="6"/>
        <v>#DIV/0!</v>
      </c>
      <c r="HR35" s="204" t="e">
        <f t="shared" si="7"/>
        <v>#DIV/0!</v>
      </c>
      <c r="HS35" s="204" t="e">
        <f t="shared" si="8"/>
        <v>#DIV/0!</v>
      </c>
      <c r="HT35" s="204">
        <f t="shared" si="9"/>
        <v>100.00000000000001</v>
      </c>
      <c r="HU35" s="204">
        <f t="shared" si="10"/>
        <v>99.999999999999986</v>
      </c>
      <c r="HV35" s="204">
        <f t="shared" si="11"/>
        <v>100</v>
      </c>
      <c r="HW35" s="204">
        <f t="shared" si="12"/>
        <v>100</v>
      </c>
      <c r="HX35" s="204">
        <f t="shared" si="13"/>
        <v>99.999999999999986</v>
      </c>
      <c r="HY35" s="204">
        <f t="shared" si="14"/>
        <v>100</v>
      </c>
      <c r="HZ35" s="204">
        <f t="shared" si="15"/>
        <v>100</v>
      </c>
      <c r="IA35" s="204">
        <f t="shared" si="16"/>
        <v>100</v>
      </c>
      <c r="IB35" s="204">
        <f t="shared" si="17"/>
        <v>100</v>
      </c>
      <c r="IC35" s="204">
        <f t="shared" si="18"/>
        <v>100</v>
      </c>
      <c r="ID35" s="204">
        <f t="shared" si="19"/>
        <v>100</v>
      </c>
      <c r="IE35" s="204">
        <f t="shared" si="20"/>
        <v>99.999999999999972</v>
      </c>
      <c r="IF35" s="204">
        <f t="shared" si="21"/>
        <v>100</v>
      </c>
      <c r="IG35" s="204">
        <f t="shared" si="22"/>
        <v>100</v>
      </c>
      <c r="IH35" s="204">
        <f t="shared" si="23"/>
        <v>100.00000000000001</v>
      </c>
      <c r="II35" s="204">
        <f t="shared" si="24"/>
        <v>100</v>
      </c>
      <c r="IJ35" s="204">
        <f t="shared" si="25"/>
        <v>100</v>
      </c>
      <c r="IK35" s="204">
        <f t="shared" si="26"/>
        <v>100</v>
      </c>
      <c r="IL35" s="204">
        <f t="shared" si="32"/>
        <v>100</v>
      </c>
      <c r="IM35" s="204">
        <f t="shared" si="33"/>
        <v>100.00000176963798</v>
      </c>
      <c r="IN35" s="204">
        <f t="shared" si="34"/>
        <v>99.999998239382222</v>
      </c>
      <c r="IO35" s="204">
        <f t="shared" si="35"/>
        <v>100</v>
      </c>
      <c r="IP35" s="204">
        <f t="shared" si="36"/>
        <v>100</v>
      </c>
    </row>
    <row r="36" spans="1:250" s="164" customFormat="1">
      <c r="A36" s="162" t="s">
        <v>80</v>
      </c>
      <c r="B36" s="162"/>
      <c r="C36" s="205" t="e">
        <f>('Expenditure DATA'!CQ38/'Expenditure DATA'!B38)*100</f>
        <v>#DIV/0!</v>
      </c>
      <c r="D36" s="205" t="e">
        <f>('Expenditure DATA'!CR38/'Expenditure DATA'!C38)*100</f>
        <v>#DIV/0!</v>
      </c>
      <c r="E36" s="205" t="e">
        <f>('Expenditure DATA'!CS38/'Expenditure DATA'!D38)*100</f>
        <v>#DIV/0!</v>
      </c>
      <c r="F36" s="205" t="e">
        <f>('Expenditure DATA'!CT38/'Expenditure DATA'!E38)*100</f>
        <v>#DIV/0!</v>
      </c>
      <c r="G36" s="205" t="e">
        <f>('Expenditure DATA'!CU38/'Expenditure DATA'!F38)*100</f>
        <v>#DIV/0!</v>
      </c>
      <c r="H36" s="205" t="e">
        <f>('Expenditure DATA'!CV38/'Expenditure DATA'!G38)*100</f>
        <v>#DIV/0!</v>
      </c>
      <c r="I36" s="205" t="e">
        <f>('Expenditure DATA'!CW38/'Expenditure DATA'!H38)*100</f>
        <v>#DIV/0!</v>
      </c>
      <c r="J36" s="205" t="e">
        <f>('Expenditure DATA'!CX38/'Expenditure DATA'!I38)*100</f>
        <v>#DIV/0!</v>
      </c>
      <c r="K36" s="205">
        <f>('Expenditure DATA'!CY38/'Expenditure DATA'!J38)*100</f>
        <v>10.35440447926339</v>
      </c>
      <c r="L36" s="205">
        <f>('Expenditure DATA'!CZ38/'Expenditure DATA'!K38)*100</f>
        <v>10.126547206380913</v>
      </c>
      <c r="M36" s="205">
        <f>('Expenditure DATA'!DA38/'Expenditure DATA'!L38)*100</f>
        <v>9.9267701942584523</v>
      </c>
      <c r="N36" s="205">
        <f>('Expenditure DATA'!DB38/'Expenditure DATA'!M38)*100</f>
        <v>10.497409770589192</v>
      </c>
      <c r="O36" s="205">
        <f>('Expenditure DATA'!DC38/'Expenditure DATA'!N38)*100</f>
        <v>11.208231396353783</v>
      </c>
      <c r="P36" s="205">
        <f>('Expenditure DATA'!DD38/'Expenditure DATA'!O38)*100</f>
        <v>10.774055187532763</v>
      </c>
      <c r="Q36" s="205">
        <f>('Expenditure DATA'!DE38/'Expenditure DATA'!P38)*100</f>
        <v>10.253959139220147</v>
      </c>
      <c r="R36" s="205">
        <f>('Expenditure DATA'!DF38/'Expenditure DATA'!Q38)*100</f>
        <v>9.8262109717970283</v>
      </c>
      <c r="S36" s="205">
        <f>('Expenditure DATA'!DG38/'Expenditure DATA'!R38)*100</f>
        <v>9.5087207201405963</v>
      </c>
      <c r="T36" s="205">
        <f>('Expenditure DATA'!DH38/'Expenditure DATA'!S38)*100</f>
        <v>9.3336610505450945</v>
      </c>
      <c r="U36" s="205">
        <f>('Expenditure DATA'!DI38/'Expenditure DATA'!T38)*100</f>
        <v>9.3163411305492794</v>
      </c>
      <c r="V36" s="205">
        <f>('Expenditure DATA'!DJ38/'Expenditure DATA'!U38)*100</f>
        <v>9.3358374361609666</v>
      </c>
      <c r="W36" s="205">
        <f>('Expenditure DATA'!DK38/'Expenditure DATA'!V38)*100</f>
        <v>9.3526904925394287</v>
      </c>
      <c r="X36" s="205">
        <f>('Expenditure DATA'!DL38/'Expenditure DATA'!W38)*100</f>
        <v>9.3308489823285061</v>
      </c>
      <c r="Y36" s="205">
        <f>('Expenditure DATA'!DM38/'Expenditure DATA'!X38)*100</f>
        <v>9.3122879320694558</v>
      </c>
      <c r="Z36" s="205">
        <f>('Expenditure DATA'!DN38/'Expenditure DATA'!Y38)*100</f>
        <v>9.3474405271290042</v>
      </c>
      <c r="AA36" s="205">
        <f>('Expenditure DATA'!DO38/'Expenditure DATA'!Z38)*100</f>
        <v>8.9014333951271176</v>
      </c>
      <c r="AB36" s="205">
        <f>('Expenditure DATA'!DP38/'Expenditure DATA'!AA38)*100</f>
        <v>8.9003565014892434</v>
      </c>
      <c r="AC36" s="205">
        <f>('Expenditure DATA'!DQ38/'Expenditure DATA'!AB38)*100</f>
        <v>9.359006666311851</v>
      </c>
      <c r="AD36" s="205">
        <f>('Expenditure DATA'!DR38/'Expenditure DATA'!AC38)*100</f>
        <v>9.2124176791377153</v>
      </c>
      <c r="AE36" s="205">
        <f>('Expenditure DATA'!DS38/'Expenditure DATA'!AD38)*100</f>
        <v>8.7676006158240778</v>
      </c>
      <c r="AF36" s="205">
        <f>('Expenditure DATA'!DT38/'Expenditure DATA'!AE38)*100</f>
        <v>9.0423838320982135</v>
      </c>
      <c r="AG36" s="465">
        <f>('Expenditure DATA'!DU38/'Expenditure DATA'!AF38)*100</f>
        <v>9.2599887567281058</v>
      </c>
      <c r="AH36" s="206" t="e">
        <f>('Expenditure DATA'!BL38/'Expenditure DATA'!B38)*100</f>
        <v>#DIV/0!</v>
      </c>
      <c r="AI36" s="205" t="e">
        <f>('Expenditure DATA'!BM38/'Expenditure DATA'!C38)*100</f>
        <v>#DIV/0!</v>
      </c>
      <c r="AJ36" s="205" t="e">
        <f>('Expenditure DATA'!BN38/'Expenditure DATA'!D38)*100</f>
        <v>#DIV/0!</v>
      </c>
      <c r="AK36" s="205" t="e">
        <f>('Expenditure DATA'!BO38/'Expenditure DATA'!E38)*100</f>
        <v>#DIV/0!</v>
      </c>
      <c r="AL36" s="205" t="e">
        <f>('Expenditure DATA'!BP38/'Expenditure DATA'!F38)*100</f>
        <v>#DIV/0!</v>
      </c>
      <c r="AM36" s="205" t="e">
        <f>('Expenditure DATA'!BQ38/'Expenditure DATA'!G38)*100</f>
        <v>#DIV/0!</v>
      </c>
      <c r="AN36" s="205" t="e">
        <f>('Expenditure DATA'!BR38/'Expenditure DATA'!H38)*100</f>
        <v>#DIV/0!</v>
      </c>
      <c r="AO36" s="205" t="e">
        <f>('Expenditure DATA'!BS38/'Expenditure DATA'!I38)*100</f>
        <v>#DIV/0!</v>
      </c>
      <c r="AP36" s="205">
        <f>('Expenditure DATA'!BT38/'Expenditure DATA'!J38)*100</f>
        <v>25.103835953094507</v>
      </c>
      <c r="AQ36" s="205">
        <f>('Expenditure DATA'!BU38/'Expenditure DATA'!K38)*100</f>
        <v>25.125925964407813</v>
      </c>
      <c r="AR36" s="205">
        <f>('Expenditure DATA'!BV38/'Expenditure DATA'!L38)*100</f>
        <v>25.145293687026875</v>
      </c>
      <c r="AS36" s="205">
        <f>('Expenditure DATA'!BW38/'Expenditure DATA'!M38)*100</f>
        <v>24.736035461320501</v>
      </c>
      <c r="AT36" s="205">
        <f>('Expenditure DATA'!BX38/'Expenditure DATA'!N38)*100</f>
        <v>23.969050478169958</v>
      </c>
      <c r="AU36" s="205">
        <f>('Expenditure DATA'!BY38/'Expenditure DATA'!O38)*100</f>
        <v>23.846199304198638</v>
      </c>
      <c r="AV36" s="205">
        <f>('Expenditure DATA'!BZ38/'Expenditure DATA'!P38)*100</f>
        <v>24.235436911211121</v>
      </c>
      <c r="AW36" s="205">
        <f>('Expenditure DATA'!CA38/'Expenditure DATA'!Q38)*100</f>
        <v>24.184523045905276</v>
      </c>
      <c r="AX36" s="205">
        <f>('Expenditure DATA'!CB38/'Expenditure DATA'!R38)*100</f>
        <v>23.614602432368649</v>
      </c>
      <c r="AY36" s="205">
        <f>('Expenditure DATA'!CC38/'Expenditure DATA'!S38)*100</f>
        <v>22.970164519326065</v>
      </c>
      <c r="AZ36" s="205">
        <f>('Expenditure DATA'!CD38/'Expenditure DATA'!T38)*100</f>
        <v>22.687808952098127</v>
      </c>
      <c r="BA36" s="205">
        <f>('Expenditure DATA'!CE38/'Expenditure DATA'!U38)*100</f>
        <v>22.443501794702907</v>
      </c>
      <c r="BB36" s="205">
        <f>('Expenditure DATA'!CF38/'Expenditure DATA'!V38)*100</f>
        <v>22.232317051334153</v>
      </c>
      <c r="BC36" s="205">
        <f>('Expenditure DATA'!CG38/'Expenditure DATA'!W38)*100</f>
        <v>21.492227203428911</v>
      </c>
      <c r="BD36" s="205">
        <f>('Expenditure DATA'!CH38/'Expenditure DATA'!X38)*100</f>
        <v>20.863294280269066</v>
      </c>
      <c r="BE36" s="205">
        <f>('Expenditure DATA'!CI38/'Expenditure DATA'!Y38)*100</f>
        <v>20.279182993373464</v>
      </c>
      <c r="BF36" s="205">
        <f>('Expenditure DATA'!CJ38/'Expenditure DATA'!Z38)*100</f>
        <v>22.832842293432204</v>
      </c>
      <c r="BG36" s="205">
        <f>('Expenditure DATA'!CK38/'Expenditure DATA'!AA38)*100</f>
        <v>22.830079980722672</v>
      </c>
      <c r="BH36" s="205">
        <f>('Expenditure DATA'!CL38/'Expenditure DATA'!AB38)*100</f>
        <v>22.157422700510551</v>
      </c>
      <c r="BI36" s="205">
        <f>('Expenditure DATA'!CM38/'Expenditure DATA'!AC38)*100</f>
        <v>22.076821144477947</v>
      </c>
      <c r="BJ36" s="205">
        <f>('Expenditure DATA'!CN38/'Expenditure DATA'!AD38)*100</f>
        <v>22.057847764858305</v>
      </c>
      <c r="BK36" s="205">
        <f>('Expenditure DATA'!CO38/'Expenditure DATA'!AE38)*100</f>
        <v>21.648041246553959</v>
      </c>
      <c r="BL36" s="465">
        <f>('Expenditure DATA'!CP38/'Expenditure DATA'!AF38)*100</f>
        <v>21.390078899608763</v>
      </c>
      <c r="BM36" s="206" t="e">
        <f>('Expenditure DATA'!AG38/'Expenditure DATA'!B38)*100</f>
        <v>#DIV/0!</v>
      </c>
      <c r="BN36" s="205" t="e">
        <f>('Expenditure DATA'!AH38/'Expenditure DATA'!C38)*100</f>
        <v>#DIV/0!</v>
      </c>
      <c r="BO36" s="205" t="e">
        <f>('Expenditure DATA'!AI38/'Expenditure DATA'!D38)*100</f>
        <v>#DIV/0!</v>
      </c>
      <c r="BP36" s="205" t="e">
        <f>('Expenditure DATA'!AJ38/'Expenditure DATA'!E38)*100</f>
        <v>#DIV/0!</v>
      </c>
      <c r="BQ36" s="205" t="e">
        <f>('Expenditure DATA'!AK38/'Expenditure DATA'!F38)*100</f>
        <v>#DIV/0!</v>
      </c>
      <c r="BR36" s="205" t="e">
        <f>('Expenditure DATA'!AL38/'Expenditure DATA'!G38)*100</f>
        <v>#DIV/0!</v>
      </c>
      <c r="BS36" s="205" t="e">
        <f>('Expenditure DATA'!AM38/'Expenditure DATA'!H38)*100</f>
        <v>#DIV/0!</v>
      </c>
      <c r="BT36" s="205" t="e">
        <f>('Expenditure DATA'!AN38/'Expenditure DATA'!I38)*100</f>
        <v>#DIV/0!</v>
      </c>
      <c r="BU36" s="205">
        <f>('Expenditure DATA'!AO38/'Expenditure DATA'!J38)*100</f>
        <v>36.797033840975772</v>
      </c>
      <c r="BV36" s="205">
        <f>('Expenditure DATA'!AP38/'Expenditure DATA'!K38)*100</f>
        <v>36.841034352732969</v>
      </c>
      <c r="BW36" s="205">
        <f>('Expenditure DATA'!AQ38/'Expenditure DATA'!L38)*100</f>
        <v>36.879612409336175</v>
      </c>
      <c r="BX36" s="205">
        <f>('Expenditure DATA'!AR38/'Expenditure DATA'!M38)*100</f>
        <v>37.076338631974366</v>
      </c>
      <c r="BY36" s="205">
        <f>('Expenditure DATA'!AS38/'Expenditure DATA'!N38)*100</f>
        <v>37.101325161074193</v>
      </c>
      <c r="BZ36" s="205">
        <f>('Expenditure DATA'!AT38/'Expenditure DATA'!O38)*100</f>
        <v>36.492817995520184</v>
      </c>
      <c r="CA36" s="205">
        <f>('Expenditure DATA'!AU38/'Expenditure DATA'!P38)*100</f>
        <v>36.384686036142313</v>
      </c>
      <c r="CB36" s="205">
        <f>('Expenditure DATA'!AV38/'Expenditure DATA'!Q38)*100</f>
        <v>35.974432468920554</v>
      </c>
      <c r="CC36" s="205">
        <f>('Expenditure DATA'!AW38/'Expenditure DATA'!R38)*100</f>
        <v>34.974299042212458</v>
      </c>
      <c r="CD36" s="205">
        <f>('Expenditure DATA'!AX38/'Expenditure DATA'!S38)*100</f>
        <v>34.320237859266605</v>
      </c>
      <c r="CE36" s="205">
        <f>('Expenditure DATA'!AY38/'Expenditure DATA'!T38)*100</f>
        <v>34.225873291588336</v>
      </c>
      <c r="CF36" s="205">
        <f>('Expenditure DATA'!AZ38/'Expenditure DATA'!U38)*100</f>
        <v>33.972275779054726</v>
      </c>
      <c r="CG36" s="205">
        <f>('Expenditure DATA'!BA38/'Expenditure DATA'!V38)*100</f>
        <v>33.753060238362529</v>
      </c>
      <c r="CH36" s="205">
        <f>('Expenditure DATA'!BB38/'Expenditure DATA'!W38)*100</f>
        <v>32.93520769978727</v>
      </c>
      <c r="CI36" s="205">
        <f>('Expenditure DATA'!BC38/'Expenditure DATA'!X38)*100</f>
        <v>32.240191561874106</v>
      </c>
      <c r="CJ36" s="205">
        <f>('Expenditure DATA'!BD38/'Expenditure DATA'!Y38)*100</f>
        <v>32.031043967136178</v>
      </c>
      <c r="CK36" s="205">
        <f>('Expenditure DATA'!BE38/'Expenditure DATA'!Z38)*100</f>
        <v>34.101049390889827</v>
      </c>
      <c r="CL36" s="205">
        <f>('Expenditure DATA'!BF38/'Expenditure DATA'!AA38)*100</f>
        <v>34.096923852731663</v>
      </c>
      <c r="CM36" s="205">
        <f>('Expenditure DATA'!BG38/'Expenditure DATA'!AB38)*100</f>
        <v>33.599346747897791</v>
      </c>
      <c r="CN36" s="205">
        <f>('Expenditure DATA'!BH38/'Expenditure DATA'!AC38)*100</f>
        <v>33.554557771597359</v>
      </c>
      <c r="CO36" s="205">
        <f>('Expenditure DATA'!BI38/'Expenditure DATA'!AD38)*100</f>
        <v>32.849990357263707</v>
      </c>
      <c r="CP36" s="205">
        <f>('Expenditure DATA'!BJ38/'Expenditure DATA'!AE38)*100</f>
        <v>33.388805166533601</v>
      </c>
      <c r="CQ36" s="465">
        <f>('Expenditure DATA'!BK38/'Expenditure DATA'!AF38)*100</f>
        <v>32.957759565839915</v>
      </c>
      <c r="CR36" s="206" t="e">
        <f>('Expenditure DATA'!FA38/'Expenditure DATA'!B38)*100</f>
        <v>#DIV/0!</v>
      </c>
      <c r="CS36" s="205" t="e">
        <f>('Expenditure DATA'!FB38/'Expenditure DATA'!C38)*100</f>
        <v>#DIV/0!</v>
      </c>
      <c r="CT36" s="205" t="e">
        <f>('Expenditure DATA'!FC38/'Expenditure DATA'!D38)*100</f>
        <v>#DIV/0!</v>
      </c>
      <c r="CU36" s="205" t="e">
        <f>('Expenditure DATA'!FD38/'Expenditure DATA'!E38)*100</f>
        <v>#DIV/0!</v>
      </c>
      <c r="CV36" s="205" t="e">
        <f>('Expenditure DATA'!FE38/'Expenditure DATA'!F38)*100</f>
        <v>#DIV/0!</v>
      </c>
      <c r="CW36" s="205" t="e">
        <f>('Expenditure DATA'!FF38/'Expenditure DATA'!G38)*100</f>
        <v>#DIV/0!</v>
      </c>
      <c r="CX36" s="205" t="e">
        <f>('Expenditure DATA'!FG38/'Expenditure DATA'!H38)*100</f>
        <v>#DIV/0!</v>
      </c>
      <c r="CY36" s="205" t="e">
        <f>('Expenditure DATA'!FH38/'Expenditure DATA'!I38)*100</f>
        <v>#DIV/0!</v>
      </c>
      <c r="CZ36" s="205">
        <f>('Expenditure DATA'!FI38/'Expenditure DATA'!J38)*100</f>
        <v>16.367113147364577</v>
      </c>
      <c r="DA36" s="205">
        <f>('Expenditure DATA'!FJ38/'Expenditure DATA'!K38)*100</f>
        <v>18.027857615668978</v>
      </c>
      <c r="DB36" s="205">
        <f>('Expenditure DATA'!FK38/'Expenditure DATA'!L38)*100</f>
        <v>19.483938273440568</v>
      </c>
      <c r="DC36" s="205">
        <f>('Expenditure DATA'!FL38/'Expenditure DATA'!M38)*100</f>
        <v>21.060776864917322</v>
      </c>
      <c r="DD36" s="205">
        <f>('Expenditure DATA'!FM38/'Expenditure DATA'!N38)*100</f>
        <v>22.991831672851696</v>
      </c>
      <c r="DE36" s="205">
        <f>('Expenditure DATA'!FN38/'Expenditure DATA'!O38)*100</f>
        <v>23.152838011723777</v>
      </c>
      <c r="DF36" s="205">
        <f>('Expenditure DATA'!FO38/'Expenditure DATA'!P38)*100</f>
        <v>24.099076040104041</v>
      </c>
      <c r="DG36" s="205">
        <f>('Expenditure DATA'!FP38/'Expenditure DATA'!Q38)*100</f>
        <v>21.736153570995924</v>
      </c>
      <c r="DH36" s="205">
        <f>('Expenditure DATA'!FQ38/'Expenditure DATA'!R38)*100</f>
        <v>23.567094964585188</v>
      </c>
      <c r="DI36" s="205">
        <f>('Expenditure DATA'!FR38/'Expenditure DATA'!S38)*100</f>
        <v>22.671381565906838</v>
      </c>
      <c r="DJ36" s="205">
        <f>('Expenditure DATA'!FS38/'Expenditure DATA'!T38)*100</f>
        <v>23.429354029308758</v>
      </c>
      <c r="DK36" s="205">
        <f>('Expenditure DATA'!FT38/'Expenditure DATA'!U38)*100</f>
        <v>23.760215776348893</v>
      </c>
      <c r="DL36" s="205">
        <f>('Expenditure DATA'!FU38/'Expenditure DATA'!V38)*100</f>
        <v>24.04622030394518</v>
      </c>
      <c r="DM36" s="205">
        <f>('Expenditure DATA'!FV38/'Expenditure DATA'!W38)*100</f>
        <v>25.795341233852476</v>
      </c>
      <c r="DN36" s="205">
        <f>('Expenditure DATA'!FW38/'Expenditure DATA'!X38)*100</f>
        <v>27.28175500174881</v>
      </c>
      <c r="DO36" s="205">
        <f>('Expenditure DATA'!FX38/'Expenditure DATA'!Y38)*100</f>
        <v>27.827010929989576</v>
      </c>
      <c r="DP36" s="205">
        <f>('Expenditure DATA'!FY38/'Expenditure DATA'!Z38)*100</f>
        <v>26.432733050847457</v>
      </c>
      <c r="DQ36" s="205">
        <f>('Expenditure DATA'!FZ38/'Expenditure DATA'!AA38)*100</f>
        <v>26.429535224071639</v>
      </c>
      <c r="DR36" s="205">
        <f>('Expenditure DATA'!GA38/'Expenditure DATA'!AB38)*100</f>
        <v>27.023586294055779</v>
      </c>
      <c r="DS36" s="205">
        <f>('Expenditure DATA'!GB38/'Expenditure DATA'!AC38)*100</f>
        <v>26.973981802661527</v>
      </c>
      <c r="DT36" s="205">
        <f>('Expenditure DATA'!GC38/'Expenditure DATA'!AD38)*100</f>
        <v>26.054857008905802</v>
      </c>
      <c r="DU36" s="205">
        <f>('Expenditure DATA'!GD38/'Expenditure DATA'!AE38)*100</f>
        <v>26.681146873553914</v>
      </c>
      <c r="DV36" s="465">
        <f>('Expenditure DATA'!GE38/'Expenditure DATA'!AF38)*100</f>
        <v>27.375555304784811</v>
      </c>
      <c r="DW36" s="206" t="e">
        <f>('Expenditure DATA'!GF38/'Expenditure DATA'!B38)*100</f>
        <v>#DIV/0!</v>
      </c>
      <c r="DX36" s="205" t="e">
        <f>('Expenditure DATA'!GG38/'Expenditure DATA'!C38)*100</f>
        <v>#DIV/0!</v>
      </c>
      <c r="DY36" s="205" t="e">
        <f>('Expenditure DATA'!GH38/'Expenditure DATA'!D38)*100</f>
        <v>#DIV/0!</v>
      </c>
      <c r="DZ36" s="205" t="e">
        <f>('Expenditure DATA'!GI38/'Expenditure DATA'!E38)*100</f>
        <v>#DIV/0!</v>
      </c>
      <c r="EA36" s="205" t="e">
        <f>('Expenditure DATA'!GJ38/'Expenditure DATA'!F38)*100</f>
        <v>#DIV/0!</v>
      </c>
      <c r="EB36" s="205" t="e">
        <f>('Expenditure DATA'!GK38/'Expenditure DATA'!G38)*100</f>
        <v>#DIV/0!</v>
      </c>
      <c r="EC36" s="205" t="e">
        <f>('Expenditure DATA'!GL38/'Expenditure DATA'!H38)*100</f>
        <v>#DIV/0!</v>
      </c>
      <c r="ED36" s="205" t="e">
        <f>('Expenditure DATA'!GM38/'Expenditure DATA'!I38)*100</f>
        <v>#DIV/0!</v>
      </c>
      <c r="EE36" s="205">
        <f>('Expenditure DATA'!GN38/'Expenditure DATA'!J38)*100</f>
        <v>29.203572216260504</v>
      </c>
      <c r="EF36" s="205">
        <f>('Expenditure DATA'!GO38/'Expenditure DATA'!K38)*100</f>
        <v>29.10665837189579</v>
      </c>
      <c r="EG36" s="205">
        <f>('Expenditure DATA'!GP38/'Expenditure DATA'!L38)*100</f>
        <v>29.02168781986752</v>
      </c>
      <c r="EH36" s="205">
        <f>('Expenditure DATA'!GQ38/'Expenditure DATA'!M38)*100</f>
        <v>26.679050830417271</v>
      </c>
      <c r="EI36" s="205">
        <f>('Expenditure DATA'!GR38/'Expenditure DATA'!N38)*100</f>
        <v>25.871349830413042</v>
      </c>
      <c r="EJ36" s="205">
        <f>('Expenditure DATA'!GS38/'Expenditure DATA'!O38)*100</f>
        <v>26.444416908926279</v>
      </c>
      <c r="EK36" s="205">
        <f>('Expenditure DATA'!GT38/'Expenditure DATA'!P38)*100</f>
        <v>25.958532347499137</v>
      </c>
      <c r="EL36" s="205">
        <f>('Expenditure DATA'!GU38/'Expenditure DATA'!Q38)*100</f>
        <v>27.354413765328889</v>
      </c>
      <c r="EM36" s="205">
        <f>('Expenditure DATA'!GV38/'Expenditure DATA'!R38)*100</f>
        <v>27.314156574612241</v>
      </c>
      <c r="EN36" s="205">
        <f>('Expenditure DATA'!GW38/'Expenditure DATA'!S38)*100</f>
        <v>28.292376610505453</v>
      </c>
      <c r="EO36" s="205">
        <f>('Expenditure DATA'!GX38/'Expenditure DATA'!T38)*100</f>
        <v>28.509392624116714</v>
      </c>
      <c r="EP36" s="205">
        <f>('Expenditure DATA'!GY38/'Expenditure DATA'!U38)*100</f>
        <v>28.961805982788441</v>
      </c>
      <c r="EQ36" s="205">
        <f>('Expenditure DATA'!GZ38/'Expenditure DATA'!V38)*100</f>
        <v>29.352882527849015</v>
      </c>
      <c r="ER36" s="205">
        <f>('Expenditure DATA'!HA38/'Expenditure DATA'!W38)*100</f>
        <v>29.006546516845788</v>
      </c>
      <c r="ES36" s="205">
        <f>('Expenditure DATA'!HB38/'Expenditure DATA'!X38)*100</f>
        <v>28.712228035904179</v>
      </c>
      <c r="ET36" s="205">
        <f>('Expenditure DATA'!HC38/'Expenditure DATA'!Y38)*100</f>
        <v>28.278371540863628</v>
      </c>
      <c r="EU36" s="205">
        <f>('Expenditure DATA'!HD38/'Expenditure DATA'!Z38)*100</f>
        <v>26.836831302966104</v>
      </c>
      <c r="EV36" s="205">
        <f>('Expenditure DATA'!HE38/'Expenditure DATA'!AA38)*100</f>
        <v>26.856357256826875</v>
      </c>
      <c r="EW36" s="205">
        <f>('Expenditure DATA'!HF38/'Expenditure DATA'!AB38)*100</f>
        <v>27.061841649879103</v>
      </c>
      <c r="EX36" s="205">
        <f>('Expenditure DATA'!HG38/'Expenditure DATA'!AC38)*100</f>
        <v>26.579903155001457</v>
      </c>
      <c r="EY36" s="205">
        <f>('Expenditure DATA'!HH38/'Expenditure DATA'!AD38)*100</f>
        <v>27.477275328505279</v>
      </c>
      <c r="EZ36" s="205">
        <f>('Expenditure DATA'!HI38/'Expenditure DATA'!AE38)*100</f>
        <v>26.065810653415706</v>
      </c>
      <c r="FA36" s="465">
        <f>('Expenditure DATA'!HJ38/'Expenditure DATA'!AF38)*100</f>
        <v>26.950567909465779</v>
      </c>
      <c r="FB36" s="206" t="e">
        <f>('Expenditure DATA'!HK38/'Expenditure DATA'!B38)*100</f>
        <v>#DIV/0!</v>
      </c>
      <c r="FC36" s="205" t="e">
        <f>('Expenditure DATA'!HL38/'Expenditure DATA'!C38)*100</f>
        <v>#DIV/0!</v>
      </c>
      <c r="FD36" s="205" t="e">
        <f>('Expenditure DATA'!HM38/'Expenditure DATA'!D38)*100</f>
        <v>#DIV/0!</v>
      </c>
      <c r="FE36" s="205" t="e">
        <f>('Expenditure DATA'!HN38/'Expenditure DATA'!E38)*100</f>
        <v>#DIV/0!</v>
      </c>
      <c r="FF36" s="205" t="e">
        <f>('Expenditure DATA'!HO38/'Expenditure DATA'!F38)*100</f>
        <v>#DIV/0!</v>
      </c>
      <c r="FG36" s="205" t="e">
        <f>('Expenditure DATA'!HP38/'Expenditure DATA'!G38)*100</f>
        <v>#DIV/0!</v>
      </c>
      <c r="FH36" s="205" t="e">
        <f>('Expenditure DATA'!HQ38/'Expenditure DATA'!H38)*100</f>
        <v>#DIV/0!</v>
      </c>
      <c r="FI36" s="205" t="e">
        <f>('Expenditure DATA'!HR38/'Expenditure DATA'!I38)*100</f>
        <v>#DIV/0!</v>
      </c>
      <c r="FJ36" s="205">
        <f>('Expenditure DATA'!HS38/'Expenditure DATA'!J38)*100</f>
        <v>6.2296938391594514</v>
      </c>
      <c r="FK36" s="205">
        <f>('Expenditure DATA'!HT38/'Expenditure DATA'!K38)*100</f>
        <v>6.1425029514405232</v>
      </c>
      <c r="FL36" s="205">
        <f>('Expenditure DATA'!HU38/'Expenditure DATA'!L38)*100</f>
        <v>6.0660571359857913</v>
      </c>
      <c r="FM36" s="205">
        <f>('Expenditure DATA'!HV38/'Expenditure DATA'!M38)*100</f>
        <v>5.9049490464069079</v>
      </c>
      <c r="FN36" s="205">
        <f>('Expenditure DATA'!HW38/'Expenditure DATA'!N38)*100</f>
        <v>5.6111932898140084</v>
      </c>
      <c r="FO36" s="205">
        <f>('Expenditure DATA'!HX38/'Expenditure DATA'!O38)*100</f>
        <v>5.9806128770909783</v>
      </c>
      <c r="FP36" s="205">
        <f>('Expenditure DATA'!HY38/'Expenditure DATA'!P38)*100</f>
        <v>6.5647966383113214</v>
      </c>
      <c r="FQ36" s="205">
        <f>('Expenditure DATA'!HZ38/'Expenditure DATA'!Q38)*100</f>
        <v>6.9895472151338289</v>
      </c>
      <c r="FR36" s="205">
        <f>('Expenditure DATA'!IA38/'Expenditure DATA'!R38)*100</f>
        <v>6.5175313516748004</v>
      </c>
      <c r="FS36" s="205">
        <f>('Expenditure DATA'!IB38/'Expenditure DATA'!S38)*100</f>
        <v>6.601387512388504</v>
      </c>
      <c r="FT36" s="205">
        <f>('Expenditure DATA'!IC38/'Expenditure DATA'!T38)*100</f>
        <v>5.8291189059921029</v>
      </c>
      <c r="FU36" s="205">
        <f>('Expenditure DATA'!ID38/'Expenditure DATA'!U38)*100</f>
        <v>6.0915228890736079</v>
      </c>
      <c r="FV36" s="205">
        <f>('Expenditure DATA'!IE38/'Expenditure DATA'!V38)*100</f>
        <v>6.3183509460853076</v>
      </c>
      <c r="FW36" s="205">
        <f>('Expenditure DATA'!IF38/'Expenditure DATA'!W38)*100</f>
        <v>6.2029773108446236</v>
      </c>
      <c r="FX36" s="205">
        <f>('Expenditure DATA'!IG38/'Expenditure DATA'!X38)*100</f>
        <v>6.1049320831295262</v>
      </c>
      <c r="FY36" s="205">
        <f>('Expenditure DATA'!IH38/'Expenditure DATA'!Y38)*100</f>
        <v>5.9503497419403768</v>
      </c>
      <c r="FZ36" s="205">
        <f>('Expenditure DATA'!II38/'Expenditure DATA'!Z38)*100</f>
        <v>6.4612354343220337</v>
      </c>
      <c r="GA36" s="205">
        <f>('Expenditure DATA'!IJ38/'Expenditure DATA'!AA38)*100</f>
        <v>6.4604537553470678</v>
      </c>
      <c r="GB36" s="205">
        <f>('Expenditure DATA'!IK38/'Expenditure DATA'!AB38)*100</f>
        <v>6.6204407099323666</v>
      </c>
      <c r="GC36" s="205">
        <f>('Expenditure DATA'!IL38/'Expenditure DATA'!AC38)*100</f>
        <v>7.2987177265429528</v>
      </c>
      <c r="GD36" s="205">
        <f>('Expenditure DATA'!IM38/'Expenditure DATA'!AD38)*100</f>
        <v>7.7600756105897295</v>
      </c>
      <c r="GE36" s="205">
        <f>('Expenditure DATA'!IN38/'Expenditure DATA'!AE38)*100</f>
        <v>6.7389700580092349</v>
      </c>
      <c r="GF36" s="465">
        <f>('Expenditure DATA'!IO38/'Expenditure DATA'!AF38)*100</f>
        <v>6.7080067418219684</v>
      </c>
      <c r="GG36" s="206" t="e">
        <f>('Expenditure DATA'!IP38/'Expenditure DATA'!B38)*100</f>
        <v>#DIV/0!</v>
      </c>
      <c r="GH36" s="205" t="e">
        <f>('Expenditure DATA'!IQ38/'Expenditure DATA'!C38)*100</f>
        <v>#DIV/0!</v>
      </c>
      <c r="GI36" s="205" t="e">
        <f>('Expenditure DATA'!IR38/'Expenditure DATA'!D38)*100</f>
        <v>#DIV/0!</v>
      </c>
      <c r="GJ36" s="205" t="e">
        <f>('Expenditure DATA'!IS38/'Expenditure DATA'!E38)*100</f>
        <v>#DIV/0!</v>
      </c>
      <c r="GK36" s="205" t="e">
        <f>('Expenditure DATA'!IT38/'Expenditure DATA'!F38)*100</f>
        <v>#DIV/0!</v>
      </c>
      <c r="GL36" s="205" t="e">
        <f>('Expenditure DATA'!IU38/'Expenditure DATA'!G38)*100</f>
        <v>#DIV/0!</v>
      </c>
      <c r="GM36" s="205" t="e">
        <f>('Expenditure DATA'!IV38/'Expenditure DATA'!H38)*100</f>
        <v>#DIV/0!</v>
      </c>
      <c r="GN36" s="205" t="e">
        <f>('Expenditure DATA'!IW38/'Expenditure DATA'!I38)*100</f>
        <v>#DIV/0!</v>
      </c>
      <c r="GO36" s="205">
        <f>('Expenditure DATA'!IX38/'Expenditure DATA'!J38)*100</f>
        <v>11.402586956239704</v>
      </c>
      <c r="GP36" s="205">
        <f>('Expenditure DATA'!IY38/'Expenditure DATA'!K38)*100</f>
        <v>9.8819467082617383</v>
      </c>
      <c r="GQ36" s="205">
        <f>('Expenditure DATA'!IZ38/'Expenditure DATA'!L38)*100</f>
        <v>8.5487043613699569</v>
      </c>
      <c r="GR36" s="205">
        <f>('Expenditure DATA'!JA38/'Expenditure DATA'!M38)*100</f>
        <v>9.2788846262841389</v>
      </c>
      <c r="GS36" s="205">
        <f>('Expenditure DATA'!JB38/'Expenditure DATA'!N38)*100</f>
        <v>8.4243000458470654</v>
      </c>
      <c r="GT36" s="205">
        <f>('Expenditure DATA'!JC38/'Expenditure DATA'!O38)*100</f>
        <v>7.9293142067387885</v>
      </c>
      <c r="GU36" s="205">
        <f>('Expenditure DATA'!JD38/'Expenditure DATA'!P38)*100</f>
        <v>6.9929089379431915</v>
      </c>
      <c r="GV36" s="205">
        <f>('Expenditure DATA'!JE38/'Expenditure DATA'!Q38)*100</f>
        <v>7.9454529796208035</v>
      </c>
      <c r="GW36" s="205">
        <f>('Expenditure DATA'!JF38/'Expenditure DATA'!R38)*100</f>
        <v>7.6269180669153132</v>
      </c>
      <c r="GX36" s="205">
        <f>('Expenditure DATA'!JG38/'Expenditure DATA'!S38)*100</f>
        <v>8.1146164519326067</v>
      </c>
      <c r="GY36" s="205">
        <f>('Expenditure DATA'!JH38/'Expenditure DATA'!T38)*100</f>
        <v>8.006261148994092</v>
      </c>
      <c r="GZ36" s="205">
        <f>('Expenditure DATA'!JI38/'Expenditure DATA'!U38)*100</f>
        <v>7.2141795727343219</v>
      </c>
      <c r="HA36" s="205">
        <f>('Expenditure DATA'!JJ38/'Expenditure DATA'!V38)*100</f>
        <v>6.5294859837579642</v>
      </c>
      <c r="HB36" s="205">
        <f>('Expenditure DATA'!JK38/'Expenditure DATA'!W38)*100</f>
        <v>6.0599272386698484</v>
      </c>
      <c r="HC36" s="205">
        <f>('Expenditure DATA'!JL38/'Expenditure DATA'!X38)*100</f>
        <v>5.6608933173433806</v>
      </c>
      <c r="HD36" s="205">
        <f>('Expenditure DATA'!JM38/'Expenditure DATA'!Y38)*100</f>
        <v>5.9132238200702538</v>
      </c>
      <c r="HE36" s="205">
        <f>('Expenditure DATA'!JN38/'Expenditure DATA'!Z38)*100</f>
        <v>6.1681508209745752</v>
      </c>
      <c r="HF36" s="205">
        <f>('Expenditure DATA'!JO38/'Expenditure DATA'!AA38)*100</f>
        <v>6.1567299110227491</v>
      </c>
      <c r="HG36" s="205">
        <f>('Expenditure DATA'!JP38/'Expenditure DATA'!AB38)*100</f>
        <v>5.6947845982349605</v>
      </c>
      <c r="HH36" s="205">
        <f>('Expenditure DATA'!JQ38/'Expenditure DATA'!AC38)*100</f>
        <v>5.5928395441967051</v>
      </c>
      <c r="HI36" s="205">
        <f>('Expenditure DATA'!JR38/'Expenditure DATA'!AD38)*100</f>
        <v>5.8577885842850534</v>
      </c>
      <c r="HJ36" s="205">
        <f>('Expenditure DATA'!JS38/'Expenditure DATA'!AE38)*100</f>
        <v>7.125267248487555</v>
      </c>
      <c r="HK36" s="465">
        <f>('Expenditure DATA'!JT38/'Expenditure DATA'!AF38)*100</f>
        <v>6.0081104780875263</v>
      </c>
      <c r="HL36" s="206" t="e">
        <f t="shared" si="1"/>
        <v>#DIV/0!</v>
      </c>
      <c r="HM36" s="207" t="e">
        <f t="shared" si="2"/>
        <v>#DIV/0!</v>
      </c>
      <c r="HN36" s="207" t="e">
        <f t="shared" si="3"/>
        <v>#DIV/0!</v>
      </c>
      <c r="HO36" s="207" t="e">
        <f t="shared" si="4"/>
        <v>#DIV/0!</v>
      </c>
      <c r="HP36" s="207" t="e">
        <f t="shared" si="5"/>
        <v>#DIV/0!</v>
      </c>
      <c r="HQ36" s="207" t="e">
        <f t="shared" si="6"/>
        <v>#DIV/0!</v>
      </c>
      <c r="HR36" s="207" t="e">
        <f t="shared" si="7"/>
        <v>#DIV/0!</v>
      </c>
      <c r="HS36" s="207" t="e">
        <f t="shared" si="8"/>
        <v>#DIV/0!</v>
      </c>
      <c r="HT36" s="207">
        <f t="shared" si="9"/>
        <v>100.00000000000001</v>
      </c>
      <c r="HU36" s="207">
        <f t="shared" si="10"/>
        <v>99.999999999999986</v>
      </c>
      <c r="HV36" s="207">
        <f t="shared" si="11"/>
        <v>100.00000000000001</v>
      </c>
      <c r="HW36" s="207">
        <f t="shared" si="12"/>
        <v>100.00000000000001</v>
      </c>
      <c r="HX36" s="207">
        <f t="shared" si="13"/>
        <v>100</v>
      </c>
      <c r="HY36" s="207">
        <f t="shared" si="14"/>
        <v>100.00000000000001</v>
      </c>
      <c r="HZ36" s="207">
        <f t="shared" si="15"/>
        <v>100</v>
      </c>
      <c r="IA36" s="207">
        <f t="shared" si="16"/>
        <v>100</v>
      </c>
      <c r="IB36" s="207">
        <f t="shared" si="17"/>
        <v>100</v>
      </c>
      <c r="IC36" s="207">
        <f t="shared" si="18"/>
        <v>100</v>
      </c>
      <c r="ID36" s="207">
        <f t="shared" si="19"/>
        <v>100</v>
      </c>
      <c r="IE36" s="207">
        <f t="shared" si="20"/>
        <v>99.999999999999986</v>
      </c>
      <c r="IF36" s="207">
        <f t="shared" si="21"/>
        <v>100</v>
      </c>
      <c r="IG36" s="207">
        <f t="shared" si="22"/>
        <v>100</v>
      </c>
      <c r="IH36" s="207">
        <f t="shared" si="23"/>
        <v>100</v>
      </c>
      <c r="II36" s="207">
        <f t="shared" si="24"/>
        <v>100.00000000000001</v>
      </c>
      <c r="IJ36" s="207">
        <f t="shared" si="25"/>
        <v>100</v>
      </c>
      <c r="IK36" s="207">
        <f t="shared" si="26"/>
        <v>100</v>
      </c>
      <c r="IL36" s="207">
        <f t="shared" si="32"/>
        <v>100</v>
      </c>
      <c r="IM36" s="207">
        <f t="shared" si="33"/>
        <v>100</v>
      </c>
      <c r="IN36" s="207">
        <f t="shared" si="34"/>
        <v>99.999986889549575</v>
      </c>
      <c r="IO36" s="207">
        <f t="shared" si="35"/>
        <v>100.00000000000001</v>
      </c>
      <c r="IP36" s="207">
        <f t="shared" si="36"/>
        <v>100</v>
      </c>
    </row>
    <row r="37" spans="1:250" s="164" customFormat="1">
      <c r="A37" s="164" t="s">
        <v>137</v>
      </c>
      <c r="C37" s="202" t="e">
        <f>('Expenditure DATA'!CQ39/'Expenditure DATA'!B39)*100</f>
        <v>#DIV/0!</v>
      </c>
      <c r="D37" s="202" t="e">
        <f>('Expenditure DATA'!CR39/'Expenditure DATA'!C39)*100</f>
        <v>#DIV/0!</v>
      </c>
      <c r="E37" s="202" t="e">
        <f>('Expenditure DATA'!CS39/'Expenditure DATA'!D39)*100</f>
        <v>#DIV/0!</v>
      </c>
      <c r="F37" s="202" t="e">
        <f>('Expenditure DATA'!CT39/'Expenditure DATA'!E39)*100</f>
        <v>#DIV/0!</v>
      </c>
      <c r="G37" s="202" t="e">
        <f>('Expenditure DATA'!CU39/'Expenditure DATA'!F39)*100</f>
        <v>#DIV/0!</v>
      </c>
      <c r="H37" s="202" t="e">
        <f>('Expenditure DATA'!CV39/'Expenditure DATA'!G39)*100</f>
        <v>#DIV/0!</v>
      </c>
      <c r="I37" s="202" t="e">
        <f>('Expenditure DATA'!CW39/'Expenditure DATA'!H39)*100</f>
        <v>#DIV/0!</v>
      </c>
      <c r="J37" s="202" t="e">
        <f>('Expenditure DATA'!CX39/'Expenditure DATA'!I39)*100</f>
        <v>#DIV/0!</v>
      </c>
      <c r="K37" s="202">
        <f>('Expenditure DATA'!CY39/'Expenditure DATA'!J39)*100</f>
        <v>10.356611311459973</v>
      </c>
      <c r="L37" s="202">
        <f>('Expenditure DATA'!CZ39/'Expenditure DATA'!K39)*100</f>
        <v>10.238345702097789</v>
      </c>
      <c r="M37" s="202">
        <f>('Expenditure DATA'!DA39/'Expenditure DATA'!L39)*100</f>
        <v>10.136948520818999</v>
      </c>
      <c r="N37" s="202">
        <f>('Expenditure DATA'!DB39/'Expenditure DATA'!M39)*100</f>
        <v>9.8244537348382295</v>
      </c>
      <c r="O37" s="202">
        <f>('Expenditure DATA'!DC39/'Expenditure DATA'!N39)*100</f>
        <v>9.8457493393048043</v>
      </c>
      <c r="P37" s="202">
        <f>('Expenditure DATA'!DD39/'Expenditure DATA'!O39)*100</f>
        <v>9.8012682599470651</v>
      </c>
      <c r="Q37" s="202">
        <f>('Expenditure DATA'!DE39/'Expenditure DATA'!P39)*100</f>
        <v>9.9074036110797312</v>
      </c>
      <c r="R37" s="202">
        <f>('Expenditure DATA'!DF39/'Expenditure DATA'!Q39)*100</f>
        <v>9.9497155572770257</v>
      </c>
      <c r="S37" s="202">
        <f>('Expenditure DATA'!DG39/'Expenditure DATA'!R39)*100</f>
        <v>10.010792318728971</v>
      </c>
      <c r="T37" s="202">
        <f>('Expenditure DATA'!DH39/'Expenditure DATA'!S39)*100</f>
        <v>10.173812532652923</v>
      </c>
      <c r="U37" s="202">
        <f>('Expenditure DATA'!DI39/'Expenditure DATA'!T39)*100</f>
        <v>10.182908907724986</v>
      </c>
      <c r="V37" s="202">
        <f>('Expenditure DATA'!DJ39/'Expenditure DATA'!U39)*100</f>
        <v>10.156351857525124</v>
      </c>
      <c r="W37" s="202">
        <f>('Expenditure DATA'!DK39/'Expenditure DATA'!V39)*100</f>
        <v>10.132963741993077</v>
      </c>
      <c r="X37" s="202">
        <f>('Expenditure DATA'!DL39/'Expenditure DATA'!W39)*100</f>
        <v>10.224585163071122</v>
      </c>
      <c r="Y37" s="202">
        <f>('Expenditure DATA'!DM39/'Expenditure DATA'!X39)*100</f>
        <v>10.308860963842587</v>
      </c>
      <c r="Z37" s="202">
        <f>('Expenditure DATA'!DN39/'Expenditure DATA'!Y39)*100</f>
        <v>10.240292578924057</v>
      </c>
      <c r="AA37" s="202">
        <f>('Expenditure DATA'!DO39/'Expenditure DATA'!Z39)*100</f>
        <v>10.358900730034639</v>
      </c>
      <c r="AB37" s="202">
        <f>('Expenditure DATA'!DP39/'Expenditure DATA'!AA39)*100</f>
        <v>10.208249867472444</v>
      </c>
      <c r="AC37" s="202">
        <f>('Expenditure DATA'!DQ39/'Expenditure DATA'!AB39)*100</f>
        <v>10.522305256400017</v>
      </c>
      <c r="AD37" s="202">
        <f>('Expenditure DATA'!DR39/'Expenditure DATA'!AC39)*100</f>
        <v>10.43095218586341</v>
      </c>
      <c r="AE37" s="202">
        <f>('Expenditure DATA'!DS39/'Expenditure DATA'!AD39)*100</f>
        <v>10.603677490147223</v>
      </c>
      <c r="AF37" s="202">
        <f>('Expenditure DATA'!DT39/'Expenditure DATA'!AE39)*100</f>
        <v>10.661955872609925</v>
      </c>
      <c r="AG37" s="464">
        <f>('Expenditure DATA'!DU39/'Expenditure DATA'!AF39)*100</f>
        <v>11.141931676615314</v>
      </c>
      <c r="AH37" s="203" t="e">
        <f>('Expenditure DATA'!BL39/'Expenditure DATA'!B39)*100</f>
        <v>#DIV/0!</v>
      </c>
      <c r="AI37" s="202" t="e">
        <f>('Expenditure DATA'!BM39/'Expenditure DATA'!C39)*100</f>
        <v>#DIV/0!</v>
      </c>
      <c r="AJ37" s="202" t="e">
        <f>('Expenditure DATA'!BN39/'Expenditure DATA'!D39)*100</f>
        <v>#DIV/0!</v>
      </c>
      <c r="AK37" s="202" t="e">
        <f>('Expenditure DATA'!BO39/'Expenditure DATA'!E39)*100</f>
        <v>#DIV/0!</v>
      </c>
      <c r="AL37" s="202" t="e">
        <f>('Expenditure DATA'!BP39/'Expenditure DATA'!F39)*100</f>
        <v>#DIV/0!</v>
      </c>
      <c r="AM37" s="202" t="e">
        <f>('Expenditure DATA'!BQ39/'Expenditure DATA'!G39)*100</f>
        <v>#DIV/0!</v>
      </c>
      <c r="AN37" s="202" t="e">
        <f>('Expenditure DATA'!BR39/'Expenditure DATA'!H39)*100</f>
        <v>#DIV/0!</v>
      </c>
      <c r="AO37" s="202" t="e">
        <f>('Expenditure DATA'!BS39/'Expenditure DATA'!I39)*100</f>
        <v>#DIV/0!</v>
      </c>
      <c r="AP37" s="202">
        <f>('Expenditure DATA'!BT39/'Expenditure DATA'!J39)*100</f>
        <v>25.384907289563657</v>
      </c>
      <c r="AQ37" s="202">
        <f>('Expenditure DATA'!BU39/'Expenditure DATA'!K39)*100</f>
        <v>25.19798620022684</v>
      </c>
      <c r="AR37" s="202">
        <f>('Expenditure DATA'!BV39/'Expenditure DATA'!L39)*100</f>
        <v>25.037725988635913</v>
      </c>
      <c r="AS37" s="202">
        <f>('Expenditure DATA'!BW39/'Expenditure DATA'!M39)*100</f>
        <v>25.126377709977405</v>
      </c>
      <c r="AT37" s="202">
        <f>('Expenditure DATA'!BX39/'Expenditure DATA'!N39)*100</f>
        <v>24.668990183748608</v>
      </c>
      <c r="AU37" s="202">
        <f>('Expenditure DATA'!BY39/'Expenditure DATA'!O39)*100</f>
        <v>25.040728036116082</v>
      </c>
      <c r="AV37" s="202">
        <f>('Expenditure DATA'!BZ39/'Expenditure DATA'!P39)*100</f>
        <v>25.452658584519224</v>
      </c>
      <c r="AW37" s="202">
        <f>('Expenditure DATA'!CA39/'Expenditure DATA'!Q39)*100</f>
        <v>25.204434581217573</v>
      </c>
      <c r="AX37" s="202">
        <f>('Expenditure DATA'!CB39/'Expenditure DATA'!R39)*100</f>
        <v>25.845667159822522</v>
      </c>
      <c r="AY37" s="202">
        <f>('Expenditure DATA'!CC39/'Expenditure DATA'!S39)*100</f>
        <v>25.883534155939298</v>
      </c>
      <c r="AZ37" s="202">
        <f>('Expenditure DATA'!CD39/'Expenditure DATA'!T39)*100</f>
        <v>25.325035203857844</v>
      </c>
      <c r="BA37" s="202">
        <f>('Expenditure DATA'!CE39/'Expenditure DATA'!U39)*100</f>
        <v>24.865645302429396</v>
      </c>
      <c r="BB37" s="202">
        <f>('Expenditure DATA'!CF39/'Expenditure DATA'!V39)*100</f>
        <v>24.461072354454878</v>
      </c>
      <c r="BC37" s="202">
        <f>('Expenditure DATA'!CG39/'Expenditure DATA'!W39)*100</f>
        <v>24.571293757833907</v>
      </c>
      <c r="BD37" s="202">
        <f>('Expenditure DATA'!CH39/'Expenditure DATA'!X39)*100</f>
        <v>24.672678313133588</v>
      </c>
      <c r="BE37" s="202">
        <f>('Expenditure DATA'!CI39/'Expenditure DATA'!Y39)*100</f>
        <v>24.432482231094323</v>
      </c>
      <c r="BF37" s="202">
        <f>('Expenditure DATA'!CJ39/'Expenditure DATA'!Z39)*100</f>
        <v>24.246036195495201</v>
      </c>
      <c r="BG37" s="202">
        <f>('Expenditure DATA'!CK39/'Expenditure DATA'!AA39)*100</f>
        <v>24.136328019034043</v>
      </c>
      <c r="BH37" s="202">
        <f>('Expenditure DATA'!CL39/'Expenditure DATA'!AB39)*100</f>
        <v>23.610897828691641</v>
      </c>
      <c r="BI37" s="202">
        <f>('Expenditure DATA'!CM39/'Expenditure DATA'!AC39)*100</f>
        <v>23.858897906028069</v>
      </c>
      <c r="BJ37" s="202">
        <f>('Expenditure DATA'!CN39/'Expenditure DATA'!AD39)*100</f>
        <v>23.296862302692986</v>
      </c>
      <c r="BK37" s="202">
        <f>('Expenditure DATA'!CO39/'Expenditure DATA'!AE39)*100</f>
        <v>22.824021258249289</v>
      </c>
      <c r="BL37" s="464">
        <f>('Expenditure DATA'!CP39/'Expenditure DATA'!AF39)*100</f>
        <v>22.79584277407054</v>
      </c>
      <c r="BM37" s="203" t="e">
        <f>('Expenditure DATA'!AG39/'Expenditure DATA'!B39)*100</f>
        <v>#DIV/0!</v>
      </c>
      <c r="BN37" s="202" t="e">
        <f>('Expenditure DATA'!AH39/'Expenditure DATA'!C39)*100</f>
        <v>#DIV/0!</v>
      </c>
      <c r="BO37" s="202" t="e">
        <f>('Expenditure DATA'!AI39/'Expenditure DATA'!D39)*100</f>
        <v>#DIV/0!</v>
      </c>
      <c r="BP37" s="202" t="e">
        <f>('Expenditure DATA'!AJ39/'Expenditure DATA'!E39)*100</f>
        <v>#DIV/0!</v>
      </c>
      <c r="BQ37" s="202" t="e">
        <f>('Expenditure DATA'!AK39/'Expenditure DATA'!F39)*100</f>
        <v>#DIV/0!</v>
      </c>
      <c r="BR37" s="202" t="e">
        <f>('Expenditure DATA'!AL39/'Expenditure DATA'!G39)*100</f>
        <v>#DIV/0!</v>
      </c>
      <c r="BS37" s="202" t="e">
        <f>('Expenditure DATA'!AM39/'Expenditure DATA'!H39)*100</f>
        <v>#DIV/0!</v>
      </c>
      <c r="BT37" s="202" t="e">
        <f>('Expenditure DATA'!AN39/'Expenditure DATA'!I39)*100</f>
        <v>#DIV/0!</v>
      </c>
      <c r="BU37" s="202">
        <f>('Expenditure DATA'!AO39/'Expenditure DATA'!J39)*100</f>
        <v>37.858728984216548</v>
      </c>
      <c r="BV37" s="202">
        <f>('Expenditure DATA'!AP39/'Expenditure DATA'!K39)*100</f>
        <v>37.466814462819976</v>
      </c>
      <c r="BW37" s="202">
        <f>('Expenditure DATA'!AQ39/'Expenditure DATA'!L39)*100</f>
        <v>37.130799386364941</v>
      </c>
      <c r="BX37" s="202">
        <f>('Expenditure DATA'!AR39/'Expenditure DATA'!M39)*100</f>
        <v>36.924895348428521</v>
      </c>
      <c r="BY37" s="202">
        <f>('Expenditure DATA'!AS39/'Expenditure DATA'!N39)*100</f>
        <v>36.543856441913761</v>
      </c>
      <c r="BZ37" s="202">
        <f>('Expenditure DATA'!AT39/'Expenditure DATA'!O39)*100</f>
        <v>36.944570792760963</v>
      </c>
      <c r="CA37" s="202">
        <f>('Expenditure DATA'!AU39/'Expenditure DATA'!P39)*100</f>
        <v>37.541205349988495</v>
      </c>
      <c r="CB37" s="202">
        <f>('Expenditure DATA'!AV39/'Expenditure DATA'!Q39)*100</f>
        <v>37.373031595472625</v>
      </c>
      <c r="CC37" s="202">
        <f>('Expenditure DATA'!AW39/'Expenditure DATA'!R39)*100</f>
        <v>38.120846220344113</v>
      </c>
      <c r="CD37" s="202">
        <f>('Expenditure DATA'!AX39/'Expenditure DATA'!S39)*100</f>
        <v>38.280122594368933</v>
      </c>
      <c r="CE37" s="202">
        <f>('Expenditure DATA'!AY39/'Expenditure DATA'!T39)*100</f>
        <v>37.69293499639479</v>
      </c>
      <c r="CF37" s="202">
        <f>('Expenditure DATA'!AZ39/'Expenditure DATA'!U39)*100</f>
        <v>37.238724052510719</v>
      </c>
      <c r="CG37" s="202">
        <f>('Expenditure DATA'!BA39/'Expenditure DATA'!V39)*100</f>
        <v>36.838712080114142</v>
      </c>
      <c r="CH37" s="202">
        <f>('Expenditure DATA'!BB39/'Expenditure DATA'!W39)*100</f>
        <v>37.05446975413264</v>
      </c>
      <c r="CI37" s="202">
        <f>('Expenditure DATA'!BC39/'Expenditure DATA'!X39)*100</f>
        <v>37.252929356009027</v>
      </c>
      <c r="CJ37" s="202">
        <f>('Expenditure DATA'!BD39/'Expenditure DATA'!Y39)*100</f>
        <v>36.949254471733227</v>
      </c>
      <c r="CK37" s="202">
        <f>('Expenditure DATA'!BE39/'Expenditure DATA'!Z39)*100</f>
        <v>36.888368312222553</v>
      </c>
      <c r="CL37" s="202">
        <f>('Expenditure DATA'!BF39/'Expenditure DATA'!AA39)*100</f>
        <v>36.683223936370332</v>
      </c>
      <c r="CM37" s="202">
        <f>('Expenditure DATA'!BG39/'Expenditure DATA'!AB39)*100</f>
        <v>36.473983668365314</v>
      </c>
      <c r="CN37" s="202">
        <f>('Expenditure DATA'!BH39/'Expenditure DATA'!AC39)*100</f>
        <v>36.590143914189433</v>
      </c>
      <c r="CO37" s="202">
        <f>('Expenditure DATA'!BI39/'Expenditure DATA'!AD39)*100</f>
        <v>36.456310566872759</v>
      </c>
      <c r="CP37" s="202">
        <f>('Expenditure DATA'!BJ39/'Expenditure DATA'!AE39)*100</f>
        <v>35.906796012769959</v>
      </c>
      <c r="CQ37" s="464">
        <f>('Expenditure DATA'!BK39/'Expenditure DATA'!AF39)*100</f>
        <v>36.128973513181094</v>
      </c>
      <c r="CR37" s="203" t="e">
        <f>('Expenditure DATA'!FA39/'Expenditure DATA'!B39)*100</f>
        <v>#DIV/0!</v>
      </c>
      <c r="CS37" s="202" t="e">
        <f>('Expenditure DATA'!FB39/'Expenditure DATA'!C39)*100</f>
        <v>#DIV/0!</v>
      </c>
      <c r="CT37" s="202" t="e">
        <f>('Expenditure DATA'!FC39/'Expenditure DATA'!D39)*100</f>
        <v>#DIV/0!</v>
      </c>
      <c r="CU37" s="202" t="e">
        <f>('Expenditure DATA'!FD39/'Expenditure DATA'!E39)*100</f>
        <v>#DIV/0!</v>
      </c>
      <c r="CV37" s="202" t="e">
        <f>('Expenditure DATA'!FE39/'Expenditure DATA'!F39)*100</f>
        <v>#DIV/0!</v>
      </c>
      <c r="CW37" s="202" t="e">
        <f>('Expenditure DATA'!FF39/'Expenditure DATA'!G39)*100</f>
        <v>#DIV/0!</v>
      </c>
      <c r="CX37" s="202" t="e">
        <f>('Expenditure DATA'!FG39/'Expenditure DATA'!H39)*100</f>
        <v>#DIV/0!</v>
      </c>
      <c r="CY37" s="202" t="e">
        <f>('Expenditure DATA'!FH39/'Expenditure DATA'!I39)*100</f>
        <v>#DIV/0!</v>
      </c>
      <c r="CZ37" s="202">
        <f>('Expenditure DATA'!FI39/'Expenditure DATA'!J39)*100</f>
        <v>23.230677258366502</v>
      </c>
      <c r="DA37" s="202">
        <f>('Expenditure DATA'!FJ39/'Expenditure DATA'!K39)*100</f>
        <v>24.218776661591257</v>
      </c>
      <c r="DB37" s="202">
        <f>('Expenditure DATA'!FK39/'Expenditure DATA'!L39)*100</f>
        <v>25.065941740692242</v>
      </c>
      <c r="DC37" s="202">
        <f>('Expenditure DATA'!FL39/'Expenditure DATA'!M39)*100</f>
        <v>25.508081791394915</v>
      </c>
      <c r="DD37" s="202">
        <f>('Expenditure DATA'!FM39/'Expenditure DATA'!N39)*100</f>
        <v>26.392419045953208</v>
      </c>
      <c r="DE37" s="202">
        <f>('Expenditure DATA'!FN39/'Expenditure DATA'!O39)*100</f>
        <v>25.529749516389106</v>
      </c>
      <c r="DF37" s="202">
        <f>('Expenditure DATA'!FO39/'Expenditure DATA'!P39)*100</f>
        <v>24.95711999291921</v>
      </c>
      <c r="DG37" s="202">
        <f>('Expenditure DATA'!FP39/'Expenditure DATA'!Q39)*100</f>
        <v>24.472919366732437</v>
      </c>
      <c r="DH37" s="202">
        <f>('Expenditure DATA'!FQ39/'Expenditure DATA'!R39)*100</f>
        <v>23.480772507644382</v>
      </c>
      <c r="DI37" s="202">
        <f>('Expenditure DATA'!FR39/'Expenditure DATA'!S39)*100</f>
        <v>23.190682238613434</v>
      </c>
      <c r="DJ37" s="202">
        <f>('Expenditure DATA'!FS39/'Expenditure DATA'!T39)*100</f>
        <v>23.216167081799604</v>
      </c>
      <c r="DK37" s="202">
        <f>('Expenditure DATA'!FT39/'Expenditure DATA'!U39)*100</f>
        <v>23.987263320421935</v>
      </c>
      <c r="DL37" s="202">
        <f>('Expenditure DATA'!FU39/'Expenditure DATA'!V39)*100</f>
        <v>24.666348074922343</v>
      </c>
      <c r="DM37" s="202">
        <f>('Expenditure DATA'!FV39/'Expenditure DATA'!W39)*100</f>
        <v>25.246111591300902</v>
      </c>
      <c r="DN37" s="202">
        <f>('Expenditure DATA'!FW39/'Expenditure DATA'!X39)*100</f>
        <v>25.779393372198662</v>
      </c>
      <c r="DO37" s="202">
        <f>('Expenditure DATA'!FX39/'Expenditure DATA'!Y39)*100</f>
        <v>26.501612395655471</v>
      </c>
      <c r="DP37" s="202">
        <f>('Expenditure DATA'!FY39/'Expenditure DATA'!Z39)*100</f>
        <v>25.902789974935231</v>
      </c>
      <c r="DQ37" s="202">
        <f>('Expenditure DATA'!FZ39/'Expenditure DATA'!AA39)*100</f>
        <v>25.975638449460529</v>
      </c>
      <c r="DR37" s="202">
        <f>('Expenditure DATA'!GA39/'Expenditure DATA'!AB39)*100</f>
        <v>26.237065784179137</v>
      </c>
      <c r="DS37" s="202">
        <f>('Expenditure DATA'!GB39/'Expenditure DATA'!AC39)*100</f>
        <v>26.639103591521785</v>
      </c>
      <c r="DT37" s="202">
        <f>('Expenditure DATA'!GC39/'Expenditure DATA'!AD39)*100</f>
        <v>27.154076895485023</v>
      </c>
      <c r="DU37" s="202">
        <f>('Expenditure DATA'!GD39/'Expenditure DATA'!AE39)*100</f>
        <v>27.800796833700307</v>
      </c>
      <c r="DV37" s="464">
        <f>('Expenditure DATA'!GE39/'Expenditure DATA'!AF39)*100</f>
        <v>28.154348702856957</v>
      </c>
      <c r="DW37" s="203" t="e">
        <f>('Expenditure DATA'!GF39/'Expenditure DATA'!B39)*100</f>
        <v>#DIV/0!</v>
      </c>
      <c r="DX37" s="202" t="e">
        <f>('Expenditure DATA'!GG39/'Expenditure DATA'!C39)*100</f>
        <v>#DIV/0!</v>
      </c>
      <c r="DY37" s="202" t="e">
        <f>('Expenditure DATA'!GH39/'Expenditure DATA'!D39)*100</f>
        <v>#DIV/0!</v>
      </c>
      <c r="DZ37" s="202" t="e">
        <f>('Expenditure DATA'!GI39/'Expenditure DATA'!E39)*100</f>
        <v>#DIV/0!</v>
      </c>
      <c r="EA37" s="202" t="e">
        <f>('Expenditure DATA'!GJ39/'Expenditure DATA'!F39)*100</f>
        <v>#DIV/0!</v>
      </c>
      <c r="EB37" s="202" t="e">
        <f>('Expenditure DATA'!GK39/'Expenditure DATA'!G39)*100</f>
        <v>#DIV/0!</v>
      </c>
      <c r="EC37" s="202" t="e">
        <f>('Expenditure DATA'!GL39/'Expenditure DATA'!H39)*100</f>
        <v>#DIV/0!</v>
      </c>
      <c r="ED37" s="202" t="e">
        <f>('Expenditure DATA'!GM39/'Expenditure DATA'!I39)*100</f>
        <v>#DIV/0!</v>
      </c>
      <c r="EE37" s="202">
        <f>('Expenditure DATA'!GN39/'Expenditure DATA'!J39)*100</f>
        <v>24.192060326926022</v>
      </c>
      <c r="EF37" s="202">
        <f>('Expenditure DATA'!GO39/'Expenditure DATA'!K39)*100</f>
        <v>23.900878491258815</v>
      </c>
      <c r="EG37" s="202">
        <f>('Expenditure DATA'!GP39/'Expenditure DATA'!L39)*100</f>
        <v>23.651228423623198</v>
      </c>
      <c r="EH37" s="202">
        <f>('Expenditure DATA'!GQ39/'Expenditure DATA'!M39)*100</f>
        <v>23.565424892116599</v>
      </c>
      <c r="EI37" s="202">
        <f>('Expenditure DATA'!GR39/'Expenditure DATA'!N39)*100</f>
        <v>23.346836659327401</v>
      </c>
      <c r="EJ37" s="202">
        <f>('Expenditure DATA'!GS39/'Expenditure DATA'!O39)*100</f>
        <v>23.838692802963219</v>
      </c>
      <c r="EK37" s="202">
        <f>('Expenditure DATA'!GT39/'Expenditure DATA'!P39)*100</f>
        <v>23.747166769162494</v>
      </c>
      <c r="EL37" s="202">
        <f>('Expenditure DATA'!GU39/'Expenditure DATA'!Q39)*100</f>
        <v>24.05620149344319</v>
      </c>
      <c r="EM37" s="202">
        <f>('Expenditure DATA'!GV39/'Expenditure DATA'!R39)*100</f>
        <v>24.41720243211007</v>
      </c>
      <c r="EN37" s="202">
        <f>('Expenditure DATA'!GW39/'Expenditure DATA'!S39)*100</f>
        <v>24.288021988243187</v>
      </c>
      <c r="EO37" s="202">
        <f>('Expenditure DATA'!GX39/'Expenditure DATA'!T39)*100</f>
        <v>24.410616675631239</v>
      </c>
      <c r="EP37" s="202">
        <f>('Expenditure DATA'!GY39/'Expenditure DATA'!U39)*100</f>
        <v>24.247461630669196</v>
      </c>
      <c r="EQ37" s="202">
        <f>('Expenditure DATA'!GZ39/'Expenditure DATA'!V39)*100</f>
        <v>24.103775151467211</v>
      </c>
      <c r="ER37" s="202">
        <f>('Expenditure DATA'!HA39/'Expenditure DATA'!W39)*100</f>
        <v>23.53977511889137</v>
      </c>
      <c r="ES37" s="202">
        <f>('Expenditure DATA'!HB39/'Expenditure DATA'!X39)*100</f>
        <v>23.020993006354907</v>
      </c>
      <c r="ET37" s="202">
        <f>('Expenditure DATA'!HC39/'Expenditure DATA'!Y39)*100</f>
        <v>22.901382791829668</v>
      </c>
      <c r="EU37" s="202">
        <f>('Expenditure DATA'!HD39/'Expenditure DATA'!Z39)*100</f>
        <v>23.016642628913122</v>
      </c>
      <c r="EV37" s="202">
        <f>('Expenditure DATA'!HE39/'Expenditure DATA'!AA39)*100</f>
        <v>23.04890441212148</v>
      </c>
      <c r="EW37" s="202">
        <f>('Expenditure DATA'!HF39/'Expenditure DATA'!AB39)*100</f>
        <v>23.192742332004322</v>
      </c>
      <c r="EX37" s="202">
        <f>('Expenditure DATA'!HG39/'Expenditure DATA'!AC39)*100</f>
        <v>22.912721942047597</v>
      </c>
      <c r="EY37" s="202">
        <f>('Expenditure DATA'!HH39/'Expenditure DATA'!AD39)*100</f>
        <v>22.827713314232199</v>
      </c>
      <c r="EZ37" s="202">
        <f>('Expenditure DATA'!HI39/'Expenditure DATA'!AE39)*100</f>
        <v>22.654659036840165</v>
      </c>
      <c r="FA37" s="464">
        <f>('Expenditure DATA'!HJ39/'Expenditure DATA'!AF39)*100</f>
        <v>22.557290145309889</v>
      </c>
      <c r="FB37" s="203" t="e">
        <f>('Expenditure DATA'!HK39/'Expenditure DATA'!B39)*100</f>
        <v>#DIV/0!</v>
      </c>
      <c r="FC37" s="202" t="e">
        <f>('Expenditure DATA'!HL39/'Expenditure DATA'!C39)*100</f>
        <v>#DIV/0!</v>
      </c>
      <c r="FD37" s="202" t="e">
        <f>('Expenditure DATA'!HM39/'Expenditure DATA'!D39)*100</f>
        <v>#DIV/0!</v>
      </c>
      <c r="FE37" s="202" t="e">
        <f>('Expenditure DATA'!HN39/'Expenditure DATA'!E39)*100</f>
        <v>#DIV/0!</v>
      </c>
      <c r="FF37" s="202" t="e">
        <f>('Expenditure DATA'!HO39/'Expenditure DATA'!F39)*100</f>
        <v>#DIV/0!</v>
      </c>
      <c r="FG37" s="202" t="e">
        <f>('Expenditure DATA'!HP39/'Expenditure DATA'!G39)*100</f>
        <v>#DIV/0!</v>
      </c>
      <c r="FH37" s="202" t="e">
        <f>('Expenditure DATA'!HQ39/'Expenditure DATA'!H39)*100</f>
        <v>#DIV/0!</v>
      </c>
      <c r="FI37" s="202" t="e">
        <f>('Expenditure DATA'!HR39/'Expenditure DATA'!I39)*100</f>
        <v>#DIV/0!</v>
      </c>
      <c r="FJ37" s="202">
        <f>('Expenditure DATA'!HS39/'Expenditure DATA'!J39)*100</f>
        <v>5.2645502010980367</v>
      </c>
      <c r="FK37" s="202">
        <f>('Expenditure DATA'!HT39/'Expenditure DATA'!K39)*100</f>
        <v>5.1692785701411701</v>
      </c>
      <c r="FL37" s="202">
        <f>('Expenditure DATA'!HU39/'Expenditure DATA'!L39)*100</f>
        <v>5.0875956964219391</v>
      </c>
      <c r="FM37" s="202">
        <f>('Expenditure DATA'!HV39/'Expenditure DATA'!M39)*100</f>
        <v>5.039850500878698</v>
      </c>
      <c r="FN37" s="202">
        <f>('Expenditure DATA'!HW39/'Expenditure DATA'!N39)*100</f>
        <v>5.0470182850864953</v>
      </c>
      <c r="FO37" s="202">
        <f>('Expenditure DATA'!HX39/'Expenditure DATA'!O39)*100</f>
        <v>5.1257754241979532</v>
      </c>
      <c r="FP37" s="202">
        <f>('Expenditure DATA'!HY39/'Expenditure DATA'!P39)*100</f>
        <v>5.2099112188211025</v>
      </c>
      <c r="FQ37" s="202">
        <f>('Expenditure DATA'!HZ39/'Expenditure DATA'!Q39)*100</f>
        <v>5.3064823237347198</v>
      </c>
      <c r="FR37" s="202">
        <f>('Expenditure DATA'!IA39/'Expenditure DATA'!R39)*100</f>
        <v>5.2121162356772972</v>
      </c>
      <c r="FS37" s="202">
        <f>('Expenditure DATA'!IB39/'Expenditure DATA'!S39)*100</f>
        <v>5.3203659809221993</v>
      </c>
      <c r="FT37" s="202">
        <f>('Expenditure DATA'!IC39/'Expenditure DATA'!T39)*100</f>
        <v>5.4091372184526483</v>
      </c>
      <c r="FU37" s="202">
        <f>('Expenditure DATA'!ID39/'Expenditure DATA'!U39)*100</f>
        <v>5.4218525667724577</v>
      </c>
      <c r="FV37" s="202">
        <f>('Expenditure DATA'!IE39/'Expenditure DATA'!V39)*100</f>
        <v>5.4330506491383792</v>
      </c>
      <c r="FW37" s="202">
        <f>('Expenditure DATA'!IF39/'Expenditure DATA'!W39)*100</f>
        <v>5.2599932440142219</v>
      </c>
      <c r="FX37" s="202">
        <f>('Expenditure DATA'!IG39/'Expenditure DATA'!X39)*100</f>
        <v>5.100810476221886</v>
      </c>
      <c r="FY37" s="202">
        <f>('Expenditure DATA'!IH39/'Expenditure DATA'!Y39)*100</f>
        <v>5.0190053897178935</v>
      </c>
      <c r="FZ37" s="202">
        <f>('Expenditure DATA'!II39/'Expenditure DATA'!Z39)*100</f>
        <v>4.9461356741286533</v>
      </c>
      <c r="GA37" s="202">
        <f>('Expenditure DATA'!IJ39/'Expenditure DATA'!AA39)*100</f>
        <v>4.807524044044694</v>
      </c>
      <c r="GB37" s="202">
        <f>('Expenditure DATA'!IK39/'Expenditure DATA'!AB39)*100</f>
        <v>4.7049246611852764</v>
      </c>
      <c r="GC37" s="202">
        <f>('Expenditure DATA'!IL39/'Expenditure DATA'!AC39)*100</f>
        <v>4.5307259873881627</v>
      </c>
      <c r="GD37" s="202">
        <f>('Expenditure DATA'!IM39/'Expenditure DATA'!AD39)*100</f>
        <v>4.4681473080694856</v>
      </c>
      <c r="GE37" s="202">
        <f>('Expenditure DATA'!IN39/'Expenditure DATA'!AE39)*100</f>
        <v>4.4411463876133119</v>
      </c>
      <c r="GF37" s="464">
        <f>('Expenditure DATA'!IO39/'Expenditure DATA'!AF39)*100</f>
        <v>4.3870738391816451</v>
      </c>
      <c r="GG37" s="203" t="e">
        <f>('Expenditure DATA'!IP39/'Expenditure DATA'!B39)*100</f>
        <v>#DIV/0!</v>
      </c>
      <c r="GH37" s="202" t="e">
        <f>('Expenditure DATA'!IQ39/'Expenditure DATA'!C39)*100</f>
        <v>#DIV/0!</v>
      </c>
      <c r="GI37" s="202" t="e">
        <f>('Expenditure DATA'!IR39/'Expenditure DATA'!D39)*100</f>
        <v>#DIV/0!</v>
      </c>
      <c r="GJ37" s="202" t="e">
        <f>('Expenditure DATA'!IS39/'Expenditure DATA'!E39)*100</f>
        <v>#DIV/0!</v>
      </c>
      <c r="GK37" s="202" t="e">
        <f>('Expenditure DATA'!IT39/'Expenditure DATA'!F39)*100</f>
        <v>#DIV/0!</v>
      </c>
      <c r="GL37" s="202" t="e">
        <f>('Expenditure DATA'!IU39/'Expenditure DATA'!G39)*100</f>
        <v>#DIV/0!</v>
      </c>
      <c r="GM37" s="202" t="e">
        <f>('Expenditure DATA'!IV39/'Expenditure DATA'!H39)*100</f>
        <v>#DIV/0!</v>
      </c>
      <c r="GN37" s="202" t="e">
        <f>('Expenditure DATA'!IW39/'Expenditure DATA'!I39)*100</f>
        <v>#DIV/0!</v>
      </c>
      <c r="GO37" s="202">
        <f>('Expenditure DATA'!IX39/'Expenditure DATA'!J39)*100</f>
        <v>9.4538895635924654</v>
      </c>
      <c r="GP37" s="202">
        <f>('Expenditure DATA'!IY39/'Expenditure DATA'!K39)*100</f>
        <v>9.2442085776983305</v>
      </c>
      <c r="GQ37" s="202">
        <f>('Expenditure DATA'!IZ39/'Expenditure DATA'!L39)*100</f>
        <v>9.064434752897661</v>
      </c>
      <c r="GR37" s="202">
        <f>('Expenditure DATA'!JA39/'Expenditure DATA'!M39)*100</f>
        <v>8.9617474671812598</v>
      </c>
      <c r="GS37" s="202">
        <f>('Expenditure DATA'!JB39/'Expenditure DATA'!N39)*100</f>
        <v>8.6698695677191164</v>
      </c>
      <c r="GT37" s="202">
        <f>('Expenditure DATA'!JC39/'Expenditure DATA'!O39)*100</f>
        <v>8.5612114636887551</v>
      </c>
      <c r="GU37" s="202">
        <f>('Expenditure DATA'!JD39/'Expenditure DATA'!P39)*100</f>
        <v>8.5445966691086888</v>
      </c>
      <c r="GV37" s="202">
        <f>('Expenditure DATA'!JE39/'Expenditure DATA'!Q39)*100</f>
        <v>8.7913652206170099</v>
      </c>
      <c r="GW37" s="202">
        <f>('Expenditure DATA'!JF39/'Expenditure DATA'!R39)*100</f>
        <v>8.7690626042241426</v>
      </c>
      <c r="GX37" s="202">
        <f>('Expenditure DATA'!JG39/'Expenditure DATA'!S39)*100</f>
        <v>8.9208071978522714</v>
      </c>
      <c r="GY37" s="202">
        <f>('Expenditure DATA'!JH39/'Expenditure DATA'!T39)*100</f>
        <v>9.2711440277217161</v>
      </c>
      <c r="GZ37" s="202">
        <f>('Expenditure DATA'!JI39/'Expenditure DATA'!U39)*100</f>
        <v>9.1046984296256834</v>
      </c>
      <c r="HA37" s="202">
        <f>('Expenditure DATA'!JJ39/'Expenditure DATA'!V39)*100</f>
        <v>8.9581140443579486</v>
      </c>
      <c r="HB37" s="202">
        <f>('Expenditure DATA'!JK39/'Expenditure DATA'!W39)*100</f>
        <v>8.8996502916608744</v>
      </c>
      <c r="HC37" s="202">
        <f>('Expenditure DATA'!JL39/'Expenditure DATA'!X39)*100</f>
        <v>8.8458737892155135</v>
      </c>
      <c r="HD37" s="202">
        <f>('Expenditure DATA'!JM39/'Expenditure DATA'!Y39)*100</f>
        <v>8.6287449510637231</v>
      </c>
      <c r="HE37" s="202">
        <f>('Expenditure DATA'!JN39/'Expenditure DATA'!Z39)*100</f>
        <v>9.2460634098004224</v>
      </c>
      <c r="HF37" s="202">
        <f>('Expenditure DATA'!JO39/'Expenditure DATA'!AA39)*100</f>
        <v>9.4847091580029641</v>
      </c>
      <c r="HG37" s="202">
        <f>('Expenditure DATA'!JP39/'Expenditure DATA'!AB39)*100</f>
        <v>9.3912835542659607</v>
      </c>
      <c r="HH37" s="202">
        <f>('Expenditure DATA'!JQ39/'Expenditure DATA'!AC39)*100</f>
        <v>9.327304369494259</v>
      </c>
      <c r="HI37" s="202">
        <f>('Expenditure DATA'!JR39/'Expenditure DATA'!AD39)*100</f>
        <v>9.0937513419031717</v>
      </c>
      <c r="HJ37" s="202">
        <f>('Expenditure DATA'!JS39/'Expenditure DATA'!AE39)*100</f>
        <v>9.1966017290762423</v>
      </c>
      <c r="HK37" s="464">
        <f>('Expenditure DATA'!JT39/'Expenditure DATA'!AF39)*100</f>
        <v>8.7723137994704192</v>
      </c>
      <c r="HL37" s="203" t="e">
        <f t="shared" si="1"/>
        <v>#DIV/0!</v>
      </c>
      <c r="HM37" s="204" t="e">
        <f t="shared" si="2"/>
        <v>#DIV/0!</v>
      </c>
      <c r="HN37" s="204" t="e">
        <f t="shared" si="3"/>
        <v>#DIV/0!</v>
      </c>
      <c r="HO37" s="204" t="e">
        <f t="shared" si="4"/>
        <v>#DIV/0!</v>
      </c>
      <c r="HP37" s="204" t="e">
        <f t="shared" si="5"/>
        <v>#DIV/0!</v>
      </c>
      <c r="HQ37" s="204" t="e">
        <f t="shared" si="6"/>
        <v>#DIV/0!</v>
      </c>
      <c r="HR37" s="204" t="e">
        <f t="shared" si="7"/>
        <v>#DIV/0!</v>
      </c>
      <c r="HS37" s="204" t="e">
        <f t="shared" si="8"/>
        <v>#DIV/0!</v>
      </c>
      <c r="HT37" s="204">
        <f t="shared" si="9"/>
        <v>99.999906334199579</v>
      </c>
      <c r="HU37" s="204">
        <f t="shared" si="10"/>
        <v>99.999956763509545</v>
      </c>
      <c r="HV37" s="204">
        <f t="shared" si="11"/>
        <v>99.999999999999972</v>
      </c>
      <c r="HW37" s="204">
        <f t="shared" si="12"/>
        <v>99.999999999999986</v>
      </c>
      <c r="HX37" s="204">
        <f t="shared" si="13"/>
        <v>99.999999999999986</v>
      </c>
      <c r="HY37" s="204">
        <f t="shared" si="14"/>
        <v>100</v>
      </c>
      <c r="HZ37" s="204">
        <f t="shared" si="15"/>
        <v>99.999999999999986</v>
      </c>
      <c r="IA37" s="204">
        <f t="shared" si="16"/>
        <v>99.999999999999986</v>
      </c>
      <c r="IB37" s="204">
        <f t="shared" si="17"/>
        <v>100.00000000000001</v>
      </c>
      <c r="IC37" s="204">
        <f t="shared" si="18"/>
        <v>100.00000000000003</v>
      </c>
      <c r="ID37" s="204">
        <f t="shared" si="19"/>
        <v>100</v>
      </c>
      <c r="IE37" s="204">
        <f t="shared" si="20"/>
        <v>99.999999999999986</v>
      </c>
      <c r="IF37" s="204">
        <f t="shared" si="21"/>
        <v>100.00000000000003</v>
      </c>
      <c r="IG37" s="204">
        <f t="shared" si="22"/>
        <v>100.00000000000001</v>
      </c>
      <c r="IH37" s="204">
        <f t="shared" si="23"/>
        <v>100</v>
      </c>
      <c r="II37" s="204">
        <f t="shared" si="24"/>
        <v>99.999999999999972</v>
      </c>
      <c r="IJ37" s="204">
        <f t="shared" si="25"/>
        <v>99.999999999999986</v>
      </c>
      <c r="IK37" s="204">
        <f t="shared" si="26"/>
        <v>100</v>
      </c>
      <c r="IL37" s="204">
        <f t="shared" si="32"/>
        <v>100</v>
      </c>
      <c r="IM37" s="204">
        <f t="shared" si="33"/>
        <v>99.999999804641234</v>
      </c>
      <c r="IN37" s="204">
        <f t="shared" si="34"/>
        <v>99.999999426562638</v>
      </c>
      <c r="IO37" s="204">
        <f t="shared" si="35"/>
        <v>99.999999999999972</v>
      </c>
      <c r="IP37" s="204">
        <f t="shared" si="36"/>
        <v>100</v>
      </c>
    </row>
    <row r="38" spans="1:250" s="164" customFormat="1"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464"/>
      <c r="AH38" s="203"/>
      <c r="AI38" s="202"/>
      <c r="AJ38" s="202"/>
      <c r="AK38" s="202"/>
      <c r="AL38" s="202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2"/>
      <c r="BC38" s="202"/>
      <c r="BD38" s="202"/>
      <c r="BE38" s="202"/>
      <c r="BF38" s="202"/>
      <c r="BG38" s="202"/>
      <c r="BH38" s="202"/>
      <c r="BI38" s="202"/>
      <c r="BJ38" s="202"/>
      <c r="BK38" s="202"/>
      <c r="BL38" s="464"/>
      <c r="BM38" s="203"/>
      <c r="BN38" s="202"/>
      <c r="BO38" s="202"/>
      <c r="BP38" s="202"/>
      <c r="BQ38" s="202"/>
      <c r="BR38" s="202"/>
      <c r="BS38" s="202"/>
      <c r="BT38" s="202"/>
      <c r="BU38" s="202"/>
      <c r="BV38" s="202"/>
      <c r="BW38" s="202"/>
      <c r="BX38" s="202"/>
      <c r="BY38" s="202"/>
      <c r="BZ38" s="202"/>
      <c r="CA38" s="202"/>
      <c r="CB38" s="202"/>
      <c r="CC38" s="202"/>
      <c r="CD38" s="202"/>
      <c r="CE38" s="202"/>
      <c r="CF38" s="202"/>
      <c r="CG38" s="202"/>
      <c r="CH38" s="202"/>
      <c r="CI38" s="202"/>
      <c r="CJ38" s="202"/>
      <c r="CK38" s="202"/>
      <c r="CL38" s="202"/>
      <c r="CM38" s="202"/>
      <c r="CN38" s="202"/>
      <c r="CO38" s="202"/>
      <c r="CP38" s="202"/>
      <c r="CQ38" s="464"/>
      <c r="CR38" s="203"/>
      <c r="CS38" s="202"/>
      <c r="CT38" s="202"/>
      <c r="CU38" s="202"/>
      <c r="CV38" s="202"/>
      <c r="CW38" s="202"/>
      <c r="CX38" s="202"/>
      <c r="CY38" s="202"/>
      <c r="CZ38" s="202"/>
      <c r="DA38" s="202"/>
      <c r="DB38" s="202"/>
      <c r="DC38" s="202"/>
      <c r="DD38" s="202"/>
      <c r="DE38" s="202"/>
      <c r="DF38" s="202"/>
      <c r="DG38" s="202"/>
      <c r="DH38" s="202"/>
      <c r="DI38" s="202"/>
      <c r="DJ38" s="202"/>
      <c r="DK38" s="202"/>
      <c r="DL38" s="202"/>
      <c r="DM38" s="202"/>
      <c r="DN38" s="202"/>
      <c r="DO38" s="202"/>
      <c r="DP38" s="202"/>
      <c r="DQ38" s="202"/>
      <c r="DR38" s="202"/>
      <c r="DS38" s="202"/>
      <c r="DT38" s="202"/>
      <c r="DU38" s="202"/>
      <c r="DV38" s="464"/>
      <c r="DW38" s="203"/>
      <c r="DX38" s="202"/>
      <c r="DY38" s="202"/>
      <c r="DZ38" s="202"/>
      <c r="EA38" s="202"/>
      <c r="EB38" s="202"/>
      <c r="EC38" s="202"/>
      <c r="ED38" s="202"/>
      <c r="EE38" s="202"/>
      <c r="EF38" s="202"/>
      <c r="EG38" s="202"/>
      <c r="EH38" s="202"/>
      <c r="EI38" s="202"/>
      <c r="EJ38" s="202"/>
      <c r="EK38" s="202"/>
      <c r="EL38" s="202"/>
      <c r="EM38" s="202"/>
      <c r="EN38" s="202"/>
      <c r="EO38" s="202"/>
      <c r="EP38" s="202"/>
      <c r="EQ38" s="202"/>
      <c r="ER38" s="202"/>
      <c r="ES38" s="202"/>
      <c r="ET38" s="202"/>
      <c r="EU38" s="202"/>
      <c r="EV38" s="202"/>
      <c r="EW38" s="202"/>
      <c r="EX38" s="202"/>
      <c r="EY38" s="202"/>
      <c r="EZ38" s="202"/>
      <c r="FA38" s="464"/>
      <c r="FB38" s="203"/>
      <c r="FC38" s="202"/>
      <c r="FD38" s="202"/>
      <c r="FE38" s="202"/>
      <c r="FF38" s="202"/>
      <c r="FG38" s="202"/>
      <c r="FH38" s="202"/>
      <c r="FI38" s="202"/>
      <c r="FJ38" s="202"/>
      <c r="FK38" s="202"/>
      <c r="FL38" s="202"/>
      <c r="FM38" s="202"/>
      <c r="FN38" s="202"/>
      <c r="FO38" s="202"/>
      <c r="FP38" s="202"/>
      <c r="FQ38" s="202"/>
      <c r="FR38" s="202"/>
      <c r="FS38" s="202"/>
      <c r="FT38" s="202"/>
      <c r="FU38" s="202"/>
      <c r="FV38" s="202"/>
      <c r="FW38" s="202"/>
      <c r="FX38" s="202"/>
      <c r="FY38" s="202"/>
      <c r="FZ38" s="202"/>
      <c r="GA38" s="202"/>
      <c r="GB38" s="202"/>
      <c r="GC38" s="202"/>
      <c r="GD38" s="202"/>
      <c r="GE38" s="202"/>
      <c r="GF38" s="464"/>
      <c r="GG38" s="203"/>
      <c r="GH38" s="202"/>
      <c r="GI38" s="202"/>
      <c r="GJ38" s="202"/>
      <c r="GK38" s="202"/>
      <c r="GL38" s="202"/>
      <c r="GM38" s="202"/>
      <c r="GN38" s="202"/>
      <c r="GO38" s="202"/>
      <c r="GP38" s="202"/>
      <c r="GQ38" s="202"/>
      <c r="GR38" s="202"/>
      <c r="GS38" s="202"/>
      <c r="GT38" s="202"/>
      <c r="GU38" s="202"/>
      <c r="GV38" s="202"/>
      <c r="GW38" s="202"/>
      <c r="GX38" s="202"/>
      <c r="GY38" s="202"/>
      <c r="GZ38" s="202"/>
      <c r="HA38" s="202"/>
      <c r="HB38" s="202"/>
      <c r="HC38" s="202"/>
      <c r="HD38" s="202"/>
      <c r="HE38" s="202"/>
      <c r="HF38" s="202"/>
      <c r="HG38" s="202"/>
      <c r="HH38" s="202"/>
      <c r="HI38" s="202"/>
      <c r="HJ38" s="202"/>
      <c r="HK38" s="464"/>
      <c r="HL38" s="203"/>
      <c r="HM38" s="204"/>
      <c r="HN38" s="204"/>
      <c r="HO38" s="204"/>
      <c r="HP38" s="204"/>
      <c r="HQ38" s="204"/>
      <c r="HR38" s="204"/>
      <c r="HS38" s="204"/>
      <c r="HT38" s="204"/>
      <c r="HU38" s="204"/>
      <c r="HV38" s="204"/>
      <c r="HW38" s="204"/>
      <c r="HX38" s="204"/>
      <c r="HY38" s="204"/>
      <c r="HZ38" s="204"/>
      <c r="IA38" s="204"/>
      <c r="IB38" s="204"/>
      <c r="IC38" s="204"/>
      <c r="ID38" s="204"/>
      <c r="IE38" s="204"/>
      <c r="IF38" s="204"/>
      <c r="IG38" s="204"/>
      <c r="IH38" s="204"/>
      <c r="II38" s="204"/>
      <c r="IJ38" s="204"/>
      <c r="IK38" s="204"/>
      <c r="IL38" s="204"/>
      <c r="IM38" s="204"/>
      <c r="IN38" s="204"/>
      <c r="IO38" s="204"/>
      <c r="IP38" s="204"/>
    </row>
    <row r="39" spans="1:250" s="164" customFormat="1">
      <c r="A39" s="164" t="s">
        <v>54</v>
      </c>
      <c r="C39" s="202" t="e">
        <f>('Expenditure DATA'!CQ41/'Expenditure DATA'!B41)*100</f>
        <v>#DIV/0!</v>
      </c>
      <c r="D39" s="202" t="e">
        <f>('Expenditure DATA'!CR41/'Expenditure DATA'!C41)*100</f>
        <v>#DIV/0!</v>
      </c>
      <c r="E39" s="202" t="e">
        <f>('Expenditure DATA'!CS41/'Expenditure DATA'!D41)*100</f>
        <v>#DIV/0!</v>
      </c>
      <c r="F39" s="202" t="e">
        <f>('Expenditure DATA'!CT41/'Expenditure DATA'!E41)*100</f>
        <v>#DIV/0!</v>
      </c>
      <c r="G39" s="202" t="e">
        <f>('Expenditure DATA'!CU41/'Expenditure DATA'!F41)*100</f>
        <v>#DIV/0!</v>
      </c>
      <c r="H39" s="202" t="e">
        <f>('Expenditure DATA'!CV41/'Expenditure DATA'!G41)*100</f>
        <v>#DIV/0!</v>
      </c>
      <c r="I39" s="202" t="e">
        <f>('Expenditure DATA'!CW41/'Expenditure DATA'!H41)*100</f>
        <v>#DIV/0!</v>
      </c>
      <c r="J39" s="202" t="e">
        <f>('Expenditure DATA'!CX41/'Expenditure DATA'!I41)*100</f>
        <v>#DIV/0!</v>
      </c>
      <c r="K39" s="202">
        <f>('Expenditure DATA'!CY41/'Expenditure DATA'!J41)*100</f>
        <v>8.513192590098658</v>
      </c>
      <c r="L39" s="202">
        <f>('Expenditure DATA'!CZ41/'Expenditure DATA'!K41)*100</f>
        <v>8.4027045528798752</v>
      </c>
      <c r="M39" s="202">
        <f>('Expenditure DATA'!DA41/'Expenditure DATA'!L41)*100</f>
        <v>8.3080630789593037</v>
      </c>
      <c r="N39" s="202">
        <f>('Expenditure DATA'!DB41/'Expenditure DATA'!M41)*100</f>
        <v>8.3498225944826565</v>
      </c>
      <c r="O39" s="202">
        <f>('Expenditure DATA'!DC41/'Expenditure DATA'!N41)*100</f>
        <v>7.9323655093443062</v>
      </c>
      <c r="P39" s="202">
        <f>('Expenditure DATA'!DD41/'Expenditure DATA'!O41)*100</f>
        <v>7.8531594764920207</v>
      </c>
      <c r="Q39" s="202">
        <f>('Expenditure DATA'!DE41/'Expenditure DATA'!P41)*100</f>
        <v>8.1312073532414537</v>
      </c>
      <c r="R39" s="202">
        <f>('Expenditure DATA'!DF41/'Expenditure DATA'!Q41)*100</f>
        <v>7.5210620402530779</v>
      </c>
      <c r="S39" s="202">
        <f>('Expenditure DATA'!DG41/'Expenditure DATA'!R41)*100</f>
        <v>7.4929786329006474</v>
      </c>
      <c r="T39" s="202">
        <f>('Expenditure DATA'!DH41/'Expenditure DATA'!S41)*100</f>
        <v>7.7406710400101897</v>
      </c>
      <c r="U39" s="202">
        <f>('Expenditure DATA'!DI41/'Expenditure DATA'!T41)*100</f>
        <v>7.8412152544637372</v>
      </c>
      <c r="V39" s="202">
        <f>('Expenditure DATA'!DJ41/'Expenditure DATA'!U41)*100</f>
        <v>8.3604633740417231</v>
      </c>
      <c r="W39" s="202">
        <f>('Expenditure DATA'!DK41/'Expenditure DATA'!V41)*100</f>
        <v>8.8134819300208669</v>
      </c>
      <c r="X39" s="202">
        <f>('Expenditure DATA'!DL41/'Expenditure DATA'!W41)*100</f>
        <v>9.2362537600326</v>
      </c>
      <c r="Y39" s="202">
        <f>('Expenditure DATA'!DM41/'Expenditure DATA'!X41)*100</f>
        <v>9.628844656909811</v>
      </c>
      <c r="Z39" s="202">
        <f>('Expenditure DATA'!DN41/'Expenditure DATA'!Y41)*100</f>
        <v>9.1248414113215013</v>
      </c>
      <c r="AA39" s="202">
        <f>('Expenditure DATA'!DO41/'Expenditure DATA'!Z41)*100</f>
        <v>8.784338641261515</v>
      </c>
      <c r="AB39" s="202">
        <f>('Expenditure DATA'!DP41/'Expenditure DATA'!AA41)*100</f>
        <v>8.4149589368993301</v>
      </c>
      <c r="AC39" s="202">
        <f>('Expenditure DATA'!DQ41/'Expenditure DATA'!AB41)*100</f>
        <v>8.6113246263194583</v>
      </c>
      <c r="AD39" s="202">
        <f>('Expenditure DATA'!DR41/'Expenditure DATA'!AC41)*100</f>
        <v>8.1801852445335417</v>
      </c>
      <c r="AE39" s="202">
        <f>('Expenditure DATA'!DS41/'Expenditure DATA'!AD41)*100</f>
        <v>8.3582340562932043</v>
      </c>
      <c r="AF39" s="202">
        <f>('Expenditure DATA'!DT41/'Expenditure DATA'!AE41)*100</f>
        <v>8.3301277721983986</v>
      </c>
      <c r="AG39" s="464">
        <f>('Expenditure DATA'!DU41/'Expenditure DATA'!AF41)*100</f>
        <v>8.7399712152620435</v>
      </c>
      <c r="AH39" s="203" t="e">
        <f>('Expenditure DATA'!BL41/'Expenditure DATA'!B41)*100</f>
        <v>#DIV/0!</v>
      </c>
      <c r="AI39" s="202" t="e">
        <f>('Expenditure DATA'!BM41/'Expenditure DATA'!C41)*100</f>
        <v>#DIV/0!</v>
      </c>
      <c r="AJ39" s="202" t="e">
        <f>('Expenditure DATA'!BN41/'Expenditure DATA'!D41)*100</f>
        <v>#DIV/0!</v>
      </c>
      <c r="AK39" s="202" t="e">
        <f>('Expenditure DATA'!BO41/'Expenditure DATA'!E41)*100</f>
        <v>#DIV/0!</v>
      </c>
      <c r="AL39" s="202" t="e">
        <f>('Expenditure DATA'!BP41/'Expenditure DATA'!F41)*100</f>
        <v>#DIV/0!</v>
      </c>
      <c r="AM39" s="202" t="e">
        <f>('Expenditure DATA'!BQ41/'Expenditure DATA'!G41)*100</f>
        <v>#DIV/0!</v>
      </c>
      <c r="AN39" s="202" t="e">
        <f>('Expenditure DATA'!BR41/'Expenditure DATA'!H41)*100</f>
        <v>#DIV/0!</v>
      </c>
      <c r="AO39" s="202" t="e">
        <f>('Expenditure DATA'!BS41/'Expenditure DATA'!I41)*100</f>
        <v>#DIV/0!</v>
      </c>
      <c r="AP39" s="202">
        <f>('Expenditure DATA'!BT41/'Expenditure DATA'!J41)*100</f>
        <v>23.79099903824855</v>
      </c>
      <c r="AQ39" s="202">
        <f>('Expenditure DATA'!BU41/'Expenditure DATA'!K41)*100</f>
        <v>23.430976192562849</v>
      </c>
      <c r="AR39" s="202">
        <f>('Expenditure DATA'!BV41/'Expenditure DATA'!L41)*100</f>
        <v>23.122589025784759</v>
      </c>
      <c r="AS39" s="202">
        <f>('Expenditure DATA'!BW41/'Expenditure DATA'!M41)*100</f>
        <v>23.833858331676822</v>
      </c>
      <c r="AT39" s="202">
        <f>('Expenditure DATA'!BX41/'Expenditure DATA'!N41)*100</f>
        <v>22.808245572707651</v>
      </c>
      <c r="AU39" s="202">
        <f>('Expenditure DATA'!BY41/'Expenditure DATA'!O41)*100</f>
        <v>23.073507426746769</v>
      </c>
      <c r="AV39" s="202">
        <f>('Expenditure DATA'!BZ41/'Expenditure DATA'!P41)*100</f>
        <v>23.437632843335475</v>
      </c>
      <c r="AW39" s="202">
        <f>('Expenditure DATA'!CA41/'Expenditure DATA'!Q41)*100</f>
        <v>23.450351873741816</v>
      </c>
      <c r="AX39" s="202">
        <f>('Expenditure DATA'!CB41/'Expenditure DATA'!R41)*100</f>
        <v>25.255500058206508</v>
      </c>
      <c r="AY39" s="202">
        <f>('Expenditure DATA'!CC41/'Expenditure DATA'!S41)*100</f>
        <v>25.799874480645506</v>
      </c>
      <c r="AZ39" s="202">
        <f>('Expenditure DATA'!CD41/'Expenditure DATA'!T41)*100</f>
        <v>25.565577147509778</v>
      </c>
      <c r="BA39" s="202">
        <f>('Expenditure DATA'!CE41/'Expenditure DATA'!U41)*100</f>
        <v>24.890941414239276</v>
      </c>
      <c r="BB39" s="202">
        <f>('Expenditure DATA'!CF41/'Expenditure DATA'!V41)*100</f>
        <v>24.302354774875951</v>
      </c>
      <c r="BC39" s="202">
        <f>('Expenditure DATA'!CG41/'Expenditure DATA'!W41)*100</f>
        <v>24.36590024041211</v>
      </c>
      <c r="BD39" s="202">
        <f>('Expenditure DATA'!CH41/'Expenditure DATA'!X41)*100</f>
        <v>24.42490930756454</v>
      </c>
      <c r="BE39" s="202">
        <f>('Expenditure DATA'!CI41/'Expenditure DATA'!Y41)*100</f>
        <v>24.129651741073381</v>
      </c>
      <c r="BF39" s="202">
        <f>('Expenditure DATA'!CJ41/'Expenditure DATA'!Z41)*100</f>
        <v>24.493235729873206</v>
      </c>
      <c r="BG39" s="202">
        <f>('Expenditure DATA'!CK41/'Expenditure DATA'!AA41)*100</f>
        <v>23.59331897859618</v>
      </c>
      <c r="BH39" s="202">
        <f>('Expenditure DATA'!CL41/'Expenditure DATA'!AB41)*100</f>
        <v>23.889111801087502</v>
      </c>
      <c r="BI39" s="202">
        <f>('Expenditure DATA'!CM41/'Expenditure DATA'!AC41)*100</f>
        <v>24.58042031359561</v>
      </c>
      <c r="BJ39" s="202">
        <f>('Expenditure DATA'!CN41/'Expenditure DATA'!AD41)*100</f>
        <v>23.671343636315132</v>
      </c>
      <c r="BK39" s="202">
        <f>('Expenditure DATA'!CO41/'Expenditure DATA'!AE41)*100</f>
        <v>23.514202400672001</v>
      </c>
      <c r="BL39" s="464">
        <f>('Expenditure DATA'!CP41/'Expenditure DATA'!AF41)*100</f>
        <v>24.186438854821056</v>
      </c>
      <c r="BM39" s="203" t="e">
        <f>('Expenditure DATA'!AG41/'Expenditure DATA'!B41)*100</f>
        <v>#DIV/0!</v>
      </c>
      <c r="BN39" s="202" t="e">
        <f>('Expenditure DATA'!AH41/'Expenditure DATA'!C41)*100</f>
        <v>#DIV/0!</v>
      </c>
      <c r="BO39" s="202" t="e">
        <f>('Expenditure DATA'!AI41/'Expenditure DATA'!D41)*100</f>
        <v>#DIV/0!</v>
      </c>
      <c r="BP39" s="202" t="e">
        <f>('Expenditure DATA'!AJ41/'Expenditure DATA'!E41)*100</f>
        <v>#DIV/0!</v>
      </c>
      <c r="BQ39" s="202" t="e">
        <f>('Expenditure DATA'!AK41/'Expenditure DATA'!F41)*100</f>
        <v>#DIV/0!</v>
      </c>
      <c r="BR39" s="202" t="e">
        <f>('Expenditure DATA'!AL41/'Expenditure DATA'!G41)*100</f>
        <v>#DIV/0!</v>
      </c>
      <c r="BS39" s="202" t="e">
        <f>('Expenditure DATA'!AM41/'Expenditure DATA'!H41)*100</f>
        <v>#DIV/0!</v>
      </c>
      <c r="BT39" s="202" t="e">
        <f>('Expenditure DATA'!AN41/'Expenditure DATA'!I41)*100</f>
        <v>#DIV/0!</v>
      </c>
      <c r="BU39" s="202">
        <f>('Expenditure DATA'!AO41/'Expenditure DATA'!J41)*100</f>
        <v>35.003528796044044</v>
      </c>
      <c r="BV39" s="202">
        <f>('Expenditure DATA'!AP41/'Expenditure DATA'!K41)*100</f>
        <v>34.363168431030225</v>
      </c>
      <c r="BW39" s="202">
        <f>('Expenditure DATA'!AQ41/'Expenditure DATA'!L41)*100</f>
        <v>33.814650688197908</v>
      </c>
      <c r="BX39" s="202">
        <f>('Expenditure DATA'!AR41/'Expenditure DATA'!M41)*100</f>
        <v>34.464549505955063</v>
      </c>
      <c r="BY39" s="202">
        <f>('Expenditure DATA'!AS41/'Expenditure DATA'!N41)*100</f>
        <v>33.348783589022055</v>
      </c>
      <c r="BZ39" s="202">
        <f>('Expenditure DATA'!AT41/'Expenditure DATA'!O41)*100</f>
        <v>33.362683190921771</v>
      </c>
      <c r="CA39" s="202">
        <f>('Expenditure DATA'!AU41/'Expenditure DATA'!P41)*100</f>
        <v>34.023559337455261</v>
      </c>
      <c r="CB39" s="202">
        <f>('Expenditure DATA'!AV41/'Expenditure DATA'!Q41)*100</f>
        <v>33.581916997355115</v>
      </c>
      <c r="CC39" s="202">
        <f>('Expenditure DATA'!AW41/'Expenditure DATA'!R41)*100</f>
        <v>35.402100747108598</v>
      </c>
      <c r="CD39" s="202">
        <f>('Expenditure DATA'!AX41/'Expenditure DATA'!S41)*100</f>
        <v>36.159257762261738</v>
      </c>
      <c r="CE39" s="202">
        <f>('Expenditure DATA'!AY41/'Expenditure DATA'!T41)*100</f>
        <v>35.997758591657742</v>
      </c>
      <c r="CF39" s="202">
        <f>('Expenditure DATA'!AZ41/'Expenditure DATA'!U41)*100</f>
        <v>35.954779100862147</v>
      </c>
      <c r="CG39" s="202">
        <f>('Expenditure DATA'!BA41/'Expenditure DATA'!V41)*100</f>
        <v>35.917281599912563</v>
      </c>
      <c r="CH39" s="202">
        <f>('Expenditure DATA'!BB41/'Expenditure DATA'!W41)*100</f>
        <v>36.378697730233597</v>
      </c>
      <c r="CI39" s="202">
        <f>('Expenditure DATA'!BC41/'Expenditure DATA'!X41)*100</f>
        <v>36.807174179176087</v>
      </c>
      <c r="CJ39" s="202">
        <f>('Expenditure DATA'!BD41/'Expenditure DATA'!Y41)*100</f>
        <v>35.718018029868169</v>
      </c>
      <c r="CK39" s="202">
        <f>('Expenditure DATA'!BE41/'Expenditure DATA'!Z41)*100</f>
        <v>35.575918753438714</v>
      </c>
      <c r="CL39" s="202">
        <f>('Expenditure DATA'!BF41/'Expenditure DATA'!AA41)*100</f>
        <v>34.371784546376666</v>
      </c>
      <c r="CM39" s="202">
        <f>('Expenditure DATA'!BG41/'Expenditure DATA'!AB41)*100</f>
        <v>34.7397078559043</v>
      </c>
      <c r="CN39" s="202">
        <f>('Expenditure DATA'!BH41/'Expenditure DATA'!AC41)*100</f>
        <v>34.996751813519147</v>
      </c>
      <c r="CO39" s="202">
        <f>('Expenditure DATA'!BI41/'Expenditure DATA'!AD41)*100</f>
        <v>34.358609193980648</v>
      </c>
      <c r="CP39" s="202">
        <f>('Expenditure DATA'!BJ41/'Expenditure DATA'!AE41)*100</f>
        <v>34.030968831610764</v>
      </c>
      <c r="CQ39" s="464">
        <f>('Expenditure DATA'!BK41/'Expenditure DATA'!AF41)*100</f>
        <v>35.191771867566843</v>
      </c>
      <c r="CR39" s="203" t="e">
        <f>('Expenditure DATA'!FA41/'Expenditure DATA'!B41)*100</f>
        <v>#DIV/0!</v>
      </c>
      <c r="CS39" s="202" t="e">
        <f>('Expenditure DATA'!FB41/'Expenditure DATA'!C41)*100</f>
        <v>#DIV/0!</v>
      </c>
      <c r="CT39" s="202" t="e">
        <f>('Expenditure DATA'!FC41/'Expenditure DATA'!D41)*100</f>
        <v>#DIV/0!</v>
      </c>
      <c r="CU39" s="202" t="e">
        <f>('Expenditure DATA'!FD41/'Expenditure DATA'!E41)*100</f>
        <v>#DIV/0!</v>
      </c>
      <c r="CV39" s="202" t="e">
        <f>('Expenditure DATA'!FE41/'Expenditure DATA'!F41)*100</f>
        <v>#DIV/0!</v>
      </c>
      <c r="CW39" s="202" t="e">
        <f>('Expenditure DATA'!FF41/'Expenditure DATA'!G41)*100</f>
        <v>#DIV/0!</v>
      </c>
      <c r="CX39" s="202" t="e">
        <f>('Expenditure DATA'!FG41/'Expenditure DATA'!H41)*100</f>
        <v>#DIV/0!</v>
      </c>
      <c r="CY39" s="202" t="e">
        <f>('Expenditure DATA'!FH41/'Expenditure DATA'!I41)*100</f>
        <v>#DIV/0!</v>
      </c>
      <c r="CZ39" s="202">
        <f>('Expenditure DATA'!FI41/'Expenditure DATA'!J41)*100</f>
        <v>20.236569027619456</v>
      </c>
      <c r="DA39" s="202">
        <f>('Expenditure DATA'!FJ41/'Expenditure DATA'!K41)*100</f>
        <v>21.437811001694698</v>
      </c>
      <c r="DB39" s="202">
        <f>('Expenditure DATA'!FK41/'Expenditure DATA'!L41)*100</f>
        <v>22.466766840023279</v>
      </c>
      <c r="DC39" s="202">
        <f>('Expenditure DATA'!FL41/'Expenditure DATA'!M41)*100</f>
        <v>22.441114438035765</v>
      </c>
      <c r="DD39" s="202">
        <f>('Expenditure DATA'!FM41/'Expenditure DATA'!N41)*100</f>
        <v>23.431515173773867</v>
      </c>
      <c r="DE39" s="202">
        <f>('Expenditure DATA'!FN41/'Expenditure DATA'!O41)*100</f>
        <v>24.693959441371529</v>
      </c>
      <c r="DF39" s="202">
        <f>('Expenditure DATA'!FO41/'Expenditure DATA'!P41)*100</f>
        <v>24.88298992190353</v>
      </c>
      <c r="DG39" s="202">
        <f>('Expenditure DATA'!FP41/'Expenditure DATA'!Q41)*100</f>
        <v>23.79057596235576</v>
      </c>
      <c r="DH39" s="202">
        <f>('Expenditure DATA'!FQ41/'Expenditure DATA'!R41)*100</f>
        <v>22.104510156189225</v>
      </c>
      <c r="DI39" s="202">
        <f>('Expenditure DATA'!FR41/'Expenditure DATA'!S41)*100</f>
        <v>21.884444778097176</v>
      </c>
      <c r="DJ39" s="202">
        <f>('Expenditure DATA'!FS41/'Expenditure DATA'!T41)*100</f>
        <v>20.927352424896871</v>
      </c>
      <c r="DK39" s="202">
        <f>('Expenditure DATA'!FT41/'Expenditure DATA'!U41)*100</f>
        <v>20.846155015350064</v>
      </c>
      <c r="DL39" s="202">
        <f>('Expenditure DATA'!FU41/'Expenditure DATA'!V41)*100</f>
        <v>20.775314251878381</v>
      </c>
      <c r="DM39" s="202">
        <f>('Expenditure DATA'!FV41/'Expenditure DATA'!W41)*100</f>
        <v>21.220358750876617</v>
      </c>
      <c r="DN39" s="202">
        <f>('Expenditure DATA'!FW41/'Expenditure DATA'!X41)*100</f>
        <v>21.633632310297866</v>
      </c>
      <c r="DO39" s="202">
        <f>('Expenditure DATA'!FX41/'Expenditure DATA'!Y41)*100</f>
        <v>22.642090483799137</v>
      </c>
      <c r="DP39" s="202">
        <f>('Expenditure DATA'!FY41/'Expenditure DATA'!Z41)*100</f>
        <v>21.895874722749685</v>
      </c>
      <c r="DQ39" s="202">
        <f>('Expenditure DATA'!FZ41/'Expenditure DATA'!AA41)*100</f>
        <v>21.776560589321917</v>
      </c>
      <c r="DR39" s="202">
        <f>('Expenditure DATA'!GA41/'Expenditure DATA'!AB41)*100</f>
        <v>22.542656992086705</v>
      </c>
      <c r="DS39" s="202">
        <f>('Expenditure DATA'!GB41/'Expenditure DATA'!AC41)*100</f>
        <v>22.965153812349747</v>
      </c>
      <c r="DT39" s="202">
        <f>('Expenditure DATA'!GC41/'Expenditure DATA'!AD41)*100</f>
        <v>22.843458065310038</v>
      </c>
      <c r="DU39" s="202">
        <f>('Expenditure DATA'!GD41/'Expenditure DATA'!AE41)*100</f>
        <v>23.28626090281864</v>
      </c>
      <c r="DV39" s="464">
        <f>('Expenditure DATA'!GE41/'Expenditure DATA'!AF41)*100</f>
        <v>21.723816425990762</v>
      </c>
      <c r="DW39" s="203" t="e">
        <f>('Expenditure DATA'!GF41/'Expenditure DATA'!B41)*100</f>
        <v>#DIV/0!</v>
      </c>
      <c r="DX39" s="202" t="e">
        <f>('Expenditure DATA'!GG41/'Expenditure DATA'!C41)*100</f>
        <v>#DIV/0!</v>
      </c>
      <c r="DY39" s="202" t="e">
        <f>('Expenditure DATA'!GH41/'Expenditure DATA'!D41)*100</f>
        <v>#DIV/0!</v>
      </c>
      <c r="DZ39" s="202" t="e">
        <f>('Expenditure DATA'!GI41/'Expenditure DATA'!E41)*100</f>
        <v>#DIV/0!</v>
      </c>
      <c r="EA39" s="202" t="e">
        <f>('Expenditure DATA'!GJ41/'Expenditure DATA'!F41)*100</f>
        <v>#DIV/0!</v>
      </c>
      <c r="EB39" s="202" t="e">
        <f>('Expenditure DATA'!GK41/'Expenditure DATA'!G41)*100</f>
        <v>#DIV/0!</v>
      </c>
      <c r="EC39" s="202" t="e">
        <f>('Expenditure DATA'!GL41/'Expenditure DATA'!H41)*100</f>
        <v>#DIV/0!</v>
      </c>
      <c r="ED39" s="202" t="e">
        <f>('Expenditure DATA'!GM41/'Expenditure DATA'!I41)*100</f>
        <v>#DIV/0!</v>
      </c>
      <c r="EE39" s="202">
        <f>('Expenditure DATA'!GN41/'Expenditure DATA'!J41)*100</f>
        <v>28.163897803565131</v>
      </c>
      <c r="EF39" s="202">
        <f>('Expenditure DATA'!GO41/'Expenditure DATA'!K41)*100</f>
        <v>27.752990678145746</v>
      </c>
      <c r="EG39" s="202">
        <f>('Expenditure DATA'!GP41/'Expenditure DATA'!L41)*100</f>
        <v>27.401017224973174</v>
      </c>
      <c r="EH39" s="202">
        <f>('Expenditure DATA'!GQ41/'Expenditure DATA'!M41)*100</f>
        <v>27.426534416893738</v>
      </c>
      <c r="EI39" s="202">
        <f>('Expenditure DATA'!GR41/'Expenditure DATA'!N41)*100</f>
        <v>27.17152531562671</v>
      </c>
      <c r="EJ39" s="202">
        <f>('Expenditure DATA'!GS41/'Expenditure DATA'!O41)*100</f>
        <v>26.377138643997178</v>
      </c>
      <c r="EK39" s="202">
        <f>('Expenditure DATA'!GT41/'Expenditure DATA'!P41)*100</f>
        <v>25.369402111865092</v>
      </c>
      <c r="EL39" s="202">
        <f>('Expenditure DATA'!GU41/'Expenditure DATA'!Q41)*100</f>
        <v>26.290459578771809</v>
      </c>
      <c r="EM39" s="202">
        <f>('Expenditure DATA'!GV41/'Expenditure DATA'!R41)*100</f>
        <v>26.586817858734573</v>
      </c>
      <c r="EN39" s="202">
        <f>('Expenditure DATA'!GW41/'Expenditure DATA'!S41)*100</f>
        <v>25.849456400340244</v>
      </c>
      <c r="EO39" s="202">
        <f>('Expenditure DATA'!GX41/'Expenditure DATA'!T41)*100</f>
        <v>25.982898936254866</v>
      </c>
      <c r="EP39" s="202">
        <f>('Expenditure DATA'!GY41/'Expenditure DATA'!U41)*100</f>
        <v>26.623567222588974</v>
      </c>
      <c r="EQ39" s="202">
        <f>('Expenditure DATA'!GZ41/'Expenditure DATA'!V41)*100</f>
        <v>27.182518927936684</v>
      </c>
      <c r="ER39" s="202">
        <f>('Expenditure DATA'!HA41/'Expenditure DATA'!W41)*100</f>
        <v>26.016940895128354</v>
      </c>
      <c r="ES39" s="202">
        <f>('Expenditure DATA'!HB41/'Expenditure DATA'!X41)*100</f>
        <v>24.934571416376897</v>
      </c>
      <c r="ET39" s="202">
        <f>('Expenditure DATA'!HC41/'Expenditure DATA'!Y41)*100</f>
        <v>24.355713776760581</v>
      </c>
      <c r="EU39" s="202">
        <f>('Expenditure DATA'!HD41/'Expenditure DATA'!Z41)*100</f>
        <v>24.670991321877381</v>
      </c>
      <c r="EV39" s="202">
        <f>('Expenditure DATA'!HE41/'Expenditure DATA'!AA41)*100</f>
        <v>25.870175921067894</v>
      </c>
      <c r="EW39" s="202">
        <f>('Expenditure DATA'!HF41/'Expenditure DATA'!AB41)*100</f>
        <v>25.281346668073045</v>
      </c>
      <c r="EX39" s="202">
        <f>('Expenditure DATA'!HG41/'Expenditure DATA'!AC41)*100</f>
        <v>24.942076692892577</v>
      </c>
      <c r="EY39" s="202">
        <f>('Expenditure DATA'!HH41/'Expenditure DATA'!AD41)*100</f>
        <v>25.684536181226076</v>
      </c>
      <c r="EZ39" s="202">
        <f>('Expenditure DATA'!HI41/'Expenditure DATA'!AE41)*100</f>
        <v>25.197659598907297</v>
      </c>
      <c r="FA39" s="464">
        <f>('Expenditure DATA'!HJ41/'Expenditure DATA'!AF41)*100</f>
        <v>25.062399218129812</v>
      </c>
      <c r="FB39" s="203" t="e">
        <f>('Expenditure DATA'!HK41/'Expenditure DATA'!B41)*100</f>
        <v>#DIV/0!</v>
      </c>
      <c r="FC39" s="202" t="e">
        <f>('Expenditure DATA'!HL41/'Expenditure DATA'!C41)*100</f>
        <v>#DIV/0!</v>
      </c>
      <c r="FD39" s="202" t="e">
        <f>('Expenditure DATA'!HM41/'Expenditure DATA'!D41)*100</f>
        <v>#DIV/0!</v>
      </c>
      <c r="FE39" s="202" t="e">
        <f>('Expenditure DATA'!HN41/'Expenditure DATA'!E41)*100</f>
        <v>#DIV/0!</v>
      </c>
      <c r="FF39" s="202" t="e">
        <f>('Expenditure DATA'!HO41/'Expenditure DATA'!F41)*100</f>
        <v>#DIV/0!</v>
      </c>
      <c r="FG39" s="202" t="e">
        <f>('Expenditure DATA'!HP41/'Expenditure DATA'!G41)*100</f>
        <v>#DIV/0!</v>
      </c>
      <c r="FH39" s="202" t="e">
        <f>('Expenditure DATA'!HQ41/'Expenditure DATA'!H41)*100</f>
        <v>#DIV/0!</v>
      </c>
      <c r="FI39" s="202" t="e">
        <f>('Expenditure DATA'!HR41/'Expenditure DATA'!I41)*100</f>
        <v>#DIV/0!</v>
      </c>
      <c r="FJ39" s="202">
        <f>('Expenditure DATA'!HS41/'Expenditure DATA'!J41)*100</f>
        <v>5.4068474422011814</v>
      </c>
      <c r="FK39" s="202">
        <f>('Expenditure DATA'!HT41/'Expenditure DATA'!K41)*100</f>
        <v>5.2684778901515736</v>
      </c>
      <c r="FL39" s="202">
        <f>('Expenditure DATA'!HU41/'Expenditure DATA'!L41)*100</f>
        <v>5.1499537613739701</v>
      </c>
      <c r="FM39" s="202">
        <f>('Expenditure DATA'!HV41/'Expenditure DATA'!M41)*100</f>
        <v>4.7991317952891084</v>
      </c>
      <c r="FN39" s="202">
        <f>('Expenditure DATA'!HW41/'Expenditure DATA'!N41)*100</f>
        <v>5.1603207294409668</v>
      </c>
      <c r="FO39" s="202">
        <f>('Expenditure DATA'!HX41/'Expenditure DATA'!O41)*100</f>
        <v>4.892716559290081</v>
      </c>
      <c r="FP39" s="202">
        <f>('Expenditure DATA'!HY41/'Expenditure DATA'!P41)*100</f>
        <v>5.2231909343056513</v>
      </c>
      <c r="FQ39" s="202">
        <f>('Expenditure DATA'!HZ41/'Expenditure DATA'!Q41)*100</f>
        <v>5.5519120387461616</v>
      </c>
      <c r="FR39" s="202">
        <f>('Expenditure DATA'!IA41/'Expenditure DATA'!R41)*100</f>
        <v>5.4099523115041048</v>
      </c>
      <c r="FS39" s="202">
        <f>('Expenditure DATA'!IB41/'Expenditure DATA'!S41)*100</f>
        <v>5.2778216515495524</v>
      </c>
      <c r="FT39" s="202">
        <f>('Expenditure DATA'!IC41/'Expenditure DATA'!T41)*100</f>
        <v>5.7692819768861368</v>
      </c>
      <c r="FU39" s="202">
        <f>('Expenditure DATA'!ID41/'Expenditure DATA'!U41)*100</f>
        <v>5.689299665973774</v>
      </c>
      <c r="FV39" s="202">
        <f>('Expenditure DATA'!IE41/'Expenditure DATA'!V41)*100</f>
        <v>5.6195190165554543</v>
      </c>
      <c r="FW39" s="202">
        <f>('Expenditure DATA'!IF41/'Expenditure DATA'!W41)*100</f>
        <v>5.4594877287632606</v>
      </c>
      <c r="FX39" s="202">
        <f>('Expenditure DATA'!IG41/'Expenditure DATA'!X41)*100</f>
        <v>5.3108807915389695</v>
      </c>
      <c r="FY39" s="202">
        <f>('Expenditure DATA'!IH41/'Expenditure DATA'!Y41)*100</f>
        <v>5.1142233581657326</v>
      </c>
      <c r="FZ39" s="202">
        <f>('Expenditure DATA'!II41/'Expenditure DATA'!Z41)*100</f>
        <v>4.9420432642080137</v>
      </c>
      <c r="GA39" s="202">
        <f>('Expenditure DATA'!IJ41/'Expenditure DATA'!AA41)*100</f>
        <v>4.9065502660703686</v>
      </c>
      <c r="GB39" s="202">
        <f>('Expenditure DATA'!IK41/'Expenditure DATA'!AB41)*100</f>
        <v>4.5899868311531078</v>
      </c>
      <c r="GC39" s="202">
        <f>('Expenditure DATA'!IL41/'Expenditure DATA'!AC41)*100</f>
        <v>4.6515458071129956</v>
      </c>
      <c r="GD39" s="202">
        <f>('Expenditure DATA'!IM41/'Expenditure DATA'!AD41)*100</f>
        <v>4.6231338250317284</v>
      </c>
      <c r="GE39" s="202">
        <f>('Expenditure DATA'!IN41/'Expenditure DATA'!AE41)*100</f>
        <v>4.6688536546191619</v>
      </c>
      <c r="GF39" s="464">
        <f>('Expenditure DATA'!IO41/'Expenditure DATA'!AF41)*100</f>
        <v>4.6341072375071857</v>
      </c>
      <c r="GG39" s="203" t="e">
        <f>('Expenditure DATA'!IP41/'Expenditure DATA'!B41)*100</f>
        <v>#DIV/0!</v>
      </c>
      <c r="GH39" s="202" t="e">
        <f>('Expenditure DATA'!IQ41/'Expenditure DATA'!C41)*100</f>
        <v>#DIV/0!</v>
      </c>
      <c r="GI39" s="202" t="e">
        <f>('Expenditure DATA'!IR41/'Expenditure DATA'!D41)*100</f>
        <v>#DIV/0!</v>
      </c>
      <c r="GJ39" s="202" t="e">
        <f>('Expenditure DATA'!IS41/'Expenditure DATA'!E41)*100</f>
        <v>#DIV/0!</v>
      </c>
      <c r="GK39" s="202" t="e">
        <f>('Expenditure DATA'!IT41/'Expenditure DATA'!F41)*100</f>
        <v>#DIV/0!</v>
      </c>
      <c r="GL39" s="202" t="e">
        <f>('Expenditure DATA'!IU41/'Expenditure DATA'!G41)*100</f>
        <v>#DIV/0!</v>
      </c>
      <c r="GM39" s="202" t="e">
        <f>('Expenditure DATA'!IV41/'Expenditure DATA'!H41)*100</f>
        <v>#DIV/0!</v>
      </c>
      <c r="GN39" s="202" t="e">
        <f>('Expenditure DATA'!IW41/'Expenditure DATA'!I41)*100</f>
        <v>#DIV/0!</v>
      </c>
      <c r="GO39" s="202">
        <f>('Expenditure DATA'!IX41/'Expenditure DATA'!J41)*100</f>
        <v>11.189156930570196</v>
      </c>
      <c r="GP39" s="202">
        <f>('Expenditure DATA'!IY41/'Expenditure DATA'!K41)*100</f>
        <v>11.177551998977767</v>
      </c>
      <c r="GQ39" s="202">
        <f>('Expenditure DATA'!IZ41/'Expenditure DATA'!L41)*100</f>
        <v>11.167611485431671</v>
      </c>
      <c r="GR39" s="202">
        <f>('Expenditure DATA'!JA41/'Expenditure DATA'!M41)*100</f>
        <v>10.868669843826323</v>
      </c>
      <c r="GS39" s="202">
        <f>('Expenditure DATA'!JB41/'Expenditure DATA'!N41)*100</f>
        <v>10.887855192136406</v>
      </c>
      <c r="GT39" s="202">
        <f>('Expenditure DATA'!JC41/'Expenditure DATA'!O41)*100</f>
        <v>10.673502164419448</v>
      </c>
      <c r="GU39" s="202">
        <f>('Expenditure DATA'!JD41/'Expenditure DATA'!P41)*100</f>
        <v>10.500857694470476</v>
      </c>
      <c r="GV39" s="202">
        <f>('Expenditure DATA'!JE41/'Expenditure DATA'!Q41)*100</f>
        <v>10.785135422771157</v>
      </c>
      <c r="GW39" s="202">
        <f>('Expenditure DATA'!JF41/'Expenditure DATA'!R41)*100</f>
        <v>10.496618926463498</v>
      </c>
      <c r="GX39" s="202">
        <f>('Expenditure DATA'!JG41/'Expenditure DATA'!S41)*100</f>
        <v>10.829019407751293</v>
      </c>
      <c r="GY39" s="202">
        <f>('Expenditure DATA'!JH41/'Expenditure DATA'!T41)*100</f>
        <v>11.32270807030439</v>
      </c>
      <c r="GZ39" s="202">
        <f>('Expenditure DATA'!JI41/'Expenditure DATA'!U41)*100</f>
        <v>10.886198995225048</v>
      </c>
      <c r="HA39" s="202">
        <f>('Expenditure DATA'!JJ41/'Expenditure DATA'!V41)*100</f>
        <v>10.50536620371691</v>
      </c>
      <c r="HB39" s="202">
        <f>('Expenditure DATA'!JK41/'Expenditure DATA'!W41)*100</f>
        <v>10.924514894998181</v>
      </c>
      <c r="HC39" s="202">
        <f>('Expenditure DATA'!JL41/'Expenditure DATA'!X41)*100</f>
        <v>11.31374130261019</v>
      </c>
      <c r="HD39" s="202">
        <f>('Expenditure DATA'!JM41/'Expenditure DATA'!Y41)*100</f>
        <v>12.169954351406373</v>
      </c>
      <c r="HE39" s="202">
        <f>('Expenditure DATA'!JN41/'Expenditure DATA'!Z41)*100</f>
        <v>12.915171937726205</v>
      </c>
      <c r="HF39" s="202">
        <f>('Expenditure DATA'!JO41/'Expenditure DATA'!AA41)*100</f>
        <v>13.074928677163161</v>
      </c>
      <c r="HG39" s="202">
        <f>('Expenditure DATA'!JP41/'Expenditure DATA'!AB41)*100</f>
        <v>12.846301652782833</v>
      </c>
      <c r="HH39" s="202">
        <f>('Expenditure DATA'!JQ41/'Expenditure DATA'!AC41)*100</f>
        <v>12.444471874125524</v>
      </c>
      <c r="HI39" s="202">
        <f>('Expenditure DATA'!JR41/'Expenditure DATA'!AD41)*100</f>
        <v>12.49026176824926</v>
      </c>
      <c r="HJ39" s="202">
        <f>('Expenditure DATA'!JS41/'Expenditure DATA'!AE41)*100</f>
        <v>12.816257012044144</v>
      </c>
      <c r="HK39" s="464">
        <f>('Expenditure DATA'!JT41/'Expenditure DATA'!AF41)*100</f>
        <v>13.387905250805405</v>
      </c>
      <c r="HL39" s="203" t="e">
        <f t="shared" si="1"/>
        <v>#DIV/0!</v>
      </c>
      <c r="HM39" s="204" t="e">
        <f t="shared" si="2"/>
        <v>#DIV/0!</v>
      </c>
      <c r="HN39" s="204" t="e">
        <f t="shared" si="3"/>
        <v>#DIV/0!</v>
      </c>
      <c r="HO39" s="204" t="e">
        <f t="shared" si="4"/>
        <v>#DIV/0!</v>
      </c>
      <c r="HP39" s="204" t="e">
        <f t="shared" si="5"/>
        <v>#DIV/0!</v>
      </c>
      <c r="HQ39" s="204" t="e">
        <f t="shared" si="6"/>
        <v>#DIV/0!</v>
      </c>
      <c r="HR39" s="204" t="e">
        <f t="shared" si="7"/>
        <v>#DIV/0!</v>
      </c>
      <c r="HS39" s="204" t="e">
        <f t="shared" si="8"/>
        <v>#DIV/0!</v>
      </c>
      <c r="HT39" s="204">
        <f t="shared" si="9"/>
        <v>100.00000000000001</v>
      </c>
      <c r="HU39" s="204">
        <f t="shared" si="10"/>
        <v>100</v>
      </c>
      <c r="HV39" s="204">
        <f t="shared" si="11"/>
        <v>100</v>
      </c>
      <c r="HW39" s="204">
        <f t="shared" si="12"/>
        <v>100.00000000000001</v>
      </c>
      <c r="HX39" s="204">
        <f t="shared" si="13"/>
        <v>100</v>
      </c>
      <c r="HY39" s="204">
        <f t="shared" si="14"/>
        <v>100.00000000000001</v>
      </c>
      <c r="HZ39" s="204">
        <f t="shared" si="15"/>
        <v>100</v>
      </c>
      <c r="IA39" s="204">
        <f t="shared" si="16"/>
        <v>100.00000000000001</v>
      </c>
      <c r="IB39" s="204">
        <f t="shared" si="17"/>
        <v>100</v>
      </c>
      <c r="IC39" s="204">
        <f t="shared" si="18"/>
        <v>100</v>
      </c>
      <c r="ID39" s="204">
        <f t="shared" si="19"/>
        <v>100</v>
      </c>
      <c r="IE39" s="204">
        <f t="shared" si="20"/>
        <v>100</v>
      </c>
      <c r="IF39" s="204">
        <f t="shared" si="21"/>
        <v>100</v>
      </c>
      <c r="IG39" s="204">
        <f t="shared" si="22"/>
        <v>100.00000000000001</v>
      </c>
      <c r="IH39" s="204">
        <f t="shared" si="23"/>
        <v>100</v>
      </c>
      <c r="II39" s="204">
        <f t="shared" si="24"/>
        <v>100</v>
      </c>
      <c r="IJ39" s="204">
        <f t="shared" si="25"/>
        <v>99.999999999999986</v>
      </c>
      <c r="IK39" s="204">
        <f t="shared" si="26"/>
        <v>100</v>
      </c>
      <c r="IL39" s="204">
        <f t="shared" ref="IL39:IL51" si="37">+CM39+DR39+EW39+GB39+HG39</f>
        <v>99.999999999999986</v>
      </c>
      <c r="IM39" s="204">
        <f t="shared" ref="IM39:IM51" si="38">+CN39+DS39+EX39+GC39+HH39</f>
        <v>100</v>
      </c>
      <c r="IN39" s="204">
        <f t="shared" ref="IN39:IN51" si="39">+CO39+DT39+EY39+GD39+HI39</f>
        <v>99.999999033797749</v>
      </c>
      <c r="IO39" s="204">
        <f t="shared" ref="IO39:IO51" si="40">+CP39+DU39+EZ39+GE39+HJ39</f>
        <v>100</v>
      </c>
      <c r="IP39" s="204">
        <f t="shared" ref="IP39:IP51" si="41">+CQ39+DV39+FA39+GF39+HK39</f>
        <v>100</v>
      </c>
    </row>
    <row r="40" spans="1:250" s="164" customFormat="1">
      <c r="A40" s="164" t="s">
        <v>55</v>
      </c>
      <c r="C40" s="202" t="e">
        <f>('Expenditure DATA'!CQ42/'Expenditure DATA'!B42)*100</f>
        <v>#DIV/0!</v>
      </c>
      <c r="D40" s="202" t="e">
        <f>('Expenditure DATA'!CR42/'Expenditure DATA'!C42)*100</f>
        <v>#DIV/0!</v>
      </c>
      <c r="E40" s="202" t="e">
        <f>('Expenditure DATA'!CS42/'Expenditure DATA'!D42)*100</f>
        <v>#DIV/0!</v>
      </c>
      <c r="F40" s="202" t="e">
        <f>('Expenditure DATA'!CT42/'Expenditure DATA'!E42)*100</f>
        <v>#DIV/0!</v>
      </c>
      <c r="G40" s="202" t="e">
        <f>('Expenditure DATA'!CU42/'Expenditure DATA'!F42)*100</f>
        <v>#DIV/0!</v>
      </c>
      <c r="H40" s="202" t="e">
        <f>('Expenditure DATA'!CV42/'Expenditure DATA'!G42)*100</f>
        <v>#DIV/0!</v>
      </c>
      <c r="I40" s="202" t="e">
        <f>('Expenditure DATA'!CW42/'Expenditure DATA'!H42)*100</f>
        <v>#DIV/0!</v>
      </c>
      <c r="J40" s="202" t="e">
        <f>('Expenditure DATA'!CX42/'Expenditure DATA'!I42)*100</f>
        <v>#DIV/0!</v>
      </c>
      <c r="K40" s="202">
        <f>('Expenditure DATA'!CY42/'Expenditure DATA'!J42)*100</f>
        <v>11.743429803831251</v>
      </c>
      <c r="L40" s="202">
        <f>('Expenditure DATA'!CZ42/'Expenditure DATA'!K42)*100</f>
        <v>11.937940415980531</v>
      </c>
      <c r="M40" s="202">
        <f>('Expenditure DATA'!DA42/'Expenditure DATA'!L42)*100</f>
        <v>12.102756239458758</v>
      </c>
      <c r="N40" s="202">
        <f>('Expenditure DATA'!DB42/'Expenditure DATA'!M42)*100</f>
        <v>11.247505593820172</v>
      </c>
      <c r="O40" s="202">
        <f>('Expenditure DATA'!DC42/'Expenditure DATA'!N42)*100</f>
        <v>11.492552803440208</v>
      </c>
      <c r="P40" s="202">
        <f>('Expenditure DATA'!DD42/'Expenditure DATA'!O42)*100</f>
        <v>12.094002575666831</v>
      </c>
      <c r="Q40" s="202">
        <f>('Expenditure DATA'!DE42/'Expenditure DATA'!P42)*100</f>
        <v>13.04750750054977</v>
      </c>
      <c r="R40" s="202">
        <f>('Expenditure DATA'!DF42/'Expenditure DATA'!Q42)*100</f>
        <v>12.642408268140379</v>
      </c>
      <c r="S40" s="202">
        <f>('Expenditure DATA'!DG42/'Expenditure DATA'!R42)*100</f>
        <v>12.93128387234753</v>
      </c>
      <c r="T40" s="202">
        <f>('Expenditure DATA'!DH42/'Expenditure DATA'!S42)*100</f>
        <v>12.306941395426078</v>
      </c>
      <c r="U40" s="202">
        <f>('Expenditure DATA'!DI42/'Expenditure DATA'!T42)*100</f>
        <v>12.58603661221556</v>
      </c>
      <c r="V40" s="202">
        <f>('Expenditure DATA'!DJ42/'Expenditure DATA'!U42)*100</f>
        <v>11.751331237152769</v>
      </c>
      <c r="W40" s="202">
        <f>('Expenditure DATA'!DK42/'Expenditure DATA'!V42)*100</f>
        <v>11.019765623068105</v>
      </c>
      <c r="X40" s="202">
        <f>('Expenditure DATA'!DL42/'Expenditure DATA'!W42)*100</f>
        <v>11.130510830709607</v>
      </c>
      <c r="Y40" s="202">
        <f>('Expenditure DATA'!DM42/'Expenditure DATA'!X42)*100</f>
        <v>11.232706694194237</v>
      </c>
      <c r="Z40" s="202">
        <f>('Expenditure DATA'!DN42/'Expenditure DATA'!Y42)*100</f>
        <v>11.102756764939086</v>
      </c>
      <c r="AA40" s="202">
        <f>('Expenditure DATA'!DO42/'Expenditure DATA'!Z42)*100</f>
        <v>10.799429164348876</v>
      </c>
      <c r="AB40" s="202">
        <f>('Expenditure DATA'!DP42/'Expenditure DATA'!AA42)*100</f>
        <v>10.916190135900363</v>
      </c>
      <c r="AC40" s="202">
        <f>('Expenditure DATA'!DQ42/'Expenditure DATA'!AB42)*100</f>
        <v>11.001812637484068</v>
      </c>
      <c r="AD40" s="202">
        <f>('Expenditure DATA'!DR42/'Expenditure DATA'!AC42)*100</f>
        <v>11.794387041615389</v>
      </c>
      <c r="AE40" s="202">
        <f>('Expenditure DATA'!DS42/'Expenditure DATA'!AD42)*100</f>
        <v>12.086741585232936</v>
      </c>
      <c r="AF40" s="202">
        <f>('Expenditure DATA'!DT42/'Expenditure DATA'!AE42)*100</f>
        <v>12.040186336050999</v>
      </c>
      <c r="AG40" s="464">
        <f>('Expenditure DATA'!DU42/'Expenditure DATA'!AF42)*100</f>
        <v>13.128335180769247</v>
      </c>
      <c r="AH40" s="203" t="e">
        <f>('Expenditure DATA'!BL42/'Expenditure DATA'!B42)*100</f>
        <v>#DIV/0!</v>
      </c>
      <c r="AI40" s="202" t="e">
        <f>('Expenditure DATA'!BM42/'Expenditure DATA'!C42)*100</f>
        <v>#DIV/0!</v>
      </c>
      <c r="AJ40" s="202" t="e">
        <f>('Expenditure DATA'!BN42/'Expenditure DATA'!D42)*100</f>
        <v>#DIV/0!</v>
      </c>
      <c r="AK40" s="202" t="e">
        <f>('Expenditure DATA'!BO42/'Expenditure DATA'!E42)*100</f>
        <v>#DIV/0!</v>
      </c>
      <c r="AL40" s="202" t="e">
        <f>('Expenditure DATA'!BP42/'Expenditure DATA'!F42)*100</f>
        <v>#DIV/0!</v>
      </c>
      <c r="AM40" s="202" t="e">
        <f>('Expenditure DATA'!BQ42/'Expenditure DATA'!G42)*100</f>
        <v>#DIV/0!</v>
      </c>
      <c r="AN40" s="202" t="e">
        <f>('Expenditure DATA'!BR42/'Expenditure DATA'!H42)*100</f>
        <v>#DIV/0!</v>
      </c>
      <c r="AO40" s="202" t="e">
        <f>('Expenditure DATA'!BS42/'Expenditure DATA'!I42)*100</f>
        <v>#DIV/0!</v>
      </c>
      <c r="AP40" s="202">
        <f>('Expenditure DATA'!BT42/'Expenditure DATA'!J42)*100</f>
        <v>26.918795388431207</v>
      </c>
      <c r="AQ40" s="202">
        <f>('Expenditure DATA'!BU42/'Expenditure DATA'!K42)*100</f>
        <v>26.899302225146947</v>
      </c>
      <c r="AR40" s="202">
        <f>('Expenditure DATA'!BV42/'Expenditure DATA'!L42)*100</f>
        <v>26.882784968204561</v>
      </c>
      <c r="AS40" s="202">
        <f>('Expenditure DATA'!BW42/'Expenditure DATA'!M42)*100</f>
        <v>24.634652095236138</v>
      </c>
      <c r="AT40" s="202">
        <f>('Expenditure DATA'!BX42/'Expenditure DATA'!N42)*100</f>
        <v>25.2463228013331</v>
      </c>
      <c r="AU40" s="202">
        <f>('Expenditure DATA'!BY42/'Expenditure DATA'!O42)*100</f>
        <v>26.624485963145126</v>
      </c>
      <c r="AV40" s="202">
        <f>('Expenditure DATA'!BZ42/'Expenditure DATA'!P42)*100</f>
        <v>27.043064731253789</v>
      </c>
      <c r="AW40" s="202">
        <f>('Expenditure DATA'!CA42/'Expenditure DATA'!Q42)*100</f>
        <v>26.715648627480238</v>
      </c>
      <c r="AX40" s="202">
        <f>('Expenditure DATA'!CB42/'Expenditure DATA'!R42)*100</f>
        <v>27.047850983293525</v>
      </c>
      <c r="AY40" s="202">
        <f>('Expenditure DATA'!CC42/'Expenditure DATA'!S42)*100</f>
        <v>26.092008638352997</v>
      </c>
      <c r="AZ40" s="202">
        <f>('Expenditure DATA'!CD42/'Expenditure DATA'!T42)*100</f>
        <v>25.575461575250468</v>
      </c>
      <c r="BA40" s="202">
        <f>('Expenditure DATA'!CE42/'Expenditure DATA'!U42)*100</f>
        <v>24.926341189948083</v>
      </c>
      <c r="BB40" s="202">
        <f>('Expenditure DATA'!CF42/'Expenditure DATA'!V42)*100</f>
        <v>24.357428891698067</v>
      </c>
      <c r="BC40" s="202">
        <f>('Expenditure DATA'!CG42/'Expenditure DATA'!W42)*100</f>
        <v>24.730889497419042</v>
      </c>
      <c r="BD40" s="202">
        <f>('Expenditure DATA'!CH42/'Expenditure DATA'!X42)*100</f>
        <v>25.075519571188899</v>
      </c>
      <c r="BE40" s="202">
        <f>('Expenditure DATA'!CI42/'Expenditure DATA'!Y42)*100</f>
        <v>25.235988317203194</v>
      </c>
      <c r="BF40" s="202">
        <f>('Expenditure DATA'!CJ42/'Expenditure DATA'!Z42)*100</f>
        <v>24.411091583066387</v>
      </c>
      <c r="BG40" s="202">
        <f>('Expenditure DATA'!CK42/'Expenditure DATA'!AA42)*100</f>
        <v>23.746634900876213</v>
      </c>
      <c r="BH40" s="202">
        <f>('Expenditure DATA'!CL42/'Expenditure DATA'!AB42)*100</f>
        <v>21.790254815545381</v>
      </c>
      <c r="BI40" s="202">
        <f>('Expenditure DATA'!CM42/'Expenditure DATA'!AC42)*100</f>
        <v>22.67818503716936</v>
      </c>
      <c r="BJ40" s="202">
        <f>('Expenditure DATA'!CN42/'Expenditure DATA'!AD42)*100</f>
        <v>22.448664074449916</v>
      </c>
      <c r="BK40" s="202">
        <f>('Expenditure DATA'!CO42/'Expenditure DATA'!AE42)*100</f>
        <v>21.230174259360332</v>
      </c>
      <c r="BL40" s="464">
        <f>('Expenditure DATA'!CP42/'Expenditure DATA'!AF42)*100</f>
        <v>21.396197092025247</v>
      </c>
      <c r="BM40" s="203" t="e">
        <f>('Expenditure DATA'!AG42/'Expenditure DATA'!B42)*100</f>
        <v>#DIV/0!</v>
      </c>
      <c r="BN40" s="202" t="e">
        <f>('Expenditure DATA'!AH42/'Expenditure DATA'!C42)*100</f>
        <v>#DIV/0!</v>
      </c>
      <c r="BO40" s="202" t="e">
        <f>('Expenditure DATA'!AI42/'Expenditure DATA'!D42)*100</f>
        <v>#DIV/0!</v>
      </c>
      <c r="BP40" s="202" t="e">
        <f>('Expenditure DATA'!AJ42/'Expenditure DATA'!E42)*100</f>
        <v>#DIV/0!</v>
      </c>
      <c r="BQ40" s="202" t="e">
        <f>('Expenditure DATA'!AK42/'Expenditure DATA'!F42)*100</f>
        <v>#DIV/0!</v>
      </c>
      <c r="BR40" s="202" t="e">
        <f>('Expenditure DATA'!AL42/'Expenditure DATA'!G42)*100</f>
        <v>#DIV/0!</v>
      </c>
      <c r="BS40" s="202" t="e">
        <f>('Expenditure DATA'!AM42/'Expenditure DATA'!H42)*100</f>
        <v>#DIV/0!</v>
      </c>
      <c r="BT40" s="202" t="e">
        <f>('Expenditure DATA'!AN42/'Expenditure DATA'!I42)*100</f>
        <v>#DIV/0!</v>
      </c>
      <c r="BU40" s="202">
        <f>('Expenditure DATA'!AO42/'Expenditure DATA'!J42)*100</f>
        <v>41.744760312766921</v>
      </c>
      <c r="BV40" s="202">
        <f>('Expenditure DATA'!AP42/'Expenditure DATA'!K42)*100</f>
        <v>41.463387305114466</v>
      </c>
      <c r="BW40" s="202">
        <f>('Expenditure DATA'!AQ42/'Expenditure DATA'!L42)*100</f>
        <v>41.224969856069585</v>
      </c>
      <c r="BX40" s="202">
        <f>('Expenditure DATA'!AR42/'Expenditure DATA'!M42)*100</f>
        <v>38.202435213996864</v>
      </c>
      <c r="BY40" s="202">
        <f>('Expenditure DATA'!AS42/'Expenditure DATA'!N42)*100</f>
        <v>38.850290346106377</v>
      </c>
      <c r="BZ40" s="202">
        <f>('Expenditure DATA'!AT42/'Expenditure DATA'!O42)*100</f>
        <v>40.959005797140904</v>
      </c>
      <c r="CA40" s="202">
        <f>('Expenditure DATA'!AU42/'Expenditure DATA'!P42)*100</f>
        <v>42.376479102613537</v>
      </c>
      <c r="CB40" s="202">
        <f>('Expenditure DATA'!AV42/'Expenditure DATA'!Q42)*100</f>
        <v>41.874078561161888</v>
      </c>
      <c r="CC40" s="202">
        <f>('Expenditure DATA'!AW42/'Expenditure DATA'!R42)*100</f>
        <v>42.435988517335979</v>
      </c>
      <c r="CD40" s="202">
        <f>('Expenditure DATA'!AX42/'Expenditure DATA'!S42)*100</f>
        <v>40.993310080845127</v>
      </c>
      <c r="CE40" s="202">
        <f>('Expenditure DATA'!AY42/'Expenditure DATA'!T42)*100</f>
        <v>40.605652384028637</v>
      </c>
      <c r="CF40" s="202">
        <f>('Expenditure DATA'!AZ42/'Expenditure DATA'!U42)*100</f>
        <v>39.284896937788929</v>
      </c>
      <c r="CG40" s="202">
        <f>('Expenditure DATA'!BA42/'Expenditure DATA'!V42)*100</f>
        <v>38.127339675130443</v>
      </c>
      <c r="CH40" s="202">
        <f>('Expenditure DATA'!BB42/'Expenditure DATA'!W42)*100</f>
        <v>38.711281150432221</v>
      </c>
      <c r="CI40" s="202">
        <f>('Expenditure DATA'!BC42/'Expenditure DATA'!X42)*100</f>
        <v>39.25014332391909</v>
      </c>
      <c r="CJ40" s="202">
        <f>('Expenditure DATA'!BD42/'Expenditure DATA'!Y42)*100</f>
        <v>39.282933028960535</v>
      </c>
      <c r="CK40" s="202">
        <f>('Expenditure DATA'!BE42/'Expenditure DATA'!Z42)*100</f>
        <v>38.212880197443717</v>
      </c>
      <c r="CL40" s="202">
        <f>('Expenditure DATA'!BF42/'Expenditure DATA'!AA42)*100</f>
        <v>37.863884219252505</v>
      </c>
      <c r="CM40" s="202">
        <f>('Expenditure DATA'!BG42/'Expenditure DATA'!AB42)*100</f>
        <v>35.974157754048605</v>
      </c>
      <c r="CN40" s="202">
        <f>('Expenditure DATA'!BH42/'Expenditure DATA'!AC42)*100</f>
        <v>37.558509244497479</v>
      </c>
      <c r="CO40" s="202">
        <f>('Expenditure DATA'!BI42/'Expenditure DATA'!AD42)*100</f>
        <v>37.732877654662389</v>
      </c>
      <c r="CP40" s="202">
        <f>('Expenditure DATA'!BJ42/'Expenditure DATA'!AE42)*100</f>
        <v>36.511945031763183</v>
      </c>
      <c r="CQ40" s="464">
        <f>('Expenditure DATA'!BK42/'Expenditure DATA'!AF42)*100</f>
        <v>37.793216033909147</v>
      </c>
      <c r="CR40" s="203" t="e">
        <f>('Expenditure DATA'!FA42/'Expenditure DATA'!B42)*100</f>
        <v>#DIV/0!</v>
      </c>
      <c r="CS40" s="202" t="e">
        <f>('Expenditure DATA'!FB42/'Expenditure DATA'!C42)*100</f>
        <v>#DIV/0!</v>
      </c>
      <c r="CT40" s="202" t="e">
        <f>('Expenditure DATA'!FC42/'Expenditure DATA'!D42)*100</f>
        <v>#DIV/0!</v>
      </c>
      <c r="CU40" s="202" t="e">
        <f>('Expenditure DATA'!FD42/'Expenditure DATA'!E42)*100</f>
        <v>#DIV/0!</v>
      </c>
      <c r="CV40" s="202" t="e">
        <f>('Expenditure DATA'!FE42/'Expenditure DATA'!F42)*100</f>
        <v>#DIV/0!</v>
      </c>
      <c r="CW40" s="202" t="e">
        <f>('Expenditure DATA'!FF42/'Expenditure DATA'!G42)*100</f>
        <v>#DIV/0!</v>
      </c>
      <c r="CX40" s="202" t="e">
        <f>('Expenditure DATA'!FG42/'Expenditure DATA'!H42)*100</f>
        <v>#DIV/0!</v>
      </c>
      <c r="CY40" s="202" t="e">
        <f>('Expenditure DATA'!FH42/'Expenditure DATA'!I42)*100</f>
        <v>#DIV/0!</v>
      </c>
      <c r="CZ40" s="202">
        <f>('Expenditure DATA'!FI42/'Expenditure DATA'!J42)*100</f>
        <v>23.834548960410078</v>
      </c>
      <c r="DA40" s="202">
        <f>('Expenditure DATA'!FJ42/'Expenditure DATA'!K42)*100</f>
        <v>25.140653740183165</v>
      </c>
      <c r="DB40" s="202">
        <f>('Expenditure DATA'!FK42/'Expenditure DATA'!L42)*100</f>
        <v>26.247363201680031</v>
      </c>
      <c r="DC40" s="202">
        <f>('Expenditure DATA'!FL42/'Expenditure DATA'!M42)*100</f>
        <v>28.163839318532009</v>
      </c>
      <c r="DD40" s="202">
        <f>('Expenditure DATA'!FM42/'Expenditure DATA'!N42)*100</f>
        <v>29.37008664593791</v>
      </c>
      <c r="DE40" s="202">
        <f>('Expenditure DATA'!FN42/'Expenditure DATA'!O42)*100</f>
        <v>26.390300489422071</v>
      </c>
      <c r="DF40" s="202">
        <f>('Expenditure DATA'!FO42/'Expenditure DATA'!P42)*100</f>
        <v>24.370332721831627</v>
      </c>
      <c r="DG40" s="202">
        <f>('Expenditure DATA'!FP42/'Expenditure DATA'!Q42)*100</f>
        <v>24.542240266666504</v>
      </c>
      <c r="DH40" s="202">
        <f>('Expenditure DATA'!FQ42/'Expenditure DATA'!R42)*100</f>
        <v>23.887494367025326</v>
      </c>
      <c r="DI40" s="202">
        <f>('Expenditure DATA'!FR42/'Expenditure DATA'!S42)*100</f>
        <v>24.339494578863789</v>
      </c>
      <c r="DJ40" s="202">
        <f>('Expenditure DATA'!FS42/'Expenditure DATA'!T42)*100</f>
        <v>24.327667817294682</v>
      </c>
      <c r="DK40" s="202">
        <f>('Expenditure DATA'!FT42/'Expenditure DATA'!U42)*100</f>
        <v>24.891378848075657</v>
      </c>
      <c r="DL40" s="202">
        <f>('Expenditure DATA'!FU42/'Expenditure DATA'!V42)*100</f>
        <v>25.385435336412709</v>
      </c>
      <c r="DM40" s="202">
        <f>('Expenditure DATA'!FV42/'Expenditure DATA'!W42)*100</f>
        <v>25.654729561366025</v>
      </c>
      <c r="DN40" s="202">
        <f>('Expenditure DATA'!FW42/'Expenditure DATA'!X42)*100</f>
        <v>25.903234724132229</v>
      </c>
      <c r="DO40" s="202">
        <f>('Expenditure DATA'!FX42/'Expenditure DATA'!Y42)*100</f>
        <v>26.359107404667036</v>
      </c>
      <c r="DP40" s="202">
        <f>('Expenditure DATA'!FY42/'Expenditure DATA'!Z42)*100</f>
        <v>26.248521909507094</v>
      </c>
      <c r="DQ40" s="202">
        <f>('Expenditure DATA'!FZ42/'Expenditure DATA'!AA42)*100</f>
        <v>26.165400138806223</v>
      </c>
      <c r="DR40" s="202">
        <f>('Expenditure DATA'!GA42/'Expenditure DATA'!AB42)*100</f>
        <v>27.766538016312431</v>
      </c>
      <c r="DS40" s="202">
        <f>('Expenditure DATA'!GB42/'Expenditure DATA'!AC42)*100</f>
        <v>26.290281090546515</v>
      </c>
      <c r="DT40" s="202">
        <f>('Expenditure DATA'!GC42/'Expenditure DATA'!AD42)*100</f>
        <v>26.988900705723122</v>
      </c>
      <c r="DU40" s="202">
        <f>('Expenditure DATA'!GD42/'Expenditure DATA'!AE42)*100</f>
        <v>27.851941438013512</v>
      </c>
      <c r="DV40" s="464">
        <f>('Expenditure DATA'!GE42/'Expenditure DATA'!AF42)*100</f>
        <v>28.582566516960178</v>
      </c>
      <c r="DW40" s="203" t="e">
        <f>('Expenditure DATA'!GF42/'Expenditure DATA'!B42)*100</f>
        <v>#DIV/0!</v>
      </c>
      <c r="DX40" s="202" t="e">
        <f>('Expenditure DATA'!GG42/'Expenditure DATA'!C42)*100</f>
        <v>#DIV/0!</v>
      </c>
      <c r="DY40" s="202" t="e">
        <f>('Expenditure DATA'!GH42/'Expenditure DATA'!D42)*100</f>
        <v>#DIV/0!</v>
      </c>
      <c r="DZ40" s="202" t="e">
        <f>('Expenditure DATA'!GI42/'Expenditure DATA'!E42)*100</f>
        <v>#DIV/0!</v>
      </c>
      <c r="EA40" s="202" t="e">
        <f>('Expenditure DATA'!GJ42/'Expenditure DATA'!F42)*100</f>
        <v>#DIV/0!</v>
      </c>
      <c r="EB40" s="202" t="e">
        <f>('Expenditure DATA'!GK42/'Expenditure DATA'!G42)*100</f>
        <v>#DIV/0!</v>
      </c>
      <c r="EC40" s="202" t="e">
        <f>('Expenditure DATA'!GL42/'Expenditure DATA'!H42)*100</f>
        <v>#DIV/0!</v>
      </c>
      <c r="ED40" s="202" t="e">
        <f>('Expenditure DATA'!GM42/'Expenditure DATA'!I42)*100</f>
        <v>#DIV/0!</v>
      </c>
      <c r="EE40" s="202">
        <f>('Expenditure DATA'!GN42/'Expenditure DATA'!J42)*100</f>
        <v>20.679237548490583</v>
      </c>
      <c r="EF40" s="202">
        <f>('Expenditure DATA'!GO42/'Expenditure DATA'!K42)*100</f>
        <v>19.870739159593324</v>
      </c>
      <c r="EG40" s="202">
        <f>('Expenditure DATA'!GP42/'Expenditure DATA'!L42)*100</f>
        <v>19.185669454272272</v>
      </c>
      <c r="EH40" s="202">
        <f>('Expenditure DATA'!GQ42/'Expenditure DATA'!M42)*100</f>
        <v>20.466793803378867</v>
      </c>
      <c r="EI40" s="202">
        <f>('Expenditure DATA'!GR42/'Expenditure DATA'!N42)*100</f>
        <v>19.454045771657483</v>
      </c>
      <c r="EJ40" s="202">
        <f>('Expenditure DATA'!GS42/'Expenditure DATA'!O42)*100</f>
        <v>20.021376295395562</v>
      </c>
      <c r="EK40" s="202">
        <f>('Expenditure DATA'!GT42/'Expenditure DATA'!P42)*100</f>
        <v>20.752456204566812</v>
      </c>
      <c r="EL40" s="202">
        <f>('Expenditure DATA'!GU42/'Expenditure DATA'!Q42)*100</f>
        <v>20.883409818087255</v>
      </c>
      <c r="EM40" s="202">
        <f>('Expenditure DATA'!GV42/'Expenditure DATA'!R42)*100</f>
        <v>21.008028776389548</v>
      </c>
      <c r="EN40" s="202">
        <f>('Expenditure DATA'!GW42/'Expenditure DATA'!S42)*100</f>
        <v>21.647932245164291</v>
      </c>
      <c r="EO40" s="202">
        <f>('Expenditure DATA'!GX42/'Expenditure DATA'!T42)*100</f>
        <v>21.7446360047221</v>
      </c>
      <c r="EP40" s="202">
        <f>('Expenditure DATA'!GY42/'Expenditure DATA'!U42)*100</f>
        <v>21.556864178874076</v>
      </c>
      <c r="EQ40" s="202">
        <f>('Expenditure DATA'!GZ42/'Expenditure DATA'!V42)*100</f>
        <v>21.392294241758272</v>
      </c>
      <c r="ER40" s="202">
        <f>('Expenditure DATA'!HA42/'Expenditure DATA'!W42)*100</f>
        <v>21.184267958733457</v>
      </c>
      <c r="ES40" s="202">
        <f>('Expenditure DATA'!HB42/'Expenditure DATA'!X42)*100</f>
        <v>20.99230095561003</v>
      </c>
      <c r="ET40" s="202">
        <f>('Expenditure DATA'!HC42/'Expenditure DATA'!Y42)*100</f>
        <v>20.716208788864098</v>
      </c>
      <c r="EU40" s="202">
        <f>('Expenditure DATA'!HD42/'Expenditure DATA'!Z42)*100</f>
        <v>20.749425847511812</v>
      </c>
      <c r="EV40" s="202">
        <f>('Expenditure DATA'!HE42/'Expenditure DATA'!AA42)*100</f>
        <v>20.126100001098923</v>
      </c>
      <c r="EW40" s="202">
        <f>('Expenditure DATA'!HF42/'Expenditure DATA'!AB42)*100</f>
        <v>21.810399982251191</v>
      </c>
      <c r="EX40" s="202">
        <f>('Expenditure DATA'!HG42/'Expenditure DATA'!AC42)*100</f>
        <v>21.212076746731679</v>
      </c>
      <c r="EY40" s="202">
        <f>('Expenditure DATA'!HH42/'Expenditure DATA'!AD42)*100</f>
        <v>20.755493646086091</v>
      </c>
      <c r="EZ40" s="202">
        <f>('Expenditure DATA'!HI42/'Expenditure DATA'!AE42)*100</f>
        <v>20.900037206340578</v>
      </c>
      <c r="FA40" s="464">
        <f>('Expenditure DATA'!HJ42/'Expenditure DATA'!AF42)*100</f>
        <v>20.86249184964365</v>
      </c>
      <c r="FB40" s="203" t="e">
        <f>('Expenditure DATA'!HK42/'Expenditure DATA'!B42)*100</f>
        <v>#DIV/0!</v>
      </c>
      <c r="FC40" s="202" t="e">
        <f>('Expenditure DATA'!HL42/'Expenditure DATA'!C42)*100</f>
        <v>#DIV/0!</v>
      </c>
      <c r="FD40" s="202" t="e">
        <f>('Expenditure DATA'!HM42/'Expenditure DATA'!D42)*100</f>
        <v>#DIV/0!</v>
      </c>
      <c r="FE40" s="202" t="e">
        <f>('Expenditure DATA'!HN42/'Expenditure DATA'!E42)*100</f>
        <v>#DIV/0!</v>
      </c>
      <c r="FF40" s="202" t="e">
        <f>('Expenditure DATA'!HO42/'Expenditure DATA'!F42)*100</f>
        <v>#DIV/0!</v>
      </c>
      <c r="FG40" s="202" t="e">
        <f>('Expenditure DATA'!HP42/'Expenditure DATA'!G42)*100</f>
        <v>#DIV/0!</v>
      </c>
      <c r="FH40" s="202" t="e">
        <f>('Expenditure DATA'!HQ42/'Expenditure DATA'!H42)*100</f>
        <v>#DIV/0!</v>
      </c>
      <c r="FI40" s="202" t="e">
        <f>('Expenditure DATA'!HR42/'Expenditure DATA'!I42)*100</f>
        <v>#DIV/0!</v>
      </c>
      <c r="FJ40" s="202">
        <f>('Expenditure DATA'!HS42/'Expenditure DATA'!J42)*100</f>
        <v>5.1643276511174347</v>
      </c>
      <c r="FK40" s="202">
        <f>('Expenditure DATA'!HT42/'Expenditure DATA'!K42)*100</f>
        <v>5.1747268318031701</v>
      </c>
      <c r="FL40" s="202">
        <f>('Expenditure DATA'!HU42/'Expenditure DATA'!L42)*100</f>
        <v>5.1835384308685359</v>
      </c>
      <c r="FM40" s="202">
        <f>('Expenditure DATA'!HV42/'Expenditure DATA'!M42)*100</f>
        <v>4.9699815540173651</v>
      </c>
      <c r="FN40" s="202">
        <f>('Expenditure DATA'!HW42/'Expenditure DATA'!N42)*100</f>
        <v>4.6675757579882555</v>
      </c>
      <c r="FO40" s="202">
        <f>('Expenditure DATA'!HX42/'Expenditure DATA'!O42)*100</f>
        <v>4.7727301085319151</v>
      </c>
      <c r="FP40" s="202">
        <f>('Expenditure DATA'!HY42/'Expenditure DATA'!P42)*100</f>
        <v>4.8270427338713029</v>
      </c>
      <c r="FQ40" s="202">
        <f>('Expenditure DATA'!HZ42/'Expenditure DATA'!Q42)*100</f>
        <v>4.8142523917298403</v>
      </c>
      <c r="FR40" s="202">
        <f>('Expenditure DATA'!IA42/'Expenditure DATA'!R42)*100</f>
        <v>4.9997422775512526</v>
      </c>
      <c r="FS40" s="202">
        <f>('Expenditure DATA'!IB42/'Expenditure DATA'!S42)*100</f>
        <v>4.9176473438632247</v>
      </c>
      <c r="FT40" s="202">
        <f>('Expenditure DATA'!IC42/'Expenditure DATA'!T42)*100</f>
        <v>5.4048820531774737</v>
      </c>
      <c r="FU40" s="202">
        <f>('Expenditure DATA'!ID42/'Expenditure DATA'!U42)*100</f>
        <v>5.6213956662685547</v>
      </c>
      <c r="FV40" s="202">
        <f>('Expenditure DATA'!IE42/'Expenditure DATA'!V42)*100</f>
        <v>5.8111559326460789</v>
      </c>
      <c r="FW40" s="202">
        <f>('Expenditure DATA'!IF42/'Expenditure DATA'!W42)*100</f>
        <v>5.3583955844928344</v>
      </c>
      <c r="FX40" s="202">
        <f>('Expenditure DATA'!IG42/'Expenditure DATA'!X42)*100</f>
        <v>4.940587575311004</v>
      </c>
      <c r="FY40" s="202">
        <f>('Expenditure DATA'!IH42/'Expenditure DATA'!Y42)*100</f>
        <v>4.8226539569135998</v>
      </c>
      <c r="FZ40" s="202">
        <f>('Expenditure DATA'!II42/'Expenditure DATA'!Z42)*100</f>
        <v>4.4874857336044345</v>
      </c>
      <c r="GA40" s="202">
        <f>('Expenditure DATA'!IJ42/'Expenditure DATA'!AA42)*100</f>
        <v>4.5400875536351526</v>
      </c>
      <c r="GB40" s="202">
        <f>('Expenditure DATA'!IK42/'Expenditure DATA'!AB42)*100</f>
        <v>4.5694809342299125</v>
      </c>
      <c r="GC40" s="202">
        <f>('Expenditure DATA'!IL42/'Expenditure DATA'!AC42)*100</f>
        <v>4.1654967586020986</v>
      </c>
      <c r="GD40" s="202">
        <f>('Expenditure DATA'!IM42/'Expenditure DATA'!AD42)*100</f>
        <v>4.2772530705366467</v>
      </c>
      <c r="GE40" s="202">
        <f>('Expenditure DATA'!IN42/'Expenditure DATA'!AE42)*100</f>
        <v>4.22929875706056</v>
      </c>
      <c r="GF40" s="464">
        <f>('Expenditure DATA'!IO42/'Expenditure DATA'!AF42)*100</f>
        <v>4.143289882646644</v>
      </c>
      <c r="GG40" s="203" t="e">
        <f>('Expenditure DATA'!IP42/'Expenditure DATA'!B42)*100</f>
        <v>#DIV/0!</v>
      </c>
      <c r="GH40" s="202" t="e">
        <f>('Expenditure DATA'!IQ42/'Expenditure DATA'!C42)*100</f>
        <v>#DIV/0!</v>
      </c>
      <c r="GI40" s="202" t="e">
        <f>('Expenditure DATA'!IR42/'Expenditure DATA'!D42)*100</f>
        <v>#DIV/0!</v>
      </c>
      <c r="GJ40" s="202" t="e">
        <f>('Expenditure DATA'!IS42/'Expenditure DATA'!E42)*100</f>
        <v>#DIV/0!</v>
      </c>
      <c r="GK40" s="202" t="e">
        <f>('Expenditure DATA'!IT42/'Expenditure DATA'!F42)*100</f>
        <v>#DIV/0!</v>
      </c>
      <c r="GL40" s="202" t="e">
        <f>('Expenditure DATA'!IU42/'Expenditure DATA'!G42)*100</f>
        <v>#DIV/0!</v>
      </c>
      <c r="GM40" s="202" t="e">
        <f>('Expenditure DATA'!IV42/'Expenditure DATA'!H42)*100</f>
        <v>#DIV/0!</v>
      </c>
      <c r="GN40" s="202" t="e">
        <f>('Expenditure DATA'!IW42/'Expenditure DATA'!I42)*100</f>
        <v>#DIV/0!</v>
      </c>
      <c r="GO40" s="202">
        <f>('Expenditure DATA'!IX42/'Expenditure DATA'!J42)*100</f>
        <v>8.5771255272149816</v>
      </c>
      <c r="GP40" s="202">
        <f>('Expenditure DATA'!IY42/'Expenditure DATA'!K42)*100</f>
        <v>8.3504929633058911</v>
      </c>
      <c r="GQ40" s="202">
        <f>('Expenditure DATA'!IZ42/'Expenditure DATA'!L42)*100</f>
        <v>8.1584590571095905</v>
      </c>
      <c r="GR40" s="202">
        <f>('Expenditure DATA'!JA42/'Expenditure DATA'!M42)*100</f>
        <v>8.1969501100748907</v>
      </c>
      <c r="GS40" s="202">
        <f>('Expenditure DATA'!JB42/'Expenditure DATA'!N42)*100</f>
        <v>7.6580014783099752</v>
      </c>
      <c r="GT40" s="202">
        <f>('Expenditure DATA'!JC42/'Expenditure DATA'!O42)*100</f>
        <v>7.8565873095095498</v>
      </c>
      <c r="GU40" s="202">
        <f>('Expenditure DATA'!JD42/'Expenditure DATA'!P42)*100</f>
        <v>7.6736892371167222</v>
      </c>
      <c r="GV40" s="202">
        <f>('Expenditure DATA'!JE42/'Expenditure DATA'!Q42)*100</f>
        <v>7.8860189623545089</v>
      </c>
      <c r="GW40" s="202">
        <f>('Expenditure DATA'!JF42/'Expenditure DATA'!R42)*100</f>
        <v>7.6687460616978997</v>
      </c>
      <c r="GX40" s="202">
        <f>('Expenditure DATA'!JG42/'Expenditure DATA'!S42)*100</f>
        <v>8.1016157512635605</v>
      </c>
      <c r="GY40" s="202">
        <f>('Expenditure DATA'!JH42/'Expenditure DATA'!T42)*100</f>
        <v>7.9171617407771153</v>
      </c>
      <c r="GZ40" s="202">
        <f>('Expenditure DATA'!JI42/'Expenditure DATA'!U42)*100</f>
        <v>8.6454643689927764</v>
      </c>
      <c r="HA40" s="202">
        <f>('Expenditure DATA'!JJ42/'Expenditure DATA'!V42)*100</f>
        <v>9.2837748140524923</v>
      </c>
      <c r="HB40" s="202">
        <f>('Expenditure DATA'!JK42/'Expenditure DATA'!W42)*100</f>
        <v>9.0913257449754763</v>
      </c>
      <c r="HC40" s="202">
        <f>('Expenditure DATA'!JL42/'Expenditure DATA'!X42)*100</f>
        <v>8.9137334210276418</v>
      </c>
      <c r="HD40" s="202">
        <f>('Expenditure DATA'!JM42/'Expenditure DATA'!Y42)*100</f>
        <v>8.8190968205947389</v>
      </c>
      <c r="HE40" s="202">
        <f>('Expenditure DATA'!JN42/'Expenditure DATA'!Z42)*100</f>
        <v>10.30168631193294</v>
      </c>
      <c r="HF40" s="202">
        <f>('Expenditure DATA'!JO42/'Expenditure DATA'!AA42)*100</f>
        <v>11.304528087207203</v>
      </c>
      <c r="HG40" s="202">
        <f>('Expenditure DATA'!JP42/'Expenditure DATA'!AB42)*100</f>
        <v>9.879423313157865</v>
      </c>
      <c r="HH40" s="202">
        <f>('Expenditure DATA'!JQ42/'Expenditure DATA'!AC42)*100</f>
        <v>10.773636159622221</v>
      </c>
      <c r="HI40" s="202">
        <f>('Expenditure DATA'!JR42/'Expenditure DATA'!AD42)*100</f>
        <v>10.245472703590099</v>
      </c>
      <c r="HJ40" s="202">
        <f>('Expenditure DATA'!JS42/'Expenditure DATA'!AE42)*100</f>
        <v>10.506777566822183</v>
      </c>
      <c r="HK40" s="464">
        <f>('Expenditure DATA'!JT42/'Expenditure DATA'!AF42)*100</f>
        <v>8.618435716840386</v>
      </c>
      <c r="HL40" s="203" t="e">
        <f t="shared" si="1"/>
        <v>#DIV/0!</v>
      </c>
      <c r="HM40" s="204" t="e">
        <f t="shared" si="2"/>
        <v>#DIV/0!</v>
      </c>
      <c r="HN40" s="204" t="e">
        <f t="shared" si="3"/>
        <v>#DIV/0!</v>
      </c>
      <c r="HO40" s="204" t="e">
        <f t="shared" si="4"/>
        <v>#DIV/0!</v>
      </c>
      <c r="HP40" s="204" t="e">
        <f t="shared" si="5"/>
        <v>#DIV/0!</v>
      </c>
      <c r="HQ40" s="204" t="e">
        <f t="shared" si="6"/>
        <v>#DIV/0!</v>
      </c>
      <c r="HR40" s="204" t="e">
        <f t="shared" si="7"/>
        <v>#DIV/0!</v>
      </c>
      <c r="HS40" s="204" t="e">
        <f t="shared" si="8"/>
        <v>#DIV/0!</v>
      </c>
      <c r="HT40" s="204">
        <f t="shared" si="9"/>
        <v>100</v>
      </c>
      <c r="HU40" s="204">
        <f t="shared" si="10"/>
        <v>100.00000000000003</v>
      </c>
      <c r="HV40" s="204">
        <f t="shared" si="11"/>
        <v>100.00000000000001</v>
      </c>
      <c r="HW40" s="204">
        <f t="shared" si="12"/>
        <v>100</v>
      </c>
      <c r="HX40" s="204">
        <f t="shared" si="13"/>
        <v>100.00000000000001</v>
      </c>
      <c r="HY40" s="204">
        <f t="shared" si="14"/>
        <v>100</v>
      </c>
      <c r="HZ40" s="204">
        <f t="shared" si="15"/>
        <v>100</v>
      </c>
      <c r="IA40" s="204">
        <f t="shared" si="16"/>
        <v>100</v>
      </c>
      <c r="IB40" s="204">
        <f t="shared" si="17"/>
        <v>100.00000000000001</v>
      </c>
      <c r="IC40" s="204">
        <f t="shared" si="18"/>
        <v>99.999999999999986</v>
      </c>
      <c r="ID40" s="204">
        <f t="shared" si="19"/>
        <v>100</v>
      </c>
      <c r="IE40" s="204">
        <f t="shared" si="20"/>
        <v>100</v>
      </c>
      <c r="IF40" s="204">
        <f t="shared" si="21"/>
        <v>100</v>
      </c>
      <c r="IG40" s="204">
        <f t="shared" si="22"/>
        <v>100.00000000000003</v>
      </c>
      <c r="IH40" s="204">
        <f t="shared" si="23"/>
        <v>100</v>
      </c>
      <c r="II40" s="204">
        <f t="shared" si="24"/>
        <v>100</v>
      </c>
      <c r="IJ40" s="204">
        <f t="shared" si="25"/>
        <v>100</v>
      </c>
      <c r="IK40" s="204">
        <f t="shared" si="26"/>
        <v>100</v>
      </c>
      <c r="IL40" s="204">
        <f t="shared" si="37"/>
        <v>100</v>
      </c>
      <c r="IM40" s="204">
        <f t="shared" si="38"/>
        <v>100</v>
      </c>
      <c r="IN40" s="204">
        <f t="shared" si="39"/>
        <v>99.999997780598349</v>
      </c>
      <c r="IO40" s="204">
        <f t="shared" si="40"/>
        <v>100.00000000000003</v>
      </c>
      <c r="IP40" s="204">
        <f t="shared" si="41"/>
        <v>100</v>
      </c>
    </row>
    <row r="41" spans="1:250" s="164" customFormat="1">
      <c r="A41" s="164" t="s">
        <v>56</v>
      </c>
      <c r="C41" s="202" t="e">
        <f>('Expenditure DATA'!CQ43/'Expenditure DATA'!B43)*100</f>
        <v>#DIV/0!</v>
      </c>
      <c r="D41" s="202" t="e">
        <f>('Expenditure DATA'!CR43/'Expenditure DATA'!C43)*100</f>
        <v>#DIV/0!</v>
      </c>
      <c r="E41" s="202" t="e">
        <f>('Expenditure DATA'!CS43/'Expenditure DATA'!D43)*100</f>
        <v>#DIV/0!</v>
      </c>
      <c r="F41" s="202" t="e">
        <f>('Expenditure DATA'!CT43/'Expenditure DATA'!E43)*100</f>
        <v>#DIV/0!</v>
      </c>
      <c r="G41" s="202" t="e">
        <f>('Expenditure DATA'!CU43/'Expenditure DATA'!F43)*100</f>
        <v>#DIV/0!</v>
      </c>
      <c r="H41" s="202" t="e">
        <f>('Expenditure DATA'!CV43/'Expenditure DATA'!G43)*100</f>
        <v>#DIV/0!</v>
      </c>
      <c r="I41" s="202" t="e">
        <f>('Expenditure DATA'!CW43/'Expenditure DATA'!H43)*100</f>
        <v>#DIV/0!</v>
      </c>
      <c r="J41" s="202" t="e">
        <f>('Expenditure DATA'!CX43/'Expenditure DATA'!I43)*100</f>
        <v>#DIV/0!</v>
      </c>
      <c r="K41" s="202">
        <f>('Expenditure DATA'!CY43/'Expenditure DATA'!J43)*100</f>
        <v>13.615857967072987</v>
      </c>
      <c r="L41" s="202">
        <f>('Expenditure DATA'!CZ43/'Expenditure DATA'!K43)*100</f>
        <v>12.890159968113807</v>
      </c>
      <c r="M41" s="202">
        <f>('Expenditure DATA'!DA43/'Expenditure DATA'!L43)*100</f>
        <v>12.261233068398569</v>
      </c>
      <c r="N41" s="202">
        <f>('Expenditure DATA'!DB43/'Expenditure DATA'!M43)*100</f>
        <v>12.511495501949337</v>
      </c>
      <c r="O41" s="202">
        <f>('Expenditure DATA'!DC43/'Expenditure DATA'!N43)*100</f>
        <v>13.294649787222653</v>
      </c>
      <c r="P41" s="202">
        <f>('Expenditure DATA'!DD43/'Expenditure DATA'!O43)*100</f>
        <v>12.581792661366419</v>
      </c>
      <c r="Q41" s="202">
        <f>('Expenditure DATA'!DE43/'Expenditure DATA'!P43)*100</f>
        <v>12.741899130239497</v>
      </c>
      <c r="R41" s="202">
        <f>('Expenditure DATA'!DF43/'Expenditure DATA'!Q43)*100</f>
        <v>13.123113706250001</v>
      </c>
      <c r="S41" s="202">
        <f>('Expenditure DATA'!DG43/'Expenditure DATA'!R43)*100</f>
        <v>13.04213230455828</v>
      </c>
      <c r="T41" s="202">
        <f>('Expenditure DATA'!DH43/'Expenditure DATA'!S43)*100</f>
        <v>13.175817583388536</v>
      </c>
      <c r="U41" s="202">
        <f>('Expenditure DATA'!DI43/'Expenditure DATA'!T43)*100</f>
        <v>13.026166418741166</v>
      </c>
      <c r="V41" s="202">
        <f>('Expenditure DATA'!DJ43/'Expenditure DATA'!U43)*100</f>
        <v>13.281089930288312</v>
      </c>
      <c r="W41" s="202">
        <f>('Expenditure DATA'!DK43/'Expenditure DATA'!V43)*100</f>
        <v>13.511896007144347</v>
      </c>
      <c r="X41" s="202">
        <f>('Expenditure DATA'!DL43/'Expenditure DATA'!W43)*100</f>
        <v>13.442360633356024</v>
      </c>
      <c r="Y41" s="202">
        <f>('Expenditure DATA'!DM43/'Expenditure DATA'!X43)*100</f>
        <v>13.377408660497089</v>
      </c>
      <c r="Z41" s="202">
        <f>('Expenditure DATA'!DN43/'Expenditure DATA'!Y43)*100</f>
        <v>12.9839854459733</v>
      </c>
      <c r="AA41" s="202">
        <f>('Expenditure DATA'!DO43/'Expenditure DATA'!Z43)*100</f>
        <v>13.3411920864338</v>
      </c>
      <c r="AB41" s="202">
        <f>('Expenditure DATA'!DP43/'Expenditure DATA'!AA43)*100</f>
        <v>13.073860562016639</v>
      </c>
      <c r="AC41" s="202">
        <f>('Expenditure DATA'!DQ43/'Expenditure DATA'!AB43)*100</f>
        <v>13.418861260430722</v>
      </c>
      <c r="AD41" s="202">
        <f>('Expenditure DATA'!DR43/'Expenditure DATA'!AC43)*100</f>
        <v>13.637241227303553</v>
      </c>
      <c r="AE41" s="202">
        <f>('Expenditure DATA'!DS43/'Expenditure DATA'!AD43)*100</f>
        <v>12.668772669687078</v>
      </c>
      <c r="AF41" s="202">
        <f>('Expenditure DATA'!DT43/'Expenditure DATA'!AE43)*100</f>
        <v>13.127469983364051</v>
      </c>
      <c r="AG41" s="464">
        <f>('Expenditure DATA'!DU43/'Expenditure DATA'!AF43)*100</f>
        <v>12.476091971241765</v>
      </c>
      <c r="AH41" s="203" t="e">
        <f>('Expenditure DATA'!BL43/'Expenditure DATA'!B43)*100</f>
        <v>#DIV/0!</v>
      </c>
      <c r="AI41" s="202" t="e">
        <f>('Expenditure DATA'!BM43/'Expenditure DATA'!C43)*100</f>
        <v>#DIV/0!</v>
      </c>
      <c r="AJ41" s="202" t="e">
        <f>('Expenditure DATA'!BN43/'Expenditure DATA'!D43)*100</f>
        <v>#DIV/0!</v>
      </c>
      <c r="AK41" s="202" t="e">
        <f>('Expenditure DATA'!BO43/'Expenditure DATA'!E43)*100</f>
        <v>#DIV/0!</v>
      </c>
      <c r="AL41" s="202" t="e">
        <f>('Expenditure DATA'!BP43/'Expenditure DATA'!F43)*100</f>
        <v>#DIV/0!</v>
      </c>
      <c r="AM41" s="202" t="e">
        <f>('Expenditure DATA'!BQ43/'Expenditure DATA'!G43)*100</f>
        <v>#DIV/0!</v>
      </c>
      <c r="AN41" s="202" t="e">
        <f>('Expenditure DATA'!BR43/'Expenditure DATA'!H43)*100</f>
        <v>#DIV/0!</v>
      </c>
      <c r="AO41" s="202" t="e">
        <f>('Expenditure DATA'!BS43/'Expenditure DATA'!I43)*100</f>
        <v>#DIV/0!</v>
      </c>
      <c r="AP41" s="202">
        <f>('Expenditure DATA'!BT43/'Expenditure DATA'!J43)*100</f>
        <v>23.547319579514216</v>
      </c>
      <c r="AQ41" s="202">
        <f>('Expenditure DATA'!BU43/'Expenditure DATA'!K43)*100</f>
        <v>24.473546740016257</v>
      </c>
      <c r="AR41" s="202">
        <f>('Expenditure DATA'!BV43/'Expenditure DATA'!L43)*100</f>
        <v>25.27626243900135</v>
      </c>
      <c r="AS41" s="202">
        <f>('Expenditure DATA'!BW43/'Expenditure DATA'!M43)*100</f>
        <v>23.62862169082107</v>
      </c>
      <c r="AT41" s="202">
        <f>('Expenditure DATA'!BX43/'Expenditure DATA'!N43)*100</f>
        <v>22.906306595651671</v>
      </c>
      <c r="AU41" s="202">
        <f>('Expenditure DATA'!BY43/'Expenditure DATA'!O43)*100</f>
        <v>22.341037151705372</v>
      </c>
      <c r="AV41" s="202">
        <f>('Expenditure DATA'!BZ43/'Expenditure DATA'!P43)*100</f>
        <v>23.184574273362117</v>
      </c>
      <c r="AW41" s="202">
        <f>('Expenditure DATA'!CA43/'Expenditure DATA'!Q43)*100</f>
        <v>23.049457741342547</v>
      </c>
      <c r="AX41" s="202">
        <f>('Expenditure DATA'!CB43/'Expenditure DATA'!R43)*100</f>
        <v>23.936030863251638</v>
      </c>
      <c r="AY41" s="202">
        <f>('Expenditure DATA'!CC43/'Expenditure DATA'!S43)*100</f>
        <v>23.458345265452753</v>
      </c>
      <c r="AZ41" s="202">
        <f>('Expenditure DATA'!CD43/'Expenditure DATA'!T43)*100</f>
        <v>23.213609378994704</v>
      </c>
      <c r="BA41" s="202">
        <f>('Expenditure DATA'!CE43/'Expenditure DATA'!U43)*100</f>
        <v>22.617270145567613</v>
      </c>
      <c r="BB41" s="202">
        <f>('Expenditure DATA'!CF43/'Expenditure DATA'!V43)*100</f>
        <v>22.077348511398583</v>
      </c>
      <c r="BC41" s="202">
        <f>('Expenditure DATA'!CG43/'Expenditure DATA'!W43)*100</f>
        <v>22.508764701440061</v>
      </c>
      <c r="BD41" s="202">
        <f>('Expenditure DATA'!CH43/'Expenditure DATA'!X43)*100</f>
        <v>22.91174423746417</v>
      </c>
      <c r="BE41" s="202">
        <f>('Expenditure DATA'!CI43/'Expenditure DATA'!Y43)*100</f>
        <v>22.434504317523761</v>
      </c>
      <c r="BF41" s="202">
        <f>('Expenditure DATA'!CJ43/'Expenditure DATA'!Z43)*100</f>
        <v>22.496328997491183</v>
      </c>
      <c r="BG41" s="202">
        <f>('Expenditure DATA'!CK43/'Expenditure DATA'!AA43)*100</f>
        <v>22.679188322472648</v>
      </c>
      <c r="BH41" s="202">
        <f>('Expenditure DATA'!CL43/'Expenditure DATA'!AB43)*100</f>
        <v>22.539896856213442</v>
      </c>
      <c r="BI41" s="202">
        <f>('Expenditure DATA'!CM43/'Expenditure DATA'!AC43)*100</f>
        <v>21.854542305101262</v>
      </c>
      <c r="BJ41" s="202">
        <f>('Expenditure DATA'!CN43/'Expenditure DATA'!AD43)*100</f>
        <v>22.001610764061752</v>
      </c>
      <c r="BK41" s="202">
        <f>('Expenditure DATA'!CO43/'Expenditure DATA'!AE43)*100</f>
        <v>21.732905441634291</v>
      </c>
      <c r="BL41" s="464">
        <f>('Expenditure DATA'!CP43/'Expenditure DATA'!AF43)*100</f>
        <v>21.14025418164044</v>
      </c>
      <c r="BM41" s="203" t="e">
        <f>('Expenditure DATA'!AG43/'Expenditure DATA'!B43)*100</f>
        <v>#DIV/0!</v>
      </c>
      <c r="BN41" s="202" t="e">
        <f>('Expenditure DATA'!AH43/'Expenditure DATA'!C43)*100</f>
        <v>#DIV/0!</v>
      </c>
      <c r="BO41" s="202" t="e">
        <f>('Expenditure DATA'!AI43/'Expenditure DATA'!D43)*100</f>
        <v>#DIV/0!</v>
      </c>
      <c r="BP41" s="202" t="e">
        <f>('Expenditure DATA'!AJ43/'Expenditure DATA'!E43)*100</f>
        <v>#DIV/0!</v>
      </c>
      <c r="BQ41" s="202" t="e">
        <f>('Expenditure DATA'!AK43/'Expenditure DATA'!F43)*100</f>
        <v>#DIV/0!</v>
      </c>
      <c r="BR41" s="202" t="e">
        <f>('Expenditure DATA'!AL43/'Expenditure DATA'!G43)*100</f>
        <v>#DIV/0!</v>
      </c>
      <c r="BS41" s="202" t="e">
        <f>('Expenditure DATA'!AM43/'Expenditure DATA'!H43)*100</f>
        <v>#DIV/0!</v>
      </c>
      <c r="BT41" s="202" t="e">
        <f>('Expenditure DATA'!AN43/'Expenditure DATA'!I43)*100</f>
        <v>#DIV/0!</v>
      </c>
      <c r="BU41" s="202">
        <f>('Expenditure DATA'!AO43/'Expenditure DATA'!J43)*100</f>
        <v>39.406643758713756</v>
      </c>
      <c r="BV41" s="202">
        <f>('Expenditure DATA'!AP43/'Expenditure DATA'!K43)*100</f>
        <v>39.51984205181423</v>
      </c>
      <c r="BW41" s="202">
        <f>('Expenditure DATA'!AQ43/'Expenditure DATA'!L43)*100</f>
        <v>39.617945466230211</v>
      </c>
      <c r="BX41" s="202">
        <f>('Expenditure DATA'!AR43/'Expenditure DATA'!M43)*100</f>
        <v>38.326825350509203</v>
      </c>
      <c r="BY41" s="202">
        <f>('Expenditure DATA'!AS43/'Expenditure DATA'!N43)*100</f>
        <v>38.40931759583902</v>
      </c>
      <c r="BZ41" s="202">
        <f>('Expenditure DATA'!AT43/'Expenditure DATA'!O43)*100</f>
        <v>37.378689746718912</v>
      </c>
      <c r="CA41" s="202">
        <f>('Expenditure DATA'!AU43/'Expenditure DATA'!P43)*100</f>
        <v>38.458369055843647</v>
      </c>
      <c r="CB41" s="202">
        <f>('Expenditure DATA'!AV43/'Expenditure DATA'!Q43)*100</f>
        <v>38.766745948750824</v>
      </c>
      <c r="CC41" s="202">
        <f>('Expenditure DATA'!AW43/'Expenditure DATA'!R43)*100</f>
        <v>39.986234124444522</v>
      </c>
      <c r="CD41" s="202">
        <f>('Expenditure DATA'!AX43/'Expenditure DATA'!S43)*100</f>
        <v>39.282821660505441</v>
      </c>
      <c r="CE41" s="202">
        <f>('Expenditure DATA'!AY43/'Expenditure DATA'!T43)*100</f>
        <v>38.835800664308707</v>
      </c>
      <c r="CF41" s="202">
        <f>('Expenditure DATA'!AZ43/'Expenditure DATA'!U43)*100</f>
        <v>38.450927749769747</v>
      </c>
      <c r="CG41" s="202">
        <f>('Expenditure DATA'!BA43/'Expenditure DATA'!V43)*100</f>
        <v>38.102466334995711</v>
      </c>
      <c r="CH41" s="202">
        <f>('Expenditure DATA'!BB43/'Expenditure DATA'!W43)*100</f>
        <v>38.347439251745406</v>
      </c>
      <c r="CI41" s="202">
        <f>('Expenditure DATA'!BC43/'Expenditure DATA'!X43)*100</f>
        <v>38.576264860540419</v>
      </c>
      <c r="CJ41" s="202">
        <f>('Expenditure DATA'!BD43/'Expenditure DATA'!Y43)*100</f>
        <v>37.88563814794886</v>
      </c>
      <c r="CK41" s="202">
        <f>('Expenditure DATA'!BE43/'Expenditure DATA'!Z43)*100</f>
        <v>38.087679498378115</v>
      </c>
      <c r="CL41" s="202">
        <f>('Expenditure DATA'!BF43/'Expenditure DATA'!AA43)*100</f>
        <v>37.961476554875389</v>
      </c>
      <c r="CM41" s="202">
        <f>('Expenditure DATA'!BG43/'Expenditure DATA'!AB43)*100</f>
        <v>38.329639288530707</v>
      </c>
      <c r="CN41" s="202">
        <f>('Expenditure DATA'!BH43/'Expenditure DATA'!AC43)*100</f>
        <v>37.66791403178452</v>
      </c>
      <c r="CO41" s="202">
        <f>('Expenditure DATA'!BI43/'Expenditure DATA'!AD43)*100</f>
        <v>36.835110436203664</v>
      </c>
      <c r="CP41" s="202">
        <f>('Expenditure DATA'!BJ43/'Expenditure DATA'!AE43)*100</f>
        <v>36.948176830152832</v>
      </c>
      <c r="CQ41" s="464">
        <f>('Expenditure DATA'!BK43/'Expenditure DATA'!AF43)*100</f>
        <v>35.556181486625036</v>
      </c>
      <c r="CR41" s="203" t="e">
        <f>('Expenditure DATA'!FA43/'Expenditure DATA'!B43)*100</f>
        <v>#DIV/0!</v>
      </c>
      <c r="CS41" s="202" t="e">
        <f>('Expenditure DATA'!FB43/'Expenditure DATA'!C43)*100</f>
        <v>#DIV/0!</v>
      </c>
      <c r="CT41" s="202" t="e">
        <f>('Expenditure DATA'!FC43/'Expenditure DATA'!D43)*100</f>
        <v>#DIV/0!</v>
      </c>
      <c r="CU41" s="202" t="e">
        <f>('Expenditure DATA'!FD43/'Expenditure DATA'!E43)*100</f>
        <v>#DIV/0!</v>
      </c>
      <c r="CV41" s="202" t="e">
        <f>('Expenditure DATA'!FE43/'Expenditure DATA'!F43)*100</f>
        <v>#DIV/0!</v>
      </c>
      <c r="CW41" s="202" t="e">
        <f>('Expenditure DATA'!FF43/'Expenditure DATA'!G43)*100</f>
        <v>#DIV/0!</v>
      </c>
      <c r="CX41" s="202" t="e">
        <f>('Expenditure DATA'!FG43/'Expenditure DATA'!H43)*100</f>
        <v>#DIV/0!</v>
      </c>
      <c r="CY41" s="202" t="e">
        <f>('Expenditure DATA'!FH43/'Expenditure DATA'!I43)*100</f>
        <v>#DIV/0!</v>
      </c>
      <c r="CZ41" s="202">
        <f>('Expenditure DATA'!FI43/'Expenditure DATA'!J43)*100</f>
        <v>25.001707691987551</v>
      </c>
      <c r="DA41" s="202">
        <f>('Expenditure DATA'!FJ43/'Expenditure DATA'!K43)*100</f>
        <v>24.91091077751582</v>
      </c>
      <c r="DB41" s="202">
        <f>('Expenditure DATA'!FK43/'Expenditure DATA'!L43)*100</f>
        <v>24.832221540389199</v>
      </c>
      <c r="DC41" s="202">
        <f>('Expenditure DATA'!FL43/'Expenditure DATA'!M43)*100</f>
        <v>25.898635485886423</v>
      </c>
      <c r="DD41" s="202">
        <f>('Expenditure DATA'!FM43/'Expenditure DATA'!N43)*100</f>
        <v>25.425902630945053</v>
      </c>
      <c r="DE41" s="202">
        <f>('Expenditure DATA'!FN43/'Expenditure DATA'!O43)*100</f>
        <v>25.376280007316588</v>
      </c>
      <c r="DF41" s="202">
        <f>('Expenditure DATA'!FO43/'Expenditure DATA'!P43)*100</f>
        <v>25.953278955144931</v>
      </c>
      <c r="DG41" s="202">
        <f>('Expenditure DATA'!FP43/'Expenditure DATA'!Q43)*100</f>
        <v>25.881727369491376</v>
      </c>
      <c r="DH41" s="202">
        <f>('Expenditure DATA'!FQ43/'Expenditure DATA'!R43)*100</f>
        <v>25.893936416653894</v>
      </c>
      <c r="DI41" s="202">
        <f>('Expenditure DATA'!FR43/'Expenditure DATA'!S43)*100</f>
        <v>25.798122939501845</v>
      </c>
      <c r="DJ41" s="202">
        <f>('Expenditure DATA'!FS43/'Expenditure DATA'!T43)*100</f>
        <v>25.799306509512416</v>
      </c>
      <c r="DK41" s="202">
        <f>('Expenditure DATA'!FT43/'Expenditure DATA'!U43)*100</f>
        <v>26.486292252463738</v>
      </c>
      <c r="DL41" s="202">
        <f>('Expenditure DATA'!FU43/'Expenditure DATA'!V43)*100</f>
        <v>27.108284642354779</v>
      </c>
      <c r="DM41" s="202">
        <f>('Expenditure DATA'!FV43/'Expenditure DATA'!W43)*100</f>
        <v>27.794263851698663</v>
      </c>
      <c r="DN41" s="202">
        <f>('Expenditure DATA'!FW43/'Expenditure DATA'!X43)*100</f>
        <v>28.435026970665049</v>
      </c>
      <c r="DO41" s="202">
        <f>('Expenditure DATA'!FX43/'Expenditure DATA'!Y43)*100</f>
        <v>29.441402106234143</v>
      </c>
      <c r="DP41" s="202">
        <f>('Expenditure DATA'!FY43/'Expenditure DATA'!Z43)*100</f>
        <v>28.588130191176841</v>
      </c>
      <c r="DQ41" s="202">
        <f>('Expenditure DATA'!FZ43/'Expenditure DATA'!AA43)*100</f>
        <v>29.044744952761597</v>
      </c>
      <c r="DR41" s="202">
        <f>('Expenditure DATA'!GA43/'Expenditure DATA'!AB43)*100</f>
        <v>29.667702701282749</v>
      </c>
      <c r="DS41" s="202">
        <f>('Expenditure DATA'!GB43/'Expenditure DATA'!AC43)*100</f>
        <v>29.397833774656341</v>
      </c>
      <c r="DT41" s="202">
        <f>('Expenditure DATA'!GC43/'Expenditure DATA'!AD43)*100</f>
        <v>30.554646792500606</v>
      </c>
      <c r="DU41" s="202">
        <f>('Expenditure DATA'!GD43/'Expenditure DATA'!AE43)*100</f>
        <v>30.558780265245378</v>
      </c>
      <c r="DV41" s="464">
        <f>('Expenditure DATA'!GE43/'Expenditure DATA'!AF43)*100</f>
        <v>31.560903729573713</v>
      </c>
      <c r="DW41" s="203" t="e">
        <f>('Expenditure DATA'!GF43/'Expenditure DATA'!B43)*100</f>
        <v>#DIV/0!</v>
      </c>
      <c r="DX41" s="202" t="e">
        <f>('Expenditure DATA'!GG43/'Expenditure DATA'!C43)*100</f>
        <v>#DIV/0!</v>
      </c>
      <c r="DY41" s="202" t="e">
        <f>('Expenditure DATA'!GH43/'Expenditure DATA'!D43)*100</f>
        <v>#DIV/0!</v>
      </c>
      <c r="DZ41" s="202" t="e">
        <f>('Expenditure DATA'!GI43/'Expenditure DATA'!E43)*100</f>
        <v>#DIV/0!</v>
      </c>
      <c r="EA41" s="202" t="e">
        <f>('Expenditure DATA'!GJ43/'Expenditure DATA'!F43)*100</f>
        <v>#DIV/0!</v>
      </c>
      <c r="EB41" s="202" t="e">
        <f>('Expenditure DATA'!GK43/'Expenditure DATA'!G43)*100</f>
        <v>#DIV/0!</v>
      </c>
      <c r="EC41" s="202" t="e">
        <f>('Expenditure DATA'!GL43/'Expenditure DATA'!H43)*100</f>
        <v>#DIV/0!</v>
      </c>
      <c r="ED41" s="202" t="e">
        <f>('Expenditure DATA'!GM43/'Expenditure DATA'!I43)*100</f>
        <v>#DIV/0!</v>
      </c>
      <c r="EE41" s="202">
        <f>('Expenditure DATA'!GN43/'Expenditure DATA'!J43)*100</f>
        <v>23.826555492525507</v>
      </c>
      <c r="EF41" s="202">
        <f>('Expenditure DATA'!GO43/'Expenditure DATA'!K43)*100</f>
        <v>24.193187870161523</v>
      </c>
      <c r="EG41" s="202">
        <f>('Expenditure DATA'!GP43/'Expenditure DATA'!L43)*100</f>
        <v>24.510930188498573</v>
      </c>
      <c r="EH41" s="202">
        <f>('Expenditure DATA'!GQ43/'Expenditure DATA'!M43)*100</f>
        <v>24.137567647631599</v>
      </c>
      <c r="EI41" s="202">
        <f>('Expenditure DATA'!GR43/'Expenditure DATA'!N43)*100</f>
        <v>24.356234777721276</v>
      </c>
      <c r="EJ41" s="202">
        <f>('Expenditure DATA'!GS43/'Expenditure DATA'!O43)*100</f>
        <v>25.609300406897805</v>
      </c>
      <c r="EK41" s="202">
        <f>('Expenditure DATA'!GT43/'Expenditure DATA'!P43)*100</f>
        <v>24.736469471881346</v>
      </c>
      <c r="EL41" s="202">
        <f>('Expenditure DATA'!GU43/'Expenditure DATA'!Q43)*100</f>
        <v>24.758790053046042</v>
      </c>
      <c r="EM41" s="202">
        <f>('Expenditure DATA'!GV43/'Expenditure DATA'!R43)*100</f>
        <v>23.796302539187497</v>
      </c>
      <c r="EN41" s="202">
        <f>('Expenditure DATA'!GW43/'Expenditure DATA'!S43)*100</f>
        <v>24.075652444667117</v>
      </c>
      <c r="EO41" s="202">
        <f>('Expenditure DATA'!GX43/'Expenditure DATA'!T43)*100</f>
        <v>24.722343528067466</v>
      </c>
      <c r="EP41" s="202">
        <f>('Expenditure DATA'!GY43/'Expenditure DATA'!U43)*100</f>
        <v>24.060526825471349</v>
      </c>
      <c r="EQ41" s="202">
        <f>('Expenditure DATA'!GZ43/'Expenditure DATA'!V43)*100</f>
        <v>23.461322319786689</v>
      </c>
      <c r="ER41" s="202">
        <f>('Expenditure DATA'!HA43/'Expenditure DATA'!W43)*100</f>
        <v>21.800555296319594</v>
      </c>
      <c r="ES41" s="202">
        <f>('Expenditure DATA'!HB43/'Expenditure DATA'!X43)*100</f>
        <v>20.249257176291838</v>
      </c>
      <c r="ET41" s="202">
        <f>('Expenditure DATA'!HC43/'Expenditure DATA'!Y43)*100</f>
        <v>21.185030876060161</v>
      </c>
      <c r="EU41" s="202">
        <f>('Expenditure DATA'!HD43/'Expenditure DATA'!Z43)*100</f>
        <v>21.139251214414294</v>
      </c>
      <c r="EV41" s="202">
        <f>('Expenditure DATA'!HE43/'Expenditure DATA'!AA43)*100</f>
        <v>21.113878115618778</v>
      </c>
      <c r="EW41" s="202">
        <f>('Expenditure DATA'!HF43/'Expenditure DATA'!AB43)*100</f>
        <v>20.470855458451613</v>
      </c>
      <c r="EX41" s="202">
        <f>('Expenditure DATA'!HG43/'Expenditure DATA'!AC43)*100</f>
        <v>21.578844777794544</v>
      </c>
      <c r="EY41" s="202">
        <f>('Expenditure DATA'!HH43/'Expenditure DATA'!AD43)*100</f>
        <v>21.443689298383685</v>
      </c>
      <c r="EZ41" s="202">
        <f>('Expenditure DATA'!HI43/'Expenditure DATA'!AE43)*100</f>
        <v>21.163150454307985</v>
      </c>
      <c r="FA41" s="464">
        <f>('Expenditure DATA'!HJ43/'Expenditure DATA'!AF43)*100</f>
        <v>22.21291282031746</v>
      </c>
      <c r="FB41" s="203" t="e">
        <f>('Expenditure DATA'!HK43/'Expenditure DATA'!B43)*100</f>
        <v>#DIV/0!</v>
      </c>
      <c r="FC41" s="202" t="e">
        <f>('Expenditure DATA'!HL43/'Expenditure DATA'!C43)*100</f>
        <v>#DIV/0!</v>
      </c>
      <c r="FD41" s="202" t="e">
        <f>('Expenditure DATA'!HM43/'Expenditure DATA'!D43)*100</f>
        <v>#DIV/0!</v>
      </c>
      <c r="FE41" s="202" t="e">
        <f>('Expenditure DATA'!HN43/'Expenditure DATA'!E43)*100</f>
        <v>#DIV/0!</v>
      </c>
      <c r="FF41" s="202" t="e">
        <f>('Expenditure DATA'!HO43/'Expenditure DATA'!F43)*100</f>
        <v>#DIV/0!</v>
      </c>
      <c r="FG41" s="202" t="e">
        <f>('Expenditure DATA'!HP43/'Expenditure DATA'!G43)*100</f>
        <v>#DIV/0!</v>
      </c>
      <c r="FH41" s="202" t="e">
        <f>('Expenditure DATA'!HQ43/'Expenditure DATA'!H43)*100</f>
        <v>#DIV/0!</v>
      </c>
      <c r="FI41" s="202" t="e">
        <f>('Expenditure DATA'!HR43/'Expenditure DATA'!I43)*100</f>
        <v>#DIV/0!</v>
      </c>
      <c r="FJ41" s="202">
        <f>('Expenditure DATA'!HS43/'Expenditure DATA'!J43)*100</f>
        <v>4.914748849400115</v>
      </c>
      <c r="FK41" s="202">
        <f>('Expenditure DATA'!HT43/'Expenditure DATA'!K43)*100</f>
        <v>4.6700767588403886</v>
      </c>
      <c r="FL41" s="202">
        <f>('Expenditure DATA'!HU43/'Expenditure DATA'!L43)*100</f>
        <v>4.4580314457993229</v>
      </c>
      <c r="FM41" s="202">
        <f>('Expenditure DATA'!HV43/'Expenditure DATA'!M43)*100</f>
        <v>4.5968302556888556</v>
      </c>
      <c r="FN41" s="202">
        <f>('Expenditure DATA'!HW43/'Expenditure DATA'!N43)*100</f>
        <v>4.5935997287869466</v>
      </c>
      <c r="FO41" s="202">
        <f>('Expenditure DATA'!HX43/'Expenditure DATA'!O43)*100</f>
        <v>4.7254369403446104</v>
      </c>
      <c r="FP41" s="202">
        <f>('Expenditure DATA'!HY43/'Expenditure DATA'!P43)*100</f>
        <v>4.7013190113608596</v>
      </c>
      <c r="FQ41" s="202">
        <f>('Expenditure DATA'!HZ43/'Expenditure DATA'!Q43)*100</f>
        <v>4.5330002148098059</v>
      </c>
      <c r="FR41" s="202">
        <f>('Expenditure DATA'!IA43/'Expenditure DATA'!R43)*100</f>
        <v>4.4909203991310696</v>
      </c>
      <c r="FS41" s="202">
        <f>('Expenditure DATA'!IB43/'Expenditure DATA'!S43)*100</f>
        <v>4.7660032136571191</v>
      </c>
      <c r="FT41" s="202">
        <f>('Expenditure DATA'!IC43/'Expenditure DATA'!T43)*100</f>
        <v>4.703575384010998</v>
      </c>
      <c r="FU41" s="202">
        <f>('Expenditure DATA'!ID43/'Expenditure DATA'!U43)*100</f>
        <v>4.787916494630994</v>
      </c>
      <c r="FV41" s="202">
        <f>('Expenditure DATA'!IE43/'Expenditure DATA'!V43)*100</f>
        <v>4.8642783835040104</v>
      </c>
      <c r="FW41" s="202">
        <f>('Expenditure DATA'!IF43/'Expenditure DATA'!W43)*100</f>
        <v>4.6299314953637749</v>
      </c>
      <c r="FX41" s="202">
        <f>('Expenditure DATA'!IG43/'Expenditure DATA'!X43)*100</f>
        <v>4.4110315040529189</v>
      </c>
      <c r="FY41" s="202">
        <f>('Expenditure DATA'!IH43/'Expenditure DATA'!Y43)*100</f>
        <v>4.2759474210162196</v>
      </c>
      <c r="FZ41" s="202">
        <f>('Expenditure DATA'!II43/'Expenditure DATA'!Z43)*100</f>
        <v>4.2999166945791059</v>
      </c>
      <c r="GA41" s="202">
        <f>('Expenditure DATA'!IJ43/'Expenditure DATA'!AA43)*100</f>
        <v>4.2402793045452896</v>
      </c>
      <c r="GB41" s="202">
        <f>('Expenditure DATA'!IK43/'Expenditure DATA'!AB43)*100</f>
        <v>4.2263951144994687</v>
      </c>
      <c r="GC41" s="202">
        <f>('Expenditure DATA'!IL43/'Expenditure DATA'!AC43)*100</f>
        <v>4.0674837453777455</v>
      </c>
      <c r="GD41" s="202">
        <f>('Expenditure DATA'!IM43/'Expenditure DATA'!AD43)*100</f>
        <v>3.7607511271831475</v>
      </c>
      <c r="GE41" s="202">
        <f>('Expenditure DATA'!IN43/'Expenditure DATA'!AE43)*100</f>
        <v>3.9254059071037171</v>
      </c>
      <c r="GF41" s="464">
        <f>('Expenditure DATA'!IO43/'Expenditure DATA'!AF43)*100</f>
        <v>3.667027951502094</v>
      </c>
      <c r="GG41" s="203" t="e">
        <f>('Expenditure DATA'!IP43/'Expenditure DATA'!B43)*100</f>
        <v>#DIV/0!</v>
      </c>
      <c r="GH41" s="202" t="e">
        <f>('Expenditure DATA'!IQ43/'Expenditure DATA'!C43)*100</f>
        <v>#DIV/0!</v>
      </c>
      <c r="GI41" s="202" t="e">
        <f>('Expenditure DATA'!IR43/'Expenditure DATA'!D43)*100</f>
        <v>#DIV/0!</v>
      </c>
      <c r="GJ41" s="202" t="e">
        <f>('Expenditure DATA'!IS43/'Expenditure DATA'!E43)*100</f>
        <v>#DIV/0!</v>
      </c>
      <c r="GK41" s="202" t="e">
        <f>('Expenditure DATA'!IT43/'Expenditure DATA'!F43)*100</f>
        <v>#DIV/0!</v>
      </c>
      <c r="GL41" s="202" t="e">
        <f>('Expenditure DATA'!IU43/'Expenditure DATA'!G43)*100</f>
        <v>#DIV/0!</v>
      </c>
      <c r="GM41" s="202" t="e">
        <f>('Expenditure DATA'!IV43/'Expenditure DATA'!H43)*100</f>
        <v>#DIV/0!</v>
      </c>
      <c r="GN41" s="202" t="e">
        <f>('Expenditure DATA'!IW43/'Expenditure DATA'!I43)*100</f>
        <v>#DIV/0!</v>
      </c>
      <c r="GO41" s="202">
        <f>('Expenditure DATA'!IX43/'Expenditure DATA'!J43)*100</f>
        <v>6.8503442073730687</v>
      </c>
      <c r="GP41" s="202">
        <f>('Expenditure DATA'!IY43/'Expenditure DATA'!K43)*100</f>
        <v>6.705982541668039</v>
      </c>
      <c r="GQ41" s="202">
        <f>('Expenditure DATA'!IZ43/'Expenditure DATA'!L43)*100</f>
        <v>6.5808713590827068</v>
      </c>
      <c r="GR41" s="202">
        <f>('Expenditure DATA'!JA43/'Expenditure DATA'!M43)*100</f>
        <v>7.0401412602839066</v>
      </c>
      <c r="GS41" s="202">
        <f>('Expenditure DATA'!JB43/'Expenditure DATA'!N43)*100</f>
        <v>7.2149452667077068</v>
      </c>
      <c r="GT41" s="202">
        <f>('Expenditure DATA'!JC43/'Expenditure DATA'!O43)*100</f>
        <v>6.9102928987220817</v>
      </c>
      <c r="GU41" s="202">
        <f>('Expenditure DATA'!JD43/'Expenditure DATA'!P43)*100</f>
        <v>6.1505635057692158</v>
      </c>
      <c r="GV41" s="202">
        <f>('Expenditure DATA'!JE43/'Expenditure DATA'!Q43)*100</f>
        <v>6.059736413901943</v>
      </c>
      <c r="GW41" s="202">
        <f>('Expenditure DATA'!JF43/'Expenditure DATA'!R43)*100</f>
        <v>5.8326065205830124</v>
      </c>
      <c r="GX41" s="202">
        <f>('Expenditure DATA'!JG43/'Expenditure DATA'!S43)*100</f>
        <v>6.0773997416684828</v>
      </c>
      <c r="GY41" s="202">
        <f>('Expenditure DATA'!JH43/'Expenditure DATA'!T43)*100</f>
        <v>5.9389739141004174</v>
      </c>
      <c r="GZ41" s="202">
        <f>('Expenditure DATA'!JI43/'Expenditure DATA'!U43)*100</f>
        <v>6.2143366776641544</v>
      </c>
      <c r="HA41" s="202">
        <f>('Expenditure DATA'!JJ43/'Expenditure DATA'!V43)*100</f>
        <v>6.4636483193587999</v>
      </c>
      <c r="HB41" s="202">
        <f>('Expenditure DATA'!JK43/'Expenditure DATA'!W43)*100</f>
        <v>7.4278101048725471</v>
      </c>
      <c r="HC41" s="202">
        <f>('Expenditure DATA'!JL43/'Expenditure DATA'!X43)*100</f>
        <v>8.3284194884497715</v>
      </c>
      <c r="HD41" s="202">
        <f>('Expenditure DATA'!JM43/'Expenditure DATA'!Y43)*100</f>
        <v>7.2119814487406151</v>
      </c>
      <c r="HE41" s="202">
        <f>('Expenditure DATA'!JN43/'Expenditure DATA'!Z43)*100</f>
        <v>7.8850224014516375</v>
      </c>
      <c r="HF41" s="202">
        <f>('Expenditure DATA'!JO43/'Expenditure DATA'!AA43)*100</f>
        <v>7.6396210721989419</v>
      </c>
      <c r="HG41" s="202">
        <f>('Expenditure DATA'!JP43/'Expenditure DATA'!AB43)*100</f>
        <v>7.3054074372354689</v>
      </c>
      <c r="HH41" s="202">
        <f>('Expenditure DATA'!JQ43/'Expenditure DATA'!AC43)*100</f>
        <v>7.2879196439007936</v>
      </c>
      <c r="HI41" s="202">
        <f>('Expenditure DATA'!JR43/'Expenditure DATA'!AD43)*100</f>
        <v>7.4058023457288957</v>
      </c>
      <c r="HJ41" s="202">
        <f>('Expenditure DATA'!JS43/'Expenditure DATA'!AE43)*100</f>
        <v>7.4044865431900826</v>
      </c>
      <c r="HK41" s="464">
        <f>('Expenditure DATA'!JT43/'Expenditure DATA'!AF43)*100</f>
        <v>7.0029740119816903</v>
      </c>
      <c r="HL41" s="203" t="e">
        <f t="shared" si="1"/>
        <v>#DIV/0!</v>
      </c>
      <c r="HM41" s="204" t="e">
        <f t="shared" si="2"/>
        <v>#DIV/0!</v>
      </c>
      <c r="HN41" s="204" t="e">
        <f t="shared" si="3"/>
        <v>#DIV/0!</v>
      </c>
      <c r="HO41" s="204" t="e">
        <f t="shared" si="4"/>
        <v>#DIV/0!</v>
      </c>
      <c r="HP41" s="204" t="e">
        <f t="shared" si="5"/>
        <v>#DIV/0!</v>
      </c>
      <c r="HQ41" s="204" t="e">
        <f t="shared" si="6"/>
        <v>#DIV/0!</v>
      </c>
      <c r="HR41" s="204" t="e">
        <f t="shared" si="7"/>
        <v>#DIV/0!</v>
      </c>
      <c r="HS41" s="204" t="e">
        <f t="shared" si="8"/>
        <v>#DIV/0!</v>
      </c>
      <c r="HT41" s="204">
        <f t="shared" si="9"/>
        <v>99.999999999999986</v>
      </c>
      <c r="HU41" s="204">
        <f t="shared" si="10"/>
        <v>100</v>
      </c>
      <c r="HV41" s="204">
        <f t="shared" si="11"/>
        <v>100.00000000000001</v>
      </c>
      <c r="HW41" s="204">
        <f t="shared" si="12"/>
        <v>99.999999999999986</v>
      </c>
      <c r="HX41" s="204">
        <f t="shared" si="13"/>
        <v>99.999999999999986</v>
      </c>
      <c r="HY41" s="204">
        <f t="shared" si="14"/>
        <v>99.999999999999986</v>
      </c>
      <c r="HZ41" s="204">
        <f t="shared" si="15"/>
        <v>100.00000000000001</v>
      </c>
      <c r="IA41" s="204">
        <f t="shared" si="16"/>
        <v>99.999999999999986</v>
      </c>
      <c r="IB41" s="204">
        <f t="shared" si="17"/>
        <v>99.999999999999986</v>
      </c>
      <c r="IC41" s="204">
        <f t="shared" si="18"/>
        <v>100</v>
      </c>
      <c r="ID41" s="204">
        <f t="shared" si="19"/>
        <v>100.00000000000001</v>
      </c>
      <c r="IE41" s="204">
        <f t="shared" si="20"/>
        <v>99.999999999999986</v>
      </c>
      <c r="IF41" s="204">
        <f t="shared" si="21"/>
        <v>99.999999999999986</v>
      </c>
      <c r="IG41" s="204">
        <f t="shared" si="22"/>
        <v>99.999999999999986</v>
      </c>
      <c r="IH41" s="204">
        <f t="shared" si="23"/>
        <v>99.999999999999986</v>
      </c>
      <c r="II41" s="204">
        <f t="shared" si="24"/>
        <v>99.999999999999986</v>
      </c>
      <c r="IJ41" s="204">
        <f t="shared" si="25"/>
        <v>100</v>
      </c>
      <c r="IK41" s="204">
        <f t="shared" si="26"/>
        <v>99.999999999999972</v>
      </c>
      <c r="IL41" s="204">
        <f t="shared" si="37"/>
        <v>100.00000000000001</v>
      </c>
      <c r="IM41" s="204">
        <f t="shared" si="38"/>
        <v>99.999995973513947</v>
      </c>
      <c r="IN41" s="204">
        <f t="shared" si="39"/>
        <v>100</v>
      </c>
      <c r="IO41" s="204">
        <f t="shared" si="40"/>
        <v>100</v>
      </c>
      <c r="IP41" s="204">
        <f t="shared" si="41"/>
        <v>99.999999999999986</v>
      </c>
    </row>
    <row r="42" spans="1:250" s="164" customFormat="1">
      <c r="A42" s="164" t="s">
        <v>57</v>
      </c>
      <c r="C42" s="202" t="e">
        <f>('Expenditure DATA'!CQ44/'Expenditure DATA'!B44)*100</f>
        <v>#DIV/0!</v>
      </c>
      <c r="D42" s="202" t="e">
        <f>('Expenditure DATA'!CR44/'Expenditure DATA'!C44)*100</f>
        <v>#DIV/0!</v>
      </c>
      <c r="E42" s="202" t="e">
        <f>('Expenditure DATA'!CS44/'Expenditure DATA'!D44)*100</f>
        <v>#DIV/0!</v>
      </c>
      <c r="F42" s="202" t="e">
        <f>('Expenditure DATA'!CT44/'Expenditure DATA'!E44)*100</f>
        <v>#DIV/0!</v>
      </c>
      <c r="G42" s="202" t="e">
        <f>('Expenditure DATA'!CU44/'Expenditure DATA'!F44)*100</f>
        <v>#DIV/0!</v>
      </c>
      <c r="H42" s="202" t="e">
        <f>('Expenditure DATA'!CV44/'Expenditure DATA'!G44)*100</f>
        <v>#DIV/0!</v>
      </c>
      <c r="I42" s="202" t="e">
        <f>('Expenditure DATA'!CW44/'Expenditure DATA'!H44)*100</f>
        <v>#DIV/0!</v>
      </c>
      <c r="J42" s="202" t="e">
        <f>('Expenditure DATA'!CX44/'Expenditure DATA'!I44)*100</f>
        <v>#DIV/0!</v>
      </c>
      <c r="K42" s="202">
        <f>('Expenditure DATA'!CY44/'Expenditure DATA'!J44)*100</f>
        <v>12.569012403281207</v>
      </c>
      <c r="L42" s="202">
        <f>('Expenditure DATA'!CZ44/'Expenditure DATA'!K44)*100</f>
        <v>13.489404036187958</v>
      </c>
      <c r="M42" s="202">
        <f>('Expenditure DATA'!DA44/'Expenditure DATA'!L44)*100</f>
        <v>14.295355748351046</v>
      </c>
      <c r="N42" s="202">
        <f>('Expenditure DATA'!DB44/'Expenditure DATA'!M44)*100</f>
        <v>12.180918746411095</v>
      </c>
      <c r="O42" s="202">
        <f>('Expenditure DATA'!DC44/'Expenditure DATA'!N44)*100</f>
        <v>12.021277274670854</v>
      </c>
      <c r="P42" s="202">
        <f>('Expenditure DATA'!DD44/'Expenditure DATA'!O44)*100</f>
        <v>12.072722270613248</v>
      </c>
      <c r="Q42" s="202">
        <f>('Expenditure DATA'!DE44/'Expenditure DATA'!P44)*100</f>
        <v>11.6644149341135</v>
      </c>
      <c r="R42" s="202">
        <f>('Expenditure DATA'!DF44/'Expenditure DATA'!Q44)*100</f>
        <v>11.462899809632042</v>
      </c>
      <c r="S42" s="202">
        <f>('Expenditure DATA'!DG44/'Expenditure DATA'!R44)*100</f>
        <v>12.104046265217416</v>
      </c>
      <c r="T42" s="202">
        <f>('Expenditure DATA'!DH44/'Expenditure DATA'!S44)*100</f>
        <v>13.56632094167508</v>
      </c>
      <c r="U42" s="202">
        <f>('Expenditure DATA'!DI44/'Expenditure DATA'!T44)*100</f>
        <v>12.934409486848997</v>
      </c>
      <c r="V42" s="202">
        <f>('Expenditure DATA'!DJ44/'Expenditure DATA'!U44)*100</f>
        <v>12.380812649361296</v>
      </c>
      <c r="W42" s="202">
        <f>('Expenditure DATA'!DK44/'Expenditure DATA'!V44)*100</f>
        <v>11.901332163677827</v>
      </c>
      <c r="X42" s="202">
        <f>('Expenditure DATA'!DL44/'Expenditure DATA'!W44)*100</f>
        <v>12.782095193095053</v>
      </c>
      <c r="Y42" s="202">
        <f>('Expenditure DATA'!DM44/'Expenditure DATA'!X44)*100</f>
        <v>13.586633149944349</v>
      </c>
      <c r="Z42" s="202">
        <f>('Expenditure DATA'!DN44/'Expenditure DATA'!Y44)*100</f>
        <v>13.592271333051087</v>
      </c>
      <c r="AA42" s="202">
        <f>('Expenditure DATA'!DO44/'Expenditure DATA'!Z44)*100</f>
        <v>12.717376642581385</v>
      </c>
      <c r="AB42" s="202">
        <f>('Expenditure DATA'!DP44/'Expenditure DATA'!AA44)*100</f>
        <v>12.363077363557046</v>
      </c>
      <c r="AC42" s="202">
        <f>('Expenditure DATA'!DQ44/'Expenditure DATA'!AB44)*100</f>
        <v>12.08448452003382</v>
      </c>
      <c r="AD42" s="202">
        <f>('Expenditure DATA'!DR44/'Expenditure DATA'!AC44)*100</f>
        <v>12.28945313671942</v>
      </c>
      <c r="AE42" s="202">
        <f>('Expenditure DATA'!DS44/'Expenditure DATA'!AD44)*100</f>
        <v>11.86455372269636</v>
      </c>
      <c r="AF42" s="202">
        <f>('Expenditure DATA'!DT44/'Expenditure DATA'!AE44)*100</f>
        <v>12.384395796942934</v>
      </c>
      <c r="AG42" s="464">
        <f>('Expenditure DATA'!DU44/'Expenditure DATA'!AF44)*100</f>
        <v>13.433458486143865</v>
      </c>
      <c r="AH42" s="203" t="e">
        <f>('Expenditure DATA'!BL44/'Expenditure DATA'!B44)*100</f>
        <v>#DIV/0!</v>
      </c>
      <c r="AI42" s="202" t="e">
        <f>('Expenditure DATA'!BM44/'Expenditure DATA'!C44)*100</f>
        <v>#DIV/0!</v>
      </c>
      <c r="AJ42" s="202" t="e">
        <f>('Expenditure DATA'!BN44/'Expenditure DATA'!D44)*100</f>
        <v>#DIV/0!</v>
      </c>
      <c r="AK42" s="202" t="e">
        <f>('Expenditure DATA'!BO44/'Expenditure DATA'!E44)*100</f>
        <v>#DIV/0!</v>
      </c>
      <c r="AL42" s="202" t="e">
        <f>('Expenditure DATA'!BP44/'Expenditure DATA'!F44)*100</f>
        <v>#DIV/0!</v>
      </c>
      <c r="AM42" s="202" t="e">
        <f>('Expenditure DATA'!BQ44/'Expenditure DATA'!G44)*100</f>
        <v>#DIV/0!</v>
      </c>
      <c r="AN42" s="202" t="e">
        <f>('Expenditure DATA'!BR44/'Expenditure DATA'!H44)*100</f>
        <v>#DIV/0!</v>
      </c>
      <c r="AO42" s="202" t="e">
        <f>('Expenditure DATA'!BS44/'Expenditure DATA'!I44)*100</f>
        <v>#DIV/0!</v>
      </c>
      <c r="AP42" s="202">
        <f>('Expenditure DATA'!BT44/'Expenditure DATA'!J44)*100</f>
        <v>25.563536787574726</v>
      </c>
      <c r="AQ42" s="202">
        <f>('Expenditure DATA'!BU44/'Expenditure DATA'!K44)*100</f>
        <v>25.39777038114665</v>
      </c>
      <c r="AR42" s="202">
        <f>('Expenditure DATA'!BV44/'Expenditure DATA'!L44)*100</f>
        <v>25.252615086049179</v>
      </c>
      <c r="AS42" s="202">
        <f>('Expenditure DATA'!BW44/'Expenditure DATA'!M44)*100</f>
        <v>26.525128047256331</v>
      </c>
      <c r="AT42" s="202">
        <f>('Expenditure DATA'!BX44/'Expenditure DATA'!N44)*100</f>
        <v>25.71510800964203</v>
      </c>
      <c r="AU42" s="202">
        <f>('Expenditure DATA'!BY44/'Expenditure DATA'!O44)*100</f>
        <v>25.049316939716959</v>
      </c>
      <c r="AV42" s="202">
        <f>('Expenditure DATA'!BZ44/'Expenditure DATA'!P44)*100</f>
        <v>26.112011947822864</v>
      </c>
      <c r="AW42" s="202">
        <f>('Expenditure DATA'!CA44/'Expenditure DATA'!Q44)*100</f>
        <v>24.784688882512988</v>
      </c>
      <c r="AX42" s="202">
        <f>('Expenditure DATA'!CB44/'Expenditure DATA'!R44)*100</f>
        <v>25.206365297063137</v>
      </c>
      <c r="AY42" s="202">
        <f>('Expenditure DATA'!CC44/'Expenditure DATA'!S44)*100</f>
        <v>24.54159826607345</v>
      </c>
      <c r="AZ42" s="202">
        <f>('Expenditure DATA'!CD44/'Expenditure DATA'!T44)*100</f>
        <v>23.917416939739596</v>
      </c>
      <c r="BA42" s="202">
        <f>('Expenditure DATA'!CE44/'Expenditure DATA'!U44)*100</f>
        <v>23.542805431533335</v>
      </c>
      <c r="BB42" s="202">
        <f>('Expenditure DATA'!CF44/'Expenditure DATA'!V44)*100</f>
        <v>23.218347458268003</v>
      </c>
      <c r="BC42" s="202">
        <f>('Expenditure DATA'!CG44/'Expenditure DATA'!W44)*100</f>
        <v>22.941101850513849</v>
      </c>
      <c r="BD42" s="202">
        <f>('Expenditure DATA'!CH44/'Expenditure DATA'!X44)*100</f>
        <v>22.687850286406359</v>
      </c>
      <c r="BE42" s="202">
        <f>('Expenditure DATA'!CI44/'Expenditure DATA'!Y44)*100</f>
        <v>22.647798115689117</v>
      </c>
      <c r="BF42" s="202">
        <f>('Expenditure DATA'!CJ44/'Expenditure DATA'!Z44)*100</f>
        <v>22.892993806371859</v>
      </c>
      <c r="BG42" s="202">
        <f>('Expenditure DATA'!CK44/'Expenditure DATA'!AA44)*100</f>
        <v>23.117600002931244</v>
      </c>
      <c r="BH42" s="202">
        <f>('Expenditure DATA'!CL44/'Expenditure DATA'!AB44)*100</f>
        <v>22.773688879614252</v>
      </c>
      <c r="BI42" s="202">
        <f>('Expenditure DATA'!CM44/'Expenditure DATA'!AC44)*100</f>
        <v>24.284867122141268</v>
      </c>
      <c r="BJ42" s="202">
        <f>('Expenditure DATA'!CN44/'Expenditure DATA'!AD44)*100</f>
        <v>24.222339261380764</v>
      </c>
      <c r="BK42" s="202">
        <f>('Expenditure DATA'!CO44/'Expenditure DATA'!AE44)*100</f>
        <v>22.890453880100779</v>
      </c>
      <c r="BL42" s="464">
        <f>('Expenditure DATA'!CP44/'Expenditure DATA'!AF44)*100</f>
        <v>22.169120885660533</v>
      </c>
      <c r="BM42" s="203" t="e">
        <f>('Expenditure DATA'!AG44/'Expenditure DATA'!B44)*100</f>
        <v>#DIV/0!</v>
      </c>
      <c r="BN42" s="202" t="e">
        <f>('Expenditure DATA'!AH44/'Expenditure DATA'!C44)*100</f>
        <v>#DIV/0!</v>
      </c>
      <c r="BO42" s="202" t="e">
        <f>('Expenditure DATA'!AI44/'Expenditure DATA'!D44)*100</f>
        <v>#DIV/0!</v>
      </c>
      <c r="BP42" s="202" t="e">
        <f>('Expenditure DATA'!AJ44/'Expenditure DATA'!E44)*100</f>
        <v>#DIV/0!</v>
      </c>
      <c r="BQ42" s="202" t="e">
        <f>('Expenditure DATA'!AK44/'Expenditure DATA'!F44)*100</f>
        <v>#DIV/0!</v>
      </c>
      <c r="BR42" s="202" t="e">
        <f>('Expenditure DATA'!AL44/'Expenditure DATA'!G44)*100</f>
        <v>#DIV/0!</v>
      </c>
      <c r="BS42" s="202" t="e">
        <f>('Expenditure DATA'!AM44/'Expenditure DATA'!H44)*100</f>
        <v>#DIV/0!</v>
      </c>
      <c r="BT42" s="202" t="e">
        <f>('Expenditure DATA'!AN44/'Expenditure DATA'!I44)*100</f>
        <v>#DIV/0!</v>
      </c>
      <c r="BU42" s="202">
        <f>('Expenditure DATA'!AO44/'Expenditure DATA'!J44)*100</f>
        <v>39.787418842694962</v>
      </c>
      <c r="BV42" s="202">
        <f>('Expenditure DATA'!AP44/'Expenditure DATA'!K44)*100</f>
        <v>40.627212470503252</v>
      </c>
      <c r="BW42" s="202">
        <f>('Expenditure DATA'!AQ44/'Expenditure DATA'!L44)*100</f>
        <v>41.36258759560971</v>
      </c>
      <c r="BX42" s="202">
        <f>('Expenditure DATA'!AR44/'Expenditure DATA'!M44)*100</f>
        <v>40.479501016593083</v>
      </c>
      <c r="BY42" s="202">
        <f>('Expenditure DATA'!AS44/'Expenditure DATA'!N44)*100</f>
        <v>39.573046369899799</v>
      </c>
      <c r="BZ42" s="202">
        <f>('Expenditure DATA'!AT44/'Expenditure DATA'!O44)*100</f>
        <v>38.94203313859628</v>
      </c>
      <c r="CA42" s="202">
        <f>('Expenditure DATA'!AU44/'Expenditure DATA'!P44)*100</f>
        <v>39.6225088765311</v>
      </c>
      <c r="CB42" s="202">
        <f>('Expenditure DATA'!AV44/'Expenditure DATA'!Q44)*100</f>
        <v>38.041738535184102</v>
      </c>
      <c r="CC42" s="202">
        <f>('Expenditure DATA'!AW44/'Expenditure DATA'!R44)*100</f>
        <v>39.050422260644403</v>
      </c>
      <c r="CD42" s="202">
        <f>('Expenditure DATA'!AX44/'Expenditure DATA'!S44)*100</f>
        <v>40.012364114297853</v>
      </c>
      <c r="CE42" s="202">
        <f>('Expenditure DATA'!AY44/'Expenditure DATA'!T44)*100</f>
        <v>38.420963867446936</v>
      </c>
      <c r="CF42" s="202">
        <f>('Expenditure DATA'!AZ44/'Expenditure DATA'!U44)*100</f>
        <v>37.920177534389801</v>
      </c>
      <c r="CG42" s="202">
        <f>('Expenditure DATA'!BA44/'Expenditure DATA'!V44)*100</f>
        <v>37.486437205800549</v>
      </c>
      <c r="CH42" s="202">
        <f>('Expenditure DATA'!BB44/'Expenditure DATA'!W44)*100</f>
        <v>38.068422734685505</v>
      </c>
      <c r="CI42" s="202">
        <f>('Expenditure DATA'!BC44/'Expenditure DATA'!X44)*100</f>
        <v>38.600040698526215</v>
      </c>
      <c r="CJ42" s="202">
        <f>('Expenditure DATA'!BD44/'Expenditure DATA'!Y44)*100</f>
        <v>37.875890681224341</v>
      </c>
      <c r="CK42" s="202">
        <f>('Expenditure DATA'!BE44/'Expenditure DATA'!Z44)*100</f>
        <v>37.203497442182929</v>
      </c>
      <c r="CL42" s="202">
        <f>('Expenditure DATA'!BF44/'Expenditure DATA'!AA44)*100</f>
        <v>36.954235016493655</v>
      </c>
      <c r="CM42" s="202">
        <f>('Expenditure DATA'!BG44/'Expenditure DATA'!AB44)*100</f>
        <v>36.514704837125983</v>
      </c>
      <c r="CN42" s="202">
        <f>('Expenditure DATA'!BH44/'Expenditure DATA'!AC44)*100</f>
        <v>38.174730607189531</v>
      </c>
      <c r="CO42" s="202">
        <f>('Expenditure DATA'!BI44/'Expenditure DATA'!AD44)*100</f>
        <v>37.757250716150125</v>
      </c>
      <c r="CP42" s="202">
        <f>('Expenditure DATA'!BJ44/'Expenditure DATA'!AE44)*100</f>
        <v>36.899367147155971</v>
      </c>
      <c r="CQ42" s="464">
        <f>('Expenditure DATA'!BK44/'Expenditure DATA'!AF44)*100</f>
        <v>37.174506049236449</v>
      </c>
      <c r="CR42" s="203" t="e">
        <f>('Expenditure DATA'!FA44/'Expenditure DATA'!B44)*100</f>
        <v>#DIV/0!</v>
      </c>
      <c r="CS42" s="202" t="e">
        <f>('Expenditure DATA'!FB44/'Expenditure DATA'!C44)*100</f>
        <v>#DIV/0!</v>
      </c>
      <c r="CT42" s="202" t="e">
        <f>('Expenditure DATA'!FC44/'Expenditure DATA'!D44)*100</f>
        <v>#DIV/0!</v>
      </c>
      <c r="CU42" s="202" t="e">
        <f>('Expenditure DATA'!FD44/'Expenditure DATA'!E44)*100</f>
        <v>#DIV/0!</v>
      </c>
      <c r="CV42" s="202" t="e">
        <f>('Expenditure DATA'!FE44/'Expenditure DATA'!F44)*100</f>
        <v>#DIV/0!</v>
      </c>
      <c r="CW42" s="202" t="e">
        <f>('Expenditure DATA'!FF44/'Expenditure DATA'!G44)*100</f>
        <v>#DIV/0!</v>
      </c>
      <c r="CX42" s="202" t="e">
        <f>('Expenditure DATA'!FG44/'Expenditure DATA'!H44)*100</f>
        <v>#DIV/0!</v>
      </c>
      <c r="CY42" s="202" t="e">
        <f>('Expenditure DATA'!FH44/'Expenditure DATA'!I44)*100</f>
        <v>#DIV/0!</v>
      </c>
      <c r="CZ42" s="202">
        <f>('Expenditure DATA'!FI44/'Expenditure DATA'!J44)*100</f>
        <v>18.923358463048004</v>
      </c>
      <c r="DA42" s="202">
        <f>('Expenditure DATA'!FJ44/'Expenditure DATA'!K44)*100</f>
        <v>19.231006235712695</v>
      </c>
      <c r="DB42" s="202">
        <f>('Expenditure DATA'!FK44/'Expenditure DATA'!L44)*100</f>
        <v>19.500401610743651</v>
      </c>
      <c r="DC42" s="202">
        <f>('Expenditure DATA'!FL44/'Expenditure DATA'!M44)*100</f>
        <v>20.759635787536372</v>
      </c>
      <c r="DD42" s="202">
        <f>('Expenditure DATA'!FM44/'Expenditure DATA'!N44)*100</f>
        <v>21.023645373540166</v>
      </c>
      <c r="DE42" s="202">
        <f>('Expenditure DATA'!FN44/'Expenditure DATA'!O44)*100</f>
        <v>21.179149121726525</v>
      </c>
      <c r="DF42" s="202">
        <f>('Expenditure DATA'!FO44/'Expenditure DATA'!P44)*100</f>
        <v>19.868437606747921</v>
      </c>
      <c r="DG42" s="202">
        <f>('Expenditure DATA'!FP44/'Expenditure DATA'!Q44)*100</f>
        <v>20.290626183118341</v>
      </c>
      <c r="DH42" s="202">
        <f>('Expenditure DATA'!FQ44/'Expenditure DATA'!R44)*100</f>
        <v>19.637418648225903</v>
      </c>
      <c r="DI42" s="202">
        <f>('Expenditure DATA'!FR44/'Expenditure DATA'!S44)*100</f>
        <v>19.312269141522862</v>
      </c>
      <c r="DJ42" s="202">
        <f>('Expenditure DATA'!FS44/'Expenditure DATA'!T44)*100</f>
        <v>17.886665801029153</v>
      </c>
      <c r="DK42" s="202">
        <f>('Expenditure DATA'!FT44/'Expenditure DATA'!U44)*100</f>
        <v>20.103930353932643</v>
      </c>
      <c r="DL42" s="202">
        <f>('Expenditure DATA'!FU44/'Expenditure DATA'!V44)*100</f>
        <v>22.024344295492625</v>
      </c>
      <c r="DM42" s="202">
        <f>('Expenditure DATA'!FV44/'Expenditure DATA'!W44)*100</f>
        <v>22.163450434806716</v>
      </c>
      <c r="DN42" s="202">
        <f>('Expenditure DATA'!FW44/'Expenditure DATA'!X44)*100</f>
        <v>22.290517722341487</v>
      </c>
      <c r="DO42" s="202">
        <f>('Expenditure DATA'!FX44/'Expenditure DATA'!Y44)*100</f>
        <v>22.81228103401272</v>
      </c>
      <c r="DP42" s="202">
        <f>('Expenditure DATA'!FY44/'Expenditure DATA'!Z44)*100</f>
        <v>23.120218792524408</v>
      </c>
      <c r="DQ42" s="202">
        <f>('Expenditure DATA'!FZ44/'Expenditure DATA'!AA44)*100</f>
        <v>25.657370830444886</v>
      </c>
      <c r="DR42" s="202">
        <f>('Expenditure DATA'!GA44/'Expenditure DATA'!AB44)*100</f>
        <v>26.064787770430659</v>
      </c>
      <c r="DS42" s="202">
        <f>('Expenditure DATA'!GB44/'Expenditure DATA'!AC44)*100</f>
        <v>24.694066354043741</v>
      </c>
      <c r="DT42" s="202">
        <f>('Expenditure DATA'!GC44/'Expenditure DATA'!AD44)*100</f>
        <v>25.538388730132056</v>
      </c>
      <c r="DU42" s="202">
        <f>('Expenditure DATA'!GD44/'Expenditure DATA'!AE44)*100</f>
        <v>27.301487176975691</v>
      </c>
      <c r="DV42" s="464">
        <f>('Expenditure DATA'!GE44/'Expenditure DATA'!AF44)*100</f>
        <v>27.89506454833678</v>
      </c>
      <c r="DW42" s="203" t="e">
        <f>('Expenditure DATA'!GF44/'Expenditure DATA'!B44)*100</f>
        <v>#DIV/0!</v>
      </c>
      <c r="DX42" s="202" t="e">
        <f>('Expenditure DATA'!GG44/'Expenditure DATA'!C44)*100</f>
        <v>#DIV/0!</v>
      </c>
      <c r="DY42" s="202" t="e">
        <f>('Expenditure DATA'!GH44/'Expenditure DATA'!D44)*100</f>
        <v>#DIV/0!</v>
      </c>
      <c r="DZ42" s="202" t="e">
        <f>('Expenditure DATA'!GI44/'Expenditure DATA'!E44)*100</f>
        <v>#DIV/0!</v>
      </c>
      <c r="EA42" s="202" t="e">
        <f>('Expenditure DATA'!GJ44/'Expenditure DATA'!F44)*100</f>
        <v>#DIV/0!</v>
      </c>
      <c r="EB42" s="202" t="e">
        <f>('Expenditure DATA'!GK44/'Expenditure DATA'!G44)*100</f>
        <v>#DIV/0!</v>
      </c>
      <c r="EC42" s="202" t="e">
        <f>('Expenditure DATA'!GL44/'Expenditure DATA'!H44)*100</f>
        <v>#DIV/0!</v>
      </c>
      <c r="ED42" s="202" t="e">
        <f>('Expenditure DATA'!GM44/'Expenditure DATA'!I44)*100</f>
        <v>#DIV/0!</v>
      </c>
      <c r="EE42" s="202">
        <f>('Expenditure DATA'!GN44/'Expenditure DATA'!J44)*100</f>
        <v>24.564558560847825</v>
      </c>
      <c r="EF42" s="202">
        <f>('Expenditure DATA'!GO44/'Expenditure DATA'!K44)*100</f>
        <v>24.487033953203586</v>
      </c>
      <c r="EG42" s="202">
        <f>('Expenditure DATA'!GP44/'Expenditure DATA'!L44)*100</f>
        <v>24.41914862262065</v>
      </c>
      <c r="EH42" s="202">
        <f>('Expenditure DATA'!GQ44/'Expenditure DATA'!M44)*100</f>
        <v>23.884813915891701</v>
      </c>
      <c r="EI42" s="202">
        <f>('Expenditure DATA'!GR44/'Expenditure DATA'!N44)*100</f>
        <v>24.34436723710613</v>
      </c>
      <c r="EJ42" s="202">
        <f>('Expenditure DATA'!GS44/'Expenditure DATA'!O44)*100</f>
        <v>24.850474013008146</v>
      </c>
      <c r="EK42" s="202">
        <f>('Expenditure DATA'!GT44/'Expenditure DATA'!P44)*100</f>
        <v>25.736453256119816</v>
      </c>
      <c r="EL42" s="202">
        <f>('Expenditure DATA'!GU44/'Expenditure DATA'!Q44)*100</f>
        <v>26.686248544472839</v>
      </c>
      <c r="EM42" s="202">
        <f>('Expenditure DATA'!GV44/'Expenditure DATA'!R44)*100</f>
        <v>25.697992353722992</v>
      </c>
      <c r="EN42" s="202">
        <f>('Expenditure DATA'!GW44/'Expenditure DATA'!S44)*100</f>
        <v>25.408263170147965</v>
      </c>
      <c r="EO42" s="202">
        <f>('Expenditure DATA'!GX44/'Expenditure DATA'!T44)*100</f>
        <v>27.63487471914965</v>
      </c>
      <c r="EP42" s="202">
        <f>('Expenditure DATA'!GY44/'Expenditure DATA'!U44)*100</f>
        <v>25.506181290922502</v>
      </c>
      <c r="EQ42" s="202">
        <f>('Expenditure DATA'!GZ44/'Expenditure DATA'!V44)*100</f>
        <v>23.662480442721336</v>
      </c>
      <c r="ER42" s="202">
        <f>('Expenditure DATA'!HA44/'Expenditure DATA'!W44)*100</f>
        <v>23.388030791697147</v>
      </c>
      <c r="ES42" s="202">
        <f>('Expenditure DATA'!HB44/'Expenditure DATA'!X44)*100</f>
        <v>23.137333210034235</v>
      </c>
      <c r="ET42" s="202">
        <f>('Expenditure DATA'!HC44/'Expenditure DATA'!Y44)*100</f>
        <v>24.306838785009031</v>
      </c>
      <c r="EU42" s="202">
        <f>('Expenditure DATA'!HD44/'Expenditure DATA'!Z44)*100</f>
        <v>24.131736114099667</v>
      </c>
      <c r="EV42" s="202">
        <f>('Expenditure DATA'!HE44/'Expenditure DATA'!AA44)*100</f>
        <v>21.779694827861054</v>
      </c>
      <c r="EW42" s="202">
        <f>('Expenditure DATA'!HF44/'Expenditure DATA'!AB44)*100</f>
        <v>22.045388245367715</v>
      </c>
      <c r="EX42" s="202">
        <f>('Expenditure DATA'!HG44/'Expenditure DATA'!AC44)*100</f>
        <v>21.424018155910453</v>
      </c>
      <c r="EY42" s="202">
        <f>('Expenditure DATA'!HH44/'Expenditure DATA'!AD44)*100</f>
        <v>20.95443481039765</v>
      </c>
      <c r="EZ42" s="202">
        <f>('Expenditure DATA'!HI44/'Expenditure DATA'!AE44)*100</f>
        <v>21.041383025613399</v>
      </c>
      <c r="FA42" s="464">
        <f>('Expenditure DATA'!HJ44/'Expenditure DATA'!AF44)*100</f>
        <v>21.003257586127543</v>
      </c>
      <c r="FB42" s="203" t="e">
        <f>('Expenditure DATA'!HK44/'Expenditure DATA'!B44)*100</f>
        <v>#DIV/0!</v>
      </c>
      <c r="FC42" s="202" t="e">
        <f>('Expenditure DATA'!HL44/'Expenditure DATA'!C44)*100</f>
        <v>#DIV/0!</v>
      </c>
      <c r="FD42" s="202" t="e">
        <f>('Expenditure DATA'!HM44/'Expenditure DATA'!D44)*100</f>
        <v>#DIV/0!</v>
      </c>
      <c r="FE42" s="202" t="e">
        <f>('Expenditure DATA'!HN44/'Expenditure DATA'!E44)*100</f>
        <v>#DIV/0!</v>
      </c>
      <c r="FF42" s="202" t="e">
        <f>('Expenditure DATA'!HO44/'Expenditure DATA'!F44)*100</f>
        <v>#DIV/0!</v>
      </c>
      <c r="FG42" s="202" t="e">
        <f>('Expenditure DATA'!HP44/'Expenditure DATA'!G44)*100</f>
        <v>#DIV/0!</v>
      </c>
      <c r="FH42" s="202" t="e">
        <f>('Expenditure DATA'!HQ44/'Expenditure DATA'!H44)*100</f>
        <v>#DIV/0!</v>
      </c>
      <c r="FI42" s="202" t="e">
        <f>('Expenditure DATA'!HR44/'Expenditure DATA'!I44)*100</f>
        <v>#DIV/0!</v>
      </c>
      <c r="FJ42" s="202">
        <f>('Expenditure DATA'!HS44/'Expenditure DATA'!J44)*100</f>
        <v>6.1522735789931104</v>
      </c>
      <c r="FK42" s="202">
        <f>('Expenditure DATA'!HT44/'Expenditure DATA'!K44)*100</f>
        <v>5.8070989589865798</v>
      </c>
      <c r="FL42" s="202">
        <f>('Expenditure DATA'!HU44/'Expenditure DATA'!L44)*100</f>
        <v>5.5048427605996784</v>
      </c>
      <c r="FM42" s="202">
        <f>('Expenditure DATA'!HV44/'Expenditure DATA'!M44)*100</f>
        <v>5.7139805890273596</v>
      </c>
      <c r="FN42" s="202">
        <f>('Expenditure DATA'!HW44/'Expenditure DATA'!N44)*100</f>
        <v>5.6155317476149689</v>
      </c>
      <c r="FO42" s="202">
        <f>('Expenditure DATA'!HX44/'Expenditure DATA'!O44)*100</f>
        <v>5.9573336928499021</v>
      </c>
      <c r="FP42" s="202">
        <f>('Expenditure DATA'!HY44/'Expenditure DATA'!P44)*100</f>
        <v>5.6994451556097143</v>
      </c>
      <c r="FQ42" s="202">
        <f>('Expenditure DATA'!HZ44/'Expenditure DATA'!Q44)*100</f>
        <v>5.4753006790935075</v>
      </c>
      <c r="FR42" s="202">
        <f>('Expenditure DATA'!IA44/'Expenditure DATA'!R44)*100</f>
        <v>5.7850405388925763</v>
      </c>
      <c r="FS42" s="202">
        <f>('Expenditure DATA'!IB44/'Expenditure DATA'!S44)*100</f>
        <v>5.8312239553181229</v>
      </c>
      <c r="FT42" s="202">
        <f>('Expenditure DATA'!IC44/'Expenditure DATA'!T44)*100</f>
        <v>7.398802486485538</v>
      </c>
      <c r="FU42" s="202">
        <f>('Expenditure DATA'!ID44/'Expenditure DATA'!U44)*100</f>
        <v>6.832023652424402</v>
      </c>
      <c r="FV42" s="202">
        <f>('Expenditure DATA'!IE44/'Expenditure DATA'!V44)*100</f>
        <v>6.3411259950894641</v>
      </c>
      <c r="FW42" s="202">
        <f>('Expenditure DATA'!IF44/'Expenditure DATA'!W44)*100</f>
        <v>6.1667696293443086</v>
      </c>
      <c r="FX42" s="202">
        <f>('Expenditure DATA'!IG44/'Expenditure DATA'!X44)*100</f>
        <v>6.0075028236598191</v>
      </c>
      <c r="FY42" s="202">
        <f>('Expenditure DATA'!IH44/'Expenditure DATA'!Y44)*100</f>
        <v>5.2841305925427617</v>
      </c>
      <c r="FZ42" s="202">
        <f>('Expenditure DATA'!II44/'Expenditure DATA'!Z44)*100</f>
        <v>5.3343354874308719</v>
      </c>
      <c r="GA42" s="202">
        <f>('Expenditure DATA'!IJ44/'Expenditure DATA'!AA44)*100</f>
        <v>4.7325456585969983</v>
      </c>
      <c r="GB42" s="202">
        <f>('Expenditure DATA'!IK44/'Expenditure DATA'!AB44)*100</f>
        <v>5.061379739289567</v>
      </c>
      <c r="GC42" s="202">
        <f>('Expenditure DATA'!IL44/'Expenditure DATA'!AC44)*100</f>
        <v>4.8890855419505561</v>
      </c>
      <c r="GD42" s="202">
        <f>('Expenditure DATA'!IM44/'Expenditure DATA'!AD44)*100</f>
        <v>5.0021113711082181</v>
      </c>
      <c r="GE42" s="202">
        <f>('Expenditure DATA'!IN44/'Expenditure DATA'!AE44)*100</f>
        <v>4.6195580369046256</v>
      </c>
      <c r="GF42" s="464">
        <f>('Expenditure DATA'!IO44/'Expenditure DATA'!AF44)*100</f>
        <v>4.8243589755877521</v>
      </c>
      <c r="GG42" s="203" t="e">
        <f>('Expenditure DATA'!IP44/'Expenditure DATA'!B44)*100</f>
        <v>#DIV/0!</v>
      </c>
      <c r="GH42" s="202" t="e">
        <f>('Expenditure DATA'!IQ44/'Expenditure DATA'!C44)*100</f>
        <v>#DIV/0!</v>
      </c>
      <c r="GI42" s="202" t="e">
        <f>('Expenditure DATA'!IR44/'Expenditure DATA'!D44)*100</f>
        <v>#DIV/0!</v>
      </c>
      <c r="GJ42" s="202" t="e">
        <f>('Expenditure DATA'!IS44/'Expenditure DATA'!E44)*100</f>
        <v>#DIV/0!</v>
      </c>
      <c r="GK42" s="202" t="e">
        <f>('Expenditure DATA'!IT44/'Expenditure DATA'!F44)*100</f>
        <v>#DIV/0!</v>
      </c>
      <c r="GL42" s="202" t="e">
        <f>('Expenditure DATA'!IU44/'Expenditure DATA'!G44)*100</f>
        <v>#DIV/0!</v>
      </c>
      <c r="GM42" s="202" t="e">
        <f>('Expenditure DATA'!IV44/'Expenditure DATA'!H44)*100</f>
        <v>#DIV/0!</v>
      </c>
      <c r="GN42" s="202" t="e">
        <f>('Expenditure DATA'!IW44/'Expenditure DATA'!I44)*100</f>
        <v>#DIV/0!</v>
      </c>
      <c r="GO42" s="202">
        <f>('Expenditure DATA'!IX44/'Expenditure DATA'!J44)*100</f>
        <v>10.572390554416099</v>
      </c>
      <c r="GP42" s="202">
        <f>('Expenditure DATA'!IY44/'Expenditure DATA'!K44)*100</f>
        <v>9.8476483815938902</v>
      </c>
      <c r="GQ42" s="202">
        <f>('Expenditure DATA'!IZ44/'Expenditure DATA'!L44)*100</f>
        <v>9.2130194104263143</v>
      </c>
      <c r="GR42" s="202">
        <f>('Expenditure DATA'!JA44/'Expenditure DATA'!M44)*100</f>
        <v>9.1620686909514895</v>
      </c>
      <c r="GS42" s="202">
        <f>('Expenditure DATA'!JB44/'Expenditure DATA'!N44)*100</f>
        <v>9.4434092718389326</v>
      </c>
      <c r="GT42" s="202">
        <f>('Expenditure DATA'!JC44/'Expenditure DATA'!O44)*100</f>
        <v>9.0710100338191459</v>
      </c>
      <c r="GU42" s="202">
        <f>('Expenditure DATA'!JD44/'Expenditure DATA'!P44)*100</f>
        <v>9.0731551049914572</v>
      </c>
      <c r="GV42" s="202">
        <f>('Expenditure DATA'!JE44/'Expenditure DATA'!Q44)*100</f>
        <v>9.506086058131217</v>
      </c>
      <c r="GW42" s="202">
        <f>('Expenditure DATA'!JF44/'Expenditure DATA'!R44)*100</f>
        <v>9.8291261985141229</v>
      </c>
      <c r="GX42" s="202">
        <f>('Expenditure DATA'!JG44/'Expenditure DATA'!S44)*100</f>
        <v>9.4358796187131908</v>
      </c>
      <c r="GY42" s="202">
        <f>('Expenditure DATA'!JH44/'Expenditure DATA'!T44)*100</f>
        <v>8.6586931258887105</v>
      </c>
      <c r="GZ42" s="202">
        <f>('Expenditure DATA'!JI44/'Expenditure DATA'!U44)*100</f>
        <v>9.6376871683306611</v>
      </c>
      <c r="HA42" s="202">
        <f>('Expenditure DATA'!JJ44/'Expenditure DATA'!V44)*100</f>
        <v>10.485612060896029</v>
      </c>
      <c r="HB42" s="202">
        <f>('Expenditure DATA'!JK44/'Expenditure DATA'!W44)*100</f>
        <v>10.213326409466314</v>
      </c>
      <c r="HC42" s="202">
        <f>('Expenditure DATA'!JL44/'Expenditure DATA'!X44)*100</f>
        <v>9.9646055454382356</v>
      </c>
      <c r="HD42" s="202">
        <f>('Expenditure DATA'!JM44/'Expenditure DATA'!Y44)*100</f>
        <v>9.7208589072111415</v>
      </c>
      <c r="HE42" s="202">
        <f>('Expenditure DATA'!JN44/'Expenditure DATA'!Z44)*100</f>
        <v>10.210212163762121</v>
      </c>
      <c r="HF42" s="202">
        <f>('Expenditure DATA'!JO44/'Expenditure DATA'!AA44)*100</f>
        <v>10.876153666603415</v>
      </c>
      <c r="HG42" s="202">
        <f>('Expenditure DATA'!JP44/'Expenditure DATA'!AB44)*100</f>
        <v>10.313739407786088</v>
      </c>
      <c r="HH42" s="202">
        <f>('Expenditure DATA'!JQ44/'Expenditure DATA'!AC44)*100</f>
        <v>10.818090398517102</v>
      </c>
      <c r="HI42" s="202">
        <f>('Expenditure DATA'!JR44/'Expenditure DATA'!AD44)*100</f>
        <v>10.747814372211939</v>
      </c>
      <c r="HJ42" s="202">
        <f>('Expenditure DATA'!JS44/'Expenditure DATA'!AE44)*100</f>
        <v>10.138204613350311</v>
      </c>
      <c r="HK42" s="464">
        <f>('Expenditure DATA'!JT44/'Expenditure DATA'!AF44)*100</f>
        <v>9.1028128407114703</v>
      </c>
      <c r="HL42" s="203" t="e">
        <f t="shared" si="1"/>
        <v>#DIV/0!</v>
      </c>
      <c r="HM42" s="204" t="e">
        <f t="shared" si="2"/>
        <v>#DIV/0!</v>
      </c>
      <c r="HN42" s="204" t="e">
        <f t="shared" si="3"/>
        <v>#DIV/0!</v>
      </c>
      <c r="HO42" s="204" t="e">
        <f t="shared" si="4"/>
        <v>#DIV/0!</v>
      </c>
      <c r="HP42" s="204" t="e">
        <f t="shared" si="5"/>
        <v>#DIV/0!</v>
      </c>
      <c r="HQ42" s="204" t="e">
        <f t="shared" si="6"/>
        <v>#DIV/0!</v>
      </c>
      <c r="HR42" s="204" t="e">
        <f t="shared" si="7"/>
        <v>#DIV/0!</v>
      </c>
      <c r="HS42" s="204" t="e">
        <f t="shared" si="8"/>
        <v>#DIV/0!</v>
      </c>
      <c r="HT42" s="204">
        <f t="shared" si="9"/>
        <v>100</v>
      </c>
      <c r="HU42" s="204">
        <f t="shared" si="10"/>
        <v>100.00000000000001</v>
      </c>
      <c r="HV42" s="204">
        <f t="shared" si="11"/>
        <v>100</v>
      </c>
      <c r="HW42" s="204">
        <f t="shared" si="12"/>
        <v>100</v>
      </c>
      <c r="HX42" s="204">
        <f t="shared" si="13"/>
        <v>99.999999999999986</v>
      </c>
      <c r="HY42" s="204">
        <f t="shared" si="14"/>
        <v>100</v>
      </c>
      <c r="HZ42" s="204">
        <f t="shared" si="15"/>
        <v>100</v>
      </c>
      <c r="IA42" s="204">
        <f t="shared" si="16"/>
        <v>100.00000000000001</v>
      </c>
      <c r="IB42" s="204">
        <f t="shared" si="17"/>
        <v>99.999999999999986</v>
      </c>
      <c r="IC42" s="204">
        <f t="shared" si="18"/>
        <v>99.999999999999986</v>
      </c>
      <c r="ID42" s="204">
        <f t="shared" si="19"/>
        <v>100</v>
      </c>
      <c r="IE42" s="204">
        <f t="shared" si="20"/>
        <v>100</v>
      </c>
      <c r="IF42" s="204">
        <f t="shared" si="21"/>
        <v>100.00000000000001</v>
      </c>
      <c r="IG42" s="204">
        <f t="shared" si="22"/>
        <v>99.999999999999986</v>
      </c>
      <c r="IH42" s="204">
        <f t="shared" si="23"/>
        <v>99.999999999999986</v>
      </c>
      <c r="II42" s="204">
        <f t="shared" si="24"/>
        <v>100</v>
      </c>
      <c r="IJ42" s="204">
        <f t="shared" si="25"/>
        <v>100</v>
      </c>
      <c r="IK42" s="204">
        <f t="shared" si="26"/>
        <v>100.00000000000001</v>
      </c>
      <c r="IL42" s="204">
        <f t="shared" si="37"/>
        <v>100.00000000000001</v>
      </c>
      <c r="IM42" s="204">
        <f t="shared" si="38"/>
        <v>99.999991057611382</v>
      </c>
      <c r="IN42" s="204">
        <f t="shared" si="39"/>
        <v>99.999999999999972</v>
      </c>
      <c r="IO42" s="204">
        <f t="shared" si="40"/>
        <v>99.999999999999986</v>
      </c>
      <c r="IP42" s="204">
        <f t="shared" si="41"/>
        <v>100</v>
      </c>
    </row>
    <row r="43" spans="1:250" s="164" customFormat="1">
      <c r="A43" s="164" t="s">
        <v>60</v>
      </c>
      <c r="C43" s="202" t="e">
        <f>('Expenditure DATA'!CQ45/'Expenditure DATA'!B45)*100</f>
        <v>#DIV/0!</v>
      </c>
      <c r="D43" s="202" t="e">
        <f>('Expenditure DATA'!CR45/'Expenditure DATA'!C45)*100</f>
        <v>#DIV/0!</v>
      </c>
      <c r="E43" s="202" t="e">
        <f>('Expenditure DATA'!CS45/'Expenditure DATA'!D45)*100</f>
        <v>#DIV/0!</v>
      </c>
      <c r="F43" s="202" t="e">
        <f>('Expenditure DATA'!CT45/'Expenditure DATA'!E45)*100</f>
        <v>#DIV/0!</v>
      </c>
      <c r="G43" s="202" t="e">
        <f>('Expenditure DATA'!CU45/'Expenditure DATA'!F45)*100</f>
        <v>#DIV/0!</v>
      </c>
      <c r="H43" s="202" t="e">
        <f>('Expenditure DATA'!CV45/'Expenditure DATA'!G45)*100</f>
        <v>#DIV/0!</v>
      </c>
      <c r="I43" s="202" t="e">
        <f>('Expenditure DATA'!CW45/'Expenditure DATA'!H45)*100</f>
        <v>#DIV/0!</v>
      </c>
      <c r="J43" s="202" t="e">
        <f>('Expenditure DATA'!CX45/'Expenditure DATA'!I45)*100</f>
        <v>#DIV/0!</v>
      </c>
      <c r="K43" s="202">
        <f>('Expenditure DATA'!CY45/'Expenditure DATA'!J45)*100</f>
        <v>11.378583913111575</v>
      </c>
      <c r="L43" s="202">
        <f>('Expenditure DATA'!CZ45/'Expenditure DATA'!K45)*100</f>
        <v>11.19795085523147</v>
      </c>
      <c r="M43" s="202">
        <f>('Expenditure DATA'!DA45/'Expenditure DATA'!L45)*100</f>
        <v>11.039829109478466</v>
      </c>
      <c r="N43" s="202">
        <f>('Expenditure DATA'!DB45/'Expenditure DATA'!M45)*100</f>
        <v>11.070526041127733</v>
      </c>
      <c r="O43" s="202">
        <f>('Expenditure DATA'!DC45/'Expenditure DATA'!N45)*100</f>
        <v>11.344053556635096</v>
      </c>
      <c r="P43" s="202">
        <f>('Expenditure DATA'!DD45/'Expenditure DATA'!O45)*100</f>
        <v>11.169762302443186</v>
      </c>
      <c r="Q43" s="202">
        <f>('Expenditure DATA'!DE45/'Expenditure DATA'!P45)*100</f>
        <v>11.47907353939735</v>
      </c>
      <c r="R43" s="202">
        <f>('Expenditure DATA'!DF45/'Expenditure DATA'!Q45)*100</f>
        <v>11.365551518249468</v>
      </c>
      <c r="S43" s="202">
        <f>('Expenditure DATA'!DG45/'Expenditure DATA'!R45)*100</f>
        <v>11.568178908463219</v>
      </c>
      <c r="T43" s="202">
        <f>('Expenditure DATA'!DH45/'Expenditure DATA'!S45)*100</f>
        <v>12.31194634754843</v>
      </c>
      <c r="U43" s="202">
        <f>('Expenditure DATA'!DI45/'Expenditure DATA'!T45)*100</f>
        <v>12.497047187853729</v>
      </c>
      <c r="V43" s="202">
        <f>('Expenditure DATA'!DJ45/'Expenditure DATA'!U45)*100</f>
        <v>12.237593178905202</v>
      </c>
      <c r="W43" s="202">
        <f>('Expenditure DATA'!DK45/'Expenditure DATA'!V45)*100</f>
        <v>12.003624132672435</v>
      </c>
      <c r="X43" s="202">
        <f>('Expenditure DATA'!DL45/'Expenditure DATA'!W45)*100</f>
        <v>11.857913293783325</v>
      </c>
      <c r="Y43" s="202">
        <f>('Expenditure DATA'!DM45/'Expenditure DATA'!X45)*100</f>
        <v>11.727093558077186</v>
      </c>
      <c r="Z43" s="202">
        <f>('Expenditure DATA'!DN45/'Expenditure DATA'!Y45)*100</f>
        <v>11.758992953536419</v>
      </c>
      <c r="AA43" s="202">
        <f>('Expenditure DATA'!DO45/'Expenditure DATA'!Z45)*100</f>
        <v>12.585968516073857</v>
      </c>
      <c r="AB43" s="202">
        <f>('Expenditure DATA'!DP45/'Expenditure DATA'!AA45)*100</f>
        <v>12.064034078421315</v>
      </c>
      <c r="AC43" s="202">
        <f>('Expenditure DATA'!DQ45/'Expenditure DATA'!AB45)*100</f>
        <v>13.077779165205186</v>
      </c>
      <c r="AD43" s="202">
        <f>('Expenditure DATA'!DR45/'Expenditure DATA'!AC45)*100</f>
        <v>12.483294159027327</v>
      </c>
      <c r="AE43" s="202">
        <f>('Expenditure DATA'!DS45/'Expenditure DATA'!AD45)*100</f>
        <v>13.666313412206241</v>
      </c>
      <c r="AF43" s="202">
        <f>('Expenditure DATA'!DT45/'Expenditure DATA'!AE45)*100</f>
        <v>13.862162887263535</v>
      </c>
      <c r="AG43" s="464">
        <f>('Expenditure DATA'!DU45/'Expenditure DATA'!AF45)*100</f>
        <v>14.37295639593699</v>
      </c>
      <c r="AH43" s="203" t="e">
        <f>('Expenditure DATA'!BL45/'Expenditure DATA'!B45)*100</f>
        <v>#DIV/0!</v>
      </c>
      <c r="AI43" s="202" t="e">
        <f>('Expenditure DATA'!BM45/'Expenditure DATA'!C45)*100</f>
        <v>#DIV/0!</v>
      </c>
      <c r="AJ43" s="202" t="e">
        <f>('Expenditure DATA'!BN45/'Expenditure DATA'!D45)*100</f>
        <v>#DIV/0!</v>
      </c>
      <c r="AK43" s="202" t="e">
        <f>('Expenditure DATA'!BO45/'Expenditure DATA'!E45)*100</f>
        <v>#DIV/0!</v>
      </c>
      <c r="AL43" s="202" t="e">
        <f>('Expenditure DATA'!BP45/'Expenditure DATA'!F45)*100</f>
        <v>#DIV/0!</v>
      </c>
      <c r="AM43" s="202" t="e">
        <f>('Expenditure DATA'!BQ45/'Expenditure DATA'!G45)*100</f>
        <v>#DIV/0!</v>
      </c>
      <c r="AN43" s="202" t="e">
        <f>('Expenditure DATA'!BR45/'Expenditure DATA'!H45)*100</f>
        <v>#DIV/0!</v>
      </c>
      <c r="AO43" s="202" t="e">
        <f>('Expenditure DATA'!BS45/'Expenditure DATA'!I45)*100</f>
        <v>#DIV/0!</v>
      </c>
      <c r="AP43" s="202">
        <f>('Expenditure DATA'!BT45/'Expenditure DATA'!J45)*100</f>
        <v>25.598899783675016</v>
      </c>
      <c r="AQ43" s="202">
        <f>('Expenditure DATA'!BU45/'Expenditure DATA'!K45)*100</f>
        <v>26.246708174139904</v>
      </c>
      <c r="AR43" s="202">
        <f>('Expenditure DATA'!BV45/'Expenditure DATA'!L45)*100</f>
        <v>26.813783740572156</v>
      </c>
      <c r="AS43" s="202">
        <f>('Expenditure DATA'!BW45/'Expenditure DATA'!M45)*100</f>
        <v>27.199882249215058</v>
      </c>
      <c r="AT43" s="202">
        <f>('Expenditure DATA'!BX45/'Expenditure DATA'!N45)*100</f>
        <v>25.795879362655917</v>
      </c>
      <c r="AU43" s="202">
        <f>('Expenditure DATA'!BY45/'Expenditure DATA'!O45)*100</f>
        <v>26.701918009759808</v>
      </c>
      <c r="AV43" s="202">
        <f>('Expenditure DATA'!BZ45/'Expenditure DATA'!P45)*100</f>
        <v>26.333951746569621</v>
      </c>
      <c r="AW43" s="202">
        <f>('Expenditure DATA'!CA45/'Expenditure DATA'!Q45)*100</f>
        <v>27.226225290047957</v>
      </c>
      <c r="AX43" s="202">
        <f>('Expenditure DATA'!CB45/'Expenditure DATA'!R45)*100</f>
        <v>28.204535819145253</v>
      </c>
      <c r="AY43" s="202">
        <f>('Expenditure DATA'!CC45/'Expenditure DATA'!S45)*100</f>
        <v>28.51707182728671</v>
      </c>
      <c r="AZ43" s="202">
        <f>('Expenditure DATA'!CD45/'Expenditure DATA'!T45)*100</f>
        <v>27.539365537819748</v>
      </c>
      <c r="BA43" s="202">
        <f>('Expenditure DATA'!CE45/'Expenditure DATA'!U45)*100</f>
        <v>26.886976884640706</v>
      </c>
      <c r="BB43" s="202">
        <f>('Expenditure DATA'!CF45/'Expenditure DATA'!V45)*100</f>
        <v>26.298669339978094</v>
      </c>
      <c r="BC43" s="202">
        <f>('Expenditure DATA'!CG45/'Expenditure DATA'!W45)*100</f>
        <v>26.805490427428065</v>
      </c>
      <c r="BD43" s="202">
        <f>('Expenditure DATA'!CH45/'Expenditure DATA'!X45)*100</f>
        <v>27.260516293835707</v>
      </c>
      <c r="BE43" s="202">
        <f>('Expenditure DATA'!CI45/'Expenditure DATA'!Y45)*100</f>
        <v>27.63776343472918</v>
      </c>
      <c r="BF43" s="202">
        <f>('Expenditure DATA'!CJ45/'Expenditure DATA'!Z45)*100</f>
        <v>26.138105483511033</v>
      </c>
      <c r="BG43" s="202">
        <f>('Expenditure DATA'!CK45/'Expenditure DATA'!AA45)*100</f>
        <v>27.079593962946969</v>
      </c>
      <c r="BH43" s="202">
        <f>('Expenditure DATA'!CL45/'Expenditure DATA'!AB45)*100</f>
        <v>24.881224854242419</v>
      </c>
      <c r="BI43" s="202">
        <f>('Expenditure DATA'!CM45/'Expenditure DATA'!AC45)*100</f>
        <v>24.79691952409997</v>
      </c>
      <c r="BJ43" s="202">
        <f>('Expenditure DATA'!CN45/'Expenditure DATA'!AD45)*100</f>
        <v>24.258453579187357</v>
      </c>
      <c r="BK43" s="202">
        <f>('Expenditure DATA'!CO45/'Expenditure DATA'!AE45)*100</f>
        <v>23.753125358223638</v>
      </c>
      <c r="BL43" s="464">
        <f>('Expenditure DATA'!CP45/'Expenditure DATA'!AF45)*100</f>
        <v>23.144086438691097</v>
      </c>
      <c r="BM43" s="203" t="e">
        <f>('Expenditure DATA'!AG45/'Expenditure DATA'!B45)*100</f>
        <v>#DIV/0!</v>
      </c>
      <c r="BN43" s="202" t="e">
        <f>('Expenditure DATA'!AH45/'Expenditure DATA'!C45)*100</f>
        <v>#DIV/0!</v>
      </c>
      <c r="BO43" s="202" t="e">
        <f>('Expenditure DATA'!AI45/'Expenditure DATA'!D45)*100</f>
        <v>#DIV/0!</v>
      </c>
      <c r="BP43" s="202" t="e">
        <f>('Expenditure DATA'!AJ45/'Expenditure DATA'!E45)*100</f>
        <v>#DIV/0!</v>
      </c>
      <c r="BQ43" s="202" t="e">
        <f>('Expenditure DATA'!AK45/'Expenditure DATA'!F45)*100</f>
        <v>#DIV/0!</v>
      </c>
      <c r="BR43" s="202" t="e">
        <f>('Expenditure DATA'!AL45/'Expenditure DATA'!G45)*100</f>
        <v>#DIV/0!</v>
      </c>
      <c r="BS43" s="202" t="e">
        <f>('Expenditure DATA'!AM45/'Expenditure DATA'!H45)*100</f>
        <v>#DIV/0!</v>
      </c>
      <c r="BT43" s="202" t="e">
        <f>('Expenditure DATA'!AN45/'Expenditure DATA'!I45)*100</f>
        <v>#DIV/0!</v>
      </c>
      <c r="BU43" s="202">
        <f>('Expenditure DATA'!AO45/'Expenditure DATA'!J45)*100</f>
        <v>38.35821839282513</v>
      </c>
      <c r="BV43" s="202">
        <f>('Expenditure DATA'!AP45/'Expenditure DATA'!K45)*100</f>
        <v>38.87947324802461</v>
      </c>
      <c r="BW43" s="202">
        <f>('Expenditure DATA'!AQ45/'Expenditure DATA'!L45)*100</f>
        <v>39.335766955575494</v>
      </c>
      <c r="BX43" s="202">
        <f>('Expenditure DATA'!AR45/'Expenditure DATA'!M45)*100</f>
        <v>39.682200201745566</v>
      </c>
      <c r="BY43" s="202">
        <f>('Expenditure DATA'!AS45/'Expenditure DATA'!N45)*100</f>
        <v>38.476863109923784</v>
      </c>
      <c r="BZ43" s="202">
        <f>('Expenditure DATA'!AT45/'Expenditure DATA'!O45)*100</f>
        <v>39.700186350203651</v>
      </c>
      <c r="CA43" s="202">
        <f>('Expenditure DATA'!AU45/'Expenditure DATA'!P45)*100</f>
        <v>40.011683565830907</v>
      </c>
      <c r="CB43" s="202">
        <f>('Expenditure DATA'!AV45/'Expenditure DATA'!Q45)*100</f>
        <v>40.254143691679204</v>
      </c>
      <c r="CC43" s="202">
        <f>('Expenditure DATA'!AW45/'Expenditure DATA'!R45)*100</f>
        <v>41.380501459630196</v>
      </c>
      <c r="CD43" s="202">
        <f>('Expenditure DATA'!AX45/'Expenditure DATA'!S45)*100</f>
        <v>42.419811151146654</v>
      </c>
      <c r="CE43" s="202">
        <f>('Expenditure DATA'!AY45/'Expenditure DATA'!T45)*100</f>
        <v>41.559007458126615</v>
      </c>
      <c r="CF43" s="202">
        <f>('Expenditure DATA'!AZ45/'Expenditure DATA'!U45)*100</f>
        <v>40.551613876342209</v>
      </c>
      <c r="CG43" s="202">
        <f>('Expenditure DATA'!BA45/'Expenditure DATA'!V45)*100</f>
        <v>39.643171889007675</v>
      </c>
      <c r="CH43" s="202">
        <f>('Expenditure DATA'!BB45/'Expenditure DATA'!W45)*100</f>
        <v>40.029335034340058</v>
      </c>
      <c r="CI43" s="202">
        <f>('Expenditure DATA'!BC45/'Expenditure DATA'!X45)*100</f>
        <v>40.376033749390892</v>
      </c>
      <c r="CJ43" s="202">
        <f>('Expenditure DATA'!BD45/'Expenditure DATA'!Y45)*100</f>
        <v>40.977893390023382</v>
      </c>
      <c r="CK43" s="202">
        <f>('Expenditure DATA'!BE45/'Expenditure DATA'!Z45)*100</f>
        <v>40.468008054295687</v>
      </c>
      <c r="CL43" s="202">
        <f>('Expenditure DATA'!BF45/'Expenditure DATA'!AA45)*100</f>
        <v>40.975716668301715</v>
      </c>
      <c r="CM43" s="202">
        <f>('Expenditure DATA'!BG45/'Expenditure DATA'!AB45)*100</f>
        <v>39.842287778459372</v>
      </c>
      <c r="CN43" s="202">
        <f>('Expenditure DATA'!BH45/'Expenditure DATA'!AC45)*100</f>
        <v>39.189611195459285</v>
      </c>
      <c r="CO43" s="202">
        <f>('Expenditure DATA'!BI45/'Expenditure DATA'!AD45)*100</f>
        <v>39.942245122142666</v>
      </c>
      <c r="CP43" s="202">
        <f>('Expenditure DATA'!BJ45/'Expenditure DATA'!AE45)*100</f>
        <v>39.448350205442253</v>
      </c>
      <c r="CQ43" s="464">
        <f>('Expenditure DATA'!BK45/'Expenditure DATA'!AF45)*100</f>
        <v>39.390552528661388</v>
      </c>
      <c r="CR43" s="203" t="e">
        <f>('Expenditure DATA'!FA45/'Expenditure DATA'!B45)*100</f>
        <v>#DIV/0!</v>
      </c>
      <c r="CS43" s="202" t="e">
        <f>('Expenditure DATA'!FB45/'Expenditure DATA'!C45)*100</f>
        <v>#DIV/0!</v>
      </c>
      <c r="CT43" s="202" t="e">
        <f>('Expenditure DATA'!FC45/'Expenditure DATA'!D45)*100</f>
        <v>#DIV/0!</v>
      </c>
      <c r="CU43" s="202" t="e">
        <f>('Expenditure DATA'!FD45/'Expenditure DATA'!E45)*100</f>
        <v>#DIV/0!</v>
      </c>
      <c r="CV43" s="202" t="e">
        <f>('Expenditure DATA'!FE45/'Expenditure DATA'!F45)*100</f>
        <v>#DIV/0!</v>
      </c>
      <c r="CW43" s="202" t="e">
        <f>('Expenditure DATA'!FF45/'Expenditure DATA'!G45)*100</f>
        <v>#DIV/0!</v>
      </c>
      <c r="CX43" s="202" t="e">
        <f>('Expenditure DATA'!FG45/'Expenditure DATA'!H45)*100</f>
        <v>#DIV/0!</v>
      </c>
      <c r="CY43" s="202" t="e">
        <f>('Expenditure DATA'!FH45/'Expenditure DATA'!I45)*100</f>
        <v>#DIV/0!</v>
      </c>
      <c r="CZ43" s="202">
        <f>('Expenditure DATA'!FI45/'Expenditure DATA'!J45)*100</f>
        <v>25.979368187725182</v>
      </c>
      <c r="DA43" s="202">
        <f>('Expenditure DATA'!FJ45/'Expenditure DATA'!K45)*100</f>
        <v>26.208470336916623</v>
      </c>
      <c r="DB43" s="202">
        <f>('Expenditure DATA'!FK45/'Expenditure DATA'!L45)*100</f>
        <v>26.40902073567009</v>
      </c>
      <c r="DC43" s="202">
        <f>('Expenditure DATA'!FL45/'Expenditure DATA'!M45)*100</f>
        <v>26.569995655963673</v>
      </c>
      <c r="DD43" s="202">
        <f>('Expenditure DATA'!FM45/'Expenditure DATA'!N45)*100</f>
        <v>28.04215265589664</v>
      </c>
      <c r="DE43" s="202">
        <f>('Expenditure DATA'!FN45/'Expenditure DATA'!O45)*100</f>
        <v>26.04588618741187</v>
      </c>
      <c r="DF43" s="202">
        <f>('Expenditure DATA'!FO45/'Expenditure DATA'!P45)*100</f>
        <v>25.499718107763552</v>
      </c>
      <c r="DG43" s="202">
        <f>('Expenditure DATA'!FP45/'Expenditure DATA'!Q45)*100</f>
        <v>25.00523453141486</v>
      </c>
      <c r="DH43" s="202">
        <f>('Expenditure DATA'!FQ45/'Expenditure DATA'!R45)*100</f>
        <v>23.13178334233811</v>
      </c>
      <c r="DI43" s="202">
        <f>('Expenditure DATA'!FR45/'Expenditure DATA'!S45)*100</f>
        <v>21.469503601025288</v>
      </c>
      <c r="DJ43" s="202">
        <f>('Expenditure DATA'!FS45/'Expenditure DATA'!T45)*100</f>
        <v>23.013758115991639</v>
      </c>
      <c r="DK43" s="202">
        <f>('Expenditure DATA'!FT45/'Expenditure DATA'!U45)*100</f>
        <v>24.24409358079647</v>
      </c>
      <c r="DL43" s="202">
        <f>('Expenditure DATA'!FU45/'Expenditure DATA'!V45)*100</f>
        <v>25.353578905048447</v>
      </c>
      <c r="DM43" s="202">
        <f>('Expenditure DATA'!FV45/'Expenditure DATA'!W45)*100</f>
        <v>25.352147392958059</v>
      </c>
      <c r="DN43" s="202">
        <f>('Expenditure DATA'!FW45/'Expenditure DATA'!X45)*100</f>
        <v>25.350862176053457</v>
      </c>
      <c r="DO43" s="202">
        <f>('Expenditure DATA'!FX45/'Expenditure DATA'!Y45)*100</f>
        <v>25.601600659308893</v>
      </c>
      <c r="DP43" s="202">
        <f>('Expenditure DATA'!FY45/'Expenditure DATA'!Z45)*100</f>
        <v>25.125946200464451</v>
      </c>
      <c r="DQ43" s="202">
        <f>('Expenditure DATA'!FZ45/'Expenditure DATA'!AA45)*100</f>
        <v>25.16914290324177</v>
      </c>
      <c r="DR43" s="202">
        <f>('Expenditure DATA'!GA45/'Expenditure DATA'!AB45)*100</f>
        <v>25.933311550753746</v>
      </c>
      <c r="DS43" s="202">
        <f>('Expenditure DATA'!GB45/'Expenditure DATA'!AC45)*100</f>
        <v>27.08241015285493</v>
      </c>
      <c r="DT43" s="202">
        <f>('Expenditure DATA'!GC45/'Expenditure DATA'!AD45)*100</f>
        <v>27.738214610604661</v>
      </c>
      <c r="DU43" s="202">
        <f>('Expenditure DATA'!GD45/'Expenditure DATA'!AE45)*100</f>
        <v>28.352789162600743</v>
      </c>
      <c r="DV43" s="464">
        <f>('Expenditure DATA'!GE45/'Expenditure DATA'!AF45)*100</f>
        <v>28.923413937389025</v>
      </c>
      <c r="DW43" s="203" t="e">
        <f>('Expenditure DATA'!GF45/'Expenditure DATA'!B45)*100</f>
        <v>#DIV/0!</v>
      </c>
      <c r="DX43" s="202" t="e">
        <f>('Expenditure DATA'!GG45/'Expenditure DATA'!C45)*100</f>
        <v>#DIV/0!</v>
      </c>
      <c r="DY43" s="202" t="e">
        <f>('Expenditure DATA'!GH45/'Expenditure DATA'!D45)*100</f>
        <v>#DIV/0!</v>
      </c>
      <c r="DZ43" s="202" t="e">
        <f>('Expenditure DATA'!GI45/'Expenditure DATA'!E45)*100</f>
        <v>#DIV/0!</v>
      </c>
      <c r="EA43" s="202" t="e">
        <f>('Expenditure DATA'!GJ45/'Expenditure DATA'!F45)*100</f>
        <v>#DIV/0!</v>
      </c>
      <c r="EB43" s="202" t="e">
        <f>('Expenditure DATA'!GK45/'Expenditure DATA'!G45)*100</f>
        <v>#DIV/0!</v>
      </c>
      <c r="EC43" s="202" t="e">
        <f>('Expenditure DATA'!GL45/'Expenditure DATA'!H45)*100</f>
        <v>#DIV/0!</v>
      </c>
      <c r="ED43" s="202" t="e">
        <f>('Expenditure DATA'!GM45/'Expenditure DATA'!I45)*100</f>
        <v>#DIV/0!</v>
      </c>
      <c r="EE43" s="202">
        <f>('Expenditure DATA'!GN45/'Expenditure DATA'!J45)*100</f>
        <v>21.16633519312547</v>
      </c>
      <c r="EF43" s="202">
        <f>('Expenditure DATA'!GO45/'Expenditure DATA'!K45)*100</f>
        <v>20.668239901626691</v>
      </c>
      <c r="EG43" s="202">
        <f>('Expenditure DATA'!GP45/'Expenditure DATA'!L45)*100</f>
        <v>20.232219507754969</v>
      </c>
      <c r="EH43" s="202">
        <f>('Expenditure DATA'!GQ45/'Expenditure DATA'!M45)*100</f>
        <v>19.901052417534331</v>
      </c>
      <c r="EI43" s="202">
        <f>('Expenditure DATA'!GR45/'Expenditure DATA'!N45)*100</f>
        <v>20.00012629272203</v>
      </c>
      <c r="EJ43" s="202">
        <f>('Expenditure DATA'!GS45/'Expenditure DATA'!O45)*100</f>
        <v>20.799780063646235</v>
      </c>
      <c r="EK43" s="202">
        <f>('Expenditure DATA'!GT45/'Expenditure DATA'!P45)*100</f>
        <v>20.968071350131265</v>
      </c>
      <c r="EL43" s="202">
        <f>('Expenditure DATA'!GU45/'Expenditure DATA'!Q45)*100</f>
        <v>20.724529755151195</v>
      </c>
      <c r="EM43" s="202">
        <f>('Expenditure DATA'!GV45/'Expenditure DATA'!R45)*100</f>
        <v>21.196630237289387</v>
      </c>
      <c r="EN43" s="202">
        <f>('Expenditure DATA'!GW45/'Expenditure DATA'!S45)*100</f>
        <v>21.708059919227342</v>
      </c>
      <c r="EO43" s="202">
        <f>('Expenditure DATA'!GX45/'Expenditure DATA'!T45)*100</f>
        <v>21.41365502936976</v>
      </c>
      <c r="EP43" s="202">
        <f>('Expenditure DATA'!GY45/'Expenditure DATA'!U45)*100</f>
        <v>21.452589274876701</v>
      </c>
      <c r="EQ43" s="202">
        <f>('Expenditure DATA'!GZ45/'Expenditure DATA'!V45)*100</f>
        <v>21.487699190209927</v>
      </c>
      <c r="ER43" s="202">
        <f>('Expenditure DATA'!HA45/'Expenditure DATA'!W45)*100</f>
        <v>21.258894878147121</v>
      </c>
      <c r="ES43" s="202">
        <f>('Expenditure DATA'!HB45/'Expenditure DATA'!X45)*100</f>
        <v>21.053473511688171</v>
      </c>
      <c r="ET43" s="202">
        <f>('Expenditure DATA'!HC45/'Expenditure DATA'!Y45)*100</f>
        <v>21.143521412630033</v>
      </c>
      <c r="EU43" s="202">
        <f>('Expenditure DATA'!HD45/'Expenditure DATA'!Z45)*100</f>
        <v>21.633778110572504</v>
      </c>
      <c r="EV43" s="202">
        <f>('Expenditure DATA'!HE45/'Expenditure DATA'!AA45)*100</f>
        <v>21.385079878020331</v>
      </c>
      <c r="EW43" s="202">
        <f>('Expenditure DATA'!HF45/'Expenditure DATA'!AB45)*100</f>
        <v>21.4550089893952</v>
      </c>
      <c r="EX43" s="202">
        <f>('Expenditure DATA'!HG45/'Expenditure DATA'!AC45)*100</f>
        <v>21.317418134545949</v>
      </c>
      <c r="EY43" s="202">
        <f>('Expenditure DATA'!HH45/'Expenditure DATA'!AD45)*100</f>
        <v>19.879921815635441</v>
      </c>
      <c r="EZ43" s="202">
        <f>('Expenditure DATA'!HI45/'Expenditure DATA'!AE45)*100</f>
        <v>19.96659285403015</v>
      </c>
      <c r="FA43" s="464">
        <f>('Expenditure DATA'!HJ45/'Expenditure DATA'!AF45)*100</f>
        <v>19.78291583754374</v>
      </c>
      <c r="FB43" s="203" t="e">
        <f>('Expenditure DATA'!HK45/'Expenditure DATA'!B45)*100</f>
        <v>#DIV/0!</v>
      </c>
      <c r="FC43" s="202" t="e">
        <f>('Expenditure DATA'!HL45/'Expenditure DATA'!C45)*100</f>
        <v>#DIV/0!</v>
      </c>
      <c r="FD43" s="202" t="e">
        <f>('Expenditure DATA'!HM45/'Expenditure DATA'!D45)*100</f>
        <v>#DIV/0!</v>
      </c>
      <c r="FE43" s="202" t="e">
        <f>('Expenditure DATA'!HN45/'Expenditure DATA'!E45)*100</f>
        <v>#DIV/0!</v>
      </c>
      <c r="FF43" s="202" t="e">
        <f>('Expenditure DATA'!HO45/'Expenditure DATA'!F45)*100</f>
        <v>#DIV/0!</v>
      </c>
      <c r="FG43" s="202" t="e">
        <f>('Expenditure DATA'!HP45/'Expenditure DATA'!G45)*100</f>
        <v>#DIV/0!</v>
      </c>
      <c r="FH43" s="202" t="e">
        <f>('Expenditure DATA'!HQ45/'Expenditure DATA'!H45)*100</f>
        <v>#DIV/0!</v>
      </c>
      <c r="FI43" s="202" t="e">
        <f>('Expenditure DATA'!HR45/'Expenditure DATA'!I45)*100</f>
        <v>#DIV/0!</v>
      </c>
      <c r="FJ43" s="202">
        <f>('Expenditure DATA'!HS45/'Expenditure DATA'!J45)*100</f>
        <v>5.1448291585785295</v>
      </c>
      <c r="FK43" s="202">
        <f>('Expenditure DATA'!HT45/'Expenditure DATA'!K45)*100</f>
        <v>5.1307515325951343</v>
      </c>
      <c r="FL43" s="202">
        <f>('Expenditure DATA'!HU45/'Expenditure DATA'!L45)*100</f>
        <v>5.1184283243038271</v>
      </c>
      <c r="FM43" s="202">
        <f>('Expenditure DATA'!HV45/'Expenditure DATA'!M45)*100</f>
        <v>4.87497321283701</v>
      </c>
      <c r="FN43" s="202">
        <f>('Expenditure DATA'!HW45/'Expenditure DATA'!N45)*100</f>
        <v>4.9665855578287399</v>
      </c>
      <c r="FO43" s="202">
        <f>('Expenditure DATA'!HX45/'Expenditure DATA'!O45)*100</f>
        <v>4.8857214401279245</v>
      </c>
      <c r="FP43" s="202">
        <f>('Expenditure DATA'!HY45/'Expenditure DATA'!P45)*100</f>
        <v>4.7525299773614815</v>
      </c>
      <c r="FQ43" s="202">
        <f>('Expenditure DATA'!HZ45/'Expenditure DATA'!Q45)*100</f>
        <v>4.7724085887807908</v>
      </c>
      <c r="FR43" s="202">
        <f>('Expenditure DATA'!IA45/'Expenditure DATA'!R45)*100</f>
        <v>4.8013260991961948</v>
      </c>
      <c r="FS43" s="202">
        <f>('Expenditure DATA'!IB45/'Expenditure DATA'!S45)*100</f>
        <v>4.8362004688623044</v>
      </c>
      <c r="FT43" s="202">
        <f>('Expenditure DATA'!IC45/'Expenditure DATA'!T45)*100</f>
        <v>5.0376051618914595</v>
      </c>
      <c r="FU43" s="202">
        <f>('Expenditure DATA'!ID45/'Expenditure DATA'!U45)*100</f>
        <v>4.863059507599047</v>
      </c>
      <c r="FV43" s="202">
        <f>('Expenditure DATA'!IE45/'Expenditure DATA'!V45)*100</f>
        <v>4.7056586625538195</v>
      </c>
      <c r="FW43" s="202">
        <f>('Expenditure DATA'!IF45/'Expenditure DATA'!W45)*100</f>
        <v>4.5162712315587719</v>
      </c>
      <c r="FX43" s="202">
        <f>('Expenditure DATA'!IG45/'Expenditure DATA'!X45)*100</f>
        <v>4.3462384882314797</v>
      </c>
      <c r="FY43" s="202">
        <f>('Expenditure DATA'!IH45/'Expenditure DATA'!Y45)*100</f>
        <v>4.594091656673176</v>
      </c>
      <c r="FZ43" s="202">
        <f>('Expenditure DATA'!II45/'Expenditure DATA'!Z45)*100</f>
        <v>4.8509725357593041</v>
      </c>
      <c r="GA43" s="202">
        <f>('Expenditure DATA'!IJ45/'Expenditure DATA'!AA45)*100</f>
        <v>4.5071110361670135</v>
      </c>
      <c r="GB43" s="202">
        <f>('Expenditure DATA'!IK45/'Expenditure DATA'!AB45)*100</f>
        <v>4.2661811119579856</v>
      </c>
      <c r="GC43" s="202">
        <f>('Expenditure DATA'!IL45/'Expenditure DATA'!AC45)*100</f>
        <v>3.9943617348906142</v>
      </c>
      <c r="GD43" s="202">
        <f>('Expenditure DATA'!IM45/'Expenditure DATA'!AD45)*100</f>
        <v>3.7589408272634675</v>
      </c>
      <c r="GE43" s="202">
        <f>('Expenditure DATA'!IN45/'Expenditure DATA'!AE45)*100</f>
        <v>3.8198544666072252</v>
      </c>
      <c r="GF43" s="464">
        <f>('Expenditure DATA'!IO45/'Expenditure DATA'!AF45)*100</f>
        <v>3.8670005644826104</v>
      </c>
      <c r="GG43" s="203" t="e">
        <f>('Expenditure DATA'!IP45/'Expenditure DATA'!B45)*100</f>
        <v>#DIV/0!</v>
      </c>
      <c r="GH43" s="202" t="e">
        <f>('Expenditure DATA'!IQ45/'Expenditure DATA'!C45)*100</f>
        <v>#DIV/0!</v>
      </c>
      <c r="GI43" s="202" t="e">
        <f>('Expenditure DATA'!IR45/'Expenditure DATA'!D45)*100</f>
        <v>#DIV/0!</v>
      </c>
      <c r="GJ43" s="202" t="e">
        <f>('Expenditure DATA'!IS45/'Expenditure DATA'!E45)*100</f>
        <v>#DIV/0!</v>
      </c>
      <c r="GK43" s="202" t="e">
        <f>('Expenditure DATA'!IT45/'Expenditure DATA'!F45)*100</f>
        <v>#DIV/0!</v>
      </c>
      <c r="GL43" s="202" t="e">
        <f>('Expenditure DATA'!IU45/'Expenditure DATA'!G45)*100</f>
        <v>#DIV/0!</v>
      </c>
      <c r="GM43" s="202" t="e">
        <f>('Expenditure DATA'!IV45/'Expenditure DATA'!H45)*100</f>
        <v>#DIV/0!</v>
      </c>
      <c r="GN43" s="202" t="e">
        <f>('Expenditure DATA'!IW45/'Expenditure DATA'!I45)*100</f>
        <v>#DIV/0!</v>
      </c>
      <c r="GO43" s="202">
        <f>('Expenditure DATA'!IX45/'Expenditure DATA'!J45)*100</f>
        <v>9.3512490677456874</v>
      </c>
      <c r="GP43" s="202">
        <f>('Expenditure DATA'!IY45/'Expenditure DATA'!K45)*100</f>
        <v>9.1130649808369526</v>
      </c>
      <c r="GQ43" s="202">
        <f>('Expenditure DATA'!IZ45/'Expenditure DATA'!L45)*100</f>
        <v>8.9045644766956098</v>
      </c>
      <c r="GR43" s="202">
        <f>('Expenditure DATA'!JA45/'Expenditure DATA'!M45)*100</f>
        <v>8.971778511919414</v>
      </c>
      <c r="GS43" s="202">
        <f>('Expenditure DATA'!JB45/'Expenditure DATA'!N45)*100</f>
        <v>8.5142723836287999</v>
      </c>
      <c r="GT43" s="202">
        <f>('Expenditure DATA'!JC45/'Expenditure DATA'!O45)*100</f>
        <v>8.568425958610316</v>
      </c>
      <c r="GU43" s="202">
        <f>('Expenditure DATA'!JD45/'Expenditure DATA'!P45)*100</f>
        <v>8.7679969989127802</v>
      </c>
      <c r="GV43" s="202">
        <f>('Expenditure DATA'!JE45/'Expenditure DATA'!Q45)*100</f>
        <v>9.2436834329739401</v>
      </c>
      <c r="GW43" s="202">
        <f>('Expenditure DATA'!JF45/'Expenditure DATA'!R45)*100</f>
        <v>9.4897588615461235</v>
      </c>
      <c r="GX43" s="202">
        <f>('Expenditure DATA'!JG45/'Expenditure DATA'!S45)*100</f>
        <v>9.5664248597384152</v>
      </c>
      <c r="GY43" s="202">
        <f>('Expenditure DATA'!JH45/'Expenditure DATA'!T45)*100</f>
        <v>8.9759742346205087</v>
      </c>
      <c r="GZ43" s="202">
        <f>('Expenditure DATA'!JI45/'Expenditure DATA'!U45)*100</f>
        <v>8.8886437603855875</v>
      </c>
      <c r="HA43" s="202">
        <f>('Expenditure DATA'!JJ45/'Expenditure DATA'!V45)*100</f>
        <v>8.8098913531801397</v>
      </c>
      <c r="HB43" s="202">
        <f>('Expenditure DATA'!JK45/'Expenditure DATA'!W45)*100</f>
        <v>8.8433514629959937</v>
      </c>
      <c r="HC43" s="202">
        <f>('Expenditure DATA'!JL45/'Expenditure DATA'!X45)*100</f>
        <v>8.8733920746360084</v>
      </c>
      <c r="HD43" s="202">
        <f>('Expenditure DATA'!JM45/'Expenditure DATA'!Y45)*100</f>
        <v>7.6828928813645296</v>
      </c>
      <c r="HE43" s="202">
        <f>('Expenditure DATA'!JN45/'Expenditure DATA'!Z45)*100</f>
        <v>7.9212950989080433</v>
      </c>
      <c r="HF43" s="202">
        <f>('Expenditure DATA'!JO45/'Expenditure DATA'!AA45)*100</f>
        <v>7.9629495142691642</v>
      </c>
      <c r="HG43" s="202">
        <f>('Expenditure DATA'!JP45/'Expenditure DATA'!AB45)*100</f>
        <v>8.503210569433687</v>
      </c>
      <c r="HH43" s="202">
        <f>('Expenditure DATA'!JQ45/'Expenditure DATA'!AC45)*100</f>
        <v>8.4161987822492339</v>
      </c>
      <c r="HI43" s="202">
        <f>('Expenditure DATA'!JR45/'Expenditure DATA'!AD45)*100</f>
        <v>8.6806789778018416</v>
      </c>
      <c r="HJ43" s="202">
        <f>('Expenditure DATA'!JS45/'Expenditure DATA'!AE45)*100</f>
        <v>8.4124133113196233</v>
      </c>
      <c r="HK43" s="464">
        <f>('Expenditure DATA'!JT45/'Expenditure DATA'!AF45)*100</f>
        <v>8.0361171319232447</v>
      </c>
      <c r="HL43" s="203" t="e">
        <f t="shared" si="1"/>
        <v>#DIV/0!</v>
      </c>
      <c r="HM43" s="204" t="e">
        <f t="shared" si="2"/>
        <v>#DIV/0!</v>
      </c>
      <c r="HN43" s="204" t="e">
        <f t="shared" si="3"/>
        <v>#DIV/0!</v>
      </c>
      <c r="HO43" s="204" t="e">
        <f t="shared" si="4"/>
        <v>#DIV/0!</v>
      </c>
      <c r="HP43" s="204" t="e">
        <f t="shared" si="5"/>
        <v>#DIV/0!</v>
      </c>
      <c r="HQ43" s="204" t="e">
        <f t="shared" si="6"/>
        <v>#DIV/0!</v>
      </c>
      <c r="HR43" s="204" t="e">
        <f t="shared" si="7"/>
        <v>#DIV/0!</v>
      </c>
      <c r="HS43" s="204" t="e">
        <f t="shared" si="8"/>
        <v>#DIV/0!</v>
      </c>
      <c r="HT43" s="204">
        <f t="shared" si="9"/>
        <v>100</v>
      </c>
      <c r="HU43" s="204">
        <f t="shared" si="10"/>
        <v>100</v>
      </c>
      <c r="HV43" s="204">
        <f t="shared" si="11"/>
        <v>99.999999999999986</v>
      </c>
      <c r="HW43" s="204">
        <f t="shared" si="12"/>
        <v>99.999999999999986</v>
      </c>
      <c r="HX43" s="204">
        <f t="shared" si="13"/>
        <v>100</v>
      </c>
      <c r="HY43" s="204">
        <f t="shared" si="14"/>
        <v>100</v>
      </c>
      <c r="HZ43" s="204">
        <f t="shared" si="15"/>
        <v>99.999999999999986</v>
      </c>
      <c r="IA43" s="204">
        <f t="shared" si="16"/>
        <v>99.999999999999986</v>
      </c>
      <c r="IB43" s="204">
        <f t="shared" si="17"/>
        <v>100</v>
      </c>
      <c r="IC43" s="204">
        <f t="shared" si="18"/>
        <v>100</v>
      </c>
      <c r="ID43" s="204">
        <f t="shared" si="19"/>
        <v>99.999999999999986</v>
      </c>
      <c r="IE43" s="204">
        <f t="shared" si="20"/>
        <v>100.00000000000001</v>
      </c>
      <c r="IF43" s="204">
        <f t="shared" si="21"/>
        <v>100</v>
      </c>
      <c r="IG43" s="204">
        <f t="shared" si="22"/>
        <v>100.00000000000001</v>
      </c>
      <c r="IH43" s="204">
        <f t="shared" si="23"/>
        <v>100</v>
      </c>
      <c r="II43" s="204">
        <f t="shared" si="24"/>
        <v>100.00000000000001</v>
      </c>
      <c r="IJ43" s="204">
        <f t="shared" si="25"/>
        <v>100</v>
      </c>
      <c r="IK43" s="204">
        <f t="shared" si="26"/>
        <v>100.00000000000001</v>
      </c>
      <c r="IL43" s="204">
        <f t="shared" si="37"/>
        <v>100</v>
      </c>
      <c r="IM43" s="204">
        <f t="shared" si="38"/>
        <v>100.00000000000001</v>
      </c>
      <c r="IN43" s="204">
        <f t="shared" si="39"/>
        <v>100.00000135344808</v>
      </c>
      <c r="IO43" s="204">
        <f t="shared" si="40"/>
        <v>100</v>
      </c>
      <c r="IP43" s="204">
        <f t="shared" si="41"/>
        <v>100.00000000000001</v>
      </c>
    </row>
    <row r="44" spans="1:250" s="164" customFormat="1">
      <c r="A44" s="164" t="s">
        <v>61</v>
      </c>
      <c r="C44" s="202" t="e">
        <f>('Expenditure DATA'!CQ46/'Expenditure DATA'!B46)*100</f>
        <v>#DIV/0!</v>
      </c>
      <c r="D44" s="202" t="e">
        <f>('Expenditure DATA'!CR46/'Expenditure DATA'!C46)*100</f>
        <v>#DIV/0!</v>
      </c>
      <c r="E44" s="202" t="e">
        <f>('Expenditure DATA'!CS46/'Expenditure DATA'!D46)*100</f>
        <v>#DIV/0!</v>
      </c>
      <c r="F44" s="202" t="e">
        <f>('Expenditure DATA'!CT46/'Expenditure DATA'!E46)*100</f>
        <v>#DIV/0!</v>
      </c>
      <c r="G44" s="202" t="e">
        <f>('Expenditure DATA'!CU46/'Expenditure DATA'!F46)*100</f>
        <v>#DIV/0!</v>
      </c>
      <c r="H44" s="202" t="e">
        <f>('Expenditure DATA'!CV46/'Expenditure DATA'!G46)*100</f>
        <v>#DIV/0!</v>
      </c>
      <c r="I44" s="202" t="e">
        <f>('Expenditure DATA'!CW46/'Expenditure DATA'!H46)*100</f>
        <v>#DIV/0!</v>
      </c>
      <c r="J44" s="202" t="e">
        <f>('Expenditure DATA'!CX46/'Expenditure DATA'!I46)*100</f>
        <v>#DIV/0!</v>
      </c>
      <c r="K44" s="202">
        <f>('Expenditure DATA'!CY46/'Expenditure DATA'!J46)*100</f>
        <v>8.8025562785145119</v>
      </c>
      <c r="L44" s="202">
        <f>('Expenditure DATA'!CZ46/'Expenditure DATA'!K46)*100</f>
        <v>8.5115497268194904</v>
      </c>
      <c r="M44" s="202">
        <f>('Expenditure DATA'!DA46/'Expenditure DATA'!L46)*100</f>
        <v>8.264071532933146</v>
      </c>
      <c r="N44" s="202">
        <f>('Expenditure DATA'!DB46/'Expenditure DATA'!M46)*100</f>
        <v>8.3809785122571032</v>
      </c>
      <c r="O44" s="202">
        <f>('Expenditure DATA'!DC46/'Expenditure DATA'!N46)*100</f>
        <v>8.2459043259227602</v>
      </c>
      <c r="P44" s="202">
        <f>('Expenditure DATA'!DD46/'Expenditure DATA'!O46)*100</f>
        <v>7.9497295015120013</v>
      </c>
      <c r="Q44" s="202">
        <f>('Expenditure DATA'!DE46/'Expenditure DATA'!P46)*100</f>
        <v>7.6110952797370084</v>
      </c>
      <c r="R44" s="202">
        <f>('Expenditure DATA'!DF46/'Expenditure DATA'!Q46)*100</f>
        <v>8.0521076344631481</v>
      </c>
      <c r="S44" s="202">
        <f>('Expenditure DATA'!DG46/'Expenditure DATA'!R46)*100</f>
        <v>8.541121515458121</v>
      </c>
      <c r="T44" s="202">
        <f>('Expenditure DATA'!DH46/'Expenditure DATA'!S46)*100</f>
        <v>8.6818466360124091</v>
      </c>
      <c r="U44" s="202">
        <f>('Expenditure DATA'!DI46/'Expenditure DATA'!T46)*100</f>
        <v>8.385208756680127</v>
      </c>
      <c r="V44" s="202">
        <f>('Expenditure DATA'!DJ46/'Expenditure DATA'!U46)*100</f>
        <v>8.4116797446996099</v>
      </c>
      <c r="W44" s="202">
        <f>('Expenditure DATA'!DK46/'Expenditure DATA'!V46)*100</f>
        <v>8.4352964461342044</v>
      </c>
      <c r="X44" s="202">
        <f>('Expenditure DATA'!DL46/'Expenditure DATA'!W46)*100</f>
        <v>8.3223029491624292</v>
      </c>
      <c r="Y44" s="202">
        <f>('Expenditure DATA'!DM46/'Expenditure DATA'!X46)*100</f>
        <v>8.2145659117156473</v>
      </c>
      <c r="Z44" s="202">
        <f>('Expenditure DATA'!DN46/'Expenditure DATA'!Y46)*100</f>
        <v>8.2028382343643784</v>
      </c>
      <c r="AA44" s="202">
        <f>('Expenditure DATA'!DO46/'Expenditure DATA'!Z46)*100</f>
        <v>8.8347909016411883</v>
      </c>
      <c r="AB44" s="202">
        <f>('Expenditure DATA'!DP46/'Expenditure DATA'!AA46)*100</f>
        <v>8.958403475564289</v>
      </c>
      <c r="AC44" s="202">
        <f>('Expenditure DATA'!DQ46/'Expenditure DATA'!AB46)*100</f>
        <v>9.4102634105779526</v>
      </c>
      <c r="AD44" s="202">
        <f>('Expenditure DATA'!DR46/'Expenditure DATA'!AC46)*100</f>
        <v>9.6130994213751855</v>
      </c>
      <c r="AE44" s="202">
        <f>('Expenditure DATA'!DS46/'Expenditure DATA'!AD46)*100</f>
        <v>9.3102003253832102</v>
      </c>
      <c r="AF44" s="202">
        <f>('Expenditure DATA'!DT46/'Expenditure DATA'!AE46)*100</f>
        <v>9.3258116343607576</v>
      </c>
      <c r="AG44" s="464">
        <f>('Expenditure DATA'!DU46/'Expenditure DATA'!AF46)*100</f>
        <v>9.0233567308109794</v>
      </c>
      <c r="AH44" s="203" t="e">
        <f>('Expenditure DATA'!BL46/'Expenditure DATA'!B46)*100</f>
        <v>#DIV/0!</v>
      </c>
      <c r="AI44" s="202" t="e">
        <f>('Expenditure DATA'!BM46/'Expenditure DATA'!C46)*100</f>
        <v>#DIV/0!</v>
      </c>
      <c r="AJ44" s="202" t="e">
        <f>('Expenditure DATA'!BN46/'Expenditure DATA'!D46)*100</f>
        <v>#DIV/0!</v>
      </c>
      <c r="AK44" s="202" t="e">
        <f>('Expenditure DATA'!BO46/'Expenditure DATA'!E46)*100</f>
        <v>#DIV/0!</v>
      </c>
      <c r="AL44" s="202" t="e">
        <f>('Expenditure DATA'!BP46/'Expenditure DATA'!F46)*100</f>
        <v>#DIV/0!</v>
      </c>
      <c r="AM44" s="202" t="e">
        <f>('Expenditure DATA'!BQ46/'Expenditure DATA'!G46)*100</f>
        <v>#DIV/0!</v>
      </c>
      <c r="AN44" s="202" t="e">
        <f>('Expenditure DATA'!BR46/'Expenditure DATA'!H46)*100</f>
        <v>#DIV/0!</v>
      </c>
      <c r="AO44" s="202" t="e">
        <f>('Expenditure DATA'!BS46/'Expenditure DATA'!I46)*100</f>
        <v>#DIV/0!</v>
      </c>
      <c r="AP44" s="202">
        <f>('Expenditure DATA'!BT46/'Expenditure DATA'!J46)*100</f>
        <v>23.455741858389015</v>
      </c>
      <c r="AQ44" s="202">
        <f>('Expenditure DATA'!BU46/'Expenditure DATA'!K46)*100</f>
        <v>23.536811948408477</v>
      </c>
      <c r="AR44" s="202">
        <f>('Expenditure DATA'!BV46/'Expenditure DATA'!L46)*100</f>
        <v>23.605755686408049</v>
      </c>
      <c r="AS44" s="202">
        <f>('Expenditure DATA'!BW46/'Expenditure DATA'!M46)*100</f>
        <v>23.346925958225658</v>
      </c>
      <c r="AT44" s="202">
        <f>('Expenditure DATA'!BX46/'Expenditure DATA'!N46)*100</f>
        <v>23.902429970175415</v>
      </c>
      <c r="AU44" s="202">
        <f>('Expenditure DATA'!BY46/'Expenditure DATA'!O46)*100</f>
        <v>24.849986054742818</v>
      </c>
      <c r="AV44" s="202">
        <f>('Expenditure DATA'!BZ46/'Expenditure DATA'!P46)*100</f>
        <v>24.406725717984283</v>
      </c>
      <c r="AW44" s="202">
        <f>('Expenditure DATA'!CA46/'Expenditure DATA'!Q46)*100</f>
        <v>24.78862060819819</v>
      </c>
      <c r="AX44" s="202">
        <f>('Expenditure DATA'!CB46/'Expenditure DATA'!R46)*100</f>
        <v>23.381782226324319</v>
      </c>
      <c r="AY44" s="202">
        <f>('Expenditure DATA'!CC46/'Expenditure DATA'!S46)*100</f>
        <v>24.274309899271636</v>
      </c>
      <c r="AZ44" s="202">
        <f>('Expenditure DATA'!CD46/'Expenditure DATA'!T46)*100</f>
        <v>22.985335585849501</v>
      </c>
      <c r="BA44" s="202">
        <f>('Expenditure DATA'!CE46/'Expenditure DATA'!U46)*100</f>
        <v>22.592921054188245</v>
      </c>
      <c r="BB44" s="202">
        <f>('Expenditure DATA'!CF46/'Expenditure DATA'!V46)*100</f>
        <v>22.24281939474065</v>
      </c>
      <c r="BC44" s="202">
        <f>('Expenditure DATA'!CG46/'Expenditure DATA'!W46)*100</f>
        <v>22.395921838735493</v>
      </c>
      <c r="BD44" s="202">
        <f>('Expenditure DATA'!CH46/'Expenditure DATA'!X46)*100</f>
        <v>22.541901954263604</v>
      </c>
      <c r="BE44" s="202">
        <f>('Expenditure DATA'!CI46/'Expenditure DATA'!Y46)*100</f>
        <v>22.051444388980638</v>
      </c>
      <c r="BF44" s="202">
        <f>('Expenditure DATA'!CJ46/'Expenditure DATA'!Z46)*100</f>
        <v>23.106550178223312</v>
      </c>
      <c r="BG44" s="202">
        <f>('Expenditure DATA'!CK46/'Expenditure DATA'!AA46)*100</f>
        <v>22.62405924716613</v>
      </c>
      <c r="BH44" s="202">
        <f>('Expenditure DATA'!CL46/'Expenditure DATA'!AB46)*100</f>
        <v>22.045633263139834</v>
      </c>
      <c r="BI44" s="202">
        <f>('Expenditure DATA'!CM46/'Expenditure DATA'!AC46)*100</f>
        <v>22.673178722754777</v>
      </c>
      <c r="BJ44" s="202">
        <f>('Expenditure DATA'!CN46/'Expenditure DATA'!AD46)*100</f>
        <v>21.110431116044566</v>
      </c>
      <c r="BK44" s="202">
        <f>('Expenditure DATA'!CO46/'Expenditure DATA'!AE46)*100</f>
        <v>21.135809708071999</v>
      </c>
      <c r="BL44" s="464">
        <f>('Expenditure DATA'!CP46/'Expenditure DATA'!AF46)*100</f>
        <v>20.730820266657719</v>
      </c>
      <c r="BM44" s="203" t="e">
        <f>('Expenditure DATA'!AG46/'Expenditure DATA'!B46)*100</f>
        <v>#DIV/0!</v>
      </c>
      <c r="BN44" s="202" t="e">
        <f>('Expenditure DATA'!AH46/'Expenditure DATA'!C46)*100</f>
        <v>#DIV/0!</v>
      </c>
      <c r="BO44" s="202" t="e">
        <f>('Expenditure DATA'!AI46/'Expenditure DATA'!D46)*100</f>
        <v>#DIV/0!</v>
      </c>
      <c r="BP44" s="202" t="e">
        <f>('Expenditure DATA'!AJ46/'Expenditure DATA'!E46)*100</f>
        <v>#DIV/0!</v>
      </c>
      <c r="BQ44" s="202" t="e">
        <f>('Expenditure DATA'!AK46/'Expenditure DATA'!F46)*100</f>
        <v>#DIV/0!</v>
      </c>
      <c r="BR44" s="202" t="e">
        <f>('Expenditure DATA'!AL46/'Expenditure DATA'!G46)*100</f>
        <v>#DIV/0!</v>
      </c>
      <c r="BS44" s="202" t="e">
        <f>('Expenditure DATA'!AM46/'Expenditure DATA'!H46)*100</f>
        <v>#DIV/0!</v>
      </c>
      <c r="BT44" s="202" t="e">
        <f>('Expenditure DATA'!AN46/'Expenditure DATA'!I46)*100</f>
        <v>#DIV/0!</v>
      </c>
      <c r="BU44" s="202">
        <f>('Expenditure DATA'!AO46/'Expenditure DATA'!J46)*100</f>
        <v>34.162319130066322</v>
      </c>
      <c r="BV44" s="202">
        <f>('Expenditure DATA'!AP46/'Expenditure DATA'!K46)*100</f>
        <v>33.94757331740135</v>
      </c>
      <c r="BW44" s="202">
        <f>('Expenditure DATA'!AQ46/'Expenditure DATA'!L46)*100</f>
        <v>33.764948886599257</v>
      </c>
      <c r="BX44" s="202">
        <f>('Expenditure DATA'!AR46/'Expenditure DATA'!M46)*100</f>
        <v>33.63585982088123</v>
      </c>
      <c r="BY44" s="202">
        <f>('Expenditure DATA'!AS46/'Expenditure DATA'!N46)*100</f>
        <v>34.143330936984476</v>
      </c>
      <c r="BZ44" s="202">
        <f>('Expenditure DATA'!AT46/'Expenditure DATA'!O46)*100</f>
        <v>34.747790453106767</v>
      </c>
      <c r="CA44" s="202">
        <f>('Expenditure DATA'!AU46/'Expenditure DATA'!P46)*100</f>
        <v>33.913534424917252</v>
      </c>
      <c r="CB44" s="202">
        <f>('Expenditure DATA'!AV46/'Expenditure DATA'!Q46)*100</f>
        <v>34.848033666696409</v>
      </c>
      <c r="CC44" s="202">
        <f>('Expenditure DATA'!AW46/'Expenditure DATA'!R46)*100</f>
        <v>33.983093246588304</v>
      </c>
      <c r="CD44" s="202">
        <f>('Expenditure DATA'!AX46/'Expenditure DATA'!S46)*100</f>
        <v>35.149704056364591</v>
      </c>
      <c r="CE44" s="202">
        <f>('Expenditure DATA'!AY46/'Expenditure DATA'!T46)*100</f>
        <v>33.474276023242005</v>
      </c>
      <c r="CF44" s="202">
        <f>('Expenditure DATA'!AZ46/'Expenditure DATA'!U46)*100</f>
        <v>33.083501980880612</v>
      </c>
      <c r="CG44" s="202">
        <f>('Expenditure DATA'!BA46/'Expenditure DATA'!V46)*100</f>
        <v>32.734863921732824</v>
      </c>
      <c r="CH44" s="202">
        <f>('Expenditure DATA'!BB46/'Expenditure DATA'!W46)*100</f>
        <v>32.93451532887368</v>
      </c>
      <c r="CI44" s="202">
        <f>('Expenditure DATA'!BC46/'Expenditure DATA'!X46)*100</f>
        <v>33.124878948939433</v>
      </c>
      <c r="CJ44" s="202">
        <f>('Expenditure DATA'!BD46/'Expenditure DATA'!Y46)*100</f>
        <v>32.486641043984292</v>
      </c>
      <c r="CK44" s="202">
        <f>('Expenditure DATA'!BE46/'Expenditure DATA'!Z46)*100</f>
        <v>34.684878811707158</v>
      </c>
      <c r="CL44" s="202">
        <f>('Expenditure DATA'!BF46/'Expenditure DATA'!AA46)*100</f>
        <v>34.532305061359146</v>
      </c>
      <c r="CM44" s="202">
        <f>('Expenditure DATA'!BG46/'Expenditure DATA'!AB46)*100</f>
        <v>34.104254479459492</v>
      </c>
      <c r="CN44" s="202">
        <f>('Expenditure DATA'!BH46/'Expenditure DATA'!AC46)*100</f>
        <v>34.939132176135431</v>
      </c>
      <c r="CO44" s="202">
        <f>('Expenditure DATA'!BI46/'Expenditure DATA'!AD46)*100</f>
        <v>33.089687154433037</v>
      </c>
      <c r="CP44" s="202">
        <f>('Expenditure DATA'!BJ46/'Expenditure DATA'!AE46)*100</f>
        <v>33.066954410460383</v>
      </c>
      <c r="CQ44" s="464">
        <f>('Expenditure DATA'!BK46/'Expenditure DATA'!AF46)*100</f>
        <v>32.221119406985807</v>
      </c>
      <c r="CR44" s="203" t="e">
        <f>('Expenditure DATA'!FA46/'Expenditure DATA'!B46)*100</f>
        <v>#DIV/0!</v>
      </c>
      <c r="CS44" s="202" t="e">
        <f>('Expenditure DATA'!FB46/'Expenditure DATA'!C46)*100</f>
        <v>#DIV/0!</v>
      </c>
      <c r="CT44" s="202" t="e">
        <f>('Expenditure DATA'!FC46/'Expenditure DATA'!D46)*100</f>
        <v>#DIV/0!</v>
      </c>
      <c r="CU44" s="202" t="e">
        <f>('Expenditure DATA'!FD46/'Expenditure DATA'!E46)*100</f>
        <v>#DIV/0!</v>
      </c>
      <c r="CV44" s="202" t="e">
        <f>('Expenditure DATA'!FE46/'Expenditure DATA'!F46)*100</f>
        <v>#DIV/0!</v>
      </c>
      <c r="CW44" s="202" t="e">
        <f>('Expenditure DATA'!FF46/'Expenditure DATA'!G46)*100</f>
        <v>#DIV/0!</v>
      </c>
      <c r="CX44" s="202" t="e">
        <f>('Expenditure DATA'!FG46/'Expenditure DATA'!H46)*100</f>
        <v>#DIV/0!</v>
      </c>
      <c r="CY44" s="202" t="e">
        <f>('Expenditure DATA'!FH46/'Expenditure DATA'!I46)*100</f>
        <v>#DIV/0!</v>
      </c>
      <c r="CZ44" s="202">
        <f>('Expenditure DATA'!FI46/'Expenditure DATA'!J46)*100</f>
        <v>24.250081694264576</v>
      </c>
      <c r="DA44" s="202">
        <f>('Expenditure DATA'!FJ46/'Expenditure DATA'!K46)*100</f>
        <v>26.121128265152443</v>
      </c>
      <c r="DB44" s="202">
        <f>('Expenditure DATA'!FK46/'Expenditure DATA'!L46)*100</f>
        <v>27.712306275899913</v>
      </c>
      <c r="DC44" s="202">
        <f>('Expenditure DATA'!FL46/'Expenditure DATA'!M46)*100</f>
        <v>27.143032712560743</v>
      </c>
      <c r="DD44" s="202">
        <f>('Expenditure DATA'!FM46/'Expenditure DATA'!N46)*100</f>
        <v>28.930113232010633</v>
      </c>
      <c r="DE44" s="202">
        <f>('Expenditure DATA'!FN46/'Expenditure DATA'!O46)*100</f>
        <v>28.328051280894041</v>
      </c>
      <c r="DF44" s="202">
        <f>('Expenditure DATA'!FO46/'Expenditure DATA'!P46)*100</f>
        <v>28.51599971985009</v>
      </c>
      <c r="DG44" s="202">
        <f>('Expenditure DATA'!FP46/'Expenditure DATA'!Q46)*100</f>
        <v>26.668309453401534</v>
      </c>
      <c r="DH44" s="202">
        <f>('Expenditure DATA'!FQ46/'Expenditure DATA'!R46)*100</f>
        <v>26.049664124801041</v>
      </c>
      <c r="DI44" s="202">
        <f>('Expenditure DATA'!FR46/'Expenditure DATA'!S46)*100</f>
        <v>26.069112274207058</v>
      </c>
      <c r="DJ44" s="202">
        <f>('Expenditure DATA'!FS46/'Expenditure DATA'!T46)*100</f>
        <v>25.399520867582364</v>
      </c>
      <c r="DK44" s="202">
        <f>('Expenditure DATA'!FT46/'Expenditure DATA'!U46)*100</f>
        <v>26.458781238374517</v>
      </c>
      <c r="DL44" s="202">
        <f>('Expenditure DATA'!FU46/'Expenditure DATA'!V46)*100</f>
        <v>27.403824766786812</v>
      </c>
      <c r="DM44" s="202">
        <f>('Expenditure DATA'!FV46/'Expenditure DATA'!W46)*100</f>
        <v>28.83755860830351</v>
      </c>
      <c r="DN44" s="202">
        <f>('Expenditure DATA'!FW46/'Expenditure DATA'!X46)*100</f>
        <v>30.204595125553556</v>
      </c>
      <c r="DO44" s="202">
        <f>('Expenditure DATA'!FX46/'Expenditure DATA'!Y46)*100</f>
        <v>31.962272602815812</v>
      </c>
      <c r="DP44" s="202">
        <f>('Expenditure DATA'!FY46/'Expenditure DATA'!Z46)*100</f>
        <v>29.610150127298279</v>
      </c>
      <c r="DQ44" s="202">
        <f>('Expenditure DATA'!FZ46/'Expenditure DATA'!AA46)*100</f>
        <v>29.787807805649376</v>
      </c>
      <c r="DR44" s="202">
        <f>('Expenditure DATA'!GA46/'Expenditure DATA'!AB46)*100</f>
        <v>29.611661788524895</v>
      </c>
      <c r="DS44" s="202">
        <f>('Expenditure DATA'!GB46/'Expenditure DATA'!AC46)*100</f>
        <v>30.339122426283772</v>
      </c>
      <c r="DT44" s="202">
        <f>('Expenditure DATA'!GC46/'Expenditure DATA'!AD46)*100</f>
        <v>31.552141151284165</v>
      </c>
      <c r="DU44" s="202">
        <f>('Expenditure DATA'!GD46/'Expenditure DATA'!AE46)*100</f>
        <v>31.860866914614604</v>
      </c>
      <c r="DV44" s="464">
        <f>('Expenditure DATA'!GE46/'Expenditure DATA'!AF46)*100</f>
        <v>33.642189408177806</v>
      </c>
      <c r="DW44" s="203" t="e">
        <f>('Expenditure DATA'!GF46/'Expenditure DATA'!B46)*100</f>
        <v>#DIV/0!</v>
      </c>
      <c r="DX44" s="202" t="e">
        <f>('Expenditure DATA'!GG46/'Expenditure DATA'!C46)*100</f>
        <v>#DIV/0!</v>
      </c>
      <c r="DY44" s="202" t="e">
        <f>('Expenditure DATA'!GH46/'Expenditure DATA'!D46)*100</f>
        <v>#DIV/0!</v>
      </c>
      <c r="DZ44" s="202" t="e">
        <f>('Expenditure DATA'!GI46/'Expenditure DATA'!E46)*100</f>
        <v>#DIV/0!</v>
      </c>
      <c r="EA44" s="202" t="e">
        <f>('Expenditure DATA'!GJ46/'Expenditure DATA'!F46)*100</f>
        <v>#DIV/0!</v>
      </c>
      <c r="EB44" s="202" t="e">
        <f>('Expenditure DATA'!GK46/'Expenditure DATA'!G46)*100</f>
        <v>#DIV/0!</v>
      </c>
      <c r="EC44" s="202" t="e">
        <f>('Expenditure DATA'!GL46/'Expenditure DATA'!H46)*100</f>
        <v>#DIV/0!</v>
      </c>
      <c r="ED44" s="202" t="e">
        <f>('Expenditure DATA'!GM46/'Expenditure DATA'!I46)*100</f>
        <v>#DIV/0!</v>
      </c>
      <c r="EE44" s="202">
        <f>('Expenditure DATA'!GN46/'Expenditure DATA'!J46)*100</f>
        <v>25.0395271749145</v>
      </c>
      <c r="EF44" s="202">
        <f>('Expenditure DATA'!GO46/'Expenditure DATA'!K46)*100</f>
        <v>24.072288533762563</v>
      </c>
      <c r="EG44" s="202">
        <f>('Expenditure DATA'!GP46/'Expenditure DATA'!L46)*100</f>
        <v>23.249728111754507</v>
      </c>
      <c r="EH44" s="202">
        <f>('Expenditure DATA'!GQ46/'Expenditure DATA'!M46)*100</f>
        <v>24.486344358359972</v>
      </c>
      <c r="EI44" s="202">
        <f>('Expenditure DATA'!GR46/'Expenditure DATA'!N46)*100</f>
        <v>22.353864972683436</v>
      </c>
      <c r="EJ44" s="202">
        <f>('Expenditure DATA'!GS46/'Expenditure DATA'!O46)*100</f>
        <v>22.972370741207335</v>
      </c>
      <c r="EK44" s="202">
        <f>('Expenditure DATA'!GT46/'Expenditure DATA'!P46)*100</f>
        <v>23.152884935140886</v>
      </c>
      <c r="EL44" s="202">
        <f>('Expenditure DATA'!GU46/'Expenditure DATA'!Q46)*100</f>
        <v>23.754274142086878</v>
      </c>
      <c r="EM44" s="202">
        <f>('Expenditure DATA'!GV46/'Expenditure DATA'!R46)*100</f>
        <v>25.639293922979832</v>
      </c>
      <c r="EN44" s="202">
        <f>('Expenditure DATA'!GW46/'Expenditure DATA'!S46)*100</f>
        <v>24.068014408475651</v>
      </c>
      <c r="EO44" s="202">
        <f>('Expenditure DATA'!GX46/'Expenditure DATA'!T46)*100</f>
        <v>24.293384925758989</v>
      </c>
      <c r="EP44" s="202">
        <f>('Expenditure DATA'!GY46/'Expenditure DATA'!U46)*100</f>
        <v>24.25669888935435</v>
      </c>
      <c r="EQ44" s="202">
        <f>('Expenditure DATA'!GZ46/'Expenditure DATA'!V46)*100</f>
        <v>24.223968597309749</v>
      </c>
      <c r="ER44" s="202">
        <f>('Expenditure DATA'!HA46/'Expenditure DATA'!W46)*100</f>
        <v>23.740557036845775</v>
      </c>
      <c r="ES44" s="202">
        <f>('Expenditure DATA'!HB46/'Expenditure DATA'!X46)*100</f>
        <v>23.279633790927264</v>
      </c>
      <c r="ET44" s="202">
        <f>('Expenditure DATA'!HC46/'Expenditure DATA'!Y46)*100</f>
        <v>22.722805217774603</v>
      </c>
      <c r="EU44" s="202">
        <f>('Expenditure DATA'!HD46/'Expenditure DATA'!Z46)*100</f>
        <v>23.582784339552244</v>
      </c>
      <c r="EV44" s="202">
        <f>('Expenditure DATA'!HE46/'Expenditure DATA'!AA46)*100</f>
        <v>23.562673763494821</v>
      </c>
      <c r="EW44" s="202">
        <f>('Expenditure DATA'!HF46/'Expenditure DATA'!AB46)*100</f>
        <v>24.181932561136762</v>
      </c>
      <c r="EX44" s="202">
        <f>('Expenditure DATA'!HG46/'Expenditure DATA'!AC46)*100</f>
        <v>23.031373703667356</v>
      </c>
      <c r="EY44" s="202">
        <f>('Expenditure DATA'!HH46/'Expenditure DATA'!AD46)*100</f>
        <v>23.565817231357794</v>
      </c>
      <c r="EZ44" s="202">
        <f>('Expenditure DATA'!HI46/'Expenditure DATA'!AE46)*100</f>
        <v>23.222183649406979</v>
      </c>
      <c r="FA44" s="464">
        <f>('Expenditure DATA'!HJ46/'Expenditure DATA'!AF46)*100</f>
        <v>22.539967394724037</v>
      </c>
      <c r="FB44" s="203" t="e">
        <f>('Expenditure DATA'!HK46/'Expenditure DATA'!B46)*100</f>
        <v>#DIV/0!</v>
      </c>
      <c r="FC44" s="202" t="e">
        <f>('Expenditure DATA'!HL46/'Expenditure DATA'!C46)*100</f>
        <v>#DIV/0!</v>
      </c>
      <c r="FD44" s="202" t="e">
        <f>('Expenditure DATA'!HM46/'Expenditure DATA'!D46)*100</f>
        <v>#DIV/0!</v>
      </c>
      <c r="FE44" s="202" t="e">
        <f>('Expenditure DATA'!HN46/'Expenditure DATA'!E46)*100</f>
        <v>#DIV/0!</v>
      </c>
      <c r="FF44" s="202" t="e">
        <f>('Expenditure DATA'!HO46/'Expenditure DATA'!F46)*100</f>
        <v>#DIV/0!</v>
      </c>
      <c r="FG44" s="202" t="e">
        <f>('Expenditure DATA'!HP46/'Expenditure DATA'!G46)*100</f>
        <v>#DIV/0!</v>
      </c>
      <c r="FH44" s="202" t="e">
        <f>('Expenditure DATA'!HQ46/'Expenditure DATA'!H46)*100</f>
        <v>#DIV/0!</v>
      </c>
      <c r="FI44" s="202" t="e">
        <f>('Expenditure DATA'!HR46/'Expenditure DATA'!I46)*100</f>
        <v>#DIV/0!</v>
      </c>
      <c r="FJ44" s="202">
        <f>('Expenditure DATA'!HS46/'Expenditure DATA'!J46)*100</f>
        <v>5.1369470378783975</v>
      </c>
      <c r="FK44" s="202">
        <f>('Expenditure DATA'!HT46/'Expenditure DATA'!K46)*100</f>
        <v>5.0176839174794017</v>
      </c>
      <c r="FL44" s="202">
        <f>('Expenditure DATA'!HU46/'Expenditure DATA'!L46)*100</f>
        <v>4.9162600097987053</v>
      </c>
      <c r="FM44" s="202">
        <f>('Expenditure DATA'!HV46/'Expenditure DATA'!M46)*100</f>
        <v>4.8434478670790089</v>
      </c>
      <c r="FN44" s="202">
        <f>('Expenditure DATA'!HW46/'Expenditure DATA'!N46)*100</f>
        <v>5.0069219472356581</v>
      </c>
      <c r="FO44" s="202">
        <f>('Expenditure DATA'!HX46/'Expenditure DATA'!O46)*100</f>
        <v>4.8612237846709414</v>
      </c>
      <c r="FP44" s="202">
        <f>('Expenditure DATA'!HY46/'Expenditure DATA'!P46)*100</f>
        <v>5.1212326078149282</v>
      </c>
      <c r="FQ44" s="202">
        <f>('Expenditure DATA'!HZ46/'Expenditure DATA'!Q46)*100</f>
        <v>5.1313315622611197</v>
      </c>
      <c r="FR44" s="202">
        <f>('Expenditure DATA'!IA46/'Expenditure DATA'!R46)*100</f>
        <v>5.5198953990675248</v>
      </c>
      <c r="FS44" s="202">
        <f>('Expenditure DATA'!IB46/'Expenditure DATA'!S46)*100</f>
        <v>5.6332592947494629</v>
      </c>
      <c r="FT44" s="202">
        <f>('Expenditure DATA'!IC46/'Expenditure DATA'!T46)*100</f>
        <v>5.0441322385964442</v>
      </c>
      <c r="FU44" s="202">
        <f>('Expenditure DATA'!ID46/'Expenditure DATA'!U46)*100</f>
        <v>5.0165167938766144</v>
      </c>
      <c r="FV44" s="202">
        <f>('Expenditure DATA'!IE46/'Expenditure DATA'!V46)*100</f>
        <v>4.9918790390466246</v>
      </c>
      <c r="FW44" s="202">
        <f>('Expenditure DATA'!IF46/'Expenditure DATA'!W46)*100</f>
        <v>4.9570556244619821</v>
      </c>
      <c r="FX44" s="202">
        <f>('Expenditure DATA'!IG46/'Expenditure DATA'!X46)*100</f>
        <v>4.9238521957543311</v>
      </c>
      <c r="FY44" s="202">
        <f>('Expenditure DATA'!IH46/'Expenditure DATA'!Y46)*100</f>
        <v>5.2669395703428554</v>
      </c>
      <c r="FZ44" s="202">
        <f>('Expenditure DATA'!II46/'Expenditure DATA'!Z46)*100</f>
        <v>4.9380682666953879</v>
      </c>
      <c r="GA44" s="202">
        <f>('Expenditure DATA'!IJ46/'Expenditure DATA'!AA46)*100</f>
        <v>4.8582354713568909</v>
      </c>
      <c r="GB44" s="202">
        <f>('Expenditure DATA'!IK46/'Expenditure DATA'!AB46)*100</f>
        <v>4.7400786720924222</v>
      </c>
      <c r="GC44" s="202">
        <f>('Expenditure DATA'!IL46/'Expenditure DATA'!AC46)*100</f>
        <v>4.7687593374118054</v>
      </c>
      <c r="GD44" s="202">
        <f>('Expenditure DATA'!IM46/'Expenditure DATA'!AD46)*100</f>
        <v>4.7278801124597445</v>
      </c>
      <c r="GE44" s="202">
        <f>('Expenditure DATA'!IN46/'Expenditure DATA'!AE46)*100</f>
        <v>4.778811246986205</v>
      </c>
      <c r="GF44" s="464">
        <f>('Expenditure DATA'!IO46/'Expenditure DATA'!AF46)*100</f>
        <v>4.2932759483106571</v>
      </c>
      <c r="GG44" s="203" t="e">
        <f>('Expenditure DATA'!IP46/'Expenditure DATA'!B46)*100</f>
        <v>#DIV/0!</v>
      </c>
      <c r="GH44" s="202" t="e">
        <f>('Expenditure DATA'!IQ46/'Expenditure DATA'!C46)*100</f>
        <v>#DIV/0!</v>
      </c>
      <c r="GI44" s="202" t="e">
        <f>('Expenditure DATA'!IR46/'Expenditure DATA'!D46)*100</f>
        <v>#DIV/0!</v>
      </c>
      <c r="GJ44" s="202" t="e">
        <f>('Expenditure DATA'!IS46/'Expenditure DATA'!E46)*100</f>
        <v>#DIV/0!</v>
      </c>
      <c r="GK44" s="202" t="e">
        <f>('Expenditure DATA'!IT46/'Expenditure DATA'!F46)*100</f>
        <v>#DIV/0!</v>
      </c>
      <c r="GL44" s="202" t="e">
        <f>('Expenditure DATA'!IU46/'Expenditure DATA'!G46)*100</f>
        <v>#DIV/0!</v>
      </c>
      <c r="GM44" s="202" t="e">
        <f>('Expenditure DATA'!IV46/'Expenditure DATA'!H46)*100</f>
        <v>#DIV/0!</v>
      </c>
      <c r="GN44" s="202" t="e">
        <f>('Expenditure DATA'!IW46/'Expenditure DATA'!I46)*100</f>
        <v>#DIV/0!</v>
      </c>
      <c r="GO44" s="202">
        <f>('Expenditure DATA'!IX46/'Expenditure DATA'!J46)*100</f>
        <v>11.411124962876199</v>
      </c>
      <c r="GP44" s="202">
        <f>('Expenditure DATA'!IY46/'Expenditure DATA'!K46)*100</f>
        <v>10.841325966204247</v>
      </c>
      <c r="GQ44" s="202">
        <f>('Expenditure DATA'!IZ46/'Expenditure DATA'!L46)*100</f>
        <v>10.356756715947611</v>
      </c>
      <c r="GR44" s="202">
        <f>('Expenditure DATA'!JA46/'Expenditure DATA'!M46)*100</f>
        <v>9.8913152411190399</v>
      </c>
      <c r="GS44" s="202">
        <f>('Expenditure DATA'!JB46/'Expenditure DATA'!N46)*100</f>
        <v>9.5657689110857991</v>
      </c>
      <c r="GT44" s="202">
        <f>('Expenditure DATA'!JC46/'Expenditure DATA'!O46)*100</f>
        <v>9.0905637401209187</v>
      </c>
      <c r="GU44" s="202">
        <f>('Expenditure DATA'!JD46/'Expenditure DATA'!P46)*100</f>
        <v>9.2963483122768409</v>
      </c>
      <c r="GV44" s="202">
        <f>('Expenditure DATA'!JE46/'Expenditure DATA'!Q46)*100</f>
        <v>9.5980511755540583</v>
      </c>
      <c r="GW44" s="202">
        <f>('Expenditure DATA'!JF46/'Expenditure DATA'!R46)*100</f>
        <v>8.8080533065632967</v>
      </c>
      <c r="GX44" s="202">
        <f>('Expenditure DATA'!JG46/'Expenditure DATA'!S46)*100</f>
        <v>9.0799099662032354</v>
      </c>
      <c r="GY44" s="202">
        <f>('Expenditure DATA'!JH46/'Expenditure DATA'!T46)*100</f>
        <v>11.7886859448202</v>
      </c>
      <c r="GZ44" s="202">
        <f>('Expenditure DATA'!JI46/'Expenditure DATA'!U46)*100</f>
        <v>11.184501097513913</v>
      </c>
      <c r="HA44" s="202">
        <f>('Expenditure DATA'!JJ46/'Expenditure DATA'!V46)*100</f>
        <v>10.645463675124004</v>
      </c>
      <c r="HB44" s="202">
        <f>('Expenditure DATA'!JK46/'Expenditure DATA'!W46)*100</f>
        <v>9.5303134015150661</v>
      </c>
      <c r="HC44" s="202">
        <f>('Expenditure DATA'!JL46/'Expenditure DATA'!X46)*100</f>
        <v>8.4670399388254083</v>
      </c>
      <c r="HD44" s="202">
        <f>('Expenditure DATA'!JM46/'Expenditure DATA'!Y46)*100</f>
        <v>7.5613415650824383</v>
      </c>
      <c r="HE44" s="202">
        <f>('Expenditure DATA'!JN46/'Expenditure DATA'!Z46)*100</f>
        <v>7.184118454746927</v>
      </c>
      <c r="HF44" s="202">
        <f>('Expenditure DATA'!JO46/'Expenditure DATA'!AA46)*100</f>
        <v>7.2589778981397624</v>
      </c>
      <c r="HG44" s="202">
        <f>('Expenditure DATA'!JP46/'Expenditure DATA'!AB46)*100</f>
        <v>7.3620724987864206</v>
      </c>
      <c r="HH44" s="202">
        <f>('Expenditure DATA'!JQ46/'Expenditure DATA'!AC46)*100</f>
        <v>6.9216123565016456</v>
      </c>
      <c r="HI44" s="202">
        <f>('Expenditure DATA'!JR46/'Expenditure DATA'!AD46)*100</f>
        <v>7.0644722223032117</v>
      </c>
      <c r="HJ44" s="202">
        <f>('Expenditure DATA'!JS46/'Expenditure DATA'!AE46)*100</f>
        <v>7.0711837785318297</v>
      </c>
      <c r="HK44" s="464">
        <f>('Expenditure DATA'!JT46/'Expenditure DATA'!AF46)*100</f>
        <v>7.3034478418016775</v>
      </c>
      <c r="HL44" s="203" t="e">
        <f t="shared" si="1"/>
        <v>#DIV/0!</v>
      </c>
      <c r="HM44" s="204" t="e">
        <f t="shared" si="2"/>
        <v>#DIV/0!</v>
      </c>
      <c r="HN44" s="204" t="e">
        <f t="shared" si="3"/>
        <v>#DIV/0!</v>
      </c>
      <c r="HO44" s="204" t="e">
        <f t="shared" si="4"/>
        <v>#DIV/0!</v>
      </c>
      <c r="HP44" s="204" t="e">
        <f t="shared" si="5"/>
        <v>#DIV/0!</v>
      </c>
      <c r="HQ44" s="204" t="e">
        <f t="shared" si="6"/>
        <v>#DIV/0!</v>
      </c>
      <c r="HR44" s="204" t="e">
        <f t="shared" si="7"/>
        <v>#DIV/0!</v>
      </c>
      <c r="HS44" s="204" t="e">
        <f t="shared" si="8"/>
        <v>#DIV/0!</v>
      </c>
      <c r="HT44" s="204">
        <f t="shared" si="9"/>
        <v>100</v>
      </c>
      <c r="HU44" s="204">
        <f t="shared" si="10"/>
        <v>100.00000000000001</v>
      </c>
      <c r="HV44" s="204">
        <f t="shared" si="11"/>
        <v>100</v>
      </c>
      <c r="HW44" s="204">
        <f t="shared" si="12"/>
        <v>100</v>
      </c>
      <c r="HX44" s="204">
        <f t="shared" si="13"/>
        <v>100</v>
      </c>
      <c r="HY44" s="204">
        <f t="shared" si="14"/>
        <v>100</v>
      </c>
      <c r="HZ44" s="204">
        <f t="shared" si="15"/>
        <v>100</v>
      </c>
      <c r="IA44" s="204">
        <f t="shared" si="16"/>
        <v>100.00000000000001</v>
      </c>
      <c r="IB44" s="204">
        <f t="shared" si="17"/>
        <v>99.999999999999986</v>
      </c>
      <c r="IC44" s="204">
        <f t="shared" si="18"/>
        <v>100</v>
      </c>
      <c r="ID44" s="204">
        <f t="shared" si="19"/>
        <v>100</v>
      </c>
      <c r="IE44" s="204">
        <f t="shared" si="20"/>
        <v>100.00000000000001</v>
      </c>
      <c r="IF44" s="204">
        <f t="shared" si="21"/>
        <v>100.00000000000001</v>
      </c>
      <c r="IG44" s="204">
        <f t="shared" si="22"/>
        <v>100.00000000000003</v>
      </c>
      <c r="IH44" s="204">
        <f t="shared" si="23"/>
        <v>100</v>
      </c>
      <c r="II44" s="204">
        <f t="shared" si="24"/>
        <v>100.00000000000001</v>
      </c>
      <c r="IJ44" s="204">
        <f t="shared" si="25"/>
        <v>99.999999999999986</v>
      </c>
      <c r="IK44" s="204">
        <f t="shared" si="26"/>
        <v>100</v>
      </c>
      <c r="IL44" s="204">
        <f t="shared" si="37"/>
        <v>99.999999999999986</v>
      </c>
      <c r="IM44" s="204">
        <f t="shared" si="38"/>
        <v>100</v>
      </c>
      <c r="IN44" s="204">
        <f t="shared" si="39"/>
        <v>99.999997871837948</v>
      </c>
      <c r="IO44" s="204">
        <f t="shared" si="40"/>
        <v>100</v>
      </c>
      <c r="IP44" s="204">
        <f t="shared" si="41"/>
        <v>99.999999999999972</v>
      </c>
    </row>
    <row r="45" spans="1:250" s="164" customFormat="1">
      <c r="A45" s="164" t="s">
        <v>62</v>
      </c>
      <c r="C45" s="202" t="e">
        <f>('Expenditure DATA'!CQ47/'Expenditure DATA'!B47)*100</f>
        <v>#DIV/0!</v>
      </c>
      <c r="D45" s="202" t="e">
        <f>('Expenditure DATA'!CR47/'Expenditure DATA'!C47)*100</f>
        <v>#DIV/0!</v>
      </c>
      <c r="E45" s="202" t="e">
        <f>('Expenditure DATA'!CS47/'Expenditure DATA'!D47)*100</f>
        <v>#DIV/0!</v>
      </c>
      <c r="F45" s="202" t="e">
        <f>('Expenditure DATA'!CT47/'Expenditure DATA'!E47)*100</f>
        <v>#DIV/0!</v>
      </c>
      <c r="G45" s="202" t="e">
        <f>('Expenditure DATA'!CU47/'Expenditure DATA'!F47)*100</f>
        <v>#DIV/0!</v>
      </c>
      <c r="H45" s="202" t="e">
        <f>('Expenditure DATA'!CV47/'Expenditure DATA'!G47)*100</f>
        <v>#DIV/0!</v>
      </c>
      <c r="I45" s="202" t="e">
        <f>('Expenditure DATA'!CW47/'Expenditure DATA'!H47)*100</f>
        <v>#DIV/0!</v>
      </c>
      <c r="J45" s="202" t="e">
        <f>('Expenditure DATA'!CX47/'Expenditure DATA'!I47)*100</f>
        <v>#DIV/0!</v>
      </c>
      <c r="K45" s="202">
        <f>('Expenditure DATA'!CY47/'Expenditure DATA'!J47)*100</f>
        <v>9.1503746810401072</v>
      </c>
      <c r="L45" s="202">
        <f>('Expenditure DATA'!CZ47/'Expenditure DATA'!K47)*100</f>
        <v>8.8557451875097524</v>
      </c>
      <c r="M45" s="202">
        <f>('Expenditure DATA'!DA47/'Expenditure DATA'!L47)*100</f>
        <v>8.6100400666519992</v>
      </c>
      <c r="N45" s="202">
        <f>('Expenditure DATA'!DB47/'Expenditure DATA'!M47)*100</f>
        <v>7.9103479584226903</v>
      </c>
      <c r="O45" s="202">
        <f>('Expenditure DATA'!DC47/'Expenditure DATA'!N47)*100</f>
        <v>7.9565821238632495</v>
      </c>
      <c r="P45" s="202">
        <f>('Expenditure DATA'!DD47/'Expenditure DATA'!O47)*100</f>
        <v>8.7874575043123322</v>
      </c>
      <c r="Q45" s="202">
        <f>('Expenditure DATA'!DE47/'Expenditure DATA'!P47)*100</f>
        <v>8.7765016426336846</v>
      </c>
      <c r="R45" s="202">
        <f>('Expenditure DATA'!DF47/'Expenditure DATA'!Q47)*100</f>
        <v>9.1099213128790684</v>
      </c>
      <c r="S45" s="202">
        <f>('Expenditure DATA'!DG47/'Expenditure DATA'!R47)*100</f>
        <v>9.2168423930321186</v>
      </c>
      <c r="T45" s="202">
        <f>('Expenditure DATA'!DH47/'Expenditure DATA'!S47)*100</f>
        <v>9.0067596393452014</v>
      </c>
      <c r="U45" s="202">
        <f>('Expenditure DATA'!DI47/'Expenditure DATA'!T47)*100</f>
        <v>9.19375497974581</v>
      </c>
      <c r="V45" s="202">
        <f>('Expenditure DATA'!DJ47/'Expenditure DATA'!U47)*100</f>
        <v>9.1466399301117036</v>
      </c>
      <c r="W45" s="202">
        <f>('Expenditure DATA'!DK47/'Expenditure DATA'!V47)*100</f>
        <v>9.1063820792669414</v>
      </c>
      <c r="X45" s="202">
        <f>('Expenditure DATA'!DL47/'Expenditure DATA'!W47)*100</f>
        <v>8.9375137136758109</v>
      </c>
      <c r="Y45" s="202">
        <f>('Expenditure DATA'!DM47/'Expenditure DATA'!X47)*100</f>
        <v>8.7793998057700851</v>
      </c>
      <c r="Z45" s="202">
        <f>('Expenditure DATA'!DN47/'Expenditure DATA'!Y47)*100</f>
        <v>8.8825514359488533</v>
      </c>
      <c r="AA45" s="202">
        <f>('Expenditure DATA'!DO47/'Expenditure DATA'!Z47)*100</f>
        <v>9.0667203820882296</v>
      </c>
      <c r="AB45" s="202">
        <f>('Expenditure DATA'!DP47/'Expenditure DATA'!AA47)*100</f>
        <v>9.0672882094624399</v>
      </c>
      <c r="AC45" s="202">
        <f>('Expenditure DATA'!DQ47/'Expenditure DATA'!AB47)*100</f>
        <v>9.6292822437979169</v>
      </c>
      <c r="AD45" s="202">
        <f>('Expenditure DATA'!DR47/'Expenditure DATA'!AC47)*100</f>
        <v>9.2294802635928423</v>
      </c>
      <c r="AE45" s="202">
        <f>('Expenditure DATA'!DS47/'Expenditure DATA'!AD47)*100</f>
        <v>8.8069445742447812</v>
      </c>
      <c r="AF45" s="202">
        <f>('Expenditure DATA'!DT47/'Expenditure DATA'!AE47)*100</f>
        <v>8.7017702409137456</v>
      </c>
      <c r="AG45" s="464">
        <f>('Expenditure DATA'!DU47/'Expenditure DATA'!AF47)*100</f>
        <v>10.003822470743552</v>
      </c>
      <c r="AH45" s="203" t="e">
        <f>('Expenditure DATA'!BL47/'Expenditure DATA'!B47)*100</f>
        <v>#DIV/0!</v>
      </c>
      <c r="AI45" s="202" t="e">
        <f>('Expenditure DATA'!BM47/'Expenditure DATA'!C47)*100</f>
        <v>#DIV/0!</v>
      </c>
      <c r="AJ45" s="202" t="e">
        <f>('Expenditure DATA'!BN47/'Expenditure DATA'!D47)*100</f>
        <v>#DIV/0!</v>
      </c>
      <c r="AK45" s="202" t="e">
        <f>('Expenditure DATA'!BO47/'Expenditure DATA'!E47)*100</f>
        <v>#DIV/0!</v>
      </c>
      <c r="AL45" s="202" t="e">
        <f>('Expenditure DATA'!BP47/'Expenditure DATA'!F47)*100</f>
        <v>#DIV/0!</v>
      </c>
      <c r="AM45" s="202" t="e">
        <f>('Expenditure DATA'!BQ47/'Expenditure DATA'!G47)*100</f>
        <v>#DIV/0!</v>
      </c>
      <c r="AN45" s="202" t="e">
        <f>('Expenditure DATA'!BR47/'Expenditure DATA'!H47)*100</f>
        <v>#DIV/0!</v>
      </c>
      <c r="AO45" s="202" t="e">
        <f>('Expenditure DATA'!BS47/'Expenditure DATA'!I47)*100</f>
        <v>#DIV/0!</v>
      </c>
      <c r="AP45" s="202">
        <f>('Expenditure DATA'!BT47/'Expenditure DATA'!J47)*100</f>
        <v>29.289407525071415</v>
      </c>
      <c r="AQ45" s="202">
        <f>('Expenditure DATA'!BU47/'Expenditure DATA'!K47)*100</f>
        <v>28.101759436982498</v>
      </c>
      <c r="AR45" s="202">
        <f>('Expenditure DATA'!BV47/'Expenditure DATA'!L47)*100</f>
        <v>27.111324930498498</v>
      </c>
      <c r="AS45" s="202">
        <f>('Expenditure DATA'!BW47/'Expenditure DATA'!M47)*100</f>
        <v>26.946557848378312</v>
      </c>
      <c r="AT45" s="202">
        <f>('Expenditure DATA'!BX47/'Expenditure DATA'!N47)*100</f>
        <v>27.064836398811931</v>
      </c>
      <c r="AU45" s="202">
        <f>('Expenditure DATA'!BY47/'Expenditure DATA'!O47)*100</f>
        <v>27.107908819266651</v>
      </c>
      <c r="AV45" s="202">
        <f>('Expenditure DATA'!BZ47/'Expenditure DATA'!P47)*100</f>
        <v>27.015229333293423</v>
      </c>
      <c r="AW45" s="202">
        <f>('Expenditure DATA'!CA47/'Expenditure DATA'!Q47)*100</f>
        <v>26.095761699094979</v>
      </c>
      <c r="AX45" s="202">
        <f>('Expenditure DATA'!CB47/'Expenditure DATA'!R47)*100</f>
        <v>25.699857761834838</v>
      </c>
      <c r="AY45" s="202">
        <f>('Expenditure DATA'!CC47/'Expenditure DATA'!S47)*100</f>
        <v>25.19770471082677</v>
      </c>
      <c r="AZ45" s="202">
        <f>('Expenditure DATA'!CD47/'Expenditure DATA'!T47)*100</f>
        <v>26.087043055945912</v>
      </c>
      <c r="BA45" s="202">
        <f>('Expenditure DATA'!CE47/'Expenditure DATA'!U47)*100</f>
        <v>25.734842530428548</v>
      </c>
      <c r="BB45" s="202">
        <f>('Expenditure DATA'!CF47/'Expenditure DATA'!V47)*100</f>
        <v>25.433901826049848</v>
      </c>
      <c r="BC45" s="202">
        <f>('Expenditure DATA'!CG47/'Expenditure DATA'!W47)*100</f>
        <v>24.964189421442981</v>
      </c>
      <c r="BD45" s="202">
        <f>('Expenditure DATA'!CH47/'Expenditure DATA'!X47)*100</f>
        <v>24.524390862226692</v>
      </c>
      <c r="BE45" s="202">
        <f>('Expenditure DATA'!CI47/'Expenditure DATA'!Y47)*100</f>
        <v>24.046655584180137</v>
      </c>
      <c r="BF45" s="202">
        <f>('Expenditure DATA'!CJ47/'Expenditure DATA'!Z47)*100</f>
        <v>24.368831972274638</v>
      </c>
      <c r="BG45" s="202">
        <f>('Expenditure DATA'!CK47/'Expenditure DATA'!AA47)*100</f>
        <v>24.36919017702667</v>
      </c>
      <c r="BH45" s="202">
        <f>('Expenditure DATA'!CL47/'Expenditure DATA'!AB47)*100</f>
        <v>24.290523635067306</v>
      </c>
      <c r="BI45" s="202">
        <f>('Expenditure DATA'!CM47/'Expenditure DATA'!AC47)*100</f>
        <v>24.306124751188968</v>
      </c>
      <c r="BJ45" s="202">
        <f>('Expenditure DATA'!CN47/'Expenditure DATA'!AD47)*100</f>
        <v>23.279434666320299</v>
      </c>
      <c r="BK45" s="202">
        <f>('Expenditure DATA'!CO47/'Expenditure DATA'!AE47)*100</f>
        <v>22.677162668118132</v>
      </c>
      <c r="BL45" s="464">
        <f>('Expenditure DATA'!CP47/'Expenditure DATA'!AF47)*100</f>
        <v>22.151811177264346</v>
      </c>
      <c r="BM45" s="203" t="e">
        <f>('Expenditure DATA'!AG47/'Expenditure DATA'!B47)*100</f>
        <v>#DIV/0!</v>
      </c>
      <c r="BN45" s="202" t="e">
        <f>('Expenditure DATA'!AH47/'Expenditure DATA'!C47)*100</f>
        <v>#DIV/0!</v>
      </c>
      <c r="BO45" s="202" t="e">
        <f>('Expenditure DATA'!AI47/'Expenditure DATA'!D47)*100</f>
        <v>#DIV/0!</v>
      </c>
      <c r="BP45" s="202" t="e">
        <f>('Expenditure DATA'!AJ47/'Expenditure DATA'!E47)*100</f>
        <v>#DIV/0!</v>
      </c>
      <c r="BQ45" s="202" t="e">
        <f>('Expenditure DATA'!AK47/'Expenditure DATA'!F47)*100</f>
        <v>#DIV/0!</v>
      </c>
      <c r="BR45" s="202" t="e">
        <f>('Expenditure DATA'!AL47/'Expenditure DATA'!G47)*100</f>
        <v>#DIV/0!</v>
      </c>
      <c r="BS45" s="202" t="e">
        <f>('Expenditure DATA'!AM47/'Expenditure DATA'!H47)*100</f>
        <v>#DIV/0!</v>
      </c>
      <c r="BT45" s="202" t="e">
        <f>('Expenditure DATA'!AN47/'Expenditure DATA'!I47)*100</f>
        <v>#DIV/0!</v>
      </c>
      <c r="BU45" s="202">
        <f>('Expenditure DATA'!AO47/'Expenditure DATA'!J47)*100</f>
        <v>40.211073001530977</v>
      </c>
      <c r="BV45" s="202">
        <f>('Expenditure DATA'!AP47/'Expenditure DATA'!K47)*100</f>
        <v>38.683481713458207</v>
      </c>
      <c r="BW45" s="202">
        <f>('Expenditure DATA'!AQ47/'Expenditure DATA'!L47)*100</f>
        <v>37.409552896761177</v>
      </c>
      <c r="BX45" s="202">
        <f>('Expenditure DATA'!AR47/'Expenditure DATA'!M47)*100</f>
        <v>36.667479096243873</v>
      </c>
      <c r="BY45" s="202">
        <f>('Expenditure DATA'!AS47/'Expenditure DATA'!N47)*100</f>
        <v>36.900049683657983</v>
      </c>
      <c r="BZ45" s="202">
        <f>('Expenditure DATA'!AT47/'Expenditure DATA'!O47)*100</f>
        <v>37.757194743109785</v>
      </c>
      <c r="CA45" s="202">
        <f>('Expenditure DATA'!AU47/'Expenditure DATA'!P47)*100</f>
        <v>37.648984677217619</v>
      </c>
      <c r="CB45" s="202">
        <f>('Expenditure DATA'!AV47/'Expenditure DATA'!Q47)*100</f>
        <v>37.256983216732479</v>
      </c>
      <c r="CC45" s="202">
        <f>('Expenditure DATA'!AW47/'Expenditure DATA'!R47)*100</f>
        <v>37.224707831420943</v>
      </c>
      <c r="CD45" s="202">
        <f>('Expenditure DATA'!AX47/'Expenditure DATA'!S47)*100</f>
        <v>36.49020601020981</v>
      </c>
      <c r="CE45" s="202">
        <f>('Expenditure DATA'!AY47/'Expenditure DATA'!T47)*100</f>
        <v>37.641773685540493</v>
      </c>
      <c r="CF45" s="202">
        <f>('Expenditure DATA'!AZ47/'Expenditure DATA'!U47)*100</f>
        <v>37.244170189731278</v>
      </c>
      <c r="CG45" s="202">
        <f>('Expenditure DATA'!BA47/'Expenditure DATA'!V47)*100</f>
        <v>36.90443453511665</v>
      </c>
      <c r="CH45" s="202">
        <f>('Expenditure DATA'!BB47/'Expenditure DATA'!W47)*100</f>
        <v>36.223284352881713</v>
      </c>
      <c r="CI45" s="202">
        <f>('Expenditure DATA'!BC47/'Expenditure DATA'!X47)*100</f>
        <v>35.585513525842217</v>
      </c>
      <c r="CJ45" s="202">
        <f>('Expenditure DATA'!BD47/'Expenditure DATA'!Y47)*100</f>
        <v>35.447133081075144</v>
      </c>
      <c r="CK45" s="202">
        <f>('Expenditure DATA'!BE47/'Expenditure DATA'!Z47)*100</f>
        <v>35.483692017660609</v>
      </c>
      <c r="CL45" s="202">
        <f>('Expenditure DATA'!BF47/'Expenditure DATA'!AA47)*100</f>
        <v>35.484746319957097</v>
      </c>
      <c r="CM45" s="202">
        <f>('Expenditure DATA'!BG47/'Expenditure DATA'!AB47)*100</f>
        <v>36.218776898900302</v>
      </c>
      <c r="CN45" s="202">
        <f>('Expenditure DATA'!BH47/'Expenditure DATA'!AC47)*100</f>
        <v>35.761860043535634</v>
      </c>
      <c r="CO45" s="202">
        <f>('Expenditure DATA'!BI47/'Expenditure DATA'!AD47)*100</f>
        <v>34.98798203301947</v>
      </c>
      <c r="CP45" s="202">
        <f>('Expenditure DATA'!BJ47/'Expenditure DATA'!AE47)*100</f>
        <v>33.712995919492307</v>
      </c>
      <c r="CQ45" s="464">
        <f>('Expenditure DATA'!BK47/'Expenditure DATA'!AF47)*100</f>
        <v>34.430293939585567</v>
      </c>
      <c r="CR45" s="203" t="e">
        <f>('Expenditure DATA'!FA47/'Expenditure DATA'!B47)*100</f>
        <v>#DIV/0!</v>
      </c>
      <c r="CS45" s="202" t="e">
        <f>('Expenditure DATA'!FB47/'Expenditure DATA'!C47)*100</f>
        <v>#DIV/0!</v>
      </c>
      <c r="CT45" s="202" t="e">
        <f>('Expenditure DATA'!FC47/'Expenditure DATA'!D47)*100</f>
        <v>#DIV/0!</v>
      </c>
      <c r="CU45" s="202" t="e">
        <f>('Expenditure DATA'!FD47/'Expenditure DATA'!E47)*100</f>
        <v>#DIV/0!</v>
      </c>
      <c r="CV45" s="202" t="e">
        <f>('Expenditure DATA'!FE47/'Expenditure DATA'!F47)*100</f>
        <v>#DIV/0!</v>
      </c>
      <c r="CW45" s="202" t="e">
        <f>('Expenditure DATA'!FF47/'Expenditure DATA'!G47)*100</f>
        <v>#DIV/0!</v>
      </c>
      <c r="CX45" s="202" t="e">
        <f>('Expenditure DATA'!FG47/'Expenditure DATA'!H47)*100</f>
        <v>#DIV/0!</v>
      </c>
      <c r="CY45" s="202" t="e">
        <f>('Expenditure DATA'!FH47/'Expenditure DATA'!I47)*100</f>
        <v>#DIV/0!</v>
      </c>
      <c r="CZ45" s="202">
        <f>('Expenditure DATA'!FI47/'Expenditure DATA'!J47)*100</f>
        <v>21.489735754806286</v>
      </c>
      <c r="DA45" s="202">
        <f>('Expenditure DATA'!FJ47/'Expenditure DATA'!K47)*100</f>
        <v>23.883850405804065</v>
      </c>
      <c r="DB45" s="202">
        <f>('Expenditure DATA'!FK47/'Expenditure DATA'!L47)*100</f>
        <v>25.880413012697733</v>
      </c>
      <c r="DC45" s="202">
        <f>('Expenditure DATA'!FL47/'Expenditure DATA'!M47)*100</f>
        <v>26.438069294377332</v>
      </c>
      <c r="DD45" s="202">
        <f>('Expenditure DATA'!FM47/'Expenditure DATA'!N47)*100</f>
        <v>26.34828833134506</v>
      </c>
      <c r="DE45" s="202">
        <f>('Expenditure DATA'!FN47/'Expenditure DATA'!O47)*100</f>
        <v>25.57011599895797</v>
      </c>
      <c r="DF45" s="202">
        <f>('Expenditure DATA'!FO47/'Expenditure DATA'!P47)*100</f>
        <v>24.838428768301902</v>
      </c>
      <c r="DG45" s="202">
        <f>('Expenditure DATA'!FP47/'Expenditure DATA'!Q47)*100</f>
        <v>24.380241256842599</v>
      </c>
      <c r="DH45" s="202">
        <f>('Expenditure DATA'!FQ47/'Expenditure DATA'!R47)*100</f>
        <v>24.570055307542123</v>
      </c>
      <c r="DI45" s="202">
        <f>('Expenditure DATA'!FR47/'Expenditure DATA'!S47)*100</f>
        <v>25.142002508818468</v>
      </c>
      <c r="DJ45" s="202">
        <f>('Expenditure DATA'!FS47/'Expenditure DATA'!T47)*100</f>
        <v>25.39484630151539</v>
      </c>
      <c r="DK45" s="202">
        <f>('Expenditure DATA'!FT47/'Expenditure DATA'!U47)*100</f>
        <v>26.520001737554299</v>
      </c>
      <c r="DL45" s="202">
        <f>('Expenditure DATA'!FU47/'Expenditure DATA'!V47)*100</f>
        <v>27.481400273117757</v>
      </c>
      <c r="DM45" s="202">
        <f>('Expenditure DATA'!FV47/'Expenditure DATA'!W47)*100</f>
        <v>27.876581720240495</v>
      </c>
      <c r="DN45" s="202">
        <f>('Expenditure DATA'!FW47/'Expenditure DATA'!X47)*100</f>
        <v>28.246595859464801</v>
      </c>
      <c r="DO45" s="202">
        <f>('Expenditure DATA'!FX47/'Expenditure DATA'!Y47)*100</f>
        <v>29.435004723709586</v>
      </c>
      <c r="DP45" s="202">
        <f>('Expenditure DATA'!FY47/'Expenditure DATA'!Z47)*100</f>
        <v>26.603232879601013</v>
      </c>
      <c r="DQ45" s="202">
        <f>('Expenditure DATA'!FZ47/'Expenditure DATA'!AA47)*100</f>
        <v>26.604762533832233</v>
      </c>
      <c r="DR45" s="202">
        <f>('Expenditure DATA'!GA47/'Expenditure DATA'!AB47)*100</f>
        <v>26.897873823809487</v>
      </c>
      <c r="DS45" s="202">
        <f>('Expenditure DATA'!GB47/'Expenditure DATA'!AC47)*100</f>
        <v>28.121796546494327</v>
      </c>
      <c r="DT45" s="202">
        <f>('Expenditure DATA'!GC47/'Expenditure DATA'!AD47)*100</f>
        <v>28.651445984236318</v>
      </c>
      <c r="DU45" s="202">
        <f>('Expenditure DATA'!GD47/'Expenditure DATA'!AE47)*100</f>
        <v>29.840706995450262</v>
      </c>
      <c r="DV45" s="464">
        <f>('Expenditure DATA'!GE47/'Expenditure DATA'!AF47)*100</f>
        <v>31.550236237269726</v>
      </c>
      <c r="DW45" s="203" t="e">
        <f>('Expenditure DATA'!GF47/'Expenditure DATA'!B47)*100</f>
        <v>#DIV/0!</v>
      </c>
      <c r="DX45" s="202" t="e">
        <f>('Expenditure DATA'!GG47/'Expenditure DATA'!C47)*100</f>
        <v>#DIV/0!</v>
      </c>
      <c r="DY45" s="202" t="e">
        <f>('Expenditure DATA'!GH47/'Expenditure DATA'!D47)*100</f>
        <v>#DIV/0!</v>
      </c>
      <c r="DZ45" s="202" t="e">
        <f>('Expenditure DATA'!GI47/'Expenditure DATA'!E47)*100</f>
        <v>#DIV/0!</v>
      </c>
      <c r="EA45" s="202" t="e">
        <f>('Expenditure DATA'!GJ47/'Expenditure DATA'!F47)*100</f>
        <v>#DIV/0!</v>
      </c>
      <c r="EB45" s="202" t="e">
        <f>('Expenditure DATA'!GK47/'Expenditure DATA'!G47)*100</f>
        <v>#DIV/0!</v>
      </c>
      <c r="EC45" s="202" t="e">
        <f>('Expenditure DATA'!GL47/'Expenditure DATA'!H47)*100</f>
        <v>#DIV/0!</v>
      </c>
      <c r="ED45" s="202" t="e">
        <f>('Expenditure DATA'!GM47/'Expenditure DATA'!I47)*100</f>
        <v>#DIV/0!</v>
      </c>
      <c r="EE45" s="202">
        <f>('Expenditure DATA'!GN47/'Expenditure DATA'!J47)*100</f>
        <v>25.422415431041127</v>
      </c>
      <c r="EF45" s="202">
        <f>('Expenditure DATA'!GO47/'Expenditure DATA'!K47)*100</f>
        <v>25.07550321458918</v>
      </c>
      <c r="EG45" s="202">
        <f>('Expenditure DATA'!GP47/'Expenditure DATA'!L47)*100</f>
        <v>24.786197120182262</v>
      </c>
      <c r="EH45" s="202">
        <f>('Expenditure DATA'!GQ47/'Expenditure DATA'!M47)*100</f>
        <v>23.433395241692764</v>
      </c>
      <c r="EI45" s="202">
        <f>('Expenditure DATA'!GR47/'Expenditure DATA'!N47)*100</f>
        <v>24.901003064393802</v>
      </c>
      <c r="EJ45" s="202">
        <f>('Expenditure DATA'!GS47/'Expenditure DATA'!O47)*100</f>
        <v>24.895149721941593</v>
      </c>
      <c r="EK45" s="202">
        <f>('Expenditure DATA'!GT47/'Expenditure DATA'!P47)*100</f>
        <v>25.11917757292797</v>
      </c>
      <c r="EL45" s="202">
        <f>('Expenditure DATA'!GU47/'Expenditure DATA'!Q47)*100</f>
        <v>25.168706411581944</v>
      </c>
      <c r="EM45" s="202">
        <f>('Expenditure DATA'!GV47/'Expenditure DATA'!R47)*100</f>
        <v>24.505168497659106</v>
      </c>
      <c r="EN45" s="202">
        <f>('Expenditure DATA'!GW47/'Expenditure DATA'!S47)*100</f>
        <v>24.60506376650066</v>
      </c>
      <c r="EO45" s="202">
        <f>('Expenditure DATA'!GX47/'Expenditure DATA'!T47)*100</f>
        <v>24.651506429512583</v>
      </c>
      <c r="EP45" s="202">
        <f>('Expenditure DATA'!GY47/'Expenditure DATA'!U47)*100</f>
        <v>24.719485223548613</v>
      </c>
      <c r="EQ45" s="202">
        <f>('Expenditure DATA'!GZ47/'Expenditure DATA'!V47)*100</f>
        <v>24.77757027645978</v>
      </c>
      <c r="ER45" s="202">
        <f>('Expenditure DATA'!HA47/'Expenditure DATA'!W47)*100</f>
        <v>24.658291529979369</v>
      </c>
      <c r="ES45" s="202">
        <f>('Expenditure DATA'!HB47/'Expenditure DATA'!X47)*100</f>
        <v>24.546609104025304</v>
      </c>
      <c r="ET45" s="202">
        <f>('Expenditure DATA'!HC47/'Expenditure DATA'!Y47)*100</f>
        <v>23.314161759829531</v>
      </c>
      <c r="EU45" s="202">
        <f>('Expenditure DATA'!HD47/'Expenditure DATA'!Z47)*100</f>
        <v>23.549298870764606</v>
      </c>
      <c r="EV45" s="202">
        <f>('Expenditure DATA'!HE47/'Expenditure DATA'!AA47)*100</f>
        <v>23.550800996704695</v>
      </c>
      <c r="EW45" s="202">
        <f>('Expenditure DATA'!HF47/'Expenditure DATA'!AB47)*100</f>
        <v>22.787170411819694</v>
      </c>
      <c r="EX45" s="202">
        <f>('Expenditure DATA'!HG47/'Expenditure DATA'!AC47)*100</f>
        <v>23.191434141972756</v>
      </c>
      <c r="EY45" s="202">
        <f>('Expenditure DATA'!HH47/'Expenditure DATA'!AD47)*100</f>
        <v>23.842756066346819</v>
      </c>
      <c r="EZ45" s="202">
        <f>('Expenditure DATA'!HI47/'Expenditure DATA'!AE47)*100</f>
        <v>23.549077434952174</v>
      </c>
      <c r="FA45" s="464">
        <f>('Expenditure DATA'!HJ47/'Expenditure DATA'!AF47)*100</f>
        <v>21.925756518333557</v>
      </c>
      <c r="FB45" s="203" t="e">
        <f>('Expenditure DATA'!HK47/'Expenditure DATA'!B47)*100</f>
        <v>#DIV/0!</v>
      </c>
      <c r="FC45" s="202" t="e">
        <f>('Expenditure DATA'!HL47/'Expenditure DATA'!C47)*100</f>
        <v>#DIV/0!</v>
      </c>
      <c r="FD45" s="202" t="e">
        <f>('Expenditure DATA'!HM47/'Expenditure DATA'!D47)*100</f>
        <v>#DIV/0!</v>
      </c>
      <c r="FE45" s="202" t="e">
        <f>('Expenditure DATA'!HN47/'Expenditure DATA'!E47)*100</f>
        <v>#DIV/0!</v>
      </c>
      <c r="FF45" s="202" t="e">
        <f>('Expenditure DATA'!HO47/'Expenditure DATA'!F47)*100</f>
        <v>#DIV/0!</v>
      </c>
      <c r="FG45" s="202" t="e">
        <f>('Expenditure DATA'!HP47/'Expenditure DATA'!G47)*100</f>
        <v>#DIV/0!</v>
      </c>
      <c r="FH45" s="202" t="e">
        <f>('Expenditure DATA'!HQ47/'Expenditure DATA'!H47)*100</f>
        <v>#DIV/0!</v>
      </c>
      <c r="FI45" s="202" t="e">
        <f>('Expenditure DATA'!HR47/'Expenditure DATA'!I47)*100</f>
        <v>#DIV/0!</v>
      </c>
      <c r="FJ45" s="202">
        <f>('Expenditure DATA'!HS47/'Expenditure DATA'!J47)*100</f>
        <v>5.0337073217874035</v>
      </c>
      <c r="FK45" s="202">
        <f>('Expenditure DATA'!HT47/'Expenditure DATA'!K47)*100</f>
        <v>4.8237588400201297</v>
      </c>
      <c r="FL45" s="202">
        <f>('Expenditure DATA'!HU47/'Expenditure DATA'!L47)*100</f>
        <v>4.6486731197535835</v>
      </c>
      <c r="FM45" s="202">
        <f>('Expenditure DATA'!HV47/'Expenditure DATA'!M47)*100</f>
        <v>5.7504387054057249</v>
      </c>
      <c r="FN45" s="202">
        <f>('Expenditure DATA'!HW47/'Expenditure DATA'!N47)*100</f>
        <v>4.6575004501903505</v>
      </c>
      <c r="FO45" s="202">
        <f>('Expenditure DATA'!HX47/'Expenditure DATA'!O47)*100</f>
        <v>4.81901492187143</v>
      </c>
      <c r="FP45" s="202">
        <f>('Expenditure DATA'!HY47/'Expenditure DATA'!P47)*100</f>
        <v>5.225587507692472</v>
      </c>
      <c r="FQ45" s="202">
        <f>('Expenditure DATA'!HZ47/'Expenditure DATA'!Q47)*100</f>
        <v>5.94888305007228</v>
      </c>
      <c r="FR45" s="202">
        <f>('Expenditure DATA'!IA47/'Expenditure DATA'!R47)*100</f>
        <v>5.0676361272529702</v>
      </c>
      <c r="FS45" s="202">
        <f>('Expenditure DATA'!IB47/'Expenditure DATA'!S47)*100</f>
        <v>5.3728421154542252</v>
      </c>
      <c r="FT45" s="202">
        <f>('Expenditure DATA'!IC47/'Expenditure DATA'!T47)*100</f>
        <v>4.6292337508799157</v>
      </c>
      <c r="FU45" s="202">
        <f>('Expenditure DATA'!ID47/'Expenditure DATA'!U47)*100</f>
        <v>4.5509201797997427</v>
      </c>
      <c r="FV45" s="202">
        <f>('Expenditure DATA'!IE47/'Expenditure DATA'!V47)*100</f>
        <v>4.4840044896296085</v>
      </c>
      <c r="FW45" s="202">
        <f>('Expenditure DATA'!IF47/'Expenditure DATA'!W47)*100</f>
        <v>4.6659632812995628</v>
      </c>
      <c r="FX45" s="202">
        <f>('Expenditure DATA'!IG47/'Expenditure DATA'!X47)*100</f>
        <v>4.8363339456216181</v>
      </c>
      <c r="FY45" s="202">
        <f>('Expenditure DATA'!IH47/'Expenditure DATA'!Y47)*100</f>
        <v>4.6401034850479634</v>
      </c>
      <c r="FZ45" s="202">
        <f>('Expenditure DATA'!II47/'Expenditure DATA'!Z47)*100</f>
        <v>4.6121378370316171</v>
      </c>
      <c r="GA45" s="202">
        <f>('Expenditure DATA'!IJ47/'Expenditure DATA'!AA47)*100</f>
        <v>4.0014728276372233</v>
      </c>
      <c r="GB45" s="202">
        <f>('Expenditure DATA'!IK47/'Expenditure DATA'!AB47)*100</f>
        <v>3.7875460062412962</v>
      </c>
      <c r="GC45" s="202">
        <f>('Expenditure DATA'!IL47/'Expenditure DATA'!AC47)*100</f>
        <v>3.7738123121244791</v>
      </c>
      <c r="GD45" s="202">
        <f>('Expenditure DATA'!IM47/'Expenditure DATA'!AD47)*100</f>
        <v>3.6562864068074123</v>
      </c>
      <c r="GE45" s="202">
        <f>('Expenditure DATA'!IN47/'Expenditure DATA'!AE47)*100</f>
        <v>3.486059179583334</v>
      </c>
      <c r="GF45" s="464">
        <f>('Expenditure DATA'!IO47/'Expenditure DATA'!AF47)*100</f>
        <v>3.4993776801320395</v>
      </c>
      <c r="GG45" s="203" t="e">
        <f>('Expenditure DATA'!IP47/'Expenditure DATA'!B47)*100</f>
        <v>#DIV/0!</v>
      </c>
      <c r="GH45" s="202" t="e">
        <f>('Expenditure DATA'!IQ47/'Expenditure DATA'!C47)*100</f>
        <v>#DIV/0!</v>
      </c>
      <c r="GI45" s="202" t="e">
        <f>('Expenditure DATA'!IR47/'Expenditure DATA'!D47)*100</f>
        <v>#DIV/0!</v>
      </c>
      <c r="GJ45" s="202" t="e">
        <f>('Expenditure DATA'!IS47/'Expenditure DATA'!E47)*100</f>
        <v>#DIV/0!</v>
      </c>
      <c r="GK45" s="202" t="e">
        <f>('Expenditure DATA'!IT47/'Expenditure DATA'!F47)*100</f>
        <v>#DIV/0!</v>
      </c>
      <c r="GL45" s="202" t="e">
        <f>('Expenditure DATA'!IU47/'Expenditure DATA'!G47)*100</f>
        <v>#DIV/0!</v>
      </c>
      <c r="GM45" s="202" t="e">
        <f>('Expenditure DATA'!IV47/'Expenditure DATA'!H47)*100</f>
        <v>#DIV/0!</v>
      </c>
      <c r="GN45" s="202" t="e">
        <f>('Expenditure DATA'!IW47/'Expenditure DATA'!I47)*100</f>
        <v>#DIV/0!</v>
      </c>
      <c r="GO45" s="202">
        <f>('Expenditure DATA'!IX47/'Expenditure DATA'!J47)*100</f>
        <v>7.8452303200876452</v>
      </c>
      <c r="GP45" s="202">
        <f>('Expenditure DATA'!IY47/'Expenditure DATA'!K47)*100</f>
        <v>7.5343888697903321</v>
      </c>
      <c r="GQ45" s="202">
        <f>('Expenditure DATA'!IZ47/'Expenditure DATA'!L47)*100</f>
        <v>7.2751638506052387</v>
      </c>
      <c r="GR45" s="202">
        <f>('Expenditure DATA'!JA47/'Expenditure DATA'!M47)*100</f>
        <v>7.7106176622802902</v>
      </c>
      <c r="GS45" s="202">
        <f>('Expenditure DATA'!JB47/'Expenditure DATA'!N47)*100</f>
        <v>7.1931584704128078</v>
      </c>
      <c r="GT45" s="202">
        <f>('Expenditure DATA'!JC47/'Expenditure DATA'!O47)*100</f>
        <v>6.9585246141192298</v>
      </c>
      <c r="GU45" s="202">
        <f>('Expenditure DATA'!JD47/'Expenditure DATA'!P47)*100</f>
        <v>7.1678214738600419</v>
      </c>
      <c r="GV45" s="202">
        <f>('Expenditure DATA'!JE47/'Expenditure DATA'!Q47)*100</f>
        <v>7.2451860647707065</v>
      </c>
      <c r="GW45" s="202">
        <f>('Expenditure DATA'!JF47/'Expenditure DATA'!R47)*100</f>
        <v>8.632432236124842</v>
      </c>
      <c r="GX45" s="202">
        <f>('Expenditure DATA'!JG47/'Expenditure DATA'!S47)*100</f>
        <v>8.3898855990168411</v>
      </c>
      <c r="GY45" s="202">
        <f>('Expenditure DATA'!JH47/'Expenditure DATA'!T47)*100</f>
        <v>7.6826398325516143</v>
      </c>
      <c r="GZ45" s="202">
        <f>('Expenditure DATA'!JI47/'Expenditure DATA'!U47)*100</f>
        <v>6.9654226693660632</v>
      </c>
      <c r="HA45" s="202">
        <f>('Expenditure DATA'!JJ47/'Expenditure DATA'!V47)*100</f>
        <v>6.3525904256762082</v>
      </c>
      <c r="HB45" s="202">
        <f>('Expenditure DATA'!JK47/'Expenditure DATA'!W47)*100</f>
        <v>6.5758791155988563</v>
      </c>
      <c r="HC45" s="202">
        <f>('Expenditure DATA'!JL47/'Expenditure DATA'!X47)*100</f>
        <v>6.7849475650460542</v>
      </c>
      <c r="HD45" s="202">
        <f>('Expenditure DATA'!JM47/'Expenditure DATA'!Y47)*100</f>
        <v>7.1635969503377712</v>
      </c>
      <c r="HE45" s="202">
        <f>('Expenditure DATA'!JN47/'Expenditure DATA'!Z47)*100</f>
        <v>9.7516383949421641</v>
      </c>
      <c r="HF45" s="202">
        <f>('Expenditure DATA'!JO47/'Expenditure DATA'!AA47)*100</f>
        <v>10.358217321868752</v>
      </c>
      <c r="HG45" s="202">
        <f>('Expenditure DATA'!JP47/'Expenditure DATA'!AB47)*100</f>
        <v>10.308632859229219</v>
      </c>
      <c r="HH45" s="202">
        <f>('Expenditure DATA'!JQ47/'Expenditure DATA'!AC47)*100</f>
        <v>9.1511043289616634</v>
      </c>
      <c r="HI45" s="202">
        <f>('Expenditure DATA'!JR47/'Expenditure DATA'!AD47)*100</f>
        <v>8.8615247377624264</v>
      </c>
      <c r="HJ45" s="202">
        <f>('Expenditure DATA'!JS47/'Expenditure DATA'!AE47)*100</f>
        <v>9.4111604705219367</v>
      </c>
      <c r="HK45" s="464">
        <f>('Expenditure DATA'!JT47/'Expenditure DATA'!AF47)*100</f>
        <v>8.5943356246791041</v>
      </c>
      <c r="HL45" s="203" t="e">
        <f t="shared" si="1"/>
        <v>#DIV/0!</v>
      </c>
      <c r="HM45" s="204" t="e">
        <f t="shared" si="2"/>
        <v>#DIV/0!</v>
      </c>
      <c r="HN45" s="204" t="e">
        <f t="shared" si="3"/>
        <v>#DIV/0!</v>
      </c>
      <c r="HO45" s="204" t="e">
        <f t="shared" si="4"/>
        <v>#DIV/0!</v>
      </c>
      <c r="HP45" s="204" t="e">
        <f t="shared" si="5"/>
        <v>#DIV/0!</v>
      </c>
      <c r="HQ45" s="204" t="e">
        <f t="shared" si="6"/>
        <v>#DIV/0!</v>
      </c>
      <c r="HR45" s="204" t="e">
        <f t="shared" si="7"/>
        <v>#DIV/0!</v>
      </c>
      <c r="HS45" s="204" t="e">
        <f t="shared" si="8"/>
        <v>#DIV/0!</v>
      </c>
      <c r="HT45" s="204">
        <f t="shared" si="9"/>
        <v>100.00216182925345</v>
      </c>
      <c r="HU45" s="204">
        <f t="shared" si="10"/>
        <v>100.00098304366192</v>
      </c>
      <c r="HV45" s="204">
        <f t="shared" si="11"/>
        <v>100</v>
      </c>
      <c r="HW45" s="204">
        <f t="shared" si="12"/>
        <v>99.999999999999986</v>
      </c>
      <c r="HX45" s="204">
        <f t="shared" si="13"/>
        <v>100.00000000000001</v>
      </c>
      <c r="HY45" s="204">
        <f t="shared" si="14"/>
        <v>100</v>
      </c>
      <c r="HZ45" s="204">
        <f t="shared" si="15"/>
        <v>100</v>
      </c>
      <c r="IA45" s="204">
        <f t="shared" si="16"/>
        <v>100</v>
      </c>
      <c r="IB45" s="204">
        <f t="shared" si="17"/>
        <v>99.999999999999986</v>
      </c>
      <c r="IC45" s="204">
        <f t="shared" si="18"/>
        <v>100</v>
      </c>
      <c r="ID45" s="204">
        <f t="shared" si="19"/>
        <v>100</v>
      </c>
      <c r="IE45" s="204">
        <f t="shared" si="20"/>
        <v>100</v>
      </c>
      <c r="IF45" s="204">
        <f t="shared" si="21"/>
        <v>100.00000000000001</v>
      </c>
      <c r="IG45" s="204">
        <f t="shared" si="22"/>
        <v>99.999999999999986</v>
      </c>
      <c r="IH45" s="204">
        <f t="shared" si="23"/>
        <v>100</v>
      </c>
      <c r="II45" s="204">
        <f t="shared" si="24"/>
        <v>100</v>
      </c>
      <c r="IJ45" s="204">
        <f t="shared" si="25"/>
        <v>100</v>
      </c>
      <c r="IK45" s="204">
        <f t="shared" si="26"/>
        <v>100</v>
      </c>
      <c r="IL45" s="204">
        <f t="shared" si="37"/>
        <v>100.00000000000001</v>
      </c>
      <c r="IM45" s="204">
        <f t="shared" si="38"/>
        <v>100.00000737308885</v>
      </c>
      <c r="IN45" s="204">
        <f t="shared" si="39"/>
        <v>99.999995228172438</v>
      </c>
      <c r="IO45" s="204">
        <f t="shared" si="40"/>
        <v>100.00000000000001</v>
      </c>
      <c r="IP45" s="204">
        <f t="shared" si="41"/>
        <v>100</v>
      </c>
    </row>
    <row r="46" spans="1:250" s="164" customFormat="1">
      <c r="A46" s="164" t="s">
        <v>64</v>
      </c>
      <c r="C46" s="202" t="e">
        <f>('Expenditure DATA'!CQ48/'Expenditure DATA'!B48)*100</f>
        <v>#DIV/0!</v>
      </c>
      <c r="D46" s="202" t="e">
        <f>('Expenditure DATA'!CR48/'Expenditure DATA'!C48)*100</f>
        <v>#DIV/0!</v>
      </c>
      <c r="E46" s="202" t="e">
        <f>('Expenditure DATA'!CS48/'Expenditure DATA'!D48)*100</f>
        <v>#DIV/0!</v>
      </c>
      <c r="F46" s="202" t="e">
        <f>('Expenditure DATA'!CT48/'Expenditure DATA'!E48)*100</f>
        <v>#DIV/0!</v>
      </c>
      <c r="G46" s="202" t="e">
        <f>('Expenditure DATA'!CU48/'Expenditure DATA'!F48)*100</f>
        <v>#DIV/0!</v>
      </c>
      <c r="H46" s="202" t="e">
        <f>('Expenditure DATA'!CV48/'Expenditure DATA'!G48)*100</f>
        <v>#DIV/0!</v>
      </c>
      <c r="I46" s="202" t="e">
        <f>('Expenditure DATA'!CW48/'Expenditure DATA'!H48)*100</f>
        <v>#DIV/0!</v>
      </c>
      <c r="J46" s="202" t="e">
        <f>('Expenditure DATA'!CX48/'Expenditure DATA'!I48)*100</f>
        <v>#DIV/0!</v>
      </c>
      <c r="K46" s="202">
        <f>('Expenditure DATA'!CY48/'Expenditure DATA'!J48)*100</f>
        <v>12.71880235309893</v>
      </c>
      <c r="L46" s="202">
        <f>('Expenditure DATA'!CZ48/'Expenditure DATA'!K48)*100</f>
        <v>12.594529372212907</v>
      </c>
      <c r="M46" s="202">
        <f>('Expenditure DATA'!DA48/'Expenditure DATA'!L48)*100</f>
        <v>12.486335830366777</v>
      </c>
      <c r="N46" s="202">
        <f>('Expenditure DATA'!DB48/'Expenditure DATA'!M48)*100</f>
        <v>11.816586133656395</v>
      </c>
      <c r="O46" s="202">
        <f>('Expenditure DATA'!DC48/'Expenditure DATA'!N48)*100</f>
        <v>11.700097568758261</v>
      </c>
      <c r="P46" s="202">
        <f>('Expenditure DATA'!DD48/'Expenditure DATA'!O48)*100</f>
        <v>11.855597493580387</v>
      </c>
      <c r="Q46" s="202">
        <f>('Expenditure DATA'!DE48/'Expenditure DATA'!P48)*100</f>
        <v>11.580921975222948</v>
      </c>
      <c r="R46" s="202">
        <f>('Expenditure DATA'!DF48/'Expenditure DATA'!Q48)*100</f>
        <v>11.936015850651827</v>
      </c>
      <c r="S46" s="202">
        <f>('Expenditure DATA'!DG48/'Expenditure DATA'!R48)*100</f>
        <v>13.030021202061167</v>
      </c>
      <c r="T46" s="202">
        <f>('Expenditure DATA'!DH48/'Expenditure DATA'!S48)*100</f>
        <v>13.619534814726988</v>
      </c>
      <c r="U46" s="202">
        <f>('Expenditure DATA'!DI48/'Expenditure DATA'!T48)*100</f>
        <v>12.849092919457702</v>
      </c>
      <c r="V46" s="202">
        <f>('Expenditure DATA'!DJ48/'Expenditure DATA'!U48)*100</f>
        <v>12.508286703149253</v>
      </c>
      <c r="W46" s="202">
        <f>('Expenditure DATA'!DK48/'Expenditure DATA'!V48)*100</f>
        <v>12.214349381639154</v>
      </c>
      <c r="X46" s="202">
        <f>('Expenditure DATA'!DL48/'Expenditure DATA'!W48)*100</f>
        <v>12.156929640182417</v>
      </c>
      <c r="Y46" s="202">
        <f>('Expenditure DATA'!DM48/'Expenditure DATA'!X48)*100</f>
        <v>12.105011841190743</v>
      </c>
      <c r="Z46" s="202">
        <f>('Expenditure DATA'!DN48/'Expenditure DATA'!Y48)*100</f>
        <v>12.550987676301851</v>
      </c>
      <c r="AA46" s="202">
        <f>('Expenditure DATA'!DO48/'Expenditure DATA'!Z48)*100</f>
        <v>11.89968647441995</v>
      </c>
      <c r="AB46" s="202">
        <f>('Expenditure DATA'!DP48/'Expenditure DATA'!AA48)*100</f>
        <v>11.912775111209802</v>
      </c>
      <c r="AC46" s="202">
        <f>('Expenditure DATA'!DQ48/'Expenditure DATA'!AB48)*100</f>
        <v>12.084771722972247</v>
      </c>
      <c r="AD46" s="202">
        <f>('Expenditure DATA'!DR48/'Expenditure DATA'!AC48)*100</f>
        <v>13.123291101275372</v>
      </c>
      <c r="AE46" s="202">
        <f>('Expenditure DATA'!DS48/'Expenditure DATA'!AD48)*100</f>
        <v>12.6016273472036</v>
      </c>
      <c r="AF46" s="202">
        <f>('Expenditure DATA'!DT48/'Expenditure DATA'!AE48)*100</f>
        <v>12.759352979613722</v>
      </c>
      <c r="AG46" s="464">
        <f>('Expenditure DATA'!DU48/'Expenditure DATA'!AF48)*100</f>
        <v>12.752987087770418</v>
      </c>
      <c r="AH46" s="203" t="e">
        <f>('Expenditure DATA'!BL48/'Expenditure DATA'!B48)*100</f>
        <v>#DIV/0!</v>
      </c>
      <c r="AI46" s="202" t="e">
        <f>('Expenditure DATA'!BM48/'Expenditure DATA'!C48)*100</f>
        <v>#DIV/0!</v>
      </c>
      <c r="AJ46" s="202" t="e">
        <f>('Expenditure DATA'!BN48/'Expenditure DATA'!D48)*100</f>
        <v>#DIV/0!</v>
      </c>
      <c r="AK46" s="202" t="e">
        <f>('Expenditure DATA'!BO48/'Expenditure DATA'!E48)*100</f>
        <v>#DIV/0!</v>
      </c>
      <c r="AL46" s="202" t="e">
        <f>('Expenditure DATA'!BP48/'Expenditure DATA'!F48)*100</f>
        <v>#DIV/0!</v>
      </c>
      <c r="AM46" s="202" t="e">
        <f>('Expenditure DATA'!BQ48/'Expenditure DATA'!G48)*100</f>
        <v>#DIV/0!</v>
      </c>
      <c r="AN46" s="202" t="e">
        <f>('Expenditure DATA'!BR48/'Expenditure DATA'!H48)*100</f>
        <v>#DIV/0!</v>
      </c>
      <c r="AO46" s="202" t="e">
        <f>('Expenditure DATA'!BS48/'Expenditure DATA'!I48)*100</f>
        <v>#DIV/0!</v>
      </c>
      <c r="AP46" s="202">
        <f>('Expenditure DATA'!BT48/'Expenditure DATA'!J48)*100</f>
        <v>26.523259176108173</v>
      </c>
      <c r="AQ46" s="202">
        <f>('Expenditure DATA'!BU48/'Expenditure DATA'!K48)*100</f>
        <v>26.688100408838327</v>
      </c>
      <c r="AR46" s="202">
        <f>('Expenditure DATA'!BV48/'Expenditure DATA'!L48)*100</f>
        <v>26.831613155408029</v>
      </c>
      <c r="AS46" s="202">
        <f>('Expenditure DATA'!BW48/'Expenditure DATA'!M48)*100</f>
        <v>27.639579792746922</v>
      </c>
      <c r="AT46" s="202">
        <f>('Expenditure DATA'!BX48/'Expenditure DATA'!N48)*100</f>
        <v>27.775811950354782</v>
      </c>
      <c r="AU46" s="202">
        <f>('Expenditure DATA'!BY48/'Expenditure DATA'!O48)*100</f>
        <v>27.62599860881414</v>
      </c>
      <c r="AV46" s="202">
        <f>('Expenditure DATA'!BZ48/'Expenditure DATA'!P48)*100</f>
        <v>27.777677055715706</v>
      </c>
      <c r="AW46" s="202">
        <f>('Expenditure DATA'!CA48/'Expenditure DATA'!Q48)*100</f>
        <v>25.278061555229549</v>
      </c>
      <c r="AX46" s="202">
        <f>('Expenditure DATA'!CB48/'Expenditure DATA'!R48)*100</f>
        <v>25.722143820872912</v>
      </c>
      <c r="AY46" s="202">
        <f>('Expenditure DATA'!CC48/'Expenditure DATA'!S48)*100</f>
        <v>25.477885170353886</v>
      </c>
      <c r="AZ46" s="202">
        <f>('Expenditure DATA'!CD48/'Expenditure DATA'!T48)*100</f>
        <v>24.571883621773736</v>
      </c>
      <c r="BA46" s="202">
        <f>('Expenditure DATA'!CE48/'Expenditure DATA'!U48)*100</f>
        <v>25.01972579196125</v>
      </c>
      <c r="BB46" s="202">
        <f>('Expenditure DATA'!CF48/'Expenditure DATA'!V48)*100</f>
        <v>25.405979098576541</v>
      </c>
      <c r="BC46" s="202">
        <f>('Expenditure DATA'!CG48/'Expenditure DATA'!W48)*100</f>
        <v>24.671659163584447</v>
      </c>
      <c r="BD46" s="202">
        <f>('Expenditure DATA'!CH48/'Expenditure DATA'!X48)*100</f>
        <v>24.007701545293454</v>
      </c>
      <c r="BE46" s="202">
        <f>('Expenditure DATA'!CI48/'Expenditure DATA'!Y48)*100</f>
        <v>23.6947646401944</v>
      </c>
      <c r="BF46" s="202">
        <f>('Expenditure DATA'!CJ48/'Expenditure DATA'!Z48)*100</f>
        <v>24.141931773627697</v>
      </c>
      <c r="BG46" s="202">
        <f>('Expenditure DATA'!CK48/'Expenditure DATA'!AA48)*100</f>
        <v>24.168485832599725</v>
      </c>
      <c r="BH46" s="202">
        <f>('Expenditure DATA'!CL48/'Expenditure DATA'!AB48)*100</f>
        <v>23.343700771792804</v>
      </c>
      <c r="BI46" s="202">
        <f>('Expenditure DATA'!CM48/'Expenditure DATA'!AC48)*100</f>
        <v>24.669746401031116</v>
      </c>
      <c r="BJ46" s="202">
        <f>('Expenditure DATA'!CN48/'Expenditure DATA'!AD48)*100</f>
        <v>24.754147629018096</v>
      </c>
      <c r="BK46" s="202">
        <f>('Expenditure DATA'!CO48/'Expenditure DATA'!AE48)*100</f>
        <v>24.571272367872275</v>
      </c>
      <c r="BL46" s="464">
        <f>('Expenditure DATA'!CP48/'Expenditure DATA'!AF48)*100</f>
        <v>25.304178043086551</v>
      </c>
      <c r="BM46" s="203" t="e">
        <f>('Expenditure DATA'!AG48/'Expenditure DATA'!B48)*100</f>
        <v>#DIV/0!</v>
      </c>
      <c r="BN46" s="202" t="e">
        <f>('Expenditure DATA'!AH48/'Expenditure DATA'!C48)*100</f>
        <v>#DIV/0!</v>
      </c>
      <c r="BO46" s="202" t="e">
        <f>('Expenditure DATA'!AI48/'Expenditure DATA'!D48)*100</f>
        <v>#DIV/0!</v>
      </c>
      <c r="BP46" s="202" t="e">
        <f>('Expenditure DATA'!AJ48/'Expenditure DATA'!E48)*100</f>
        <v>#DIV/0!</v>
      </c>
      <c r="BQ46" s="202" t="e">
        <f>('Expenditure DATA'!AK48/'Expenditure DATA'!F48)*100</f>
        <v>#DIV/0!</v>
      </c>
      <c r="BR46" s="202" t="e">
        <f>('Expenditure DATA'!AL48/'Expenditure DATA'!G48)*100</f>
        <v>#DIV/0!</v>
      </c>
      <c r="BS46" s="202" t="e">
        <f>('Expenditure DATA'!AM48/'Expenditure DATA'!H48)*100</f>
        <v>#DIV/0!</v>
      </c>
      <c r="BT46" s="202" t="e">
        <f>('Expenditure DATA'!AN48/'Expenditure DATA'!I48)*100</f>
        <v>#DIV/0!</v>
      </c>
      <c r="BU46" s="202">
        <f>('Expenditure DATA'!AO48/'Expenditure DATA'!J48)*100</f>
        <v>41.12129842638948</v>
      </c>
      <c r="BV46" s="202">
        <f>('Expenditure DATA'!AP48/'Expenditure DATA'!K48)*100</f>
        <v>41.098385900101249</v>
      </c>
      <c r="BW46" s="202">
        <f>('Expenditure DATA'!AQ48/'Expenditure DATA'!L48)*100</f>
        <v>41.078437980979224</v>
      </c>
      <c r="BX46" s="202">
        <f>('Expenditure DATA'!AR48/'Expenditure DATA'!M48)*100</f>
        <v>41.117674590178467</v>
      </c>
      <c r="BY46" s="202">
        <f>('Expenditure DATA'!AS48/'Expenditure DATA'!N48)*100</f>
        <v>41.053765015152713</v>
      </c>
      <c r="BZ46" s="202">
        <f>('Expenditure DATA'!AT48/'Expenditure DATA'!O48)*100</f>
        <v>41.042282939903146</v>
      </c>
      <c r="CA46" s="202">
        <f>('Expenditure DATA'!AU48/'Expenditure DATA'!P48)*100</f>
        <v>41.117824955991651</v>
      </c>
      <c r="CB46" s="202">
        <f>('Expenditure DATA'!AV48/'Expenditure DATA'!Q48)*100</f>
        <v>38.809888474116534</v>
      </c>
      <c r="CC46" s="202">
        <f>('Expenditure DATA'!AW48/'Expenditure DATA'!R48)*100</f>
        <v>40.417800565837588</v>
      </c>
      <c r="CD46" s="202">
        <f>('Expenditure DATA'!AX48/'Expenditure DATA'!S48)*100</f>
        <v>40.965585692238569</v>
      </c>
      <c r="CE46" s="202">
        <f>('Expenditure DATA'!AY48/'Expenditure DATA'!T48)*100</f>
        <v>39.199247167641701</v>
      </c>
      <c r="CF46" s="202">
        <f>('Expenditure DATA'!AZ48/'Expenditure DATA'!U48)*100</f>
        <v>39.190447556240926</v>
      </c>
      <c r="CG46" s="202">
        <f>('Expenditure DATA'!BA48/'Expenditure DATA'!V48)*100</f>
        <v>39.182858099001876</v>
      </c>
      <c r="CH46" s="202">
        <f>('Expenditure DATA'!BB48/'Expenditure DATA'!W48)*100</f>
        <v>38.400321819925146</v>
      </c>
      <c r="CI46" s="202">
        <f>('Expenditure DATA'!BC48/'Expenditure DATA'!X48)*100</f>
        <v>37.692767933229064</v>
      </c>
      <c r="CJ46" s="202">
        <f>('Expenditure DATA'!BD48/'Expenditure DATA'!Y48)*100</f>
        <v>37.921650742746124</v>
      </c>
      <c r="CK46" s="202">
        <f>('Expenditure DATA'!BE48/'Expenditure DATA'!Z48)*100</f>
        <v>37.906135774717953</v>
      </c>
      <c r="CL46" s="202">
        <f>('Expenditure DATA'!BF48/'Expenditure DATA'!AA48)*100</f>
        <v>37.945037619226852</v>
      </c>
      <c r="CM46" s="202">
        <f>('Expenditure DATA'!BG48/'Expenditure DATA'!AB48)*100</f>
        <v>37.30625068880844</v>
      </c>
      <c r="CN46" s="202">
        <f>('Expenditure DATA'!BH48/'Expenditure DATA'!AC48)*100</f>
        <v>39.799839584269705</v>
      </c>
      <c r="CO46" s="202">
        <f>('Expenditure DATA'!BI48/'Expenditure DATA'!AD48)*100</f>
        <v>39.439166288778544</v>
      </c>
      <c r="CP46" s="202">
        <f>('Expenditure DATA'!BJ48/'Expenditure DATA'!AE48)*100</f>
        <v>39.560650731936505</v>
      </c>
      <c r="CQ46" s="464">
        <f>('Expenditure DATA'!BK48/'Expenditure DATA'!AF48)*100</f>
        <v>40.226870923242288</v>
      </c>
      <c r="CR46" s="203" t="e">
        <f>('Expenditure DATA'!FA48/'Expenditure DATA'!B48)*100</f>
        <v>#DIV/0!</v>
      </c>
      <c r="CS46" s="202" t="e">
        <f>('Expenditure DATA'!FB48/'Expenditure DATA'!C48)*100</f>
        <v>#DIV/0!</v>
      </c>
      <c r="CT46" s="202" t="e">
        <f>('Expenditure DATA'!FC48/'Expenditure DATA'!D48)*100</f>
        <v>#DIV/0!</v>
      </c>
      <c r="CU46" s="202" t="e">
        <f>('Expenditure DATA'!FD48/'Expenditure DATA'!E48)*100</f>
        <v>#DIV/0!</v>
      </c>
      <c r="CV46" s="202" t="e">
        <f>('Expenditure DATA'!FE48/'Expenditure DATA'!F48)*100</f>
        <v>#DIV/0!</v>
      </c>
      <c r="CW46" s="202" t="e">
        <f>('Expenditure DATA'!FF48/'Expenditure DATA'!G48)*100</f>
        <v>#DIV/0!</v>
      </c>
      <c r="CX46" s="202" t="e">
        <f>('Expenditure DATA'!FG48/'Expenditure DATA'!H48)*100</f>
        <v>#DIV/0!</v>
      </c>
      <c r="CY46" s="202" t="e">
        <f>('Expenditure DATA'!FH48/'Expenditure DATA'!I48)*100</f>
        <v>#DIV/0!</v>
      </c>
      <c r="CZ46" s="202">
        <f>('Expenditure DATA'!FI48/'Expenditure DATA'!J48)*100</f>
        <v>21.750348250920005</v>
      </c>
      <c r="DA46" s="202">
        <f>('Expenditure DATA'!FJ48/'Expenditure DATA'!K48)*100</f>
        <v>22.258145852493605</v>
      </c>
      <c r="DB46" s="202">
        <f>('Expenditure DATA'!FK48/'Expenditure DATA'!L48)*100</f>
        <v>22.700240511071115</v>
      </c>
      <c r="DC46" s="202">
        <f>('Expenditure DATA'!FL48/'Expenditure DATA'!M48)*100</f>
        <v>23.87545122842749</v>
      </c>
      <c r="DD46" s="202">
        <f>('Expenditure DATA'!FM48/'Expenditure DATA'!N48)*100</f>
        <v>23.794506835659838</v>
      </c>
      <c r="DE46" s="202">
        <f>('Expenditure DATA'!FN48/'Expenditure DATA'!O48)*100</f>
        <v>23.300483968514762</v>
      </c>
      <c r="DF46" s="202">
        <f>('Expenditure DATA'!FO48/'Expenditure DATA'!P48)*100</f>
        <v>23.948526421842985</v>
      </c>
      <c r="DG46" s="202">
        <f>('Expenditure DATA'!FP48/'Expenditure DATA'!Q48)*100</f>
        <v>24.195726284678006</v>
      </c>
      <c r="DH46" s="202">
        <f>('Expenditure DATA'!FQ48/'Expenditure DATA'!R48)*100</f>
        <v>23.120692699508968</v>
      </c>
      <c r="DI46" s="202">
        <f>('Expenditure DATA'!FR48/'Expenditure DATA'!S48)*100</f>
        <v>22.087039115010729</v>
      </c>
      <c r="DJ46" s="202">
        <f>('Expenditure DATA'!FS48/'Expenditure DATA'!T48)*100</f>
        <v>23.50955694827271</v>
      </c>
      <c r="DK46" s="202">
        <f>('Expenditure DATA'!FT48/'Expenditure DATA'!U48)*100</f>
        <v>23.868549368945207</v>
      </c>
      <c r="DL46" s="202">
        <f>('Expenditure DATA'!FU48/'Expenditure DATA'!V48)*100</f>
        <v>24.178171862683389</v>
      </c>
      <c r="DM46" s="202">
        <f>('Expenditure DATA'!FV48/'Expenditure DATA'!W48)*100</f>
        <v>24.732759408807691</v>
      </c>
      <c r="DN46" s="202">
        <f>('Expenditure DATA'!FW48/'Expenditure DATA'!X48)*100</f>
        <v>25.234206542014686</v>
      </c>
      <c r="DO46" s="202">
        <f>('Expenditure DATA'!FX48/'Expenditure DATA'!Y48)*100</f>
        <v>25.816276151038942</v>
      </c>
      <c r="DP46" s="202">
        <f>('Expenditure DATA'!FY48/'Expenditure DATA'!Z48)*100</f>
        <v>26.647531070710844</v>
      </c>
      <c r="DQ46" s="202">
        <f>('Expenditure DATA'!FZ48/'Expenditure DATA'!AA48)*100</f>
        <v>26.64490447295076</v>
      </c>
      <c r="DR46" s="202">
        <f>('Expenditure DATA'!GA48/'Expenditure DATA'!AB48)*100</f>
        <v>25.302008174405749</v>
      </c>
      <c r="DS46" s="202">
        <f>('Expenditure DATA'!GB48/'Expenditure DATA'!AC48)*100</f>
        <v>24.414068982219714</v>
      </c>
      <c r="DT46" s="202">
        <f>('Expenditure DATA'!GC48/'Expenditure DATA'!AD48)*100</f>
        <v>24.712361661572679</v>
      </c>
      <c r="DU46" s="202">
        <f>('Expenditure DATA'!GD48/'Expenditure DATA'!AE48)*100</f>
        <v>24.538130585212233</v>
      </c>
      <c r="DV46" s="464">
        <f>('Expenditure DATA'!GE48/'Expenditure DATA'!AF48)*100</f>
        <v>25.232698659268614</v>
      </c>
      <c r="DW46" s="203" t="e">
        <f>('Expenditure DATA'!GF48/'Expenditure DATA'!B48)*100</f>
        <v>#DIV/0!</v>
      </c>
      <c r="DX46" s="202" t="e">
        <f>('Expenditure DATA'!GG48/'Expenditure DATA'!C48)*100</f>
        <v>#DIV/0!</v>
      </c>
      <c r="DY46" s="202" t="e">
        <f>('Expenditure DATA'!GH48/'Expenditure DATA'!D48)*100</f>
        <v>#DIV/0!</v>
      </c>
      <c r="DZ46" s="202" t="e">
        <f>('Expenditure DATA'!GI48/'Expenditure DATA'!E48)*100</f>
        <v>#DIV/0!</v>
      </c>
      <c r="EA46" s="202" t="e">
        <f>('Expenditure DATA'!GJ48/'Expenditure DATA'!F48)*100</f>
        <v>#DIV/0!</v>
      </c>
      <c r="EB46" s="202" t="e">
        <f>('Expenditure DATA'!GK48/'Expenditure DATA'!G48)*100</f>
        <v>#DIV/0!</v>
      </c>
      <c r="EC46" s="202" t="e">
        <f>('Expenditure DATA'!GL48/'Expenditure DATA'!H48)*100</f>
        <v>#DIV/0!</v>
      </c>
      <c r="ED46" s="202" t="e">
        <f>('Expenditure DATA'!GM48/'Expenditure DATA'!I48)*100</f>
        <v>#DIV/0!</v>
      </c>
      <c r="EE46" s="202">
        <f>('Expenditure DATA'!GN48/'Expenditure DATA'!J48)*100</f>
        <v>25.039837912574331</v>
      </c>
      <c r="EF46" s="202">
        <f>('Expenditure DATA'!GO48/'Expenditure DATA'!K48)*100</f>
        <v>24.721850824245891</v>
      </c>
      <c r="EG46" s="202">
        <f>('Expenditure DATA'!GP48/'Expenditure DATA'!L48)*100</f>
        <v>24.445007466161922</v>
      </c>
      <c r="EH46" s="202">
        <f>('Expenditure DATA'!GQ48/'Expenditure DATA'!M48)*100</f>
        <v>23.683246121514042</v>
      </c>
      <c r="EI46" s="202">
        <f>('Expenditure DATA'!GR48/'Expenditure DATA'!N48)*100</f>
        <v>23.689841876459784</v>
      </c>
      <c r="EJ46" s="202">
        <f>('Expenditure DATA'!GS48/'Expenditure DATA'!O48)*100</f>
        <v>24.330839451529414</v>
      </c>
      <c r="EK46" s="202">
        <f>('Expenditure DATA'!GT48/'Expenditure DATA'!P48)*100</f>
        <v>24.100890124029149</v>
      </c>
      <c r="EL46" s="202">
        <f>('Expenditure DATA'!GU48/'Expenditure DATA'!Q48)*100</f>
        <v>25.197474138594217</v>
      </c>
      <c r="EM46" s="202">
        <f>('Expenditure DATA'!GV48/'Expenditure DATA'!R48)*100</f>
        <v>25.121854567069548</v>
      </c>
      <c r="EN46" s="202">
        <f>('Expenditure DATA'!GW48/'Expenditure DATA'!S48)*100</f>
        <v>25.791360290191651</v>
      </c>
      <c r="EO46" s="202">
        <f>('Expenditure DATA'!GX48/'Expenditure DATA'!T48)*100</f>
        <v>26.653553957282394</v>
      </c>
      <c r="EP46" s="202">
        <f>('Expenditure DATA'!GY48/'Expenditure DATA'!U48)*100</f>
        <v>25.403398084691897</v>
      </c>
      <c r="EQ46" s="202">
        <f>('Expenditure DATA'!GZ48/'Expenditure DATA'!V48)*100</f>
        <v>24.325168137363747</v>
      </c>
      <c r="ER46" s="202">
        <f>('Expenditure DATA'!HA48/'Expenditure DATA'!W48)*100</f>
        <v>24.920361196936188</v>
      </c>
      <c r="ES46" s="202">
        <f>('Expenditure DATA'!HB48/'Expenditure DATA'!X48)*100</f>
        <v>25.458523035428705</v>
      </c>
      <c r="ET46" s="202">
        <f>('Expenditure DATA'!HC48/'Expenditure DATA'!Y48)*100</f>
        <v>25.40341387592996</v>
      </c>
      <c r="EU46" s="202">
        <f>('Expenditure DATA'!HD48/'Expenditure DATA'!Z48)*100</f>
        <v>23.69401987661827</v>
      </c>
      <c r="EV46" s="202">
        <f>('Expenditure DATA'!HE48/'Expenditure DATA'!AA48)*100</f>
        <v>23.667765544187645</v>
      </c>
      <c r="EW46" s="202">
        <f>('Expenditure DATA'!HF48/'Expenditure DATA'!AB48)*100</f>
        <v>24.957667606416585</v>
      </c>
      <c r="EX46" s="202">
        <f>('Expenditure DATA'!HG48/'Expenditure DATA'!AC48)*100</f>
        <v>23.285874553343845</v>
      </c>
      <c r="EY46" s="202">
        <f>('Expenditure DATA'!HH48/'Expenditure DATA'!AD48)*100</f>
        <v>24.235649664702738</v>
      </c>
      <c r="EZ46" s="202">
        <f>('Expenditure DATA'!HI48/'Expenditure DATA'!AE48)*100</f>
        <v>23.569167531814291</v>
      </c>
      <c r="FA46" s="464">
        <f>('Expenditure DATA'!HJ48/'Expenditure DATA'!AF48)*100</f>
        <v>23.131662167963405</v>
      </c>
      <c r="FB46" s="203" t="e">
        <f>('Expenditure DATA'!HK48/'Expenditure DATA'!B48)*100</f>
        <v>#DIV/0!</v>
      </c>
      <c r="FC46" s="202" t="e">
        <f>('Expenditure DATA'!HL48/'Expenditure DATA'!C48)*100</f>
        <v>#DIV/0!</v>
      </c>
      <c r="FD46" s="202" t="e">
        <f>('Expenditure DATA'!HM48/'Expenditure DATA'!D48)*100</f>
        <v>#DIV/0!</v>
      </c>
      <c r="FE46" s="202" t="e">
        <f>('Expenditure DATA'!HN48/'Expenditure DATA'!E48)*100</f>
        <v>#DIV/0!</v>
      </c>
      <c r="FF46" s="202" t="e">
        <f>('Expenditure DATA'!HO48/'Expenditure DATA'!F48)*100</f>
        <v>#DIV/0!</v>
      </c>
      <c r="FG46" s="202" t="e">
        <f>('Expenditure DATA'!HP48/'Expenditure DATA'!G48)*100</f>
        <v>#DIV/0!</v>
      </c>
      <c r="FH46" s="202" t="e">
        <f>('Expenditure DATA'!HQ48/'Expenditure DATA'!H48)*100</f>
        <v>#DIV/0!</v>
      </c>
      <c r="FI46" s="202" t="e">
        <f>('Expenditure DATA'!HR48/'Expenditure DATA'!I48)*100</f>
        <v>#DIV/0!</v>
      </c>
      <c r="FJ46" s="202">
        <f>('Expenditure DATA'!HS48/'Expenditure DATA'!J48)*100</f>
        <v>4.4052418120298142</v>
      </c>
      <c r="FK46" s="202">
        <f>('Expenditure DATA'!HT48/'Expenditure DATA'!K48)*100</f>
        <v>4.3461001924399687</v>
      </c>
      <c r="FL46" s="202">
        <f>('Expenditure DATA'!HU48/'Expenditure DATA'!L48)*100</f>
        <v>4.2946107918613325</v>
      </c>
      <c r="FM46" s="202">
        <f>('Expenditure DATA'!HV48/'Expenditure DATA'!M48)*100</f>
        <v>4.3214304218717912</v>
      </c>
      <c r="FN46" s="202">
        <f>('Expenditure DATA'!HW48/'Expenditure DATA'!N48)*100</f>
        <v>4.4098964291051885</v>
      </c>
      <c r="FO46" s="202">
        <f>('Expenditure DATA'!HX48/'Expenditure DATA'!O48)*100</f>
        <v>4.5106502989606394</v>
      </c>
      <c r="FP46" s="202">
        <f>('Expenditure DATA'!HY48/'Expenditure DATA'!P48)*100</f>
        <v>4.316472747919442</v>
      </c>
      <c r="FQ46" s="202">
        <f>('Expenditure DATA'!HZ48/'Expenditure DATA'!Q48)*100</f>
        <v>4.4515805731605163</v>
      </c>
      <c r="FR46" s="202">
        <f>('Expenditure DATA'!IA48/'Expenditure DATA'!R48)*100</f>
        <v>4.5757498561144292</v>
      </c>
      <c r="FS46" s="202">
        <f>('Expenditure DATA'!IB48/'Expenditure DATA'!S48)*100</f>
        <v>4.6334335751295068</v>
      </c>
      <c r="FT46" s="202">
        <f>('Expenditure DATA'!IC48/'Expenditure DATA'!T48)*100</f>
        <v>4.172963733291958</v>
      </c>
      <c r="FU46" s="202">
        <f>('Expenditure DATA'!ID48/'Expenditure DATA'!U48)*100</f>
        <v>4.3252271725741354</v>
      </c>
      <c r="FV46" s="202">
        <f>('Expenditure DATA'!IE48/'Expenditure DATA'!V48)*100</f>
        <v>4.4565507968651037</v>
      </c>
      <c r="FW46" s="202">
        <f>('Expenditure DATA'!IF48/'Expenditure DATA'!W48)*100</f>
        <v>4.4475850344587764</v>
      </c>
      <c r="FX46" s="202">
        <f>('Expenditure DATA'!IG48/'Expenditure DATA'!X48)*100</f>
        <v>4.439478368726582</v>
      </c>
      <c r="FY46" s="202">
        <f>('Expenditure DATA'!IH48/'Expenditure DATA'!Y48)*100</f>
        <v>4.4967098088947486</v>
      </c>
      <c r="FZ46" s="202">
        <f>('Expenditure DATA'!II48/'Expenditure DATA'!Z48)*100</f>
        <v>4.1589485694872543</v>
      </c>
      <c r="GA46" s="202">
        <f>('Expenditure DATA'!IJ48/'Expenditure DATA'!AA48)*100</f>
        <v>4.1564402143070387</v>
      </c>
      <c r="GB46" s="202">
        <f>('Expenditure DATA'!IK48/'Expenditure DATA'!AB48)*100</f>
        <v>4.5011608354523478</v>
      </c>
      <c r="GC46" s="202">
        <f>('Expenditure DATA'!IL48/'Expenditure DATA'!AC48)*100</f>
        <v>4.307992442707099</v>
      </c>
      <c r="GD46" s="202">
        <f>('Expenditure DATA'!IM48/'Expenditure DATA'!AD48)*100</f>
        <v>4.1510190974012753</v>
      </c>
      <c r="GE46" s="202">
        <f>('Expenditure DATA'!IN48/'Expenditure DATA'!AE48)*100</f>
        <v>4.1258190821037051</v>
      </c>
      <c r="GF46" s="464">
        <f>('Expenditure DATA'!IO48/'Expenditure DATA'!AF48)*100</f>
        <v>3.8689406920301552</v>
      </c>
      <c r="GG46" s="203" t="e">
        <f>('Expenditure DATA'!IP48/'Expenditure DATA'!B48)*100</f>
        <v>#DIV/0!</v>
      </c>
      <c r="GH46" s="202" t="e">
        <f>('Expenditure DATA'!IQ48/'Expenditure DATA'!C48)*100</f>
        <v>#DIV/0!</v>
      </c>
      <c r="GI46" s="202" t="e">
        <f>('Expenditure DATA'!IR48/'Expenditure DATA'!D48)*100</f>
        <v>#DIV/0!</v>
      </c>
      <c r="GJ46" s="202" t="e">
        <f>('Expenditure DATA'!IS48/'Expenditure DATA'!E48)*100</f>
        <v>#DIV/0!</v>
      </c>
      <c r="GK46" s="202" t="e">
        <f>('Expenditure DATA'!IT48/'Expenditure DATA'!F48)*100</f>
        <v>#DIV/0!</v>
      </c>
      <c r="GL46" s="202" t="e">
        <f>('Expenditure DATA'!IU48/'Expenditure DATA'!G48)*100</f>
        <v>#DIV/0!</v>
      </c>
      <c r="GM46" s="202" t="e">
        <f>('Expenditure DATA'!IV48/'Expenditure DATA'!H48)*100</f>
        <v>#DIV/0!</v>
      </c>
      <c r="GN46" s="202" t="e">
        <f>('Expenditure DATA'!IW48/'Expenditure DATA'!I48)*100</f>
        <v>#DIV/0!</v>
      </c>
      <c r="GO46" s="202">
        <f>('Expenditure DATA'!IX48/'Expenditure DATA'!J48)*100</f>
        <v>7.6832735980863696</v>
      </c>
      <c r="GP46" s="202">
        <f>('Expenditure DATA'!IY48/'Expenditure DATA'!K48)*100</f>
        <v>7.5755172307192931</v>
      </c>
      <c r="GQ46" s="202">
        <f>('Expenditure DATA'!IZ48/'Expenditure DATA'!L48)*100</f>
        <v>7.4817032499264053</v>
      </c>
      <c r="GR46" s="202">
        <f>('Expenditure DATA'!JA48/'Expenditure DATA'!M48)*100</f>
        <v>7.002197638008206</v>
      </c>
      <c r="GS46" s="202">
        <f>('Expenditure DATA'!JB48/'Expenditure DATA'!N48)*100</f>
        <v>7.0519898436224775</v>
      </c>
      <c r="GT46" s="202">
        <f>('Expenditure DATA'!JC48/'Expenditure DATA'!O48)*100</f>
        <v>6.8157433410920438</v>
      </c>
      <c r="GU46" s="202">
        <f>('Expenditure DATA'!JD48/'Expenditure DATA'!P48)*100</f>
        <v>6.5162857502167686</v>
      </c>
      <c r="GV46" s="202">
        <f>('Expenditure DATA'!JE48/'Expenditure DATA'!Q48)*100</f>
        <v>7.3453305294507194</v>
      </c>
      <c r="GW46" s="202">
        <f>('Expenditure DATA'!JF48/'Expenditure DATA'!R48)*100</f>
        <v>6.7639023114694661</v>
      </c>
      <c r="GX46" s="202">
        <f>('Expenditure DATA'!JG48/'Expenditure DATA'!S48)*100</f>
        <v>6.5225813274295383</v>
      </c>
      <c r="GY46" s="202">
        <f>('Expenditure DATA'!JH48/'Expenditure DATA'!T48)*100</f>
        <v>6.4646781935112276</v>
      </c>
      <c r="GZ46" s="202">
        <f>('Expenditure DATA'!JI48/'Expenditure DATA'!U48)*100</f>
        <v>7.2123778175478392</v>
      </c>
      <c r="HA46" s="202">
        <f>('Expenditure DATA'!JJ48/'Expenditure DATA'!V48)*100</f>
        <v>7.8572511040858828</v>
      </c>
      <c r="HB46" s="202">
        <f>('Expenditure DATA'!JK48/'Expenditure DATA'!W48)*100</f>
        <v>7.4989725398721907</v>
      </c>
      <c r="HC46" s="202">
        <f>('Expenditure DATA'!JL48/'Expenditure DATA'!X48)*100</f>
        <v>7.1750241206009662</v>
      </c>
      <c r="HD46" s="202">
        <f>('Expenditure DATA'!JM48/'Expenditure DATA'!Y48)*100</f>
        <v>6.3619494213902295</v>
      </c>
      <c r="HE46" s="202">
        <f>('Expenditure DATA'!JN48/'Expenditure DATA'!Z48)*100</f>
        <v>7.5933647084656677</v>
      </c>
      <c r="HF46" s="202">
        <f>('Expenditure DATA'!JO48/'Expenditure DATA'!AA48)*100</f>
        <v>7.5858521493277005</v>
      </c>
      <c r="HG46" s="202">
        <f>('Expenditure DATA'!JP48/'Expenditure DATA'!AB48)*100</f>
        <v>7.9329126949168742</v>
      </c>
      <c r="HH46" s="202">
        <f>('Expenditure DATA'!JQ48/'Expenditure DATA'!AC48)*100</f>
        <v>8.192231636801278</v>
      </c>
      <c r="HI46" s="202">
        <f>('Expenditure DATA'!JR48/'Expenditure DATA'!AD48)*100</f>
        <v>7.461810108629872</v>
      </c>
      <c r="HJ46" s="202">
        <f>('Expenditure DATA'!JS48/'Expenditure DATA'!AE48)*100</f>
        <v>8.2062320689332608</v>
      </c>
      <c r="HK46" s="464">
        <f>('Expenditure DATA'!JT48/'Expenditure DATA'!AF48)*100</f>
        <v>7.5398275574955331</v>
      </c>
      <c r="HL46" s="203" t="e">
        <f t="shared" si="1"/>
        <v>#DIV/0!</v>
      </c>
      <c r="HM46" s="204" t="e">
        <f t="shared" si="2"/>
        <v>#DIV/0!</v>
      </c>
      <c r="HN46" s="204" t="e">
        <f t="shared" si="3"/>
        <v>#DIV/0!</v>
      </c>
      <c r="HO46" s="204" t="e">
        <f t="shared" si="4"/>
        <v>#DIV/0!</v>
      </c>
      <c r="HP46" s="204" t="e">
        <f t="shared" si="5"/>
        <v>#DIV/0!</v>
      </c>
      <c r="HQ46" s="204" t="e">
        <f t="shared" si="6"/>
        <v>#DIV/0!</v>
      </c>
      <c r="HR46" s="204" t="e">
        <f t="shared" si="7"/>
        <v>#DIV/0!</v>
      </c>
      <c r="HS46" s="204" t="e">
        <f t="shared" si="8"/>
        <v>#DIV/0!</v>
      </c>
      <c r="HT46" s="204">
        <f t="shared" si="9"/>
        <v>100</v>
      </c>
      <c r="HU46" s="204">
        <f t="shared" si="10"/>
        <v>100</v>
      </c>
      <c r="HV46" s="204">
        <f t="shared" si="11"/>
        <v>100</v>
      </c>
      <c r="HW46" s="204">
        <f t="shared" si="12"/>
        <v>100.00000000000001</v>
      </c>
      <c r="HX46" s="204">
        <f t="shared" si="13"/>
        <v>100</v>
      </c>
      <c r="HY46" s="204">
        <f t="shared" si="14"/>
        <v>100</v>
      </c>
      <c r="HZ46" s="204">
        <f t="shared" si="15"/>
        <v>100</v>
      </c>
      <c r="IA46" s="204">
        <f t="shared" si="16"/>
        <v>99.999999999999986</v>
      </c>
      <c r="IB46" s="204">
        <f t="shared" si="17"/>
        <v>100</v>
      </c>
      <c r="IC46" s="204">
        <f t="shared" si="18"/>
        <v>99.999999999999986</v>
      </c>
      <c r="ID46" s="204">
        <f t="shared" si="19"/>
        <v>99.999999999999986</v>
      </c>
      <c r="IE46" s="204">
        <f t="shared" si="20"/>
        <v>100</v>
      </c>
      <c r="IF46" s="204">
        <f t="shared" si="21"/>
        <v>100</v>
      </c>
      <c r="IG46" s="204">
        <f t="shared" si="22"/>
        <v>99.999999999999986</v>
      </c>
      <c r="IH46" s="204">
        <f t="shared" si="23"/>
        <v>100</v>
      </c>
      <c r="II46" s="204">
        <f t="shared" si="24"/>
        <v>100.00000000000001</v>
      </c>
      <c r="IJ46" s="204">
        <f t="shared" si="25"/>
        <v>99.999999999999986</v>
      </c>
      <c r="IK46" s="204">
        <f t="shared" si="26"/>
        <v>100</v>
      </c>
      <c r="IL46" s="204">
        <f t="shared" si="37"/>
        <v>100</v>
      </c>
      <c r="IM46" s="204">
        <f t="shared" si="38"/>
        <v>100.00000719934165</v>
      </c>
      <c r="IN46" s="204">
        <f t="shared" si="39"/>
        <v>100.00000682108511</v>
      </c>
      <c r="IO46" s="204">
        <f t="shared" si="40"/>
        <v>99.999999999999986</v>
      </c>
      <c r="IP46" s="204">
        <f t="shared" si="41"/>
        <v>100</v>
      </c>
    </row>
    <row r="47" spans="1:250" s="164" customFormat="1">
      <c r="A47" s="164" t="s">
        <v>70</v>
      </c>
      <c r="C47" s="202" t="e">
        <f>('Expenditure DATA'!CQ49/'Expenditure DATA'!B49)*100</f>
        <v>#DIV/0!</v>
      </c>
      <c r="D47" s="202" t="e">
        <f>('Expenditure DATA'!CR49/'Expenditure DATA'!C49)*100</f>
        <v>#DIV/0!</v>
      </c>
      <c r="E47" s="202" t="e">
        <f>('Expenditure DATA'!CS49/'Expenditure DATA'!D49)*100</f>
        <v>#DIV/0!</v>
      </c>
      <c r="F47" s="202" t="e">
        <f>('Expenditure DATA'!CT49/'Expenditure DATA'!E49)*100</f>
        <v>#DIV/0!</v>
      </c>
      <c r="G47" s="202" t="e">
        <f>('Expenditure DATA'!CU49/'Expenditure DATA'!F49)*100</f>
        <v>#DIV/0!</v>
      </c>
      <c r="H47" s="202" t="e">
        <f>('Expenditure DATA'!CV49/'Expenditure DATA'!G49)*100</f>
        <v>#DIV/0!</v>
      </c>
      <c r="I47" s="202" t="e">
        <f>('Expenditure DATA'!CW49/'Expenditure DATA'!H49)*100</f>
        <v>#DIV/0!</v>
      </c>
      <c r="J47" s="202" t="e">
        <f>('Expenditure DATA'!CX49/'Expenditure DATA'!I49)*100</f>
        <v>#DIV/0!</v>
      </c>
      <c r="K47" s="202">
        <f>('Expenditure DATA'!CY49/'Expenditure DATA'!J49)*100</f>
        <v>14.285951312903475</v>
      </c>
      <c r="L47" s="202">
        <f>('Expenditure DATA'!CZ49/'Expenditure DATA'!K49)*100</f>
        <v>14.632151070481244</v>
      </c>
      <c r="M47" s="202">
        <f>('Expenditure DATA'!DA49/'Expenditure DATA'!L49)*100</f>
        <v>14.935152944821112</v>
      </c>
      <c r="N47" s="202">
        <f>('Expenditure DATA'!DB49/'Expenditure DATA'!M49)*100</f>
        <v>14.311477647531845</v>
      </c>
      <c r="O47" s="202">
        <f>('Expenditure DATA'!DC49/'Expenditure DATA'!N49)*100</f>
        <v>14.931525448905486</v>
      </c>
      <c r="P47" s="202">
        <f>('Expenditure DATA'!DD49/'Expenditure DATA'!O49)*100</f>
        <v>14.241299986944872</v>
      </c>
      <c r="Q47" s="202">
        <f>('Expenditure DATA'!DE49/'Expenditure DATA'!P49)*100</f>
        <v>14.019001939862752</v>
      </c>
      <c r="R47" s="202">
        <f>('Expenditure DATA'!DF49/'Expenditure DATA'!Q49)*100</f>
        <v>13.112680302977301</v>
      </c>
      <c r="S47" s="202">
        <f>('Expenditure DATA'!DG49/'Expenditure DATA'!R49)*100</f>
        <v>12.803162667154877</v>
      </c>
      <c r="T47" s="202">
        <f>('Expenditure DATA'!DH49/'Expenditure DATA'!S49)*100</f>
        <v>12.513142249471299</v>
      </c>
      <c r="U47" s="202">
        <f>('Expenditure DATA'!DI49/'Expenditure DATA'!T49)*100</f>
        <v>12.550130209928293</v>
      </c>
      <c r="V47" s="202">
        <f>('Expenditure DATA'!DJ49/'Expenditure DATA'!U49)*100</f>
        <v>12.848449927101612</v>
      </c>
      <c r="W47" s="202">
        <f>('Expenditure DATA'!DK49/'Expenditure DATA'!V49)*100</f>
        <v>13.130459284305438</v>
      </c>
      <c r="X47" s="202">
        <f>('Expenditure DATA'!DL49/'Expenditure DATA'!W49)*100</f>
        <v>13.429774824807239</v>
      </c>
      <c r="Y47" s="202">
        <f>('Expenditure DATA'!DM49/'Expenditure DATA'!X49)*100</f>
        <v>13.709570533169476</v>
      </c>
      <c r="Z47" s="202">
        <f>('Expenditure DATA'!DN49/'Expenditure DATA'!Y49)*100</f>
        <v>14.574687115252638</v>
      </c>
      <c r="AA47" s="202">
        <f>('Expenditure DATA'!DO49/'Expenditure DATA'!Z49)*100</f>
        <v>15.067066244072974</v>
      </c>
      <c r="AB47" s="202">
        <f>('Expenditure DATA'!DP49/'Expenditure DATA'!AA49)*100</f>
        <v>15.071134045426662</v>
      </c>
      <c r="AC47" s="202">
        <f>('Expenditure DATA'!DQ49/'Expenditure DATA'!AB49)*100</f>
        <v>14.914074994671871</v>
      </c>
      <c r="AD47" s="202">
        <f>('Expenditure DATA'!DR49/'Expenditure DATA'!AC49)*100</f>
        <v>14.272031111928149</v>
      </c>
      <c r="AE47" s="202">
        <f>('Expenditure DATA'!DS49/'Expenditure DATA'!AD49)*100</f>
        <v>14.443517122415559</v>
      </c>
      <c r="AF47" s="202">
        <f>('Expenditure DATA'!DT49/'Expenditure DATA'!AE49)*100</f>
        <v>13.759775025418881</v>
      </c>
      <c r="AG47" s="464">
        <f>('Expenditure DATA'!DU49/'Expenditure DATA'!AF49)*100</f>
        <v>12.982540528612304</v>
      </c>
      <c r="AH47" s="203" t="e">
        <f>('Expenditure DATA'!BL49/'Expenditure DATA'!B49)*100</f>
        <v>#DIV/0!</v>
      </c>
      <c r="AI47" s="202" t="e">
        <f>('Expenditure DATA'!BM49/'Expenditure DATA'!C49)*100</f>
        <v>#DIV/0!</v>
      </c>
      <c r="AJ47" s="202" t="e">
        <f>('Expenditure DATA'!BN49/'Expenditure DATA'!D49)*100</f>
        <v>#DIV/0!</v>
      </c>
      <c r="AK47" s="202" t="e">
        <f>('Expenditure DATA'!BO49/'Expenditure DATA'!E49)*100</f>
        <v>#DIV/0!</v>
      </c>
      <c r="AL47" s="202" t="e">
        <f>('Expenditure DATA'!BP49/'Expenditure DATA'!F49)*100</f>
        <v>#DIV/0!</v>
      </c>
      <c r="AM47" s="202" t="e">
        <f>('Expenditure DATA'!BQ49/'Expenditure DATA'!G49)*100</f>
        <v>#DIV/0!</v>
      </c>
      <c r="AN47" s="202" t="e">
        <f>('Expenditure DATA'!BR49/'Expenditure DATA'!H49)*100</f>
        <v>#DIV/0!</v>
      </c>
      <c r="AO47" s="202" t="e">
        <f>('Expenditure DATA'!BS49/'Expenditure DATA'!I49)*100</f>
        <v>#DIV/0!</v>
      </c>
      <c r="AP47" s="202">
        <f>('Expenditure DATA'!BT49/'Expenditure DATA'!J49)*100</f>
        <v>23.219861614309227</v>
      </c>
      <c r="AQ47" s="202">
        <f>('Expenditure DATA'!BU49/'Expenditure DATA'!K49)*100</f>
        <v>22.225685483792905</v>
      </c>
      <c r="AR47" s="202">
        <f>('Expenditure DATA'!BV49/'Expenditure DATA'!L49)*100</f>
        <v>21.355560001678054</v>
      </c>
      <c r="AS47" s="202">
        <f>('Expenditure DATA'!BW49/'Expenditure DATA'!M49)*100</f>
        <v>21.415158947538455</v>
      </c>
      <c r="AT47" s="202">
        <f>('Expenditure DATA'!BX49/'Expenditure DATA'!N49)*100</f>
        <v>21.602277030746336</v>
      </c>
      <c r="AU47" s="202">
        <f>('Expenditure DATA'!BY49/'Expenditure DATA'!O49)*100</f>
        <v>20.392434969371077</v>
      </c>
      <c r="AV47" s="202">
        <f>('Expenditure DATA'!BZ49/'Expenditure DATA'!P49)*100</f>
        <v>22.628626724426795</v>
      </c>
      <c r="AW47" s="202">
        <f>('Expenditure DATA'!CA49/'Expenditure DATA'!Q49)*100</f>
        <v>20.200063633895208</v>
      </c>
      <c r="AX47" s="202">
        <f>('Expenditure DATA'!CB49/'Expenditure DATA'!R49)*100</f>
        <v>20.377472517547837</v>
      </c>
      <c r="AY47" s="202">
        <f>('Expenditure DATA'!CC49/'Expenditure DATA'!S49)*100</f>
        <v>20.147950325308315</v>
      </c>
      <c r="AZ47" s="202">
        <f>('Expenditure DATA'!CD49/'Expenditure DATA'!T49)*100</f>
        <v>20.20882041264856</v>
      </c>
      <c r="BA47" s="202">
        <f>('Expenditure DATA'!CE49/'Expenditure DATA'!U49)*100</f>
        <v>19.723888263214107</v>
      </c>
      <c r="BB47" s="202">
        <f>('Expenditure DATA'!CF49/'Expenditure DATA'!V49)*100</f>
        <v>19.265469339231196</v>
      </c>
      <c r="BC47" s="202">
        <f>('Expenditure DATA'!CG49/'Expenditure DATA'!W49)*100</f>
        <v>20.383130273095073</v>
      </c>
      <c r="BD47" s="202">
        <f>('Expenditure DATA'!CH49/'Expenditure DATA'!X49)*100</f>
        <v>21.427903064293861</v>
      </c>
      <c r="BE47" s="202">
        <f>('Expenditure DATA'!CI49/'Expenditure DATA'!Y49)*100</f>
        <v>21.042339884743917</v>
      </c>
      <c r="BF47" s="202">
        <f>('Expenditure DATA'!CJ49/'Expenditure DATA'!Z49)*100</f>
        <v>20.507513390352113</v>
      </c>
      <c r="BG47" s="202">
        <f>('Expenditure DATA'!CK49/'Expenditure DATA'!AA49)*100</f>
        <v>20.511487961524839</v>
      </c>
      <c r="BH47" s="202">
        <f>('Expenditure DATA'!CL49/'Expenditure DATA'!AB49)*100</f>
        <v>19.951291810190821</v>
      </c>
      <c r="BI47" s="202">
        <f>('Expenditure DATA'!CM49/'Expenditure DATA'!AC49)*100</f>
        <v>19.80903478379555</v>
      </c>
      <c r="BJ47" s="202">
        <f>('Expenditure DATA'!CN49/'Expenditure DATA'!AD49)*100</f>
        <v>19.87149881573519</v>
      </c>
      <c r="BK47" s="202">
        <f>('Expenditure DATA'!CO49/'Expenditure DATA'!AE49)*100</f>
        <v>19.194840099926459</v>
      </c>
      <c r="BL47" s="464">
        <f>('Expenditure DATA'!CP49/'Expenditure DATA'!AF49)*100</f>
        <v>18.162890616818842</v>
      </c>
      <c r="BM47" s="203" t="e">
        <f>('Expenditure DATA'!AG49/'Expenditure DATA'!B49)*100</f>
        <v>#DIV/0!</v>
      </c>
      <c r="BN47" s="202" t="e">
        <f>('Expenditure DATA'!AH49/'Expenditure DATA'!C49)*100</f>
        <v>#DIV/0!</v>
      </c>
      <c r="BO47" s="202" t="e">
        <f>('Expenditure DATA'!AI49/'Expenditure DATA'!D49)*100</f>
        <v>#DIV/0!</v>
      </c>
      <c r="BP47" s="202" t="e">
        <f>('Expenditure DATA'!AJ49/'Expenditure DATA'!E49)*100</f>
        <v>#DIV/0!</v>
      </c>
      <c r="BQ47" s="202" t="e">
        <f>('Expenditure DATA'!AK49/'Expenditure DATA'!F49)*100</f>
        <v>#DIV/0!</v>
      </c>
      <c r="BR47" s="202" t="e">
        <f>('Expenditure DATA'!AL49/'Expenditure DATA'!G49)*100</f>
        <v>#DIV/0!</v>
      </c>
      <c r="BS47" s="202" t="e">
        <f>('Expenditure DATA'!AM49/'Expenditure DATA'!H49)*100</f>
        <v>#DIV/0!</v>
      </c>
      <c r="BT47" s="202" t="e">
        <f>('Expenditure DATA'!AN49/'Expenditure DATA'!I49)*100</f>
        <v>#DIV/0!</v>
      </c>
      <c r="BU47" s="202">
        <f>('Expenditure DATA'!AO49/'Expenditure DATA'!J49)*100</f>
        <v>39.444438555342984</v>
      </c>
      <c r="BV47" s="202">
        <f>('Expenditure DATA'!AP49/'Expenditure DATA'!K49)*100</f>
        <v>38.836326903497827</v>
      </c>
      <c r="BW47" s="202">
        <f>('Expenditure DATA'!AQ49/'Expenditure DATA'!L49)*100</f>
        <v>38.304093803145065</v>
      </c>
      <c r="BX47" s="202">
        <f>('Expenditure DATA'!AR49/'Expenditure DATA'!M49)*100</f>
        <v>37.924355841921916</v>
      </c>
      <c r="BY47" s="202">
        <f>('Expenditure DATA'!AS49/'Expenditure DATA'!N49)*100</f>
        <v>38.958176425784323</v>
      </c>
      <c r="BZ47" s="202">
        <f>('Expenditure DATA'!AT49/'Expenditure DATA'!O49)*100</f>
        <v>36.714635521447477</v>
      </c>
      <c r="CA47" s="202">
        <f>('Expenditure DATA'!AU49/'Expenditure DATA'!P49)*100</f>
        <v>38.605297282839807</v>
      </c>
      <c r="CB47" s="202">
        <f>('Expenditure DATA'!AV49/'Expenditure DATA'!Q49)*100</f>
        <v>35.432119125317122</v>
      </c>
      <c r="CC47" s="202">
        <f>('Expenditure DATA'!AW49/'Expenditure DATA'!R49)*100</f>
        <v>35.036188634616479</v>
      </c>
      <c r="CD47" s="202">
        <f>('Expenditure DATA'!AX49/'Expenditure DATA'!S49)*100</f>
        <v>34.52395087136054</v>
      </c>
      <c r="CE47" s="202">
        <f>('Expenditure DATA'!AY49/'Expenditure DATA'!T49)*100</f>
        <v>34.391263481361889</v>
      </c>
      <c r="CF47" s="202">
        <f>('Expenditure DATA'!AZ49/'Expenditure DATA'!U49)*100</f>
        <v>34.199145537245634</v>
      </c>
      <c r="CG47" s="202">
        <f>('Expenditure DATA'!BA49/'Expenditure DATA'!V49)*100</f>
        <v>34.017531467478776</v>
      </c>
      <c r="CH47" s="202">
        <f>('Expenditure DATA'!BB49/'Expenditure DATA'!W49)*100</f>
        <v>35.531302208785164</v>
      </c>
      <c r="CI47" s="202">
        <f>('Expenditure DATA'!BC49/'Expenditure DATA'!X49)*100</f>
        <v>36.946352547139696</v>
      </c>
      <c r="CJ47" s="202">
        <f>('Expenditure DATA'!BD49/'Expenditure DATA'!Y49)*100</f>
        <v>37.015251371151962</v>
      </c>
      <c r="CK47" s="202">
        <f>('Expenditure DATA'!BE49/'Expenditure DATA'!Z49)*100</f>
        <v>37.088632197241715</v>
      </c>
      <c r="CL47" s="202">
        <f>('Expenditure DATA'!BF49/'Expenditure DATA'!AA49)*100</f>
        <v>37.097020007202268</v>
      </c>
      <c r="CM47" s="202">
        <f>('Expenditure DATA'!BG49/'Expenditure DATA'!AB49)*100</f>
        <v>36.41791837832632</v>
      </c>
      <c r="CN47" s="202">
        <f>('Expenditure DATA'!BH49/'Expenditure DATA'!AC49)*100</f>
        <v>35.547482568154443</v>
      </c>
      <c r="CO47" s="202">
        <f>('Expenditure DATA'!BI49/'Expenditure DATA'!AD49)*100</f>
        <v>36.225395547444123</v>
      </c>
      <c r="CP47" s="202">
        <f>('Expenditure DATA'!BJ49/'Expenditure DATA'!AE49)*100</f>
        <v>34.909168940386778</v>
      </c>
      <c r="CQ47" s="464">
        <f>('Expenditure DATA'!BK49/'Expenditure DATA'!AF49)*100</f>
        <v>32.831584528965706</v>
      </c>
      <c r="CR47" s="203" t="e">
        <f>('Expenditure DATA'!FA49/'Expenditure DATA'!B49)*100</f>
        <v>#DIV/0!</v>
      </c>
      <c r="CS47" s="202" t="e">
        <f>('Expenditure DATA'!FB49/'Expenditure DATA'!C49)*100</f>
        <v>#DIV/0!</v>
      </c>
      <c r="CT47" s="202" t="e">
        <f>('Expenditure DATA'!FC49/'Expenditure DATA'!D49)*100</f>
        <v>#DIV/0!</v>
      </c>
      <c r="CU47" s="202" t="e">
        <f>('Expenditure DATA'!FD49/'Expenditure DATA'!E49)*100</f>
        <v>#DIV/0!</v>
      </c>
      <c r="CV47" s="202" t="e">
        <f>('Expenditure DATA'!FE49/'Expenditure DATA'!F49)*100</f>
        <v>#DIV/0!</v>
      </c>
      <c r="CW47" s="202" t="e">
        <f>('Expenditure DATA'!FF49/'Expenditure DATA'!G49)*100</f>
        <v>#DIV/0!</v>
      </c>
      <c r="CX47" s="202" t="e">
        <f>('Expenditure DATA'!FG49/'Expenditure DATA'!H49)*100</f>
        <v>#DIV/0!</v>
      </c>
      <c r="CY47" s="202" t="e">
        <f>('Expenditure DATA'!FH49/'Expenditure DATA'!I49)*100</f>
        <v>#DIV/0!</v>
      </c>
      <c r="CZ47" s="202">
        <f>('Expenditure DATA'!FI49/'Expenditure DATA'!J49)*100</f>
        <v>15.696447443072486</v>
      </c>
      <c r="DA47" s="202">
        <f>('Expenditure DATA'!FJ49/'Expenditure DATA'!K49)*100</f>
        <v>17.167021919864425</v>
      </c>
      <c r="DB47" s="202">
        <f>('Expenditure DATA'!FK49/'Expenditure DATA'!L49)*100</f>
        <v>18.454102032057261</v>
      </c>
      <c r="DC47" s="202">
        <f>('Expenditure DATA'!FL49/'Expenditure DATA'!M49)*100</f>
        <v>21.082906006640364</v>
      </c>
      <c r="DD47" s="202">
        <f>('Expenditure DATA'!FM49/'Expenditure DATA'!N49)*100</f>
        <v>18.929133297822425</v>
      </c>
      <c r="DE47" s="202">
        <f>('Expenditure DATA'!FN49/'Expenditure DATA'!O49)*100</f>
        <v>20.555027363330712</v>
      </c>
      <c r="DF47" s="202">
        <f>('Expenditure DATA'!FO49/'Expenditure DATA'!P49)*100</f>
        <v>18.034074568264085</v>
      </c>
      <c r="DG47" s="202">
        <f>('Expenditure DATA'!FP49/'Expenditure DATA'!Q49)*100</f>
        <v>19.667471252305059</v>
      </c>
      <c r="DH47" s="202">
        <f>('Expenditure DATA'!FQ49/'Expenditure DATA'!R49)*100</f>
        <v>18.232605927643551</v>
      </c>
      <c r="DI47" s="202">
        <f>('Expenditure DATA'!FR49/'Expenditure DATA'!S49)*100</f>
        <v>19.526213661285873</v>
      </c>
      <c r="DJ47" s="202">
        <f>('Expenditure DATA'!FS49/'Expenditure DATA'!T49)*100</f>
        <v>18.471680871757307</v>
      </c>
      <c r="DK47" s="202">
        <f>('Expenditure DATA'!FT49/'Expenditure DATA'!U49)*100</f>
        <v>19.204326865205314</v>
      </c>
      <c r="DL47" s="202">
        <f>('Expenditure DATA'!FU49/'Expenditure DATA'!V49)*100</f>
        <v>19.896916103449296</v>
      </c>
      <c r="DM47" s="202">
        <f>('Expenditure DATA'!FV49/'Expenditure DATA'!W49)*100</f>
        <v>20.054986519425931</v>
      </c>
      <c r="DN47" s="202">
        <f>('Expenditure DATA'!FW49/'Expenditure DATA'!X49)*100</f>
        <v>20.202748389508407</v>
      </c>
      <c r="DO47" s="202">
        <f>('Expenditure DATA'!FX49/'Expenditure DATA'!Y49)*100</f>
        <v>18.821412846926446</v>
      </c>
      <c r="DP47" s="202">
        <f>('Expenditure DATA'!FY49/'Expenditure DATA'!Z49)*100</f>
        <v>17.98566813958254</v>
      </c>
      <c r="DQ47" s="202">
        <f>('Expenditure DATA'!FZ49/'Expenditure DATA'!AA49)*100</f>
        <v>17.986597694850797</v>
      </c>
      <c r="DR47" s="202">
        <f>('Expenditure DATA'!GA49/'Expenditure DATA'!AB49)*100</f>
        <v>18.14269698501111</v>
      </c>
      <c r="DS47" s="202">
        <f>('Expenditure DATA'!GB49/'Expenditure DATA'!AC49)*100</f>
        <v>18.043897439235902</v>
      </c>
      <c r="DT47" s="202">
        <f>('Expenditure DATA'!GC49/'Expenditure DATA'!AD49)*100</f>
        <v>18.172839539071912</v>
      </c>
      <c r="DU47" s="202">
        <f>('Expenditure DATA'!GD49/'Expenditure DATA'!AE49)*100</f>
        <v>18.198034148905609</v>
      </c>
      <c r="DV47" s="464">
        <f>('Expenditure DATA'!GE49/'Expenditure DATA'!AF49)*100</f>
        <v>16.449524208981046</v>
      </c>
      <c r="DW47" s="203" t="e">
        <f>('Expenditure DATA'!GF49/'Expenditure DATA'!B49)*100</f>
        <v>#DIV/0!</v>
      </c>
      <c r="DX47" s="202" t="e">
        <f>('Expenditure DATA'!GG49/'Expenditure DATA'!C49)*100</f>
        <v>#DIV/0!</v>
      </c>
      <c r="DY47" s="202" t="e">
        <f>('Expenditure DATA'!GH49/'Expenditure DATA'!D49)*100</f>
        <v>#DIV/0!</v>
      </c>
      <c r="DZ47" s="202" t="e">
        <f>('Expenditure DATA'!GI49/'Expenditure DATA'!E49)*100</f>
        <v>#DIV/0!</v>
      </c>
      <c r="EA47" s="202" t="e">
        <f>('Expenditure DATA'!GJ49/'Expenditure DATA'!F49)*100</f>
        <v>#DIV/0!</v>
      </c>
      <c r="EB47" s="202" t="e">
        <f>('Expenditure DATA'!GK49/'Expenditure DATA'!G49)*100</f>
        <v>#DIV/0!</v>
      </c>
      <c r="EC47" s="202" t="e">
        <f>('Expenditure DATA'!GL49/'Expenditure DATA'!H49)*100</f>
        <v>#DIV/0!</v>
      </c>
      <c r="ED47" s="202" t="e">
        <f>('Expenditure DATA'!GM49/'Expenditure DATA'!I49)*100</f>
        <v>#DIV/0!</v>
      </c>
      <c r="EE47" s="202">
        <f>('Expenditure DATA'!GN49/'Expenditure DATA'!J49)*100</f>
        <v>24.571733019684913</v>
      </c>
      <c r="EF47" s="202">
        <f>('Expenditure DATA'!GO49/'Expenditure DATA'!K49)*100</f>
        <v>24.920812846850485</v>
      </c>
      <c r="EG47" s="202">
        <f>('Expenditure DATA'!GP49/'Expenditure DATA'!L49)*100</f>
        <v>25.226335423369466</v>
      </c>
      <c r="EH47" s="202">
        <f>('Expenditure DATA'!GQ49/'Expenditure DATA'!M49)*100</f>
        <v>24.0603929854149</v>
      </c>
      <c r="EI47" s="202">
        <f>('Expenditure DATA'!GR49/'Expenditure DATA'!N49)*100</f>
        <v>25.624177746418837</v>
      </c>
      <c r="EJ47" s="202">
        <f>('Expenditure DATA'!GS49/'Expenditure DATA'!O49)*100</f>
        <v>26.054816347623692</v>
      </c>
      <c r="EK47" s="202">
        <f>('Expenditure DATA'!GT49/'Expenditure DATA'!P49)*100</f>
        <v>25.171747724680731</v>
      </c>
      <c r="EL47" s="202">
        <f>('Expenditure DATA'!GU49/'Expenditure DATA'!Q49)*100</f>
        <v>26.446879856873711</v>
      </c>
      <c r="EM47" s="202">
        <f>('Expenditure DATA'!GV49/'Expenditure DATA'!R49)*100</f>
        <v>28.459626427852193</v>
      </c>
      <c r="EN47" s="202">
        <f>('Expenditure DATA'!GW49/'Expenditure DATA'!S49)*100</f>
        <v>28.588988443997813</v>
      </c>
      <c r="EO47" s="202">
        <f>('Expenditure DATA'!GX49/'Expenditure DATA'!T49)*100</f>
        <v>28.047384600141061</v>
      </c>
      <c r="EP47" s="202">
        <f>('Expenditure DATA'!GY49/'Expenditure DATA'!U49)*100</f>
        <v>27.67949524844316</v>
      </c>
      <c r="EQ47" s="202">
        <f>('Expenditure DATA'!GZ49/'Expenditure DATA'!V49)*100</f>
        <v>27.331719913384823</v>
      </c>
      <c r="ER47" s="202">
        <f>('Expenditure DATA'!HA49/'Expenditure DATA'!W49)*100</f>
        <v>26.983961809308621</v>
      </c>
      <c r="ES47" s="202">
        <f>('Expenditure DATA'!HB49/'Expenditure DATA'!X49)*100</f>
        <v>26.658882714165134</v>
      </c>
      <c r="ET47" s="202">
        <f>('Expenditure DATA'!HC49/'Expenditure DATA'!Y49)*100</f>
        <v>28.134968944313588</v>
      </c>
      <c r="EU47" s="202">
        <f>('Expenditure DATA'!HD49/'Expenditure DATA'!Z49)*100</f>
        <v>28.697696591429718</v>
      </c>
      <c r="EV47" s="202">
        <f>('Expenditure DATA'!HE49/'Expenditure DATA'!AA49)*100</f>
        <v>28.693876844526763</v>
      </c>
      <c r="EW47" s="202">
        <f>('Expenditure DATA'!HF49/'Expenditure DATA'!AB49)*100</f>
        <v>27.380062382583358</v>
      </c>
      <c r="EX47" s="202">
        <f>('Expenditure DATA'!HG49/'Expenditure DATA'!AC49)*100</f>
        <v>27.735877810077124</v>
      </c>
      <c r="EY47" s="202">
        <f>('Expenditure DATA'!HH49/'Expenditure DATA'!AD49)*100</f>
        <v>30.094433064347026</v>
      </c>
      <c r="EZ47" s="202">
        <f>('Expenditure DATA'!HI49/'Expenditure DATA'!AE49)*100</f>
        <v>29.925963917796889</v>
      </c>
      <c r="FA47" s="464">
        <f>('Expenditure DATA'!HJ49/'Expenditure DATA'!AF49)*100</f>
        <v>35.02237168580524</v>
      </c>
      <c r="FB47" s="203" t="e">
        <f>('Expenditure DATA'!HK49/'Expenditure DATA'!B49)*100</f>
        <v>#DIV/0!</v>
      </c>
      <c r="FC47" s="202" t="e">
        <f>('Expenditure DATA'!HL49/'Expenditure DATA'!C49)*100</f>
        <v>#DIV/0!</v>
      </c>
      <c r="FD47" s="202" t="e">
        <f>('Expenditure DATA'!HM49/'Expenditure DATA'!D49)*100</f>
        <v>#DIV/0!</v>
      </c>
      <c r="FE47" s="202" t="e">
        <f>('Expenditure DATA'!HN49/'Expenditure DATA'!E49)*100</f>
        <v>#DIV/0!</v>
      </c>
      <c r="FF47" s="202" t="e">
        <f>('Expenditure DATA'!HO49/'Expenditure DATA'!F49)*100</f>
        <v>#DIV/0!</v>
      </c>
      <c r="FG47" s="202" t="e">
        <f>('Expenditure DATA'!HP49/'Expenditure DATA'!G49)*100</f>
        <v>#DIV/0!</v>
      </c>
      <c r="FH47" s="202" t="e">
        <f>('Expenditure DATA'!HQ49/'Expenditure DATA'!H49)*100</f>
        <v>#DIV/0!</v>
      </c>
      <c r="FI47" s="202" t="e">
        <f>('Expenditure DATA'!HR49/'Expenditure DATA'!I49)*100</f>
        <v>#DIV/0!</v>
      </c>
      <c r="FJ47" s="202">
        <f>('Expenditure DATA'!HS49/'Expenditure DATA'!J49)*100</f>
        <v>4.3641775278340695</v>
      </c>
      <c r="FK47" s="202">
        <f>('Expenditure DATA'!HT49/'Expenditure DATA'!K49)*100</f>
        <v>4.1202487439223523</v>
      </c>
      <c r="FL47" s="202">
        <f>('Expenditure DATA'!HU49/'Expenditure DATA'!L49)*100</f>
        <v>3.9067567436742259</v>
      </c>
      <c r="FM47" s="202">
        <f>('Expenditure DATA'!HV49/'Expenditure DATA'!M49)*100</f>
        <v>3.9619256512177201</v>
      </c>
      <c r="FN47" s="202">
        <f>('Expenditure DATA'!HW49/'Expenditure DATA'!N49)*100</f>
        <v>3.7693400038141345</v>
      </c>
      <c r="FO47" s="202">
        <f>('Expenditure DATA'!HX49/'Expenditure DATA'!O49)*100</f>
        <v>4.4531366119665252</v>
      </c>
      <c r="FP47" s="202">
        <f>('Expenditure DATA'!HY49/'Expenditure DATA'!P49)*100</f>
        <v>4.2329503193786433</v>
      </c>
      <c r="FQ47" s="202">
        <f>('Expenditure DATA'!HZ49/'Expenditure DATA'!Q49)*100</f>
        <v>4.6872860476854417</v>
      </c>
      <c r="FR47" s="202">
        <f>('Expenditure DATA'!IA49/'Expenditure DATA'!R49)*100</f>
        <v>4.1394434227489532</v>
      </c>
      <c r="FS47" s="202">
        <f>('Expenditure DATA'!IB49/'Expenditure DATA'!S49)*100</f>
        <v>4.5958439231328256</v>
      </c>
      <c r="FT47" s="202">
        <f>('Expenditure DATA'!IC49/'Expenditure DATA'!T49)*100</f>
        <v>4.65584537370263</v>
      </c>
      <c r="FU47" s="202">
        <f>('Expenditure DATA'!ID49/'Expenditure DATA'!U49)*100</f>
        <v>4.6412370212165923</v>
      </c>
      <c r="FV47" s="202">
        <f>('Expenditure DATA'!IE49/'Expenditure DATA'!V49)*100</f>
        <v>4.6274273671533948</v>
      </c>
      <c r="FW47" s="202">
        <f>('Expenditure DATA'!IF49/'Expenditure DATA'!W49)*100</f>
        <v>4.8989572353870106</v>
      </c>
      <c r="FX47" s="202">
        <f>('Expenditure DATA'!IG49/'Expenditure DATA'!X49)*100</f>
        <v>5.1527793112356646</v>
      </c>
      <c r="FY47" s="202">
        <f>('Expenditure DATA'!IH49/'Expenditure DATA'!Y49)*100</f>
        <v>4.8325935837790803</v>
      </c>
      <c r="FZ47" s="202">
        <f>('Expenditure DATA'!II49/'Expenditure DATA'!Z49)*100</f>
        <v>4.960587067307662</v>
      </c>
      <c r="GA47" s="202">
        <f>('Expenditure DATA'!IJ49/'Expenditure DATA'!AA49)*100</f>
        <v>4.9545171881418346</v>
      </c>
      <c r="GB47" s="202">
        <f>('Expenditure DATA'!IK49/'Expenditure DATA'!AB49)*100</f>
        <v>4.5010243097508003</v>
      </c>
      <c r="GC47" s="202">
        <f>('Expenditure DATA'!IL49/'Expenditure DATA'!AC49)*100</f>
        <v>4.7486636910497353</v>
      </c>
      <c r="GD47" s="202">
        <f>('Expenditure DATA'!IM49/'Expenditure DATA'!AD49)*100</f>
        <v>4.5677262731908463</v>
      </c>
      <c r="GE47" s="202">
        <f>('Expenditure DATA'!IN49/'Expenditure DATA'!AE49)*100</f>
        <v>3.6846558982535278</v>
      </c>
      <c r="GF47" s="464">
        <f>('Expenditure DATA'!IO49/'Expenditure DATA'!AF49)*100</f>
        <v>3.9776647924077606</v>
      </c>
      <c r="GG47" s="203" t="e">
        <f>('Expenditure DATA'!IP49/'Expenditure DATA'!B49)*100</f>
        <v>#DIV/0!</v>
      </c>
      <c r="GH47" s="202" t="e">
        <f>('Expenditure DATA'!IQ49/'Expenditure DATA'!C49)*100</f>
        <v>#DIV/0!</v>
      </c>
      <c r="GI47" s="202" t="e">
        <f>('Expenditure DATA'!IR49/'Expenditure DATA'!D49)*100</f>
        <v>#DIV/0!</v>
      </c>
      <c r="GJ47" s="202" t="e">
        <f>('Expenditure DATA'!IS49/'Expenditure DATA'!E49)*100</f>
        <v>#DIV/0!</v>
      </c>
      <c r="GK47" s="202" t="e">
        <f>('Expenditure DATA'!IT49/'Expenditure DATA'!F49)*100</f>
        <v>#DIV/0!</v>
      </c>
      <c r="GL47" s="202" t="e">
        <f>('Expenditure DATA'!IU49/'Expenditure DATA'!G49)*100</f>
        <v>#DIV/0!</v>
      </c>
      <c r="GM47" s="202" t="e">
        <f>('Expenditure DATA'!IV49/'Expenditure DATA'!H49)*100</f>
        <v>#DIV/0!</v>
      </c>
      <c r="GN47" s="202" t="e">
        <f>('Expenditure DATA'!IW49/'Expenditure DATA'!I49)*100</f>
        <v>#DIV/0!</v>
      </c>
      <c r="GO47" s="202">
        <f>('Expenditure DATA'!IX49/'Expenditure DATA'!J49)*100</f>
        <v>15.923203454065543</v>
      </c>
      <c r="GP47" s="202">
        <f>('Expenditure DATA'!IY49/'Expenditure DATA'!K49)*100</f>
        <v>14.955589585864901</v>
      </c>
      <c r="GQ47" s="202">
        <f>('Expenditure DATA'!IZ49/'Expenditure DATA'!L49)*100</f>
        <v>14.108711997753993</v>
      </c>
      <c r="GR47" s="202">
        <f>('Expenditure DATA'!JA49/'Expenditure DATA'!M49)*100</f>
        <v>12.970419514805103</v>
      </c>
      <c r="GS47" s="202">
        <f>('Expenditure DATA'!JB49/'Expenditure DATA'!N49)*100</f>
        <v>12.719172526160282</v>
      </c>
      <c r="GT47" s="202">
        <f>('Expenditure DATA'!JC49/'Expenditure DATA'!O49)*100</f>
        <v>12.222384155631588</v>
      </c>
      <c r="GU47" s="202">
        <f>('Expenditure DATA'!JD49/'Expenditure DATA'!P49)*100</f>
        <v>13.955930104836733</v>
      </c>
      <c r="GV47" s="202">
        <f>('Expenditure DATA'!JE49/'Expenditure DATA'!Q49)*100</f>
        <v>13.766243717818655</v>
      </c>
      <c r="GW47" s="202">
        <f>('Expenditure DATA'!JF49/'Expenditure DATA'!R49)*100</f>
        <v>14.132135587138823</v>
      </c>
      <c r="GX47" s="202">
        <f>('Expenditure DATA'!JG49/'Expenditure DATA'!S49)*100</f>
        <v>12.765003100222952</v>
      </c>
      <c r="GY47" s="202">
        <f>('Expenditure DATA'!JH49/'Expenditure DATA'!T49)*100</f>
        <v>14.433825673037115</v>
      </c>
      <c r="GZ47" s="202">
        <f>('Expenditure DATA'!JI49/'Expenditure DATA'!U49)*100</f>
        <v>14.275795327889304</v>
      </c>
      <c r="HA47" s="202">
        <f>('Expenditure DATA'!JJ49/'Expenditure DATA'!V49)*100</f>
        <v>14.126405148533705</v>
      </c>
      <c r="HB47" s="202">
        <f>('Expenditure DATA'!JK49/'Expenditure DATA'!W49)*100</f>
        <v>12.530792227093283</v>
      </c>
      <c r="HC47" s="202">
        <f>('Expenditure DATA'!JL49/'Expenditure DATA'!X49)*100</f>
        <v>11.039237037951098</v>
      </c>
      <c r="HD47" s="202">
        <f>('Expenditure DATA'!JM49/'Expenditure DATA'!Y49)*100</f>
        <v>11.195773253828937</v>
      </c>
      <c r="HE47" s="202">
        <f>('Expenditure DATA'!JN49/'Expenditure DATA'!Z49)*100</f>
        <v>11.267416004438374</v>
      </c>
      <c r="HF47" s="202">
        <f>('Expenditure DATA'!JO49/'Expenditure DATA'!AA49)*100</f>
        <v>11.267988265278335</v>
      </c>
      <c r="HG47" s="202">
        <f>('Expenditure DATA'!JP49/'Expenditure DATA'!AB49)*100</f>
        <v>13.558297944328418</v>
      </c>
      <c r="HH47" s="202">
        <f>('Expenditure DATA'!JQ49/'Expenditure DATA'!AC49)*100</f>
        <v>13.924059997137075</v>
      </c>
      <c r="HI47" s="202">
        <f>('Expenditure DATA'!JR49/'Expenditure DATA'!AD49)*100</f>
        <v>10.93962223110127</v>
      </c>
      <c r="HJ47" s="202">
        <f>('Expenditure DATA'!JS49/'Expenditure DATA'!AE49)*100</f>
        <v>13.282177094657197</v>
      </c>
      <c r="HK47" s="464">
        <f>('Expenditure DATA'!JT49/'Expenditure DATA'!AF49)*100</f>
        <v>11.718854783840234</v>
      </c>
      <c r="HL47" s="203" t="e">
        <f t="shared" si="1"/>
        <v>#DIV/0!</v>
      </c>
      <c r="HM47" s="204" t="e">
        <f t="shared" si="2"/>
        <v>#DIV/0!</v>
      </c>
      <c r="HN47" s="204" t="e">
        <f t="shared" si="3"/>
        <v>#DIV/0!</v>
      </c>
      <c r="HO47" s="204" t="e">
        <f t="shared" si="4"/>
        <v>#DIV/0!</v>
      </c>
      <c r="HP47" s="204" t="e">
        <f t="shared" si="5"/>
        <v>#DIV/0!</v>
      </c>
      <c r="HQ47" s="204" t="e">
        <f t="shared" si="6"/>
        <v>#DIV/0!</v>
      </c>
      <c r="HR47" s="204" t="e">
        <f t="shared" si="7"/>
        <v>#DIV/0!</v>
      </c>
      <c r="HS47" s="204" t="e">
        <f t="shared" si="8"/>
        <v>#DIV/0!</v>
      </c>
      <c r="HT47" s="204">
        <f t="shared" si="9"/>
        <v>100</v>
      </c>
      <c r="HU47" s="204">
        <f t="shared" si="10"/>
        <v>99.999999999999986</v>
      </c>
      <c r="HV47" s="204">
        <f t="shared" si="11"/>
        <v>100</v>
      </c>
      <c r="HW47" s="204">
        <f t="shared" si="12"/>
        <v>100</v>
      </c>
      <c r="HX47" s="204">
        <f t="shared" si="13"/>
        <v>100</v>
      </c>
      <c r="HY47" s="204">
        <f t="shared" si="14"/>
        <v>99.999999999999986</v>
      </c>
      <c r="HZ47" s="204">
        <f t="shared" si="15"/>
        <v>100</v>
      </c>
      <c r="IA47" s="204">
        <f t="shared" si="16"/>
        <v>99.999999999999986</v>
      </c>
      <c r="IB47" s="204">
        <f t="shared" si="17"/>
        <v>100</v>
      </c>
      <c r="IC47" s="204">
        <f t="shared" si="18"/>
        <v>100.00000000000001</v>
      </c>
      <c r="ID47" s="204">
        <f t="shared" si="19"/>
        <v>100.00000000000001</v>
      </c>
      <c r="IE47" s="204">
        <f t="shared" si="20"/>
        <v>100</v>
      </c>
      <c r="IF47" s="204">
        <f t="shared" si="21"/>
        <v>100</v>
      </c>
      <c r="IG47" s="204">
        <f t="shared" si="22"/>
        <v>100.00000000000001</v>
      </c>
      <c r="IH47" s="204">
        <f t="shared" si="23"/>
        <v>100</v>
      </c>
      <c r="II47" s="204">
        <f t="shared" si="24"/>
        <v>100.00000000000001</v>
      </c>
      <c r="IJ47" s="204">
        <f t="shared" si="25"/>
        <v>100</v>
      </c>
      <c r="IK47" s="204">
        <f t="shared" si="26"/>
        <v>99.999999999999986</v>
      </c>
      <c r="IL47" s="204">
        <f t="shared" si="37"/>
        <v>100.00000000000001</v>
      </c>
      <c r="IM47" s="204">
        <f t="shared" si="38"/>
        <v>99.99998150565429</v>
      </c>
      <c r="IN47" s="204">
        <f t="shared" si="39"/>
        <v>100.00001665515518</v>
      </c>
      <c r="IO47" s="204">
        <f t="shared" si="40"/>
        <v>100</v>
      </c>
      <c r="IP47" s="204">
        <f t="shared" si="41"/>
        <v>99.999999999999986</v>
      </c>
    </row>
    <row r="48" spans="1:250" s="164" customFormat="1">
      <c r="A48" s="164" t="s">
        <v>71</v>
      </c>
      <c r="C48" s="202" t="e">
        <f>('Expenditure DATA'!CQ50/'Expenditure DATA'!B50)*100</f>
        <v>#DIV/0!</v>
      </c>
      <c r="D48" s="202" t="e">
        <f>('Expenditure DATA'!CR50/'Expenditure DATA'!C50)*100</f>
        <v>#DIV/0!</v>
      </c>
      <c r="E48" s="202" t="e">
        <f>('Expenditure DATA'!CS50/'Expenditure DATA'!D50)*100</f>
        <v>#DIV/0!</v>
      </c>
      <c r="F48" s="202" t="e">
        <f>('Expenditure DATA'!CT50/'Expenditure DATA'!E50)*100</f>
        <v>#DIV/0!</v>
      </c>
      <c r="G48" s="202" t="e">
        <f>('Expenditure DATA'!CU50/'Expenditure DATA'!F50)*100</f>
        <v>#DIV/0!</v>
      </c>
      <c r="H48" s="202" t="e">
        <f>('Expenditure DATA'!CV50/'Expenditure DATA'!G50)*100</f>
        <v>#DIV/0!</v>
      </c>
      <c r="I48" s="202" t="e">
        <f>('Expenditure DATA'!CW50/'Expenditure DATA'!H50)*100</f>
        <v>#DIV/0!</v>
      </c>
      <c r="J48" s="202" t="e">
        <f>('Expenditure DATA'!CX50/'Expenditure DATA'!I50)*100</f>
        <v>#DIV/0!</v>
      </c>
      <c r="K48" s="202">
        <f>('Expenditure DATA'!CY50/'Expenditure DATA'!J50)*100</f>
        <v>9.4806132068273801</v>
      </c>
      <c r="L48" s="202">
        <f>('Expenditure DATA'!CZ50/'Expenditure DATA'!K50)*100</f>
        <v>9.5102780430332619</v>
      </c>
      <c r="M48" s="202">
        <f>('Expenditure DATA'!DA50/'Expenditure DATA'!L50)*100</f>
        <v>9.5357706745710917</v>
      </c>
      <c r="N48" s="202">
        <f>('Expenditure DATA'!DB50/'Expenditure DATA'!M50)*100</f>
        <v>8.8662275382060418</v>
      </c>
      <c r="O48" s="202">
        <f>('Expenditure DATA'!DC50/'Expenditure DATA'!N50)*100</f>
        <v>8.7839030698422409</v>
      </c>
      <c r="P48" s="202">
        <f>('Expenditure DATA'!DD50/'Expenditure DATA'!O50)*100</f>
        <v>8.7976802978583741</v>
      </c>
      <c r="Q48" s="202">
        <f>('Expenditure DATA'!DE50/'Expenditure DATA'!P50)*100</f>
        <v>8.7014187492339001</v>
      </c>
      <c r="R48" s="202">
        <f>('Expenditure DATA'!DF50/'Expenditure DATA'!Q50)*100</f>
        <v>9.4594033921298468</v>
      </c>
      <c r="S48" s="202">
        <f>('Expenditure DATA'!DG50/'Expenditure DATA'!R50)*100</f>
        <v>8.8910135998107567</v>
      </c>
      <c r="T48" s="202">
        <f>('Expenditure DATA'!DH50/'Expenditure DATA'!S50)*100</f>
        <v>8.7895783824297418</v>
      </c>
      <c r="U48" s="202">
        <f>('Expenditure DATA'!DI50/'Expenditure DATA'!T50)*100</f>
        <v>8.8058594552798937</v>
      </c>
      <c r="V48" s="202">
        <f>('Expenditure DATA'!DJ50/'Expenditure DATA'!U50)*100</f>
        <v>8.7492893450250104</v>
      </c>
      <c r="W48" s="202">
        <f>('Expenditure DATA'!DK50/'Expenditure DATA'!V50)*100</f>
        <v>8.7006503078788331</v>
      </c>
      <c r="X48" s="202">
        <f>('Expenditure DATA'!DL50/'Expenditure DATA'!W50)*100</f>
        <v>8.597230706951235</v>
      </c>
      <c r="Y48" s="202">
        <f>('Expenditure DATA'!DM50/'Expenditure DATA'!X50)*100</f>
        <v>8.5040849652241626</v>
      </c>
      <c r="Z48" s="202">
        <f>('Expenditure DATA'!DN50/'Expenditure DATA'!Y50)*100</f>
        <v>8.6543902200265368</v>
      </c>
      <c r="AA48" s="202">
        <f>('Expenditure DATA'!DO50/'Expenditure DATA'!Z50)*100</f>
        <v>8.825445227958955</v>
      </c>
      <c r="AB48" s="202">
        <f>('Expenditure DATA'!DP50/'Expenditure DATA'!AA50)*100</f>
        <v>8.833372581167767</v>
      </c>
      <c r="AC48" s="202">
        <f>('Expenditure DATA'!DQ50/'Expenditure DATA'!AB50)*100</f>
        <v>9.035705675785513</v>
      </c>
      <c r="AD48" s="202">
        <f>('Expenditure DATA'!DR50/'Expenditure DATA'!AC50)*100</f>
        <v>9.0123544727732305</v>
      </c>
      <c r="AE48" s="202">
        <f>('Expenditure DATA'!DS50/'Expenditure DATA'!AD50)*100</f>
        <v>9.0716576487088467</v>
      </c>
      <c r="AF48" s="202">
        <f>('Expenditure DATA'!DT50/'Expenditure DATA'!AE50)*100</f>
        <v>9.110285710316349</v>
      </c>
      <c r="AG48" s="464">
        <f>('Expenditure DATA'!DU50/'Expenditure DATA'!AF50)*100</f>
        <v>9.5148043312580004</v>
      </c>
      <c r="AH48" s="203" t="e">
        <f>('Expenditure DATA'!BL50/'Expenditure DATA'!B50)*100</f>
        <v>#DIV/0!</v>
      </c>
      <c r="AI48" s="202" t="e">
        <f>('Expenditure DATA'!BM50/'Expenditure DATA'!C50)*100</f>
        <v>#DIV/0!</v>
      </c>
      <c r="AJ48" s="202" t="e">
        <f>('Expenditure DATA'!BN50/'Expenditure DATA'!D50)*100</f>
        <v>#DIV/0!</v>
      </c>
      <c r="AK48" s="202" t="e">
        <f>('Expenditure DATA'!BO50/'Expenditure DATA'!E50)*100</f>
        <v>#DIV/0!</v>
      </c>
      <c r="AL48" s="202" t="e">
        <f>('Expenditure DATA'!BP50/'Expenditure DATA'!F50)*100</f>
        <v>#DIV/0!</v>
      </c>
      <c r="AM48" s="202" t="e">
        <f>('Expenditure DATA'!BQ50/'Expenditure DATA'!G50)*100</f>
        <v>#DIV/0!</v>
      </c>
      <c r="AN48" s="202" t="e">
        <f>('Expenditure DATA'!BR50/'Expenditure DATA'!H50)*100</f>
        <v>#DIV/0!</v>
      </c>
      <c r="AO48" s="202" t="e">
        <f>('Expenditure DATA'!BS50/'Expenditure DATA'!I50)*100</f>
        <v>#DIV/0!</v>
      </c>
      <c r="AP48" s="202">
        <f>('Expenditure DATA'!BT50/'Expenditure DATA'!J50)*100</f>
        <v>25.978145886999858</v>
      </c>
      <c r="AQ48" s="202">
        <f>('Expenditure DATA'!BU50/'Expenditure DATA'!K50)*100</f>
        <v>24.933258739693436</v>
      </c>
      <c r="AR48" s="202">
        <f>('Expenditure DATA'!BV50/'Expenditure DATA'!L50)*100</f>
        <v>24.035329526127917</v>
      </c>
      <c r="AS48" s="202">
        <f>('Expenditure DATA'!BW50/'Expenditure DATA'!M50)*100</f>
        <v>24.952108076226292</v>
      </c>
      <c r="AT48" s="202">
        <f>('Expenditure DATA'!BX50/'Expenditure DATA'!N50)*100</f>
        <v>24.431875026135412</v>
      </c>
      <c r="AU48" s="202">
        <f>('Expenditure DATA'!BY50/'Expenditure DATA'!O50)*100</f>
        <v>24.821288904532135</v>
      </c>
      <c r="AV48" s="202">
        <f>('Expenditure DATA'!BZ50/'Expenditure DATA'!P50)*100</f>
        <v>25.941804195164636</v>
      </c>
      <c r="AW48" s="202">
        <f>('Expenditure DATA'!CA50/'Expenditure DATA'!Q50)*100</f>
        <v>24.613917025590368</v>
      </c>
      <c r="AX48" s="202">
        <f>('Expenditure DATA'!CB50/'Expenditure DATA'!R50)*100</f>
        <v>25.274458633701339</v>
      </c>
      <c r="AY48" s="202">
        <f>('Expenditure DATA'!CC50/'Expenditure DATA'!S50)*100</f>
        <v>25.501731906971425</v>
      </c>
      <c r="AZ48" s="202">
        <f>('Expenditure DATA'!CD50/'Expenditure DATA'!T50)*100</f>
        <v>25.142874578160324</v>
      </c>
      <c r="BA48" s="202">
        <f>('Expenditure DATA'!CE50/'Expenditure DATA'!U50)*100</f>
        <v>24.851177952095547</v>
      </c>
      <c r="BB48" s="202">
        <f>('Expenditure DATA'!CF50/'Expenditure DATA'!V50)*100</f>
        <v>24.600376902448424</v>
      </c>
      <c r="BC48" s="202">
        <f>('Expenditure DATA'!CG50/'Expenditure DATA'!W50)*100</f>
        <v>24.903147819543221</v>
      </c>
      <c r="BD48" s="202">
        <f>('Expenditure DATA'!CH50/'Expenditure DATA'!X50)*100</f>
        <v>25.175841016898755</v>
      </c>
      <c r="BE48" s="202">
        <f>('Expenditure DATA'!CI50/'Expenditure DATA'!Y50)*100</f>
        <v>24.514051172087655</v>
      </c>
      <c r="BF48" s="202">
        <f>('Expenditure DATA'!CJ50/'Expenditure DATA'!Z50)*100</f>
        <v>24.322058455284655</v>
      </c>
      <c r="BG48" s="202">
        <f>('Expenditure DATA'!CK50/'Expenditure DATA'!AA50)*100</f>
        <v>24.343905460524645</v>
      </c>
      <c r="BH48" s="202">
        <f>('Expenditure DATA'!CL50/'Expenditure DATA'!AB50)*100</f>
        <v>24.448707140680554</v>
      </c>
      <c r="BI48" s="202">
        <f>('Expenditure DATA'!CM50/'Expenditure DATA'!AC50)*100</f>
        <v>24.396033463124596</v>
      </c>
      <c r="BJ48" s="202">
        <f>('Expenditure DATA'!CN50/'Expenditure DATA'!AD50)*100</f>
        <v>24.106441011000708</v>
      </c>
      <c r="BK48" s="202">
        <f>('Expenditure DATA'!CO50/'Expenditure DATA'!AE50)*100</f>
        <v>23.426102634659614</v>
      </c>
      <c r="BL48" s="464">
        <f>('Expenditure DATA'!CP50/'Expenditure DATA'!AF50)*100</f>
        <v>24.52501709235678</v>
      </c>
      <c r="BM48" s="203" t="e">
        <f>('Expenditure DATA'!AG50/'Expenditure DATA'!B50)*100</f>
        <v>#DIV/0!</v>
      </c>
      <c r="BN48" s="202" t="e">
        <f>('Expenditure DATA'!AH50/'Expenditure DATA'!C50)*100</f>
        <v>#DIV/0!</v>
      </c>
      <c r="BO48" s="202" t="e">
        <f>('Expenditure DATA'!AI50/'Expenditure DATA'!D50)*100</f>
        <v>#DIV/0!</v>
      </c>
      <c r="BP48" s="202" t="e">
        <f>('Expenditure DATA'!AJ50/'Expenditure DATA'!E50)*100</f>
        <v>#DIV/0!</v>
      </c>
      <c r="BQ48" s="202" t="e">
        <f>('Expenditure DATA'!AK50/'Expenditure DATA'!F50)*100</f>
        <v>#DIV/0!</v>
      </c>
      <c r="BR48" s="202" t="e">
        <f>('Expenditure DATA'!AL50/'Expenditure DATA'!G50)*100</f>
        <v>#DIV/0!</v>
      </c>
      <c r="BS48" s="202" t="e">
        <f>('Expenditure DATA'!AM50/'Expenditure DATA'!H50)*100</f>
        <v>#DIV/0!</v>
      </c>
      <c r="BT48" s="202" t="e">
        <f>('Expenditure DATA'!AN50/'Expenditure DATA'!I50)*100</f>
        <v>#DIV/0!</v>
      </c>
      <c r="BU48" s="202">
        <f>('Expenditure DATA'!AO50/'Expenditure DATA'!J50)*100</f>
        <v>37.602932155749414</v>
      </c>
      <c r="BV48" s="202">
        <f>('Expenditure DATA'!AP50/'Expenditure DATA'!K50)*100</f>
        <v>36.463857636336385</v>
      </c>
      <c r="BW48" s="202">
        <f>('Expenditure DATA'!AQ50/'Expenditure DATA'!L50)*100</f>
        <v>35.484988013864992</v>
      </c>
      <c r="BX48" s="202">
        <f>('Expenditure DATA'!AR50/'Expenditure DATA'!M50)*100</f>
        <v>35.883626022539474</v>
      </c>
      <c r="BY48" s="202">
        <f>('Expenditure DATA'!AS50/'Expenditure DATA'!N50)*100</f>
        <v>35.359516936246152</v>
      </c>
      <c r="BZ48" s="202">
        <f>('Expenditure DATA'!AT50/'Expenditure DATA'!O50)*100</f>
        <v>35.81359475370958</v>
      </c>
      <c r="CA48" s="202">
        <f>('Expenditure DATA'!AU50/'Expenditure DATA'!P50)*100</f>
        <v>36.911681285192522</v>
      </c>
      <c r="CB48" s="202">
        <f>('Expenditure DATA'!AV50/'Expenditure DATA'!Q50)*100</f>
        <v>36.678631921696805</v>
      </c>
      <c r="CC48" s="202">
        <f>('Expenditure DATA'!AW50/'Expenditure DATA'!R50)*100</f>
        <v>36.810357706729462</v>
      </c>
      <c r="CD48" s="202">
        <f>('Expenditure DATA'!AX50/'Expenditure DATA'!S50)*100</f>
        <v>36.678883076149724</v>
      </c>
      <c r="CE48" s="202">
        <f>('Expenditure DATA'!AY50/'Expenditure DATA'!T50)*100</f>
        <v>36.416493541077564</v>
      </c>
      <c r="CF48" s="202">
        <f>('Expenditure DATA'!AZ50/'Expenditure DATA'!U50)*100</f>
        <v>36.10863038166648</v>
      </c>
      <c r="CG48" s="202">
        <f>('Expenditure DATA'!BA50/'Expenditure DATA'!V50)*100</f>
        <v>35.843929330544839</v>
      </c>
      <c r="CH48" s="202">
        <f>('Expenditure DATA'!BB50/'Expenditure DATA'!W50)*100</f>
        <v>36.04183551709292</v>
      </c>
      <c r="CI48" s="202">
        <f>('Expenditure DATA'!BC50/'Expenditure DATA'!X50)*100</f>
        <v>36.220081404459101</v>
      </c>
      <c r="CJ48" s="202">
        <f>('Expenditure DATA'!BD50/'Expenditure DATA'!Y50)*100</f>
        <v>35.875101559390473</v>
      </c>
      <c r="CK48" s="202">
        <f>('Expenditure DATA'!BE50/'Expenditure DATA'!Z50)*100</f>
        <v>35.868913216380371</v>
      </c>
      <c r="CL48" s="202">
        <f>('Expenditure DATA'!BF50/'Expenditure DATA'!AA50)*100</f>
        <v>35.907919268680047</v>
      </c>
      <c r="CM48" s="202">
        <f>('Expenditure DATA'!BG50/'Expenditure DATA'!AB50)*100</f>
        <v>36.270956918200177</v>
      </c>
      <c r="CN48" s="202">
        <f>('Expenditure DATA'!BH50/'Expenditure DATA'!AC50)*100</f>
        <v>36.077498063014318</v>
      </c>
      <c r="CO48" s="202">
        <f>('Expenditure DATA'!BI50/'Expenditure DATA'!AD50)*100</f>
        <v>36.745196576992399</v>
      </c>
      <c r="CP48" s="202">
        <f>('Expenditure DATA'!BJ50/'Expenditure DATA'!AE50)*100</f>
        <v>35.865303032014317</v>
      </c>
      <c r="CQ48" s="464">
        <f>('Expenditure DATA'!BK50/'Expenditure DATA'!AF50)*100</f>
        <v>36.072383005806294</v>
      </c>
      <c r="CR48" s="203" t="e">
        <f>('Expenditure DATA'!FA50/'Expenditure DATA'!B50)*100</f>
        <v>#DIV/0!</v>
      </c>
      <c r="CS48" s="202" t="e">
        <f>('Expenditure DATA'!FB50/'Expenditure DATA'!C50)*100</f>
        <v>#DIV/0!</v>
      </c>
      <c r="CT48" s="202" t="e">
        <f>('Expenditure DATA'!FC50/'Expenditure DATA'!D50)*100</f>
        <v>#DIV/0!</v>
      </c>
      <c r="CU48" s="202" t="e">
        <f>('Expenditure DATA'!FD50/'Expenditure DATA'!E50)*100</f>
        <v>#DIV/0!</v>
      </c>
      <c r="CV48" s="202" t="e">
        <f>('Expenditure DATA'!FE50/'Expenditure DATA'!F50)*100</f>
        <v>#DIV/0!</v>
      </c>
      <c r="CW48" s="202" t="e">
        <f>('Expenditure DATA'!FF50/'Expenditure DATA'!G50)*100</f>
        <v>#DIV/0!</v>
      </c>
      <c r="CX48" s="202" t="e">
        <f>('Expenditure DATA'!FG50/'Expenditure DATA'!H50)*100</f>
        <v>#DIV/0!</v>
      </c>
      <c r="CY48" s="202" t="e">
        <f>('Expenditure DATA'!FH50/'Expenditure DATA'!I50)*100</f>
        <v>#DIV/0!</v>
      </c>
      <c r="CZ48" s="202">
        <f>('Expenditure DATA'!FI50/'Expenditure DATA'!J50)*100</f>
        <v>25.47859994449767</v>
      </c>
      <c r="DA48" s="202">
        <f>('Expenditure DATA'!FJ50/'Expenditure DATA'!K50)*100</f>
        <v>26.696844495769639</v>
      </c>
      <c r="DB48" s="202">
        <f>('Expenditure DATA'!FK50/'Expenditure DATA'!L50)*100</f>
        <v>27.743749297569554</v>
      </c>
      <c r="DC48" s="202">
        <f>('Expenditure DATA'!FL50/'Expenditure DATA'!M50)*100</f>
        <v>28.30230406549445</v>
      </c>
      <c r="DD48" s="202">
        <f>('Expenditure DATA'!FM50/'Expenditure DATA'!N50)*100</f>
        <v>29.262928828285339</v>
      </c>
      <c r="DE48" s="202">
        <f>('Expenditure DATA'!FN50/'Expenditure DATA'!O50)*100</f>
        <v>27.504146226404274</v>
      </c>
      <c r="DF48" s="202">
        <f>('Expenditure DATA'!FO50/'Expenditure DATA'!P50)*100</f>
        <v>25.881689346954133</v>
      </c>
      <c r="DG48" s="202">
        <f>('Expenditure DATA'!FP50/'Expenditure DATA'!Q50)*100</f>
        <v>26.220955512307654</v>
      </c>
      <c r="DH48" s="202">
        <f>('Expenditure DATA'!FQ50/'Expenditure DATA'!R50)*100</f>
        <v>25.734628786151418</v>
      </c>
      <c r="DI48" s="202">
        <f>('Expenditure DATA'!FR50/'Expenditure DATA'!S50)*100</f>
        <v>25.468497202911923</v>
      </c>
      <c r="DJ48" s="202">
        <f>('Expenditure DATA'!FS50/'Expenditure DATA'!T50)*100</f>
        <v>25.589762015743872</v>
      </c>
      <c r="DK48" s="202">
        <f>('Expenditure DATA'!FT50/'Expenditure DATA'!U50)*100</f>
        <v>26.239979509239387</v>
      </c>
      <c r="DL48" s="202">
        <f>('Expenditure DATA'!FU50/'Expenditure DATA'!V50)*100</f>
        <v>26.799037157823193</v>
      </c>
      <c r="DM48" s="202">
        <f>('Expenditure DATA'!FV50/'Expenditure DATA'!W50)*100</f>
        <v>27.578607146885531</v>
      </c>
      <c r="DN48" s="202">
        <f>('Expenditure DATA'!FW50/'Expenditure DATA'!X50)*100</f>
        <v>28.280733476982363</v>
      </c>
      <c r="DO48" s="202">
        <f>('Expenditure DATA'!FX50/'Expenditure DATA'!Y50)*100</f>
        <v>28.997497519133724</v>
      </c>
      <c r="DP48" s="202">
        <f>('Expenditure DATA'!FY50/'Expenditure DATA'!Z50)*100</f>
        <v>29.183523716560295</v>
      </c>
      <c r="DQ48" s="202">
        <f>('Expenditure DATA'!FZ50/'Expenditure DATA'!AA50)*100</f>
        <v>29.209735115480111</v>
      </c>
      <c r="DR48" s="202">
        <f>('Expenditure DATA'!GA50/'Expenditure DATA'!AB50)*100</f>
        <v>28.37719938566925</v>
      </c>
      <c r="DS48" s="202">
        <f>('Expenditure DATA'!GB50/'Expenditure DATA'!AC50)*100</f>
        <v>29.09312409293112</v>
      </c>
      <c r="DT48" s="202">
        <f>('Expenditure DATA'!GC50/'Expenditure DATA'!AD50)*100</f>
        <v>29.363807502290705</v>
      </c>
      <c r="DU48" s="202">
        <f>('Expenditure DATA'!GD50/'Expenditure DATA'!AE50)*100</f>
        <v>30.479938799654288</v>
      </c>
      <c r="DV48" s="464">
        <f>('Expenditure DATA'!GE50/'Expenditure DATA'!AF50)*100</f>
        <v>31.138123588309785</v>
      </c>
      <c r="DW48" s="203" t="e">
        <f>('Expenditure DATA'!GF50/'Expenditure DATA'!B50)*100</f>
        <v>#DIV/0!</v>
      </c>
      <c r="DX48" s="202" t="e">
        <f>('Expenditure DATA'!GG50/'Expenditure DATA'!C50)*100</f>
        <v>#DIV/0!</v>
      </c>
      <c r="DY48" s="202" t="e">
        <f>('Expenditure DATA'!GH50/'Expenditure DATA'!D50)*100</f>
        <v>#DIV/0!</v>
      </c>
      <c r="DZ48" s="202" t="e">
        <f>('Expenditure DATA'!GI50/'Expenditure DATA'!E50)*100</f>
        <v>#DIV/0!</v>
      </c>
      <c r="EA48" s="202" t="e">
        <f>('Expenditure DATA'!GJ50/'Expenditure DATA'!F50)*100</f>
        <v>#DIV/0!</v>
      </c>
      <c r="EB48" s="202" t="e">
        <f>('Expenditure DATA'!GK50/'Expenditure DATA'!G50)*100</f>
        <v>#DIV/0!</v>
      </c>
      <c r="EC48" s="202" t="e">
        <f>('Expenditure DATA'!GL50/'Expenditure DATA'!H50)*100</f>
        <v>#DIV/0!</v>
      </c>
      <c r="ED48" s="202" t="e">
        <f>('Expenditure DATA'!GM50/'Expenditure DATA'!I50)*100</f>
        <v>#DIV/0!</v>
      </c>
      <c r="EE48" s="202">
        <f>('Expenditure DATA'!GN50/'Expenditure DATA'!J50)*100</f>
        <v>22.7490092915071</v>
      </c>
      <c r="EF48" s="202">
        <f>('Expenditure DATA'!GO50/'Expenditure DATA'!K50)*100</f>
        <v>22.90247573867823</v>
      </c>
      <c r="EG48" s="202">
        <f>('Expenditure DATA'!GP50/'Expenditure DATA'!L50)*100</f>
        <v>23.034357929565829</v>
      </c>
      <c r="EH48" s="202">
        <f>('Expenditure DATA'!GQ50/'Expenditure DATA'!M50)*100</f>
        <v>22.454347765239621</v>
      </c>
      <c r="EI48" s="202">
        <f>('Expenditure DATA'!GR50/'Expenditure DATA'!N50)*100</f>
        <v>22.55019200220967</v>
      </c>
      <c r="EJ48" s="202">
        <f>('Expenditure DATA'!GS50/'Expenditure DATA'!O50)*100</f>
        <v>23.341389646178158</v>
      </c>
      <c r="EK48" s="202">
        <f>('Expenditure DATA'!GT50/'Expenditure DATA'!P50)*100</f>
        <v>23.735961944315733</v>
      </c>
      <c r="EL48" s="202">
        <f>('Expenditure DATA'!GU50/'Expenditure DATA'!Q50)*100</f>
        <v>23.520766176531051</v>
      </c>
      <c r="EM48" s="202">
        <f>('Expenditure DATA'!GV50/'Expenditure DATA'!R50)*100</f>
        <v>24.285906527113532</v>
      </c>
      <c r="EN48" s="202">
        <f>('Expenditure DATA'!GW50/'Expenditure DATA'!S50)*100</f>
        <v>24.364603102457554</v>
      </c>
      <c r="EO48" s="202">
        <f>('Expenditure DATA'!GX50/'Expenditure DATA'!T50)*100</f>
        <v>24.423785284211601</v>
      </c>
      <c r="EP48" s="202">
        <f>('Expenditure DATA'!GY50/'Expenditure DATA'!U50)*100</f>
        <v>23.407810282116444</v>
      </c>
      <c r="EQ48" s="202">
        <f>('Expenditure DATA'!GZ50/'Expenditure DATA'!V50)*100</f>
        <v>22.534273963310589</v>
      </c>
      <c r="ER48" s="202">
        <f>('Expenditure DATA'!HA50/'Expenditure DATA'!W50)*100</f>
        <v>22.066520024164639</v>
      </c>
      <c r="ES48" s="202">
        <f>('Expenditure DATA'!HB50/'Expenditure DATA'!X50)*100</f>
        <v>21.645233467102692</v>
      </c>
      <c r="ET48" s="202">
        <f>('Expenditure DATA'!HC50/'Expenditure DATA'!Y50)*100</f>
        <v>21.877358381982845</v>
      </c>
      <c r="EU48" s="202">
        <f>('Expenditure DATA'!HD50/'Expenditure DATA'!Z50)*100</f>
        <v>21.466211577079726</v>
      </c>
      <c r="EV48" s="202">
        <f>('Expenditure DATA'!HE50/'Expenditure DATA'!AA50)*100</f>
        <v>21.477353409338388</v>
      </c>
      <c r="EW48" s="202">
        <f>('Expenditure DATA'!HF50/'Expenditure DATA'!AB50)*100</f>
        <v>22.056348308243972</v>
      </c>
      <c r="EX48" s="202">
        <f>('Expenditure DATA'!HG50/'Expenditure DATA'!AC50)*100</f>
        <v>21.852757154108499</v>
      </c>
      <c r="EY48" s="202">
        <f>('Expenditure DATA'!HH50/'Expenditure DATA'!AD50)*100</f>
        <v>21.400415393215823</v>
      </c>
      <c r="EZ48" s="202">
        <f>('Expenditure DATA'!HI50/'Expenditure DATA'!AE50)*100</f>
        <v>21.293460207287694</v>
      </c>
      <c r="FA48" s="464">
        <f>('Expenditure DATA'!HJ50/'Expenditure DATA'!AF50)*100</f>
        <v>21.20251054058744</v>
      </c>
      <c r="FB48" s="203" t="e">
        <f>('Expenditure DATA'!HK50/'Expenditure DATA'!B50)*100</f>
        <v>#DIV/0!</v>
      </c>
      <c r="FC48" s="202" t="e">
        <f>('Expenditure DATA'!HL50/'Expenditure DATA'!C50)*100</f>
        <v>#DIV/0!</v>
      </c>
      <c r="FD48" s="202" t="e">
        <f>('Expenditure DATA'!HM50/'Expenditure DATA'!D50)*100</f>
        <v>#DIV/0!</v>
      </c>
      <c r="FE48" s="202" t="e">
        <f>('Expenditure DATA'!HN50/'Expenditure DATA'!E50)*100</f>
        <v>#DIV/0!</v>
      </c>
      <c r="FF48" s="202" t="e">
        <f>('Expenditure DATA'!HO50/'Expenditure DATA'!F50)*100</f>
        <v>#DIV/0!</v>
      </c>
      <c r="FG48" s="202" t="e">
        <f>('Expenditure DATA'!HP50/'Expenditure DATA'!G50)*100</f>
        <v>#DIV/0!</v>
      </c>
      <c r="FH48" s="202" t="e">
        <f>('Expenditure DATA'!HQ50/'Expenditure DATA'!H50)*100</f>
        <v>#DIV/0!</v>
      </c>
      <c r="FI48" s="202" t="e">
        <f>('Expenditure DATA'!HR50/'Expenditure DATA'!I50)*100</f>
        <v>#DIV/0!</v>
      </c>
      <c r="FJ48" s="202">
        <f>('Expenditure DATA'!HS50/'Expenditure DATA'!J50)*100</f>
        <v>5.8812530345523379</v>
      </c>
      <c r="FK48" s="202">
        <f>('Expenditure DATA'!HT50/'Expenditure DATA'!K50)*100</f>
        <v>5.8616913920352971</v>
      </c>
      <c r="FL48" s="202">
        <f>('Expenditure DATA'!HU50/'Expenditure DATA'!L50)*100</f>
        <v>5.8448809926283785</v>
      </c>
      <c r="FM48" s="202">
        <f>('Expenditure DATA'!HV50/'Expenditure DATA'!M50)*100</f>
        <v>5.7395922660602485</v>
      </c>
      <c r="FN48" s="202">
        <f>('Expenditure DATA'!HW50/'Expenditure DATA'!N50)*100</f>
        <v>5.7300049176199934</v>
      </c>
      <c r="FO48" s="202">
        <f>('Expenditure DATA'!HX50/'Expenditure DATA'!O50)*100</f>
        <v>6.2553987352541878</v>
      </c>
      <c r="FP48" s="202">
        <f>('Expenditure DATA'!HY50/'Expenditure DATA'!P50)*100</f>
        <v>6.2279850657332663</v>
      </c>
      <c r="FQ48" s="202">
        <f>('Expenditure DATA'!HZ50/'Expenditure DATA'!Q50)*100</f>
        <v>6.2369702517546806</v>
      </c>
      <c r="FR48" s="202">
        <f>('Expenditure DATA'!IA50/'Expenditure DATA'!R50)*100</f>
        <v>5.9101505503804042</v>
      </c>
      <c r="FS48" s="202">
        <f>('Expenditure DATA'!IB50/'Expenditure DATA'!S50)*100</f>
        <v>6.1909804632766487</v>
      </c>
      <c r="FT48" s="202">
        <f>('Expenditure DATA'!IC50/'Expenditure DATA'!T50)*100</f>
        <v>6.2003580789019725</v>
      </c>
      <c r="FU48" s="202">
        <f>('Expenditure DATA'!ID50/'Expenditure DATA'!U50)*100</f>
        <v>6.5963785676042539</v>
      </c>
      <c r="FV48" s="202">
        <f>('Expenditure DATA'!IE50/'Expenditure DATA'!V50)*100</f>
        <v>6.9368773782632651</v>
      </c>
      <c r="FW48" s="202">
        <f>('Expenditure DATA'!IF50/'Expenditure DATA'!W50)*100</f>
        <v>6.60045609756994</v>
      </c>
      <c r="FX48" s="202">
        <f>('Expenditure DATA'!IG50/'Expenditure DATA'!X50)*100</f>
        <v>6.2974554145090176</v>
      </c>
      <c r="FY48" s="202">
        <f>('Expenditure DATA'!IH50/'Expenditure DATA'!Y50)*100</f>
        <v>5.9840353815664518</v>
      </c>
      <c r="FZ48" s="202">
        <f>('Expenditure DATA'!II50/'Expenditure DATA'!Z50)*100</f>
        <v>5.8439505264437654</v>
      </c>
      <c r="GA48" s="202">
        <f>('Expenditure DATA'!IJ50/'Expenditure DATA'!AA50)*100</f>
        <v>5.8489471842187104</v>
      </c>
      <c r="GB48" s="202">
        <f>('Expenditure DATA'!IK50/'Expenditure DATA'!AB50)*100</f>
        <v>5.9532236025280838</v>
      </c>
      <c r="GC48" s="202">
        <f>('Expenditure DATA'!IL50/'Expenditure DATA'!AC50)*100</f>
        <v>5.473690800148864</v>
      </c>
      <c r="GD48" s="202">
        <f>('Expenditure DATA'!IM50/'Expenditure DATA'!AD50)*100</f>
        <v>5.5483762905450318</v>
      </c>
      <c r="GE48" s="202">
        <f>('Expenditure DATA'!IN50/'Expenditure DATA'!AE50)*100</f>
        <v>5.5550364322238881</v>
      </c>
      <c r="GF48" s="464">
        <f>('Expenditure DATA'!IO50/'Expenditure DATA'!AF50)*100</f>
        <v>5.4564968924687829</v>
      </c>
      <c r="GG48" s="203" t="e">
        <f>('Expenditure DATA'!IP50/'Expenditure DATA'!B50)*100</f>
        <v>#DIV/0!</v>
      </c>
      <c r="GH48" s="202" t="e">
        <f>('Expenditure DATA'!IQ50/'Expenditure DATA'!C50)*100</f>
        <v>#DIV/0!</v>
      </c>
      <c r="GI48" s="202" t="e">
        <f>('Expenditure DATA'!IR50/'Expenditure DATA'!D50)*100</f>
        <v>#DIV/0!</v>
      </c>
      <c r="GJ48" s="202" t="e">
        <f>('Expenditure DATA'!IS50/'Expenditure DATA'!E50)*100</f>
        <v>#DIV/0!</v>
      </c>
      <c r="GK48" s="202" t="e">
        <f>('Expenditure DATA'!IT50/'Expenditure DATA'!F50)*100</f>
        <v>#DIV/0!</v>
      </c>
      <c r="GL48" s="202" t="e">
        <f>('Expenditure DATA'!IU50/'Expenditure DATA'!G50)*100</f>
        <v>#DIV/0!</v>
      </c>
      <c r="GM48" s="202" t="e">
        <f>('Expenditure DATA'!IV50/'Expenditure DATA'!H50)*100</f>
        <v>#DIV/0!</v>
      </c>
      <c r="GN48" s="202" t="e">
        <f>('Expenditure DATA'!IW50/'Expenditure DATA'!I50)*100</f>
        <v>#DIV/0!</v>
      </c>
      <c r="GO48" s="202">
        <f>('Expenditure DATA'!IX50/'Expenditure DATA'!J50)*100</f>
        <v>8.2868231643499648</v>
      </c>
      <c r="GP48" s="202">
        <f>('Expenditure DATA'!IY50/'Expenditure DATA'!K50)*100</f>
        <v>8.0744918164056116</v>
      </c>
      <c r="GQ48" s="202">
        <f>('Expenditure DATA'!IZ50/'Expenditure DATA'!L50)*100</f>
        <v>7.8920237663712385</v>
      </c>
      <c r="GR48" s="202">
        <f>('Expenditure DATA'!JA50/'Expenditure DATA'!M50)*100</f>
        <v>7.6201298806662061</v>
      </c>
      <c r="GS48" s="202">
        <f>('Expenditure DATA'!JB50/'Expenditure DATA'!N50)*100</f>
        <v>7.0973573156388454</v>
      </c>
      <c r="GT48" s="202">
        <f>('Expenditure DATA'!JC50/'Expenditure DATA'!O50)*100</f>
        <v>7.0854706384538044</v>
      </c>
      <c r="GU48" s="202">
        <f>('Expenditure DATA'!JD50/'Expenditure DATA'!P50)*100</f>
        <v>7.2426823578043535</v>
      </c>
      <c r="GV48" s="202">
        <f>('Expenditure DATA'!JE50/'Expenditure DATA'!Q50)*100</f>
        <v>7.3426761377097973</v>
      </c>
      <c r="GW48" s="202">
        <f>('Expenditure DATA'!JF50/'Expenditure DATA'!R50)*100</f>
        <v>7.2589564296251687</v>
      </c>
      <c r="GX48" s="202">
        <f>('Expenditure DATA'!JG50/'Expenditure DATA'!S50)*100</f>
        <v>7.2970361552041494</v>
      </c>
      <c r="GY48" s="202">
        <f>('Expenditure DATA'!JH50/'Expenditure DATA'!T50)*100</f>
        <v>7.3696010800649931</v>
      </c>
      <c r="GZ48" s="202">
        <f>('Expenditure DATA'!JI50/'Expenditure DATA'!U50)*100</f>
        <v>7.6472012593734391</v>
      </c>
      <c r="HA48" s="202">
        <f>('Expenditure DATA'!JJ50/'Expenditure DATA'!V50)*100</f>
        <v>7.885882170058121</v>
      </c>
      <c r="HB48" s="202">
        <f>('Expenditure DATA'!JK50/'Expenditure DATA'!W50)*100</f>
        <v>7.7125812142869874</v>
      </c>
      <c r="HC48" s="202">
        <f>('Expenditure DATA'!JL50/'Expenditure DATA'!X50)*100</f>
        <v>7.5564962369468285</v>
      </c>
      <c r="HD48" s="202">
        <f>('Expenditure DATA'!JM50/'Expenditure DATA'!Y50)*100</f>
        <v>7.2660071579264986</v>
      </c>
      <c r="HE48" s="202">
        <f>('Expenditure DATA'!JN50/'Expenditure DATA'!Z50)*100</f>
        <v>7.6374009635358453</v>
      </c>
      <c r="HF48" s="202">
        <f>('Expenditure DATA'!JO50/'Expenditure DATA'!AA50)*100</f>
        <v>7.5560450222827367</v>
      </c>
      <c r="HG48" s="202">
        <f>('Expenditure DATA'!JP50/'Expenditure DATA'!AB50)*100</f>
        <v>7.3422717853585162</v>
      </c>
      <c r="HH48" s="202">
        <f>('Expenditure DATA'!JQ50/'Expenditure DATA'!AC50)*100</f>
        <v>7.5029276281854145</v>
      </c>
      <c r="HI48" s="202">
        <f>('Expenditure DATA'!JR50/'Expenditure DATA'!AD50)*100</f>
        <v>6.9422020284044468</v>
      </c>
      <c r="HJ48" s="202">
        <f>('Expenditure DATA'!JS50/'Expenditure DATA'!AE50)*100</f>
        <v>6.8062615288198032</v>
      </c>
      <c r="HK48" s="464">
        <f>('Expenditure DATA'!JT50/'Expenditure DATA'!AF50)*100</f>
        <v>6.1304859728276968</v>
      </c>
      <c r="HL48" s="203" t="e">
        <f t="shared" si="1"/>
        <v>#DIV/0!</v>
      </c>
      <c r="HM48" s="204" t="e">
        <f t="shared" si="2"/>
        <v>#DIV/0!</v>
      </c>
      <c r="HN48" s="204" t="e">
        <f t="shared" si="3"/>
        <v>#DIV/0!</v>
      </c>
      <c r="HO48" s="204" t="e">
        <f t="shared" si="4"/>
        <v>#DIV/0!</v>
      </c>
      <c r="HP48" s="204" t="e">
        <f t="shared" si="5"/>
        <v>#DIV/0!</v>
      </c>
      <c r="HQ48" s="204" t="e">
        <f t="shared" si="6"/>
        <v>#DIV/0!</v>
      </c>
      <c r="HR48" s="204" t="e">
        <f t="shared" si="7"/>
        <v>#DIV/0!</v>
      </c>
      <c r="HS48" s="204" t="e">
        <f t="shared" si="8"/>
        <v>#DIV/0!</v>
      </c>
      <c r="HT48" s="204">
        <f t="shared" si="9"/>
        <v>99.998617590656508</v>
      </c>
      <c r="HU48" s="204">
        <f t="shared" si="10"/>
        <v>99.999361079225167</v>
      </c>
      <c r="HV48" s="204">
        <f t="shared" si="11"/>
        <v>99.999999999999986</v>
      </c>
      <c r="HW48" s="204">
        <f t="shared" si="12"/>
        <v>100</v>
      </c>
      <c r="HX48" s="204">
        <f t="shared" si="13"/>
        <v>100</v>
      </c>
      <c r="HY48" s="204">
        <f t="shared" si="14"/>
        <v>100</v>
      </c>
      <c r="HZ48" s="204">
        <f t="shared" si="15"/>
        <v>100.00000000000001</v>
      </c>
      <c r="IA48" s="204">
        <f t="shared" si="16"/>
        <v>100</v>
      </c>
      <c r="IB48" s="204">
        <f t="shared" si="17"/>
        <v>100</v>
      </c>
      <c r="IC48" s="204">
        <f t="shared" si="18"/>
        <v>100</v>
      </c>
      <c r="ID48" s="204">
        <f t="shared" si="19"/>
        <v>100</v>
      </c>
      <c r="IE48" s="204">
        <f t="shared" si="20"/>
        <v>100</v>
      </c>
      <c r="IF48" s="204">
        <f t="shared" si="21"/>
        <v>100</v>
      </c>
      <c r="IG48" s="204">
        <f t="shared" si="22"/>
        <v>100.00000000000003</v>
      </c>
      <c r="IH48" s="204">
        <f t="shared" si="23"/>
        <v>100</v>
      </c>
      <c r="II48" s="204">
        <f t="shared" si="24"/>
        <v>99.999999999999986</v>
      </c>
      <c r="IJ48" s="204">
        <f t="shared" si="25"/>
        <v>100</v>
      </c>
      <c r="IK48" s="204">
        <f t="shared" si="26"/>
        <v>100</v>
      </c>
      <c r="IL48" s="204">
        <f t="shared" si="37"/>
        <v>100</v>
      </c>
      <c r="IM48" s="204">
        <f t="shared" si="38"/>
        <v>99.999997738388217</v>
      </c>
      <c r="IN48" s="204">
        <f t="shared" si="39"/>
        <v>99.999997791448408</v>
      </c>
      <c r="IO48" s="204">
        <f t="shared" si="40"/>
        <v>99.999999999999986</v>
      </c>
      <c r="IP48" s="204">
        <f t="shared" si="41"/>
        <v>100</v>
      </c>
    </row>
    <row r="49" spans="1:250" s="164" customFormat="1">
      <c r="A49" s="164" t="s">
        <v>75</v>
      </c>
      <c r="C49" s="202" t="e">
        <f>('Expenditure DATA'!CQ51/'Expenditure DATA'!B51)*100</f>
        <v>#DIV/0!</v>
      </c>
      <c r="D49" s="202" t="e">
        <f>('Expenditure DATA'!CR51/'Expenditure DATA'!C51)*100</f>
        <v>#DIV/0!</v>
      </c>
      <c r="E49" s="202" t="e">
        <f>('Expenditure DATA'!CS51/'Expenditure DATA'!D51)*100</f>
        <v>#DIV/0!</v>
      </c>
      <c r="F49" s="202" t="e">
        <f>('Expenditure DATA'!CT51/'Expenditure DATA'!E51)*100</f>
        <v>#DIV/0!</v>
      </c>
      <c r="G49" s="202" t="e">
        <f>('Expenditure DATA'!CU51/'Expenditure DATA'!F51)*100</f>
        <v>#DIV/0!</v>
      </c>
      <c r="H49" s="202" t="e">
        <f>('Expenditure DATA'!CV51/'Expenditure DATA'!G51)*100</f>
        <v>#DIV/0!</v>
      </c>
      <c r="I49" s="202" t="e">
        <f>('Expenditure DATA'!CW51/'Expenditure DATA'!H51)*100</f>
        <v>#DIV/0!</v>
      </c>
      <c r="J49" s="202" t="e">
        <f>('Expenditure DATA'!CX51/'Expenditure DATA'!I51)*100</f>
        <v>#DIV/0!</v>
      </c>
      <c r="K49" s="202">
        <f>('Expenditure DATA'!CY51/'Expenditure DATA'!J51)*100</f>
        <v>8.3540320055036723</v>
      </c>
      <c r="L49" s="202">
        <f>('Expenditure DATA'!CZ51/'Expenditure DATA'!K51)*100</f>
        <v>8.2321778340531715</v>
      </c>
      <c r="M49" s="202">
        <f>('Expenditure DATA'!DA51/'Expenditure DATA'!L51)*100</f>
        <v>8.1271614202632811</v>
      </c>
      <c r="N49" s="202">
        <f>('Expenditure DATA'!DB51/'Expenditure DATA'!M51)*100</f>
        <v>8.6667486824331696</v>
      </c>
      <c r="O49" s="202">
        <f>('Expenditure DATA'!DC51/'Expenditure DATA'!N51)*100</f>
        <v>8.9135945042382438</v>
      </c>
      <c r="P49" s="202">
        <f>('Expenditure DATA'!DD51/'Expenditure DATA'!O51)*100</f>
        <v>7.8802279749193502</v>
      </c>
      <c r="Q49" s="202">
        <f>('Expenditure DATA'!DE51/'Expenditure DATA'!P51)*100</f>
        <v>8.3019624424612104</v>
      </c>
      <c r="R49" s="202">
        <f>('Expenditure DATA'!DF51/'Expenditure DATA'!Q51)*100</f>
        <v>8.3240099531804912</v>
      </c>
      <c r="S49" s="202">
        <f>('Expenditure DATA'!DG51/'Expenditure DATA'!R51)*100</f>
        <v>7.9258527331440103</v>
      </c>
      <c r="T49" s="202">
        <f>('Expenditure DATA'!DH51/'Expenditure DATA'!S51)*100</f>
        <v>8.9152582272458929</v>
      </c>
      <c r="U49" s="202">
        <f>('Expenditure DATA'!DI51/'Expenditure DATA'!T51)*100</f>
        <v>8.8581723648858208</v>
      </c>
      <c r="V49" s="202">
        <f>('Expenditure DATA'!DJ51/'Expenditure DATA'!U51)*100</f>
        <v>9.1029621429959402</v>
      </c>
      <c r="W49" s="202">
        <f>('Expenditure DATA'!DK51/'Expenditure DATA'!V51)*100</f>
        <v>9.3199535817144081</v>
      </c>
      <c r="X49" s="202">
        <f>('Expenditure DATA'!DL51/'Expenditure DATA'!W51)*100</f>
        <v>9.3897744875973999</v>
      </c>
      <c r="Y49" s="202">
        <f>('Expenditure DATA'!DM51/'Expenditure DATA'!X51)*100</f>
        <v>9.4554112698681205</v>
      </c>
      <c r="Z49" s="202">
        <f>('Expenditure DATA'!DN51/'Expenditure DATA'!Y51)*100</f>
        <v>9.5339235612688</v>
      </c>
      <c r="AA49" s="202">
        <f>('Expenditure DATA'!DO51/'Expenditure DATA'!Z51)*100</f>
        <v>9.3319469820816092</v>
      </c>
      <c r="AB49" s="202">
        <f>('Expenditure DATA'!DP51/'Expenditure DATA'!AA51)*100</f>
        <v>9.3957053828751054</v>
      </c>
      <c r="AC49" s="202">
        <f>('Expenditure DATA'!DQ51/'Expenditure DATA'!AB51)*100</f>
        <v>9.9440350302800553</v>
      </c>
      <c r="AD49" s="202">
        <f>('Expenditure DATA'!DR51/'Expenditure DATA'!AC51)*100</f>
        <v>10.454197913153243</v>
      </c>
      <c r="AE49" s="202">
        <f>('Expenditure DATA'!DS51/'Expenditure DATA'!AD51)*100</f>
        <v>11.300238093262873</v>
      </c>
      <c r="AF49" s="202">
        <f>('Expenditure DATA'!DT51/'Expenditure DATA'!AE51)*100</f>
        <v>10.905521734292794</v>
      </c>
      <c r="AG49" s="464">
        <f>('Expenditure DATA'!DU51/'Expenditure DATA'!AF51)*100</f>
        <v>10.505025207169529</v>
      </c>
      <c r="AH49" s="203" t="e">
        <f>('Expenditure DATA'!BL51/'Expenditure DATA'!B51)*100</f>
        <v>#DIV/0!</v>
      </c>
      <c r="AI49" s="202" t="e">
        <f>('Expenditure DATA'!BM51/'Expenditure DATA'!C51)*100</f>
        <v>#DIV/0!</v>
      </c>
      <c r="AJ49" s="202" t="e">
        <f>('Expenditure DATA'!BN51/'Expenditure DATA'!D51)*100</f>
        <v>#DIV/0!</v>
      </c>
      <c r="AK49" s="202" t="e">
        <f>('Expenditure DATA'!BO51/'Expenditure DATA'!E51)*100</f>
        <v>#DIV/0!</v>
      </c>
      <c r="AL49" s="202" t="e">
        <f>('Expenditure DATA'!BP51/'Expenditure DATA'!F51)*100</f>
        <v>#DIV/0!</v>
      </c>
      <c r="AM49" s="202" t="e">
        <f>('Expenditure DATA'!BQ51/'Expenditure DATA'!G51)*100</f>
        <v>#DIV/0!</v>
      </c>
      <c r="AN49" s="202" t="e">
        <f>('Expenditure DATA'!BR51/'Expenditure DATA'!H51)*100</f>
        <v>#DIV/0!</v>
      </c>
      <c r="AO49" s="202" t="e">
        <f>('Expenditure DATA'!BS51/'Expenditure DATA'!I51)*100</f>
        <v>#DIV/0!</v>
      </c>
      <c r="AP49" s="202">
        <f>('Expenditure DATA'!BT51/'Expenditure DATA'!J51)*100</f>
        <v>25.681464634277823</v>
      </c>
      <c r="AQ49" s="202">
        <f>('Expenditure DATA'!BU51/'Expenditure DATA'!K51)*100</f>
        <v>25.727670811748816</v>
      </c>
      <c r="AR49" s="202">
        <f>('Expenditure DATA'!BV51/'Expenditure DATA'!L51)*100</f>
        <v>25.767492239240241</v>
      </c>
      <c r="AS49" s="202">
        <f>('Expenditure DATA'!BW51/'Expenditure DATA'!M51)*100</f>
        <v>25.22182316111531</v>
      </c>
      <c r="AT49" s="202">
        <f>('Expenditure DATA'!BX51/'Expenditure DATA'!N51)*100</f>
        <v>24.371363643023436</v>
      </c>
      <c r="AU49" s="202">
        <f>('Expenditure DATA'!BY51/'Expenditure DATA'!O51)*100</f>
        <v>24.057026386932616</v>
      </c>
      <c r="AV49" s="202">
        <f>('Expenditure DATA'!BZ51/'Expenditure DATA'!P51)*100</f>
        <v>23.747346739109719</v>
      </c>
      <c r="AW49" s="202">
        <f>('Expenditure DATA'!CA51/'Expenditure DATA'!Q51)*100</f>
        <v>23.819502107461656</v>
      </c>
      <c r="AX49" s="202">
        <f>('Expenditure DATA'!CB51/'Expenditure DATA'!R51)*100</f>
        <v>24.150107331682669</v>
      </c>
      <c r="AY49" s="202">
        <f>('Expenditure DATA'!CC51/'Expenditure DATA'!S51)*100</f>
        <v>24.906884621973749</v>
      </c>
      <c r="AZ49" s="202">
        <f>('Expenditure DATA'!CD51/'Expenditure DATA'!T51)*100</f>
        <v>25.037432496634271</v>
      </c>
      <c r="BA49" s="202">
        <f>('Expenditure DATA'!CE51/'Expenditure DATA'!U51)*100</f>
        <v>24.609481608600628</v>
      </c>
      <c r="BB49" s="202">
        <f>('Expenditure DATA'!CF51/'Expenditure DATA'!V51)*100</f>
        <v>24.230128844722184</v>
      </c>
      <c r="BC49" s="202">
        <f>('Expenditure DATA'!CG51/'Expenditure DATA'!W51)*100</f>
        <v>23.767894347340217</v>
      </c>
      <c r="BD49" s="202">
        <f>('Expenditure DATA'!CH51/'Expenditure DATA'!X51)*100</f>
        <v>23.33335995282059</v>
      </c>
      <c r="BE49" s="202">
        <f>('Expenditure DATA'!CI51/'Expenditure DATA'!Y51)*100</f>
        <v>22.913108197408611</v>
      </c>
      <c r="BF49" s="202">
        <f>('Expenditure DATA'!CJ51/'Expenditure DATA'!Z51)*100</f>
        <v>21.314669679776898</v>
      </c>
      <c r="BG49" s="202">
        <f>('Expenditure DATA'!CK51/'Expenditure DATA'!AA51)*100</f>
        <v>21.40753034503458</v>
      </c>
      <c r="BH49" s="202">
        <f>('Expenditure DATA'!CL51/'Expenditure DATA'!AB51)*100</f>
        <v>21.631255372962581</v>
      </c>
      <c r="BI49" s="202">
        <f>('Expenditure DATA'!CM51/'Expenditure DATA'!AC51)*100</f>
        <v>21.163078552537701</v>
      </c>
      <c r="BJ49" s="202">
        <f>('Expenditure DATA'!CN51/'Expenditure DATA'!AD51)*100</f>
        <v>20.540944574874935</v>
      </c>
      <c r="BK49" s="202">
        <f>('Expenditure DATA'!CO51/'Expenditure DATA'!AE51)*100</f>
        <v>21.155126870554437</v>
      </c>
      <c r="BL49" s="464">
        <f>('Expenditure DATA'!CP51/'Expenditure DATA'!AF51)*100</f>
        <v>20.608889432329754</v>
      </c>
      <c r="BM49" s="203" t="e">
        <f>('Expenditure DATA'!AG51/'Expenditure DATA'!B51)*100</f>
        <v>#DIV/0!</v>
      </c>
      <c r="BN49" s="202" t="e">
        <f>('Expenditure DATA'!AH51/'Expenditure DATA'!C51)*100</f>
        <v>#DIV/0!</v>
      </c>
      <c r="BO49" s="202" t="e">
        <f>('Expenditure DATA'!AI51/'Expenditure DATA'!D51)*100</f>
        <v>#DIV/0!</v>
      </c>
      <c r="BP49" s="202" t="e">
        <f>('Expenditure DATA'!AJ51/'Expenditure DATA'!E51)*100</f>
        <v>#DIV/0!</v>
      </c>
      <c r="BQ49" s="202" t="e">
        <f>('Expenditure DATA'!AK51/'Expenditure DATA'!F51)*100</f>
        <v>#DIV/0!</v>
      </c>
      <c r="BR49" s="202" t="e">
        <f>('Expenditure DATA'!AL51/'Expenditure DATA'!G51)*100</f>
        <v>#DIV/0!</v>
      </c>
      <c r="BS49" s="202" t="e">
        <f>('Expenditure DATA'!AM51/'Expenditure DATA'!H51)*100</f>
        <v>#DIV/0!</v>
      </c>
      <c r="BT49" s="202" t="e">
        <f>('Expenditure DATA'!AN51/'Expenditure DATA'!I51)*100</f>
        <v>#DIV/0!</v>
      </c>
      <c r="BU49" s="202">
        <f>('Expenditure DATA'!AO51/'Expenditure DATA'!J51)*100</f>
        <v>36.104046124068816</v>
      </c>
      <c r="BV49" s="202">
        <f>('Expenditure DATA'!AP51/'Expenditure DATA'!K51)*100</f>
        <v>36.046339746542074</v>
      </c>
      <c r="BW49" s="202">
        <f>('Expenditure DATA'!AQ51/'Expenditure DATA'!L51)*100</f>
        <v>35.996607211754586</v>
      </c>
      <c r="BX49" s="202">
        <f>('Expenditure DATA'!AR51/'Expenditure DATA'!M51)*100</f>
        <v>36.206312717888665</v>
      </c>
      <c r="BY49" s="202">
        <f>('Expenditure DATA'!AS51/'Expenditure DATA'!N51)*100</f>
        <v>35.641755136404122</v>
      </c>
      <c r="BZ49" s="202">
        <f>('Expenditure DATA'!AT51/'Expenditure DATA'!O51)*100</f>
        <v>33.903601935571807</v>
      </c>
      <c r="CA49" s="202">
        <f>('Expenditure DATA'!AU51/'Expenditure DATA'!P51)*100</f>
        <v>34.027457676650528</v>
      </c>
      <c r="CB49" s="202">
        <f>('Expenditure DATA'!AV51/'Expenditure DATA'!Q51)*100</f>
        <v>33.99297535674377</v>
      </c>
      <c r="CC49" s="202">
        <f>('Expenditure DATA'!AW51/'Expenditure DATA'!R51)*100</f>
        <v>33.902768921238405</v>
      </c>
      <c r="CD49" s="202">
        <f>('Expenditure DATA'!AX51/'Expenditure DATA'!S51)*100</f>
        <v>35.515998466769943</v>
      </c>
      <c r="CE49" s="202">
        <f>('Expenditure DATA'!AY51/'Expenditure DATA'!T51)*100</f>
        <v>35.785873341673607</v>
      </c>
      <c r="CF49" s="202">
        <f>('Expenditure DATA'!AZ51/'Expenditure DATA'!U51)*100</f>
        <v>35.602687587470214</v>
      </c>
      <c r="CG49" s="202">
        <f>('Expenditure DATA'!BA51/'Expenditure DATA'!V51)*100</f>
        <v>35.440304416636032</v>
      </c>
      <c r="CH49" s="202">
        <f>('Expenditure DATA'!BB51/'Expenditure DATA'!W51)*100</f>
        <v>35.143976159622071</v>
      </c>
      <c r="CI49" s="202">
        <f>('Expenditure DATA'!BC51/'Expenditure DATA'!X51)*100</f>
        <v>34.865405822553051</v>
      </c>
      <c r="CJ49" s="202">
        <f>('Expenditure DATA'!BD51/'Expenditure DATA'!Y51)*100</f>
        <v>34.643337353457042</v>
      </c>
      <c r="CK49" s="202">
        <f>('Expenditure DATA'!BE51/'Expenditure DATA'!Z51)*100</f>
        <v>32.800529698368429</v>
      </c>
      <c r="CL49" s="202">
        <f>('Expenditure DATA'!BF51/'Expenditure DATA'!AA51)*100</f>
        <v>32.971864884316112</v>
      </c>
      <c r="CM49" s="202">
        <f>('Expenditure DATA'!BG51/'Expenditure DATA'!AB51)*100</f>
        <v>34.016381672286137</v>
      </c>
      <c r="CN49" s="202">
        <f>('Expenditure DATA'!BH51/'Expenditure DATA'!AC51)*100</f>
        <v>34.249651766072262</v>
      </c>
      <c r="CO49" s="202">
        <f>('Expenditure DATA'!BI51/'Expenditure DATA'!AD51)*100</f>
        <v>34.112542620353246</v>
      </c>
      <c r="CP49" s="202">
        <f>('Expenditure DATA'!BJ51/'Expenditure DATA'!AE51)*100</f>
        <v>34.266484445985661</v>
      </c>
      <c r="CQ49" s="464">
        <f>('Expenditure DATA'!BK51/'Expenditure DATA'!AF51)*100</f>
        <v>33.214785277662408</v>
      </c>
      <c r="CR49" s="203" t="e">
        <f>('Expenditure DATA'!FA51/'Expenditure DATA'!B51)*100</f>
        <v>#DIV/0!</v>
      </c>
      <c r="CS49" s="202" t="e">
        <f>('Expenditure DATA'!FB51/'Expenditure DATA'!C51)*100</f>
        <v>#DIV/0!</v>
      </c>
      <c r="CT49" s="202" t="e">
        <f>('Expenditure DATA'!FC51/'Expenditure DATA'!D51)*100</f>
        <v>#DIV/0!</v>
      </c>
      <c r="CU49" s="202" t="e">
        <f>('Expenditure DATA'!FD51/'Expenditure DATA'!E51)*100</f>
        <v>#DIV/0!</v>
      </c>
      <c r="CV49" s="202" t="e">
        <f>('Expenditure DATA'!FE51/'Expenditure DATA'!F51)*100</f>
        <v>#DIV/0!</v>
      </c>
      <c r="CW49" s="202" t="e">
        <f>('Expenditure DATA'!FF51/'Expenditure DATA'!G51)*100</f>
        <v>#DIV/0!</v>
      </c>
      <c r="CX49" s="202" t="e">
        <f>('Expenditure DATA'!FG51/'Expenditure DATA'!H51)*100</f>
        <v>#DIV/0!</v>
      </c>
      <c r="CY49" s="202" t="e">
        <f>('Expenditure DATA'!FH51/'Expenditure DATA'!I51)*100</f>
        <v>#DIV/0!</v>
      </c>
      <c r="CZ49" s="202">
        <f>('Expenditure DATA'!FI51/'Expenditure DATA'!J51)*100</f>
        <v>16.442891687502247</v>
      </c>
      <c r="DA49" s="202">
        <f>('Expenditure DATA'!FJ51/'Expenditure DATA'!K51)*100</f>
        <v>17.863065421573531</v>
      </c>
      <c r="DB49" s="202">
        <f>('Expenditure DATA'!FK51/'Expenditure DATA'!L51)*100</f>
        <v>19.087000152206461</v>
      </c>
      <c r="DC49" s="202">
        <f>('Expenditure DATA'!FL51/'Expenditure DATA'!M51)*100</f>
        <v>19.838777301272572</v>
      </c>
      <c r="DD49" s="202">
        <f>('Expenditure DATA'!FM51/'Expenditure DATA'!N51)*100</f>
        <v>19.666297622728397</v>
      </c>
      <c r="DE49" s="202">
        <f>('Expenditure DATA'!FN51/'Expenditure DATA'!O51)*100</f>
        <v>19.533202326321049</v>
      </c>
      <c r="DF49" s="202">
        <f>('Expenditure DATA'!FO51/'Expenditure DATA'!P51)*100</f>
        <v>20.076617209718965</v>
      </c>
      <c r="DG49" s="202">
        <f>('Expenditure DATA'!FP51/'Expenditure DATA'!Q51)*100</f>
        <v>18.979757791289526</v>
      </c>
      <c r="DH49" s="202">
        <f>('Expenditure DATA'!FQ51/'Expenditure DATA'!R51)*100</f>
        <v>18.549104165031004</v>
      </c>
      <c r="DI49" s="202">
        <f>('Expenditure DATA'!FR51/'Expenditure DATA'!S51)*100</f>
        <v>18.970116804028795</v>
      </c>
      <c r="DJ49" s="202">
        <f>('Expenditure DATA'!FS51/'Expenditure DATA'!T51)*100</f>
        <v>19.06420500811376</v>
      </c>
      <c r="DK49" s="202">
        <f>('Expenditure DATA'!FT51/'Expenditure DATA'!U51)*100</f>
        <v>19.797227371275486</v>
      </c>
      <c r="DL49" s="202">
        <f>('Expenditure DATA'!FU51/'Expenditure DATA'!V51)*100</f>
        <v>20.447007678375236</v>
      </c>
      <c r="DM49" s="202">
        <f>('Expenditure DATA'!FV51/'Expenditure DATA'!W51)*100</f>
        <v>21.295593968157863</v>
      </c>
      <c r="DN49" s="202">
        <f>('Expenditure DATA'!FW51/'Expenditure DATA'!X51)*100</f>
        <v>22.093327438326885</v>
      </c>
      <c r="DO49" s="202">
        <f>('Expenditure DATA'!FX51/'Expenditure DATA'!Y51)*100</f>
        <v>21.984581078667716</v>
      </c>
      <c r="DP49" s="202">
        <f>('Expenditure DATA'!FY51/'Expenditure DATA'!Z51)*100</f>
        <v>20.625781325127413</v>
      </c>
      <c r="DQ49" s="202">
        <f>('Expenditure DATA'!FZ51/'Expenditure DATA'!AA51)*100</f>
        <v>20.76543151107138</v>
      </c>
      <c r="DR49" s="202">
        <f>('Expenditure DATA'!GA51/'Expenditure DATA'!AB51)*100</f>
        <v>21.031187594655087</v>
      </c>
      <c r="DS49" s="202">
        <f>('Expenditure DATA'!GB51/'Expenditure DATA'!AC51)*100</f>
        <v>20.920111616985761</v>
      </c>
      <c r="DT49" s="202">
        <f>('Expenditure DATA'!GC51/'Expenditure DATA'!AD51)*100</f>
        <v>21.259438697206757</v>
      </c>
      <c r="DU49" s="202">
        <f>('Expenditure DATA'!GD51/'Expenditure DATA'!AE51)*100</f>
        <v>20.795199936160049</v>
      </c>
      <c r="DV49" s="464">
        <f>('Expenditure DATA'!GE51/'Expenditure DATA'!AF51)*100</f>
        <v>20.415889613610265</v>
      </c>
      <c r="DW49" s="203" t="e">
        <f>('Expenditure DATA'!GF51/'Expenditure DATA'!B51)*100</f>
        <v>#DIV/0!</v>
      </c>
      <c r="DX49" s="202" t="e">
        <f>('Expenditure DATA'!GG51/'Expenditure DATA'!C51)*100</f>
        <v>#DIV/0!</v>
      </c>
      <c r="DY49" s="202" t="e">
        <f>('Expenditure DATA'!GH51/'Expenditure DATA'!D51)*100</f>
        <v>#DIV/0!</v>
      </c>
      <c r="DZ49" s="202" t="e">
        <f>('Expenditure DATA'!GI51/'Expenditure DATA'!E51)*100</f>
        <v>#DIV/0!</v>
      </c>
      <c r="EA49" s="202" t="e">
        <f>('Expenditure DATA'!GJ51/'Expenditure DATA'!F51)*100</f>
        <v>#DIV/0!</v>
      </c>
      <c r="EB49" s="202" t="e">
        <f>('Expenditure DATA'!GK51/'Expenditure DATA'!G51)*100</f>
        <v>#DIV/0!</v>
      </c>
      <c r="EC49" s="202" t="e">
        <f>('Expenditure DATA'!GL51/'Expenditure DATA'!H51)*100</f>
        <v>#DIV/0!</v>
      </c>
      <c r="ED49" s="202" t="e">
        <f>('Expenditure DATA'!GM51/'Expenditure DATA'!I51)*100</f>
        <v>#DIV/0!</v>
      </c>
      <c r="EE49" s="202">
        <f>('Expenditure DATA'!GN51/'Expenditure DATA'!J51)*100</f>
        <v>27.884525539200837</v>
      </c>
      <c r="EF49" s="202">
        <f>('Expenditure DATA'!GO51/'Expenditure DATA'!K51)*100</f>
        <v>27.646381382730201</v>
      </c>
      <c r="EG49" s="202">
        <f>('Expenditure DATA'!GP51/'Expenditure DATA'!L51)*100</f>
        <v>27.441143884662893</v>
      </c>
      <c r="EH49" s="202">
        <f>('Expenditure DATA'!GQ51/'Expenditure DATA'!M51)*100</f>
        <v>27.15745011061842</v>
      </c>
      <c r="EI49" s="202">
        <f>('Expenditure DATA'!GR51/'Expenditure DATA'!N51)*100</f>
        <v>28.791701057128677</v>
      </c>
      <c r="EJ49" s="202">
        <f>('Expenditure DATA'!GS51/'Expenditure DATA'!O51)*100</f>
        <v>30.613612613021946</v>
      </c>
      <c r="EK49" s="202">
        <f>('Expenditure DATA'!GT51/'Expenditure DATA'!P51)*100</f>
        <v>29.20708176243582</v>
      </c>
      <c r="EL49" s="202">
        <f>('Expenditure DATA'!GU51/'Expenditure DATA'!Q51)*100</f>
        <v>30.783637828404476</v>
      </c>
      <c r="EM49" s="202">
        <f>('Expenditure DATA'!GV51/'Expenditure DATA'!R51)*100</f>
        <v>31.613377427729045</v>
      </c>
      <c r="EN49" s="202">
        <f>('Expenditure DATA'!GW51/'Expenditure DATA'!S51)*100</f>
        <v>29.659127463921642</v>
      </c>
      <c r="EO49" s="202">
        <f>('Expenditure DATA'!GX51/'Expenditure DATA'!T51)*100</f>
        <v>30.413162996597681</v>
      </c>
      <c r="EP49" s="202">
        <f>('Expenditure DATA'!GY51/'Expenditure DATA'!U51)*100</f>
        <v>30.385463949713216</v>
      </c>
      <c r="EQ49" s="202">
        <f>('Expenditure DATA'!GZ51/'Expenditure DATA'!V51)*100</f>
        <v>30.360910407972248</v>
      </c>
      <c r="ER49" s="202">
        <f>('Expenditure DATA'!HA51/'Expenditure DATA'!W51)*100</f>
        <v>30.276598926753906</v>
      </c>
      <c r="ES49" s="202">
        <f>('Expenditure DATA'!HB51/'Expenditure DATA'!X51)*100</f>
        <v>30.197339938838098</v>
      </c>
      <c r="ET49" s="202">
        <f>('Expenditure DATA'!HC51/'Expenditure DATA'!Y51)*100</f>
        <v>30.159182503869797</v>
      </c>
      <c r="EU49" s="202">
        <f>('Expenditure DATA'!HD51/'Expenditure DATA'!Z51)*100</f>
        <v>32.96110202904125</v>
      </c>
      <c r="EV49" s="202">
        <f>('Expenditure DATA'!HE51/'Expenditure DATA'!AA51)*100</f>
        <v>32.585714032137822</v>
      </c>
      <c r="EW49" s="202">
        <f>('Expenditure DATA'!HF51/'Expenditure DATA'!AB51)*100</f>
        <v>30.900819658006746</v>
      </c>
      <c r="EX49" s="202">
        <f>('Expenditure DATA'!HG51/'Expenditure DATA'!AC51)*100</f>
        <v>29.601967832536698</v>
      </c>
      <c r="EY49" s="202">
        <f>('Expenditure DATA'!HH51/'Expenditure DATA'!AD51)*100</f>
        <v>30.390124521946888</v>
      </c>
      <c r="EZ49" s="202">
        <f>('Expenditure DATA'!HI51/'Expenditure DATA'!AE51)*100</f>
        <v>31.637562935716605</v>
      </c>
      <c r="FA49" s="464">
        <f>('Expenditure DATA'!HJ51/'Expenditure DATA'!AF51)*100</f>
        <v>33.236715957700341</v>
      </c>
      <c r="FB49" s="203" t="e">
        <f>('Expenditure DATA'!HK51/'Expenditure DATA'!B51)*100</f>
        <v>#DIV/0!</v>
      </c>
      <c r="FC49" s="202" t="e">
        <f>('Expenditure DATA'!HL51/'Expenditure DATA'!C51)*100</f>
        <v>#DIV/0!</v>
      </c>
      <c r="FD49" s="202" t="e">
        <f>('Expenditure DATA'!HM51/'Expenditure DATA'!D51)*100</f>
        <v>#DIV/0!</v>
      </c>
      <c r="FE49" s="202" t="e">
        <f>('Expenditure DATA'!HN51/'Expenditure DATA'!E51)*100</f>
        <v>#DIV/0!</v>
      </c>
      <c r="FF49" s="202" t="e">
        <f>('Expenditure DATA'!HO51/'Expenditure DATA'!F51)*100</f>
        <v>#DIV/0!</v>
      </c>
      <c r="FG49" s="202" t="e">
        <f>('Expenditure DATA'!HP51/'Expenditure DATA'!G51)*100</f>
        <v>#DIV/0!</v>
      </c>
      <c r="FH49" s="202" t="e">
        <f>('Expenditure DATA'!HQ51/'Expenditure DATA'!H51)*100</f>
        <v>#DIV/0!</v>
      </c>
      <c r="FI49" s="202" t="e">
        <f>('Expenditure DATA'!HR51/'Expenditure DATA'!I51)*100</f>
        <v>#DIV/0!</v>
      </c>
      <c r="FJ49" s="202">
        <f>('Expenditure DATA'!HS51/'Expenditure DATA'!J51)*100</f>
        <v>5.4195267456964045</v>
      </c>
      <c r="FK49" s="202">
        <f>('Expenditure DATA'!HT51/'Expenditure DATA'!K51)*100</f>
        <v>5.4282467314879366</v>
      </c>
      <c r="FL49" s="202">
        <f>('Expenditure DATA'!HU51/'Expenditure DATA'!L51)*100</f>
        <v>5.4357617933460993</v>
      </c>
      <c r="FM49" s="202">
        <f>('Expenditure DATA'!HV51/'Expenditure DATA'!M51)*100</f>
        <v>5.5638371364373409</v>
      </c>
      <c r="FN49" s="202">
        <f>('Expenditure DATA'!HW51/'Expenditure DATA'!N51)*100</f>
        <v>5.4407620613314212</v>
      </c>
      <c r="FO49" s="202">
        <f>('Expenditure DATA'!HX51/'Expenditure DATA'!O51)*100</f>
        <v>5.692238118496979</v>
      </c>
      <c r="FP49" s="202">
        <f>('Expenditure DATA'!HY51/'Expenditure DATA'!P51)*100</f>
        <v>6.0141403717071151</v>
      </c>
      <c r="FQ49" s="202">
        <f>('Expenditure DATA'!HZ51/'Expenditure DATA'!Q51)*100</f>
        <v>5.6239041165041348</v>
      </c>
      <c r="FR49" s="202">
        <f>('Expenditure DATA'!IA51/'Expenditure DATA'!R51)*100</f>
        <v>5.6375782806377224</v>
      </c>
      <c r="FS49" s="202">
        <f>('Expenditure DATA'!IB51/'Expenditure DATA'!S51)*100</f>
        <v>5.8134253764363244</v>
      </c>
      <c r="FT49" s="202">
        <f>('Expenditure DATA'!IC51/'Expenditure DATA'!T51)*100</f>
        <v>5.4096782024967389</v>
      </c>
      <c r="FU49" s="202">
        <f>('Expenditure DATA'!ID51/'Expenditure DATA'!U51)*100</f>
        <v>5.2607404156650581</v>
      </c>
      <c r="FV49" s="202">
        <f>('Expenditure DATA'!IE51/'Expenditure DATA'!V51)*100</f>
        <v>5.128716011322437</v>
      </c>
      <c r="FW49" s="202">
        <f>('Expenditure DATA'!IF51/'Expenditure DATA'!W51)*100</f>
        <v>5.210985124461347</v>
      </c>
      <c r="FX49" s="202">
        <f>('Expenditure DATA'!IG51/'Expenditure DATA'!X51)*100</f>
        <v>5.2883241363004867</v>
      </c>
      <c r="FY49" s="202">
        <f>('Expenditure DATA'!IH51/'Expenditure DATA'!Y51)*100</f>
        <v>5.5879419680672315</v>
      </c>
      <c r="FZ49" s="202">
        <f>('Expenditure DATA'!II51/'Expenditure DATA'!Z51)*100</f>
        <v>5.6893090681796323</v>
      </c>
      <c r="GA49" s="202">
        <f>('Expenditure DATA'!IJ51/'Expenditure DATA'!AA51)*100</f>
        <v>5.7268688700771007</v>
      </c>
      <c r="GB49" s="202">
        <f>('Expenditure DATA'!IK51/'Expenditure DATA'!AB51)*100</f>
        <v>5.8339699516170098</v>
      </c>
      <c r="GC49" s="202">
        <f>('Expenditure DATA'!IL51/'Expenditure DATA'!AC51)*100</f>
        <v>6.3899393405743563</v>
      </c>
      <c r="GD49" s="202">
        <f>('Expenditure DATA'!IM51/'Expenditure DATA'!AD51)*100</f>
        <v>6.2577048473133612</v>
      </c>
      <c r="GE49" s="202">
        <f>('Expenditure DATA'!IN51/'Expenditure DATA'!AE51)*100</f>
        <v>5.3411301553276687</v>
      </c>
      <c r="GF49" s="464">
        <f>('Expenditure DATA'!IO51/'Expenditure DATA'!AF51)*100</f>
        <v>5.6403479930149638</v>
      </c>
      <c r="GG49" s="203" t="e">
        <f>('Expenditure DATA'!IP51/'Expenditure DATA'!B51)*100</f>
        <v>#DIV/0!</v>
      </c>
      <c r="GH49" s="202" t="e">
        <f>('Expenditure DATA'!IQ51/'Expenditure DATA'!C51)*100</f>
        <v>#DIV/0!</v>
      </c>
      <c r="GI49" s="202" t="e">
        <f>('Expenditure DATA'!IR51/'Expenditure DATA'!D51)*100</f>
        <v>#DIV/0!</v>
      </c>
      <c r="GJ49" s="202" t="e">
        <f>('Expenditure DATA'!IS51/'Expenditure DATA'!E51)*100</f>
        <v>#DIV/0!</v>
      </c>
      <c r="GK49" s="202" t="e">
        <f>('Expenditure DATA'!IT51/'Expenditure DATA'!F51)*100</f>
        <v>#DIV/0!</v>
      </c>
      <c r="GL49" s="202" t="e">
        <f>('Expenditure DATA'!IU51/'Expenditure DATA'!G51)*100</f>
        <v>#DIV/0!</v>
      </c>
      <c r="GM49" s="202" t="e">
        <f>('Expenditure DATA'!IV51/'Expenditure DATA'!H51)*100</f>
        <v>#DIV/0!</v>
      </c>
      <c r="GN49" s="202" t="e">
        <f>('Expenditure DATA'!IW51/'Expenditure DATA'!I51)*100</f>
        <v>#DIV/0!</v>
      </c>
      <c r="GO49" s="202">
        <f>('Expenditure DATA'!IX51/'Expenditure DATA'!J51)*100</f>
        <v>14.149009903531692</v>
      </c>
      <c r="GP49" s="202">
        <f>('Expenditure DATA'!IY51/'Expenditure DATA'!K51)*100</f>
        <v>13.015966717666242</v>
      </c>
      <c r="GQ49" s="202">
        <f>('Expenditure DATA'!IZ51/'Expenditure DATA'!L51)*100</f>
        <v>12.039486958029952</v>
      </c>
      <c r="GR49" s="202">
        <f>('Expenditure DATA'!JA51/'Expenditure DATA'!M51)*100</f>
        <v>11.233622733782992</v>
      </c>
      <c r="GS49" s="202">
        <f>('Expenditure DATA'!JB51/'Expenditure DATA'!N51)*100</f>
        <v>10.459484122407378</v>
      </c>
      <c r="GT49" s="202">
        <f>('Expenditure DATA'!JC51/'Expenditure DATA'!O51)*100</f>
        <v>10.257345006588213</v>
      </c>
      <c r="GU49" s="202">
        <f>('Expenditure DATA'!JD51/'Expenditure DATA'!P51)*100</f>
        <v>10.674702979487567</v>
      </c>
      <c r="GV49" s="202">
        <f>('Expenditure DATA'!JE51/'Expenditure DATA'!Q51)*100</f>
        <v>10.619724907058091</v>
      </c>
      <c r="GW49" s="202">
        <f>('Expenditure DATA'!JF51/'Expenditure DATA'!R51)*100</f>
        <v>10.29717120536384</v>
      </c>
      <c r="GX49" s="202">
        <f>('Expenditure DATA'!JG51/'Expenditure DATA'!S51)*100</f>
        <v>10.041331888843285</v>
      </c>
      <c r="GY49" s="202">
        <f>('Expenditure DATA'!JH51/'Expenditure DATA'!T51)*100</f>
        <v>9.3270804511182117</v>
      </c>
      <c r="GZ49" s="202">
        <f>('Expenditure DATA'!JI51/'Expenditure DATA'!U51)*100</f>
        <v>8.953880675876011</v>
      </c>
      <c r="HA49" s="202">
        <f>('Expenditure DATA'!JJ51/'Expenditure DATA'!V51)*100</f>
        <v>8.6230614856940466</v>
      </c>
      <c r="HB49" s="202">
        <f>('Expenditure DATA'!JK51/'Expenditure DATA'!W51)*100</f>
        <v>8.072845821004826</v>
      </c>
      <c r="HC49" s="202">
        <f>('Expenditure DATA'!JL51/'Expenditure DATA'!X51)*100</f>
        <v>7.5556026639814871</v>
      </c>
      <c r="HD49" s="202">
        <f>('Expenditure DATA'!JM51/'Expenditure DATA'!Y51)*100</f>
        <v>7.6249570959382051</v>
      </c>
      <c r="HE49" s="202">
        <f>('Expenditure DATA'!JN51/'Expenditure DATA'!Z51)*100</f>
        <v>7.9232778792832637</v>
      </c>
      <c r="HF49" s="202">
        <f>('Expenditure DATA'!JO51/'Expenditure DATA'!AA51)*100</f>
        <v>7.9501207023975882</v>
      </c>
      <c r="HG49" s="202">
        <f>('Expenditure DATA'!JP51/'Expenditure DATA'!AB51)*100</f>
        <v>8.2176411234350191</v>
      </c>
      <c r="HH49" s="202">
        <f>('Expenditure DATA'!JQ51/'Expenditure DATA'!AC51)*100</f>
        <v>8.8383294438309257</v>
      </c>
      <c r="HI49" s="202">
        <f>('Expenditure DATA'!JR51/'Expenditure DATA'!AD51)*100</f>
        <v>7.980189313179749</v>
      </c>
      <c r="HJ49" s="202">
        <f>('Expenditure DATA'!JS51/'Expenditure DATA'!AE51)*100</f>
        <v>7.9596225268100245</v>
      </c>
      <c r="HK49" s="464">
        <f>('Expenditure DATA'!JT51/'Expenditure DATA'!AF51)*100</f>
        <v>7.492261158012024</v>
      </c>
      <c r="HL49" s="203" t="e">
        <f t="shared" si="1"/>
        <v>#DIV/0!</v>
      </c>
      <c r="HM49" s="204" t="e">
        <f t="shared" si="2"/>
        <v>#DIV/0!</v>
      </c>
      <c r="HN49" s="204" t="e">
        <f t="shared" si="3"/>
        <v>#DIV/0!</v>
      </c>
      <c r="HO49" s="204" t="e">
        <f t="shared" si="4"/>
        <v>#DIV/0!</v>
      </c>
      <c r="HP49" s="204" t="e">
        <f t="shared" si="5"/>
        <v>#DIV/0!</v>
      </c>
      <c r="HQ49" s="204" t="e">
        <f t="shared" si="6"/>
        <v>#DIV/0!</v>
      </c>
      <c r="HR49" s="204" t="e">
        <f t="shared" si="7"/>
        <v>#DIV/0!</v>
      </c>
      <c r="HS49" s="204" t="e">
        <f t="shared" si="8"/>
        <v>#DIV/0!</v>
      </c>
      <c r="HT49" s="204">
        <f t="shared" si="9"/>
        <v>100</v>
      </c>
      <c r="HU49" s="204">
        <f t="shared" si="10"/>
        <v>99.999999999999986</v>
      </c>
      <c r="HV49" s="204">
        <f t="shared" si="11"/>
        <v>100</v>
      </c>
      <c r="HW49" s="204">
        <f t="shared" si="12"/>
        <v>100</v>
      </c>
      <c r="HX49" s="204">
        <f t="shared" si="13"/>
        <v>100</v>
      </c>
      <c r="HY49" s="204">
        <f t="shared" si="14"/>
        <v>99.999999999999986</v>
      </c>
      <c r="HZ49" s="204">
        <f t="shared" si="15"/>
        <v>99.999999999999986</v>
      </c>
      <c r="IA49" s="204">
        <f t="shared" si="16"/>
        <v>100</v>
      </c>
      <c r="IB49" s="204">
        <f t="shared" si="17"/>
        <v>100.00000000000001</v>
      </c>
      <c r="IC49" s="204">
        <f t="shared" si="18"/>
        <v>99.999999999999986</v>
      </c>
      <c r="ID49" s="204">
        <f t="shared" si="19"/>
        <v>99.999999999999986</v>
      </c>
      <c r="IE49" s="204">
        <f t="shared" si="20"/>
        <v>99.999999999999972</v>
      </c>
      <c r="IF49" s="204">
        <f t="shared" si="21"/>
        <v>100</v>
      </c>
      <c r="IG49" s="204">
        <f t="shared" si="22"/>
        <v>100</v>
      </c>
      <c r="IH49" s="204">
        <f t="shared" si="23"/>
        <v>100.00000000000001</v>
      </c>
      <c r="II49" s="204">
        <f t="shared" si="24"/>
        <v>99.999999999999986</v>
      </c>
      <c r="IJ49" s="204">
        <f t="shared" si="25"/>
        <v>99.999999999999972</v>
      </c>
      <c r="IK49" s="204">
        <f t="shared" si="26"/>
        <v>99.999999999999986</v>
      </c>
      <c r="IL49" s="204">
        <f t="shared" si="37"/>
        <v>100</v>
      </c>
      <c r="IM49" s="204">
        <f t="shared" si="38"/>
        <v>100.00000000000001</v>
      </c>
      <c r="IN49" s="204">
        <f t="shared" si="39"/>
        <v>100</v>
      </c>
      <c r="IO49" s="204">
        <f t="shared" si="40"/>
        <v>100</v>
      </c>
      <c r="IP49" s="204">
        <f t="shared" si="41"/>
        <v>100.00000000000001</v>
      </c>
    </row>
    <row r="50" spans="1:250" s="164" customFormat="1">
      <c r="A50" s="162" t="s">
        <v>79</v>
      </c>
      <c r="B50" s="162"/>
      <c r="C50" s="205" t="e">
        <f>('Expenditure DATA'!CQ52/'Expenditure DATA'!B52)*100</f>
        <v>#DIV/0!</v>
      </c>
      <c r="D50" s="205" t="e">
        <f>('Expenditure DATA'!CR52/'Expenditure DATA'!C52)*100</f>
        <v>#DIV/0!</v>
      </c>
      <c r="E50" s="205" t="e">
        <f>('Expenditure DATA'!CS52/'Expenditure DATA'!D52)*100</f>
        <v>#DIV/0!</v>
      </c>
      <c r="F50" s="205" t="e">
        <f>('Expenditure DATA'!CT52/'Expenditure DATA'!E52)*100</f>
        <v>#DIV/0!</v>
      </c>
      <c r="G50" s="205" t="e">
        <f>('Expenditure DATA'!CU52/'Expenditure DATA'!F52)*100</f>
        <v>#DIV/0!</v>
      </c>
      <c r="H50" s="205" t="e">
        <f>('Expenditure DATA'!CV52/'Expenditure DATA'!G52)*100</f>
        <v>#DIV/0!</v>
      </c>
      <c r="I50" s="205" t="e">
        <f>('Expenditure DATA'!CW52/'Expenditure DATA'!H52)*100</f>
        <v>#DIV/0!</v>
      </c>
      <c r="J50" s="205" t="e">
        <f>('Expenditure DATA'!CX52/'Expenditure DATA'!I52)*100</f>
        <v>#DIV/0!</v>
      </c>
      <c r="K50" s="205">
        <f>('Expenditure DATA'!CY52/'Expenditure DATA'!J52)*100</f>
        <v>11.486724474920853</v>
      </c>
      <c r="L50" s="205">
        <f>('Expenditure DATA'!CZ52/'Expenditure DATA'!K52)*100</f>
        <v>11.063847167468403</v>
      </c>
      <c r="M50" s="205">
        <f>('Expenditure DATA'!DA52/'Expenditure DATA'!L52)*100</f>
        <v>10.70957022119045</v>
      </c>
      <c r="N50" s="205">
        <f>('Expenditure DATA'!DB52/'Expenditure DATA'!M52)*100</f>
        <v>10.556162646294727</v>
      </c>
      <c r="O50" s="205">
        <f>('Expenditure DATA'!DC52/'Expenditure DATA'!N52)*100</f>
        <v>10.710185670125814</v>
      </c>
      <c r="P50" s="205">
        <f>('Expenditure DATA'!DD52/'Expenditure DATA'!O52)*100</f>
        <v>10.60692489007042</v>
      </c>
      <c r="Q50" s="205">
        <f>('Expenditure DATA'!DE52/'Expenditure DATA'!P52)*100</f>
        <v>10.525194249542547</v>
      </c>
      <c r="R50" s="205">
        <f>('Expenditure DATA'!DF52/'Expenditure DATA'!Q52)*100</f>
        <v>10.443963453282812</v>
      </c>
      <c r="S50" s="205">
        <f>('Expenditure DATA'!DG52/'Expenditure DATA'!R52)*100</f>
        <v>10.62565502742563</v>
      </c>
      <c r="T50" s="205">
        <f>('Expenditure DATA'!DH52/'Expenditure DATA'!S52)*100</f>
        <v>10.452815846520327</v>
      </c>
      <c r="U50" s="205">
        <f>('Expenditure DATA'!DI52/'Expenditure DATA'!T52)*100</f>
        <v>10.457877999491116</v>
      </c>
      <c r="V50" s="205">
        <f>('Expenditure DATA'!DJ52/'Expenditure DATA'!U52)*100</f>
        <v>10.695412901458418</v>
      </c>
      <c r="W50" s="205">
        <f>('Expenditure DATA'!DK52/'Expenditure DATA'!V52)*100</f>
        <v>10.911013818234604</v>
      </c>
      <c r="X50" s="205">
        <f>('Expenditure DATA'!DL52/'Expenditure DATA'!W52)*100</f>
        <v>11.217352056801085</v>
      </c>
      <c r="Y50" s="205">
        <f>('Expenditure DATA'!DM52/'Expenditure DATA'!X52)*100</f>
        <v>11.50107456754931</v>
      </c>
      <c r="Z50" s="205">
        <f>('Expenditure DATA'!DN52/'Expenditure DATA'!Y52)*100</f>
        <v>11.59969008368525</v>
      </c>
      <c r="AA50" s="205">
        <f>('Expenditure DATA'!DO52/'Expenditure DATA'!Z52)*100</f>
        <v>11.939458805144129</v>
      </c>
      <c r="AB50" s="205">
        <f>('Expenditure DATA'!DP52/'Expenditure DATA'!AA52)*100</f>
        <v>11.915237318333689</v>
      </c>
      <c r="AC50" s="205">
        <f>('Expenditure DATA'!DQ52/'Expenditure DATA'!AB52)*100</f>
        <v>11.703496158787097</v>
      </c>
      <c r="AD50" s="205">
        <f>('Expenditure DATA'!DR52/'Expenditure DATA'!AC52)*100</f>
        <v>11.506261402388889</v>
      </c>
      <c r="AE50" s="205">
        <f>('Expenditure DATA'!DS52/'Expenditure DATA'!AD52)*100</f>
        <v>12.24994855493885</v>
      </c>
      <c r="AF50" s="205">
        <f>('Expenditure DATA'!DT52/'Expenditure DATA'!AE52)*100</f>
        <v>12.301288744264788</v>
      </c>
      <c r="AG50" s="465">
        <f>('Expenditure DATA'!DU52/'Expenditure DATA'!AF52)*100</f>
        <v>13.143786071293279</v>
      </c>
      <c r="AH50" s="206" t="e">
        <f>('Expenditure DATA'!BL52/'Expenditure DATA'!B52)*100</f>
        <v>#DIV/0!</v>
      </c>
      <c r="AI50" s="205" t="e">
        <f>('Expenditure DATA'!BM52/'Expenditure DATA'!C52)*100</f>
        <v>#DIV/0!</v>
      </c>
      <c r="AJ50" s="205" t="e">
        <f>('Expenditure DATA'!BN52/'Expenditure DATA'!D52)*100</f>
        <v>#DIV/0!</v>
      </c>
      <c r="AK50" s="205" t="e">
        <f>('Expenditure DATA'!BO52/'Expenditure DATA'!E52)*100</f>
        <v>#DIV/0!</v>
      </c>
      <c r="AL50" s="205" t="e">
        <f>('Expenditure DATA'!BP52/'Expenditure DATA'!F52)*100</f>
        <v>#DIV/0!</v>
      </c>
      <c r="AM50" s="205" t="e">
        <f>('Expenditure DATA'!BQ52/'Expenditure DATA'!G52)*100</f>
        <v>#DIV/0!</v>
      </c>
      <c r="AN50" s="205" t="e">
        <f>('Expenditure DATA'!BR52/'Expenditure DATA'!H52)*100</f>
        <v>#DIV/0!</v>
      </c>
      <c r="AO50" s="205" t="e">
        <f>('Expenditure DATA'!BS52/'Expenditure DATA'!I52)*100</f>
        <v>#DIV/0!</v>
      </c>
      <c r="AP50" s="205">
        <f>('Expenditure DATA'!BT52/'Expenditure DATA'!J52)*100</f>
        <v>25.605843993074689</v>
      </c>
      <c r="AQ50" s="205">
        <f>('Expenditure DATA'!BU52/'Expenditure DATA'!K52)*100</f>
        <v>25.542515096231689</v>
      </c>
      <c r="AR50" s="205">
        <f>('Expenditure DATA'!BV52/'Expenditure DATA'!L52)*100</f>
        <v>25.489459593396006</v>
      </c>
      <c r="AS50" s="205">
        <f>('Expenditure DATA'!BW52/'Expenditure DATA'!M52)*100</f>
        <v>25.274109922814109</v>
      </c>
      <c r="AT50" s="205">
        <f>('Expenditure DATA'!BX52/'Expenditure DATA'!N52)*100</f>
        <v>25.254517777238455</v>
      </c>
      <c r="AU50" s="205">
        <f>('Expenditure DATA'!BY52/'Expenditure DATA'!O52)*100</f>
        <v>25.105108853374457</v>
      </c>
      <c r="AV50" s="205">
        <f>('Expenditure DATA'!BZ52/'Expenditure DATA'!P52)*100</f>
        <v>26.267539347423231</v>
      </c>
      <c r="AW50" s="205">
        <f>('Expenditure DATA'!CA52/'Expenditure DATA'!Q52)*100</f>
        <v>26.649831536667911</v>
      </c>
      <c r="AX50" s="205">
        <f>('Expenditure DATA'!CB52/'Expenditure DATA'!R52)*100</f>
        <v>27.571122726615798</v>
      </c>
      <c r="AY50" s="205">
        <f>('Expenditure DATA'!CC52/'Expenditure DATA'!S52)*100</f>
        <v>26.816530953185456</v>
      </c>
      <c r="AZ50" s="205">
        <f>('Expenditure DATA'!CD52/'Expenditure DATA'!T52)*100</f>
        <v>25.248650291977327</v>
      </c>
      <c r="BA50" s="205">
        <f>('Expenditure DATA'!CE52/'Expenditure DATA'!U52)*100</f>
        <v>25.062955808144459</v>
      </c>
      <c r="BB50" s="205">
        <f>('Expenditure DATA'!CF52/'Expenditure DATA'!V52)*100</f>
        <v>24.894408362598298</v>
      </c>
      <c r="BC50" s="205">
        <f>('Expenditure DATA'!CG52/'Expenditure DATA'!W52)*100</f>
        <v>24.304064346853345</v>
      </c>
      <c r="BD50" s="205">
        <f>('Expenditure DATA'!CH52/'Expenditure DATA'!X52)*100</f>
        <v>23.75730307037627</v>
      </c>
      <c r="BE50" s="205">
        <f>('Expenditure DATA'!CI52/'Expenditure DATA'!Y52)*100</f>
        <v>23.754293451135744</v>
      </c>
      <c r="BF50" s="205">
        <f>('Expenditure DATA'!CJ52/'Expenditure DATA'!Z52)*100</f>
        <v>23.62610992219442</v>
      </c>
      <c r="BG50" s="205">
        <f>('Expenditure DATA'!CK52/'Expenditure DATA'!AA52)*100</f>
        <v>23.578179817555515</v>
      </c>
      <c r="BH50" s="205">
        <f>('Expenditure DATA'!CL52/'Expenditure DATA'!AB52)*100</f>
        <v>23.777854802058069</v>
      </c>
      <c r="BI50" s="205">
        <f>('Expenditure DATA'!CM52/'Expenditure DATA'!AC52)*100</f>
        <v>23.152683067893935</v>
      </c>
      <c r="BJ50" s="205">
        <f>('Expenditure DATA'!CN52/'Expenditure DATA'!AD52)*100</f>
        <v>22.999427741557035</v>
      </c>
      <c r="BK50" s="205">
        <f>('Expenditure DATA'!CO52/'Expenditure DATA'!AE52)*100</f>
        <v>22.765352034592752</v>
      </c>
      <c r="BL50" s="465">
        <f>('Expenditure DATA'!CP52/'Expenditure DATA'!AF52)*100</f>
        <v>21.433757245465742</v>
      </c>
      <c r="BM50" s="206" t="e">
        <f>('Expenditure DATA'!AG52/'Expenditure DATA'!B52)*100</f>
        <v>#DIV/0!</v>
      </c>
      <c r="BN50" s="205" t="e">
        <f>('Expenditure DATA'!AH52/'Expenditure DATA'!C52)*100</f>
        <v>#DIV/0!</v>
      </c>
      <c r="BO50" s="205" t="e">
        <f>('Expenditure DATA'!AI52/'Expenditure DATA'!D52)*100</f>
        <v>#DIV/0!</v>
      </c>
      <c r="BP50" s="205" t="e">
        <f>('Expenditure DATA'!AJ52/'Expenditure DATA'!E52)*100</f>
        <v>#DIV/0!</v>
      </c>
      <c r="BQ50" s="205" t="e">
        <f>('Expenditure DATA'!AK52/'Expenditure DATA'!F52)*100</f>
        <v>#DIV/0!</v>
      </c>
      <c r="BR50" s="205" t="e">
        <f>('Expenditure DATA'!AL52/'Expenditure DATA'!G52)*100</f>
        <v>#DIV/0!</v>
      </c>
      <c r="BS50" s="205" t="e">
        <f>('Expenditure DATA'!AM52/'Expenditure DATA'!H52)*100</f>
        <v>#DIV/0!</v>
      </c>
      <c r="BT50" s="205" t="e">
        <f>('Expenditure DATA'!AN52/'Expenditure DATA'!I52)*100</f>
        <v>#DIV/0!</v>
      </c>
      <c r="BU50" s="205">
        <f>('Expenditure DATA'!AO52/'Expenditure DATA'!J52)*100</f>
        <v>39.160569554389909</v>
      </c>
      <c r="BV50" s="205">
        <f>('Expenditure DATA'!AP52/'Expenditure DATA'!K52)*100</f>
        <v>38.665068078810179</v>
      </c>
      <c r="BW50" s="205">
        <f>('Expenditure DATA'!AQ52/'Expenditure DATA'!L52)*100</f>
        <v>38.24994826379303</v>
      </c>
      <c r="BX50" s="205">
        <f>('Expenditure DATA'!AR52/'Expenditure DATA'!M52)*100</f>
        <v>37.866729782179817</v>
      </c>
      <c r="BY50" s="205">
        <f>('Expenditure DATA'!AS52/'Expenditure DATA'!N52)*100</f>
        <v>37.949374132451958</v>
      </c>
      <c r="BZ50" s="205">
        <f>('Expenditure DATA'!AT52/'Expenditure DATA'!O52)*100</f>
        <v>37.763990783685422</v>
      </c>
      <c r="CA50" s="205">
        <f>('Expenditure DATA'!AU52/'Expenditure DATA'!P52)*100</f>
        <v>38.793836777246568</v>
      </c>
      <c r="CB50" s="205">
        <f>('Expenditure DATA'!AV52/'Expenditure DATA'!Q52)*100</f>
        <v>39.067898176262347</v>
      </c>
      <c r="CC50" s="205">
        <f>('Expenditure DATA'!AW52/'Expenditure DATA'!R52)*100</f>
        <v>40.214332622232277</v>
      </c>
      <c r="CD50" s="205">
        <f>('Expenditure DATA'!AX52/'Expenditure DATA'!S52)*100</f>
        <v>39.218293467033064</v>
      </c>
      <c r="CE50" s="205">
        <f>('Expenditure DATA'!AY52/'Expenditure DATA'!T52)*100</f>
        <v>37.650645047793788</v>
      </c>
      <c r="CF50" s="205">
        <f>('Expenditure DATA'!AZ52/'Expenditure DATA'!U52)*100</f>
        <v>37.619036387262355</v>
      </c>
      <c r="CG50" s="205">
        <f>('Expenditure DATA'!BA52/'Expenditure DATA'!V52)*100</f>
        <v>37.590346472086928</v>
      </c>
      <c r="CH50" s="205">
        <f>('Expenditure DATA'!BB52/'Expenditure DATA'!W52)*100</f>
        <v>37.315127476266682</v>
      </c>
      <c r="CI50" s="205">
        <f>('Expenditure DATA'!BC52/'Expenditure DATA'!X52)*100</f>
        <v>37.060226798946303</v>
      </c>
      <c r="CJ50" s="205">
        <f>('Expenditure DATA'!BD52/'Expenditure DATA'!Y52)*100</f>
        <v>37.202689808102754</v>
      </c>
      <c r="CK50" s="205">
        <f>('Expenditure DATA'!BE52/'Expenditure DATA'!Z52)*100</f>
        <v>37.402186190565644</v>
      </c>
      <c r="CL50" s="205">
        <f>('Expenditure DATA'!BF52/'Expenditure DATA'!AA52)*100</f>
        <v>37.326308667615777</v>
      </c>
      <c r="CM50" s="205">
        <f>('Expenditure DATA'!BG52/'Expenditure DATA'!AB52)*100</f>
        <v>37.315017629711036</v>
      </c>
      <c r="CN50" s="205">
        <f>('Expenditure DATA'!BH52/'Expenditure DATA'!AC52)*100</f>
        <v>36.485743210317466</v>
      </c>
      <c r="CO50" s="205">
        <f>('Expenditure DATA'!BI52/'Expenditure DATA'!AD52)*100</f>
        <v>37.0613651629942</v>
      </c>
      <c r="CP50" s="205">
        <f>('Expenditure DATA'!BJ52/'Expenditure DATA'!AE52)*100</f>
        <v>36.933671165889088</v>
      </c>
      <c r="CQ50" s="465">
        <f>('Expenditure DATA'!BK52/'Expenditure DATA'!AF52)*100</f>
        <v>36.550165498058234</v>
      </c>
      <c r="CR50" s="206" t="e">
        <f>('Expenditure DATA'!FA52/'Expenditure DATA'!B52)*100</f>
        <v>#DIV/0!</v>
      </c>
      <c r="CS50" s="205" t="e">
        <f>('Expenditure DATA'!FB52/'Expenditure DATA'!C52)*100</f>
        <v>#DIV/0!</v>
      </c>
      <c r="CT50" s="205" t="e">
        <f>('Expenditure DATA'!FC52/'Expenditure DATA'!D52)*100</f>
        <v>#DIV/0!</v>
      </c>
      <c r="CU50" s="205" t="e">
        <f>('Expenditure DATA'!FD52/'Expenditure DATA'!E52)*100</f>
        <v>#DIV/0!</v>
      </c>
      <c r="CV50" s="205" t="e">
        <f>('Expenditure DATA'!FE52/'Expenditure DATA'!F52)*100</f>
        <v>#DIV/0!</v>
      </c>
      <c r="CW50" s="205" t="e">
        <f>('Expenditure DATA'!FF52/'Expenditure DATA'!G52)*100</f>
        <v>#DIV/0!</v>
      </c>
      <c r="CX50" s="205" t="e">
        <f>('Expenditure DATA'!FG52/'Expenditure DATA'!H52)*100</f>
        <v>#DIV/0!</v>
      </c>
      <c r="CY50" s="205" t="e">
        <f>('Expenditure DATA'!FH52/'Expenditure DATA'!I52)*100</f>
        <v>#DIV/0!</v>
      </c>
      <c r="CZ50" s="205">
        <f>('Expenditure DATA'!FI52/'Expenditure DATA'!J52)*100</f>
        <v>22.87020440231354</v>
      </c>
      <c r="DA50" s="205">
        <f>('Expenditure DATA'!FJ52/'Expenditure DATA'!K52)*100</f>
        <v>23.06316433309939</v>
      </c>
      <c r="DB50" s="205">
        <f>('Expenditure DATA'!FK52/'Expenditure DATA'!L52)*100</f>
        <v>23.224821754360999</v>
      </c>
      <c r="DC50" s="205">
        <f>('Expenditure DATA'!FL52/'Expenditure DATA'!M52)*100</f>
        <v>23.276221922260142</v>
      </c>
      <c r="DD50" s="205">
        <f>('Expenditure DATA'!FM52/'Expenditure DATA'!N52)*100</f>
        <v>23.815186962466981</v>
      </c>
      <c r="DE50" s="205">
        <f>('Expenditure DATA'!FN52/'Expenditure DATA'!O52)*100</f>
        <v>22.883415706619527</v>
      </c>
      <c r="DF50" s="205">
        <f>('Expenditure DATA'!FO52/'Expenditure DATA'!P52)*100</f>
        <v>22.756254463306128</v>
      </c>
      <c r="DG50" s="205">
        <f>('Expenditure DATA'!FP52/'Expenditure DATA'!Q52)*100</f>
        <v>21.839241576932249</v>
      </c>
      <c r="DH50" s="205">
        <f>('Expenditure DATA'!FQ52/'Expenditure DATA'!R52)*100</f>
        <v>20.507321428612197</v>
      </c>
      <c r="DI50" s="205">
        <f>('Expenditure DATA'!FR52/'Expenditure DATA'!S52)*100</f>
        <v>20.680961786942486</v>
      </c>
      <c r="DJ50" s="205">
        <f>('Expenditure DATA'!FS52/'Expenditure DATA'!T52)*100</f>
        <v>20.793569704460545</v>
      </c>
      <c r="DK50" s="205">
        <f>('Expenditure DATA'!FT52/'Expenditure DATA'!U52)*100</f>
        <v>21.874226204323222</v>
      </c>
      <c r="DL50" s="205">
        <f>('Expenditure DATA'!FU52/'Expenditure DATA'!V52)*100</f>
        <v>22.855094826832481</v>
      </c>
      <c r="DM50" s="205">
        <f>('Expenditure DATA'!FV52/'Expenditure DATA'!W52)*100</f>
        <v>24.110805961578649</v>
      </c>
      <c r="DN50" s="205">
        <f>('Expenditure DATA'!FW52/'Expenditure DATA'!X52)*100</f>
        <v>25.2738129619188</v>
      </c>
      <c r="DO50" s="205">
        <f>('Expenditure DATA'!FX52/'Expenditure DATA'!Y52)*100</f>
        <v>25.207686238466543</v>
      </c>
      <c r="DP50" s="205">
        <f>('Expenditure DATA'!FY52/'Expenditure DATA'!Z52)*100</f>
        <v>25.360824247304286</v>
      </c>
      <c r="DQ50" s="205">
        <f>('Expenditure DATA'!FZ52/'Expenditure DATA'!AA52)*100</f>
        <v>25.309374941265112</v>
      </c>
      <c r="DR50" s="205">
        <f>('Expenditure DATA'!GA52/'Expenditure DATA'!AB52)*100</f>
        <v>25.197206767622404</v>
      </c>
      <c r="DS50" s="205">
        <f>('Expenditure DATA'!GB52/'Expenditure DATA'!AC52)*100</f>
        <v>26.420272897729319</v>
      </c>
      <c r="DT50" s="205">
        <f>('Expenditure DATA'!GC52/'Expenditure DATA'!AD52)*100</f>
        <v>27.505296300533317</v>
      </c>
      <c r="DU50" s="205">
        <f>('Expenditure DATA'!GD52/'Expenditure DATA'!AE52)*100</f>
        <v>27.582354020903647</v>
      </c>
      <c r="DV50" s="465">
        <f>('Expenditure DATA'!GE52/'Expenditure DATA'!AF52)*100</f>
        <v>27.828144370543008</v>
      </c>
      <c r="DW50" s="206" t="e">
        <f>('Expenditure DATA'!GF52/'Expenditure DATA'!B52)*100</f>
        <v>#DIV/0!</v>
      </c>
      <c r="DX50" s="205" t="e">
        <f>('Expenditure DATA'!GG52/'Expenditure DATA'!C52)*100</f>
        <v>#DIV/0!</v>
      </c>
      <c r="DY50" s="205" t="e">
        <f>('Expenditure DATA'!GH52/'Expenditure DATA'!D52)*100</f>
        <v>#DIV/0!</v>
      </c>
      <c r="DZ50" s="205" t="e">
        <f>('Expenditure DATA'!GI52/'Expenditure DATA'!E52)*100</f>
        <v>#DIV/0!</v>
      </c>
      <c r="EA50" s="205" t="e">
        <f>('Expenditure DATA'!GJ52/'Expenditure DATA'!F52)*100</f>
        <v>#DIV/0!</v>
      </c>
      <c r="EB50" s="205" t="e">
        <f>('Expenditure DATA'!GK52/'Expenditure DATA'!G52)*100</f>
        <v>#DIV/0!</v>
      </c>
      <c r="EC50" s="205" t="e">
        <f>('Expenditure DATA'!GL52/'Expenditure DATA'!H52)*100</f>
        <v>#DIV/0!</v>
      </c>
      <c r="ED50" s="205" t="e">
        <f>('Expenditure DATA'!GM52/'Expenditure DATA'!I52)*100</f>
        <v>#DIV/0!</v>
      </c>
      <c r="EE50" s="205">
        <f>('Expenditure DATA'!GN52/'Expenditure DATA'!J52)*100</f>
        <v>25.131751633882949</v>
      </c>
      <c r="EF50" s="205">
        <f>('Expenditure DATA'!GO52/'Expenditure DATA'!K52)*100</f>
        <v>25.23230042138384</v>
      </c>
      <c r="EG50" s="205">
        <f>('Expenditure DATA'!GP52/'Expenditure DATA'!L52)*100</f>
        <v>25.316537898212211</v>
      </c>
      <c r="EH50" s="205">
        <f>('Expenditure DATA'!GQ52/'Expenditure DATA'!M52)*100</f>
        <v>25.438401365707524</v>
      </c>
      <c r="EI50" s="205">
        <f>('Expenditure DATA'!GR52/'Expenditure DATA'!N52)*100</f>
        <v>24.805947108387759</v>
      </c>
      <c r="EJ50" s="205">
        <f>('Expenditure DATA'!GS52/'Expenditure DATA'!O52)*100</f>
        <v>25.867611095109066</v>
      </c>
      <c r="EK50" s="205">
        <f>('Expenditure DATA'!GT52/'Expenditure DATA'!P52)*100</f>
        <v>25.322651058492525</v>
      </c>
      <c r="EL50" s="205">
        <f>('Expenditure DATA'!GU52/'Expenditure DATA'!Q52)*100</f>
        <v>25.860147558141698</v>
      </c>
      <c r="EM50" s="205">
        <f>('Expenditure DATA'!GV52/'Expenditure DATA'!R52)*100</f>
        <v>26.085828180317733</v>
      </c>
      <c r="EN50" s="205">
        <f>('Expenditure DATA'!GW52/'Expenditure DATA'!S52)*100</f>
        <v>25.98343454164511</v>
      </c>
      <c r="EO50" s="205">
        <f>('Expenditure DATA'!GX52/'Expenditure DATA'!T52)*100</f>
        <v>25.617114336932396</v>
      </c>
      <c r="EP50" s="205">
        <f>('Expenditure DATA'!GY52/'Expenditure DATA'!U52)*100</f>
        <v>26.068611540580079</v>
      </c>
      <c r="EQ50" s="205">
        <f>('Expenditure DATA'!GZ52/'Expenditure DATA'!V52)*100</f>
        <v>26.478417468980975</v>
      </c>
      <c r="ER50" s="205">
        <f>('Expenditure DATA'!HA52/'Expenditure DATA'!W52)*100</f>
        <v>25.77134159163051</v>
      </c>
      <c r="ES50" s="205">
        <f>('Expenditure DATA'!HB52/'Expenditure DATA'!X52)*100</f>
        <v>25.116466300350666</v>
      </c>
      <c r="ET50" s="205">
        <f>('Expenditure DATA'!HC52/'Expenditure DATA'!Y52)*100</f>
        <v>25.083000801723433</v>
      </c>
      <c r="EU50" s="205">
        <f>('Expenditure DATA'!HD52/'Expenditure DATA'!Z52)*100</f>
        <v>24.653577960590443</v>
      </c>
      <c r="EV50" s="205">
        <f>('Expenditure DATA'!HE52/'Expenditure DATA'!AA52)*100</f>
        <v>24.550843128573316</v>
      </c>
      <c r="EW50" s="205">
        <f>('Expenditure DATA'!HF52/'Expenditure DATA'!AB52)*100</f>
        <v>24.544344307643875</v>
      </c>
      <c r="EX50" s="205">
        <f>('Expenditure DATA'!HG52/'Expenditure DATA'!AC52)*100</f>
        <v>24.303445359374869</v>
      </c>
      <c r="EY50" s="205">
        <f>('Expenditure DATA'!HH52/'Expenditure DATA'!AD52)*100</f>
        <v>23.610362273123801</v>
      </c>
      <c r="EZ50" s="205">
        <f>('Expenditure DATA'!HI52/'Expenditure DATA'!AE52)*100</f>
        <v>23.468979836305714</v>
      </c>
      <c r="FA50" s="465">
        <f>('Expenditure DATA'!HJ52/'Expenditure DATA'!AF52)*100</f>
        <v>23.798353133260292</v>
      </c>
      <c r="FB50" s="206" t="e">
        <f>('Expenditure DATA'!HK52/'Expenditure DATA'!B52)*100</f>
        <v>#DIV/0!</v>
      </c>
      <c r="FC50" s="205" t="e">
        <f>('Expenditure DATA'!HL52/'Expenditure DATA'!C52)*100</f>
        <v>#DIV/0!</v>
      </c>
      <c r="FD50" s="205" t="e">
        <f>('Expenditure DATA'!HM52/'Expenditure DATA'!D52)*100</f>
        <v>#DIV/0!</v>
      </c>
      <c r="FE50" s="205" t="e">
        <f>('Expenditure DATA'!HN52/'Expenditure DATA'!E52)*100</f>
        <v>#DIV/0!</v>
      </c>
      <c r="FF50" s="205" t="e">
        <f>('Expenditure DATA'!HO52/'Expenditure DATA'!F52)*100</f>
        <v>#DIV/0!</v>
      </c>
      <c r="FG50" s="205" t="e">
        <f>('Expenditure DATA'!HP52/'Expenditure DATA'!G52)*100</f>
        <v>#DIV/0!</v>
      </c>
      <c r="FH50" s="205" t="e">
        <f>('Expenditure DATA'!HQ52/'Expenditure DATA'!H52)*100</f>
        <v>#DIV/0!</v>
      </c>
      <c r="FI50" s="205" t="e">
        <f>('Expenditure DATA'!HR52/'Expenditure DATA'!I52)*100</f>
        <v>#DIV/0!</v>
      </c>
      <c r="FJ50" s="205">
        <f>('Expenditure DATA'!HS52/'Expenditure DATA'!J52)*100</f>
        <v>4.5404514134879532</v>
      </c>
      <c r="FK50" s="205">
        <f>('Expenditure DATA'!HT52/'Expenditure DATA'!K52)*100</f>
        <v>4.4515026050578328</v>
      </c>
      <c r="FL50" s="205">
        <f>('Expenditure DATA'!HU52/'Expenditure DATA'!L52)*100</f>
        <v>4.3769833256585029</v>
      </c>
      <c r="FM50" s="205">
        <f>('Expenditure DATA'!HV52/'Expenditure DATA'!M52)*100</f>
        <v>4.4887247877273957</v>
      </c>
      <c r="FN50" s="205">
        <f>('Expenditure DATA'!HW52/'Expenditure DATA'!N52)*100</f>
        <v>4.6155119561276683</v>
      </c>
      <c r="FO50" s="205">
        <f>('Expenditure DATA'!HX52/'Expenditure DATA'!O52)*100</f>
        <v>4.7578734826834639</v>
      </c>
      <c r="FP50" s="205">
        <f>('Expenditure DATA'!HY52/'Expenditure DATA'!P52)*100</f>
        <v>4.8070320136916056</v>
      </c>
      <c r="FQ50" s="205">
        <f>('Expenditure DATA'!HZ52/'Expenditure DATA'!Q52)*100</f>
        <v>4.7071751026181117</v>
      </c>
      <c r="FR50" s="205">
        <f>('Expenditure DATA'!IA52/'Expenditure DATA'!R52)*100</f>
        <v>4.605848816987459</v>
      </c>
      <c r="FS50" s="205">
        <f>('Expenditure DATA'!IB52/'Expenditure DATA'!S52)*100</f>
        <v>4.9544085918155405</v>
      </c>
      <c r="FT50" s="205">
        <f>('Expenditure DATA'!IC52/'Expenditure DATA'!T52)*100</f>
        <v>4.7919604262986537</v>
      </c>
      <c r="FU50" s="205">
        <f>('Expenditure DATA'!ID52/'Expenditure DATA'!U52)*100</f>
        <v>4.670594091627275</v>
      </c>
      <c r="FV50" s="205">
        <f>('Expenditure DATA'!IE52/'Expenditure DATA'!V52)*100</f>
        <v>4.5604347306062287</v>
      </c>
      <c r="FW50" s="205">
        <f>('Expenditure DATA'!IF52/'Expenditure DATA'!W52)*100</f>
        <v>4.4137425495185463</v>
      </c>
      <c r="FX50" s="205">
        <f>('Expenditure DATA'!IG52/'Expenditure DATA'!X52)*100</f>
        <v>4.2778800658792457</v>
      </c>
      <c r="FY50" s="205">
        <f>('Expenditure DATA'!IH52/'Expenditure DATA'!Y52)*100</f>
        <v>4.2231081484726909</v>
      </c>
      <c r="FZ50" s="205">
        <f>('Expenditure DATA'!II52/'Expenditure DATA'!Z52)*100</f>
        <v>4.3006089118372781</v>
      </c>
      <c r="GA50" s="205">
        <f>('Expenditure DATA'!IJ52/'Expenditure DATA'!AA52)*100</f>
        <v>4.2918843001329314</v>
      </c>
      <c r="GB50" s="205">
        <f>('Expenditure DATA'!IK52/'Expenditure DATA'!AB52)*100</f>
        <v>4.1598530810288095</v>
      </c>
      <c r="GC50" s="205">
        <f>('Expenditure DATA'!IL52/'Expenditure DATA'!AC52)*100</f>
        <v>3.9669874327739363</v>
      </c>
      <c r="GD50" s="205">
        <f>('Expenditure DATA'!IM52/'Expenditure DATA'!AD52)*100</f>
        <v>3.7750750698319471</v>
      </c>
      <c r="GE50" s="205">
        <f>('Expenditure DATA'!IN52/'Expenditure DATA'!AE52)*100</f>
        <v>3.6853387939173206</v>
      </c>
      <c r="GF50" s="465">
        <f>('Expenditure DATA'!IO52/'Expenditure DATA'!AF52)*100</f>
        <v>4.0095753921434945</v>
      </c>
      <c r="GG50" s="206" t="e">
        <f>('Expenditure DATA'!IP52/'Expenditure DATA'!B52)*100</f>
        <v>#DIV/0!</v>
      </c>
      <c r="GH50" s="205" t="e">
        <f>('Expenditure DATA'!IQ52/'Expenditure DATA'!C52)*100</f>
        <v>#DIV/0!</v>
      </c>
      <c r="GI50" s="205" t="e">
        <f>('Expenditure DATA'!IR52/'Expenditure DATA'!D52)*100</f>
        <v>#DIV/0!</v>
      </c>
      <c r="GJ50" s="205" t="e">
        <f>('Expenditure DATA'!IS52/'Expenditure DATA'!E52)*100</f>
        <v>#DIV/0!</v>
      </c>
      <c r="GK50" s="205" t="e">
        <f>('Expenditure DATA'!IT52/'Expenditure DATA'!F52)*100</f>
        <v>#DIV/0!</v>
      </c>
      <c r="GL50" s="205" t="e">
        <f>('Expenditure DATA'!IU52/'Expenditure DATA'!G52)*100</f>
        <v>#DIV/0!</v>
      </c>
      <c r="GM50" s="205" t="e">
        <f>('Expenditure DATA'!IV52/'Expenditure DATA'!H52)*100</f>
        <v>#DIV/0!</v>
      </c>
      <c r="GN50" s="205" t="e">
        <f>('Expenditure DATA'!IW52/'Expenditure DATA'!I52)*100</f>
        <v>#DIV/0!</v>
      </c>
      <c r="GO50" s="205">
        <f>('Expenditure DATA'!IX52/'Expenditure DATA'!J52)*100</f>
        <v>8.2970229959256621</v>
      </c>
      <c r="GP50" s="205">
        <f>('Expenditure DATA'!IY52/'Expenditure DATA'!K52)*100</f>
        <v>8.5879645616487732</v>
      </c>
      <c r="GQ50" s="205">
        <f>('Expenditure DATA'!IZ52/'Expenditure DATA'!L52)*100</f>
        <v>8.8317087579752691</v>
      </c>
      <c r="GR50" s="205">
        <f>('Expenditure DATA'!JA52/'Expenditure DATA'!M52)*100</f>
        <v>8.9299221421251289</v>
      </c>
      <c r="GS50" s="205">
        <f>('Expenditure DATA'!JB52/'Expenditure DATA'!N52)*100</f>
        <v>8.813979840565624</v>
      </c>
      <c r="GT50" s="205">
        <f>('Expenditure DATA'!JC52/'Expenditure DATA'!O52)*100</f>
        <v>8.7271089319025137</v>
      </c>
      <c r="GU50" s="205">
        <f>('Expenditure DATA'!JD52/'Expenditure DATA'!P52)*100</f>
        <v>8.3202256872631857</v>
      </c>
      <c r="GV50" s="205">
        <f>('Expenditure DATA'!JE52/'Expenditure DATA'!Q52)*100</f>
        <v>8.5255375860455977</v>
      </c>
      <c r="GW50" s="205">
        <f>('Expenditure DATA'!JF52/'Expenditure DATA'!R52)*100</f>
        <v>8.5866689518503314</v>
      </c>
      <c r="GX50" s="205">
        <f>('Expenditure DATA'!JG52/'Expenditure DATA'!S52)*100</f>
        <v>9.1629016125637932</v>
      </c>
      <c r="GY50" s="205">
        <f>('Expenditure DATA'!JH52/'Expenditure DATA'!T52)*100</f>
        <v>11.146710484514619</v>
      </c>
      <c r="GZ50" s="205">
        <f>('Expenditure DATA'!JI52/'Expenditure DATA'!U52)*100</f>
        <v>9.7675317762070772</v>
      </c>
      <c r="HA50" s="205">
        <f>('Expenditure DATA'!JJ52/'Expenditure DATA'!V52)*100</f>
        <v>8.5157065014933941</v>
      </c>
      <c r="HB50" s="205">
        <f>('Expenditure DATA'!JK52/'Expenditure DATA'!W52)*100</f>
        <v>8.3889824210056165</v>
      </c>
      <c r="HC50" s="205">
        <f>('Expenditure DATA'!JL52/'Expenditure DATA'!X52)*100</f>
        <v>8.2716138729049824</v>
      </c>
      <c r="HD50" s="205">
        <f>('Expenditure DATA'!JM52/'Expenditure DATA'!Y52)*100</f>
        <v>8.2835150032345677</v>
      </c>
      <c r="HE50" s="205">
        <f>('Expenditure DATA'!JN52/'Expenditure DATA'!Z52)*100</f>
        <v>8.2828026897023452</v>
      </c>
      <c r="HF50" s="205">
        <f>('Expenditure DATA'!JO52/'Expenditure DATA'!AA52)*100</f>
        <v>8.5215889624128582</v>
      </c>
      <c r="HG50" s="205">
        <f>('Expenditure DATA'!JP52/'Expenditure DATA'!AB52)*100</f>
        <v>8.7835782139938718</v>
      </c>
      <c r="HH50" s="205">
        <f>('Expenditure DATA'!JQ52/'Expenditure DATA'!AC52)*100</f>
        <v>8.8235533208687205</v>
      </c>
      <c r="HI50" s="205">
        <f>('Expenditure DATA'!JR52/'Expenditure DATA'!AD52)*100</f>
        <v>8.0479033651107024</v>
      </c>
      <c r="HJ50" s="205">
        <f>('Expenditure DATA'!JS52/'Expenditure DATA'!AE52)*100</f>
        <v>8.3296561829842233</v>
      </c>
      <c r="HK50" s="465">
        <f>('Expenditure DATA'!JT52/'Expenditure DATA'!AF52)*100</f>
        <v>7.8137616059949764</v>
      </c>
      <c r="HL50" s="206" t="e">
        <f t="shared" si="1"/>
        <v>#DIV/0!</v>
      </c>
      <c r="HM50" s="207" t="e">
        <f t="shared" si="2"/>
        <v>#DIV/0!</v>
      </c>
      <c r="HN50" s="207" t="e">
        <f t="shared" si="3"/>
        <v>#DIV/0!</v>
      </c>
      <c r="HO50" s="207" t="e">
        <f t="shared" si="4"/>
        <v>#DIV/0!</v>
      </c>
      <c r="HP50" s="207" t="e">
        <f t="shared" si="5"/>
        <v>#DIV/0!</v>
      </c>
      <c r="HQ50" s="207" t="e">
        <f t="shared" si="6"/>
        <v>#DIV/0!</v>
      </c>
      <c r="HR50" s="207" t="e">
        <f t="shared" si="7"/>
        <v>#DIV/0!</v>
      </c>
      <c r="HS50" s="207" t="e">
        <f t="shared" si="8"/>
        <v>#DIV/0!</v>
      </c>
      <c r="HT50" s="207">
        <f t="shared" si="9"/>
        <v>100.00000000000001</v>
      </c>
      <c r="HU50" s="207">
        <f t="shared" si="10"/>
        <v>100.00000000000001</v>
      </c>
      <c r="HV50" s="207">
        <f t="shared" si="11"/>
        <v>100</v>
      </c>
      <c r="HW50" s="207">
        <f t="shared" si="12"/>
        <v>100</v>
      </c>
      <c r="HX50" s="207">
        <f t="shared" si="13"/>
        <v>99.999999999999986</v>
      </c>
      <c r="HY50" s="207">
        <f t="shared" si="14"/>
        <v>100</v>
      </c>
      <c r="HZ50" s="207">
        <f t="shared" si="15"/>
        <v>100.00000000000003</v>
      </c>
      <c r="IA50" s="207">
        <f t="shared" si="16"/>
        <v>100.00000000000001</v>
      </c>
      <c r="IB50" s="207">
        <f t="shared" si="17"/>
        <v>100</v>
      </c>
      <c r="IC50" s="207">
        <f t="shared" si="18"/>
        <v>100</v>
      </c>
      <c r="ID50" s="207">
        <f t="shared" si="19"/>
        <v>100</v>
      </c>
      <c r="IE50" s="207">
        <f t="shared" si="20"/>
        <v>100.00000000000001</v>
      </c>
      <c r="IF50" s="207">
        <f t="shared" si="21"/>
        <v>100.00000000000001</v>
      </c>
      <c r="IG50" s="207">
        <f t="shared" si="22"/>
        <v>100</v>
      </c>
      <c r="IH50" s="207">
        <f t="shared" si="23"/>
        <v>100</v>
      </c>
      <c r="II50" s="207">
        <f t="shared" si="24"/>
        <v>99.999999999999986</v>
      </c>
      <c r="IJ50" s="207">
        <f t="shared" si="25"/>
        <v>100</v>
      </c>
      <c r="IK50" s="207">
        <f t="shared" si="26"/>
        <v>100</v>
      </c>
      <c r="IL50" s="207">
        <f t="shared" si="37"/>
        <v>100</v>
      </c>
      <c r="IM50" s="207">
        <f t="shared" si="38"/>
        <v>100.00000222106431</v>
      </c>
      <c r="IN50" s="207">
        <f t="shared" si="39"/>
        <v>100.00000217159395</v>
      </c>
      <c r="IO50" s="207">
        <f t="shared" si="40"/>
        <v>99.999999999999986</v>
      </c>
      <c r="IP50" s="207">
        <f t="shared" si="41"/>
        <v>100</v>
      </c>
    </row>
    <row r="51" spans="1:250" s="164" customFormat="1">
      <c r="A51" s="164" t="s">
        <v>138</v>
      </c>
      <c r="C51" s="202" t="e">
        <f>('Expenditure DATA'!CQ53/'Expenditure DATA'!B53)*100</f>
        <v>#DIV/0!</v>
      </c>
      <c r="D51" s="202" t="e">
        <f>('Expenditure DATA'!CR53/'Expenditure DATA'!C53)*100</f>
        <v>#DIV/0!</v>
      </c>
      <c r="E51" s="202" t="e">
        <f>('Expenditure DATA'!CS53/'Expenditure DATA'!D53)*100</f>
        <v>#DIV/0!</v>
      </c>
      <c r="F51" s="202" t="e">
        <f>('Expenditure DATA'!CT53/'Expenditure DATA'!E53)*100</f>
        <v>#DIV/0!</v>
      </c>
      <c r="G51" s="202" t="e">
        <f>('Expenditure DATA'!CU53/'Expenditure DATA'!F53)*100</f>
        <v>#DIV/0!</v>
      </c>
      <c r="H51" s="202" t="e">
        <f>('Expenditure DATA'!CV53/'Expenditure DATA'!G53)*100</f>
        <v>#DIV/0!</v>
      </c>
      <c r="I51" s="202" t="e">
        <f>('Expenditure DATA'!CW53/'Expenditure DATA'!H53)*100</f>
        <v>#DIV/0!</v>
      </c>
      <c r="J51" s="202" t="e">
        <f>('Expenditure DATA'!CX53/'Expenditure DATA'!I53)*100</f>
        <v>#DIV/0!</v>
      </c>
      <c r="K51" s="202">
        <f>('Expenditure DATA'!CY53/'Expenditure DATA'!J53)*100</f>
        <v>5.5769581087484958</v>
      </c>
      <c r="L51" s="202">
        <f>('Expenditure DATA'!CZ53/'Expenditure DATA'!K53)*100</f>
        <v>5.8286926494338047</v>
      </c>
      <c r="M51" s="202">
        <f>('Expenditure DATA'!DA53/'Expenditure DATA'!L53)*100</f>
        <v>6.0444816431747235</v>
      </c>
      <c r="N51" s="202">
        <f>('Expenditure DATA'!DB53/'Expenditure DATA'!M53)*100</f>
        <v>5.9215632283255779</v>
      </c>
      <c r="O51" s="202">
        <f>('Expenditure DATA'!DC53/'Expenditure DATA'!N53)*100</f>
        <v>5.9575062005311921</v>
      </c>
      <c r="P51" s="202">
        <f>('Expenditure DATA'!DD53/'Expenditure DATA'!O53)*100</f>
        <v>5.8714721611002583</v>
      </c>
      <c r="Q51" s="202">
        <f>('Expenditure DATA'!DE53/'Expenditure DATA'!P53)*100</f>
        <v>5.6887277777830274</v>
      </c>
      <c r="R51" s="202">
        <f>('Expenditure DATA'!DF53/'Expenditure DATA'!Q53)*100</f>
        <v>5.7038058208305005</v>
      </c>
      <c r="S51" s="202">
        <f>('Expenditure DATA'!DG53/'Expenditure DATA'!R53)*100</f>
        <v>5.776646561437671</v>
      </c>
      <c r="T51" s="202">
        <f>('Expenditure DATA'!DH53/'Expenditure DATA'!S53)*100</f>
        <v>5.752221062154069</v>
      </c>
      <c r="U51" s="202">
        <f>('Expenditure DATA'!DI53/'Expenditure DATA'!T53)*100</f>
        <v>5.8757390279514414</v>
      </c>
      <c r="V51" s="202">
        <f>('Expenditure DATA'!DJ53/'Expenditure DATA'!U53)*100</f>
        <v>6.0800001382172981</v>
      </c>
      <c r="W51" s="202">
        <f>('Expenditure DATA'!DK53/'Expenditure DATA'!V53)*100</f>
        <v>6.2593633896409306</v>
      </c>
      <c r="X51" s="202">
        <f>('Expenditure DATA'!DL53/'Expenditure DATA'!W53)*100</f>
        <v>6.2674090970107583</v>
      </c>
      <c r="Y51" s="202">
        <f>('Expenditure DATA'!DM53/'Expenditure DATA'!X53)*100</f>
        <v>6.2747040769886935</v>
      </c>
      <c r="Z51" s="202">
        <f>('Expenditure DATA'!DN53/'Expenditure DATA'!Y53)*100</f>
        <v>6.3874476141825083</v>
      </c>
      <c r="AA51" s="202">
        <f>('Expenditure DATA'!DO53/'Expenditure DATA'!Z53)*100</f>
        <v>6.3774654125215351</v>
      </c>
      <c r="AB51" s="202">
        <f>('Expenditure DATA'!DP53/'Expenditure DATA'!AA53)*100</f>
        <v>6.3955984470515395</v>
      </c>
      <c r="AC51" s="202">
        <f>('Expenditure DATA'!DQ53/'Expenditure DATA'!AB53)*100</f>
        <v>6.5628382307324804</v>
      </c>
      <c r="AD51" s="202">
        <f>('Expenditure DATA'!DR53/'Expenditure DATA'!AC53)*100</f>
        <v>6.9465964479733273</v>
      </c>
      <c r="AE51" s="202">
        <f>('Expenditure DATA'!DS53/'Expenditure DATA'!AD53)*100</f>
        <v>6.6540771316396246</v>
      </c>
      <c r="AF51" s="202">
        <f>('Expenditure DATA'!DT53/'Expenditure DATA'!AE53)*100</f>
        <v>6.9901133852540722</v>
      </c>
      <c r="AG51" s="464">
        <f>('Expenditure DATA'!DU53/'Expenditure DATA'!AF53)*100</f>
        <v>7.0742657432881995</v>
      </c>
      <c r="AH51" s="203" t="e">
        <f>('Expenditure DATA'!BL53/'Expenditure DATA'!B53)*100</f>
        <v>#DIV/0!</v>
      </c>
      <c r="AI51" s="202" t="e">
        <f>('Expenditure DATA'!BM53/'Expenditure DATA'!C53)*100</f>
        <v>#DIV/0!</v>
      </c>
      <c r="AJ51" s="202" t="e">
        <f>('Expenditure DATA'!BN53/'Expenditure DATA'!D53)*100</f>
        <v>#DIV/0!</v>
      </c>
      <c r="AK51" s="202" t="e">
        <f>('Expenditure DATA'!BO53/'Expenditure DATA'!E53)*100</f>
        <v>#DIV/0!</v>
      </c>
      <c r="AL51" s="202" t="e">
        <f>('Expenditure DATA'!BP53/'Expenditure DATA'!F53)*100</f>
        <v>#DIV/0!</v>
      </c>
      <c r="AM51" s="202" t="e">
        <f>('Expenditure DATA'!BQ53/'Expenditure DATA'!G53)*100</f>
        <v>#DIV/0!</v>
      </c>
      <c r="AN51" s="202" t="e">
        <f>('Expenditure DATA'!BR53/'Expenditure DATA'!H53)*100</f>
        <v>#DIV/0!</v>
      </c>
      <c r="AO51" s="202" t="e">
        <f>('Expenditure DATA'!BS53/'Expenditure DATA'!I53)*100</f>
        <v>#DIV/0!</v>
      </c>
      <c r="AP51" s="202">
        <f>('Expenditure DATA'!BT53/'Expenditure DATA'!J53)*100</f>
        <v>23.453037702568309</v>
      </c>
      <c r="AQ51" s="202">
        <f>('Expenditure DATA'!BU53/'Expenditure DATA'!K53)*100</f>
        <v>23.213800050080327</v>
      </c>
      <c r="AR51" s="202">
        <f>('Expenditure DATA'!BV53/'Expenditure DATA'!L53)*100</f>
        <v>23.008723495409754</v>
      </c>
      <c r="AS51" s="202">
        <f>('Expenditure DATA'!BW53/'Expenditure DATA'!M53)*100</f>
        <v>23.516667849032793</v>
      </c>
      <c r="AT51" s="202">
        <f>('Expenditure DATA'!BX53/'Expenditure DATA'!N53)*100</f>
        <v>22.857153789845661</v>
      </c>
      <c r="AU51" s="202">
        <f>('Expenditure DATA'!BY53/'Expenditure DATA'!O53)*100</f>
        <v>22.591970205632865</v>
      </c>
      <c r="AV51" s="202">
        <f>('Expenditure DATA'!BZ53/'Expenditure DATA'!P53)*100</f>
        <v>23.047442767249191</v>
      </c>
      <c r="AW51" s="202">
        <f>('Expenditure DATA'!CA53/'Expenditure DATA'!Q53)*100</f>
        <v>23.472797087873257</v>
      </c>
      <c r="AX51" s="202">
        <f>('Expenditure DATA'!CB53/'Expenditure DATA'!R53)*100</f>
        <v>24.189081985498333</v>
      </c>
      <c r="AY51" s="202">
        <f>('Expenditure DATA'!CC53/'Expenditure DATA'!S53)*100</f>
        <v>24.703420256945506</v>
      </c>
      <c r="AZ51" s="202">
        <f>('Expenditure DATA'!CD53/'Expenditure DATA'!T53)*100</f>
        <v>25.015516887544329</v>
      </c>
      <c r="BA51" s="202">
        <f>('Expenditure DATA'!CE53/'Expenditure DATA'!U53)*100</f>
        <v>24.687189233499986</v>
      </c>
      <c r="BB51" s="202">
        <f>('Expenditure DATA'!CF53/'Expenditure DATA'!V53)*100</f>
        <v>24.398882196075988</v>
      </c>
      <c r="BC51" s="202">
        <f>('Expenditure DATA'!CG53/'Expenditure DATA'!W53)*100</f>
        <v>24.628195548424962</v>
      </c>
      <c r="BD51" s="202">
        <f>('Expenditure DATA'!CH53/'Expenditure DATA'!X53)*100</f>
        <v>24.836112172428898</v>
      </c>
      <c r="BE51" s="202">
        <f>('Expenditure DATA'!CI53/'Expenditure DATA'!Y53)*100</f>
        <v>24.607173181054808</v>
      </c>
      <c r="BF51" s="202">
        <f>('Expenditure DATA'!CJ53/'Expenditure DATA'!Z53)*100</f>
        <v>25.04281198173663</v>
      </c>
      <c r="BG51" s="202">
        <f>('Expenditure DATA'!CK53/'Expenditure DATA'!AA53)*100</f>
        <v>25.176934571559208</v>
      </c>
      <c r="BH51" s="202">
        <f>('Expenditure DATA'!CL53/'Expenditure DATA'!AB53)*100</f>
        <v>25.197759998964912</v>
      </c>
      <c r="BI51" s="202">
        <f>('Expenditure DATA'!CM53/'Expenditure DATA'!AC53)*100</f>
        <v>25.157251781761076</v>
      </c>
      <c r="BJ51" s="202">
        <f>('Expenditure DATA'!CN53/'Expenditure DATA'!AD53)*100</f>
        <v>24.646335413541092</v>
      </c>
      <c r="BK51" s="202">
        <f>('Expenditure DATA'!CO53/'Expenditure DATA'!AE53)*100</f>
        <v>23.986714759269191</v>
      </c>
      <c r="BL51" s="464">
        <f>('Expenditure DATA'!CP53/'Expenditure DATA'!AF53)*100</f>
        <v>23.94459242249081</v>
      </c>
      <c r="BM51" s="203" t="e">
        <f>('Expenditure DATA'!AG53/'Expenditure DATA'!B53)*100</f>
        <v>#DIV/0!</v>
      </c>
      <c r="BN51" s="202" t="e">
        <f>('Expenditure DATA'!AH53/'Expenditure DATA'!C53)*100</f>
        <v>#DIV/0!</v>
      </c>
      <c r="BO51" s="202" t="e">
        <f>('Expenditure DATA'!AI53/'Expenditure DATA'!D53)*100</f>
        <v>#DIV/0!</v>
      </c>
      <c r="BP51" s="202" t="e">
        <f>('Expenditure DATA'!AJ53/'Expenditure DATA'!E53)*100</f>
        <v>#DIV/0!</v>
      </c>
      <c r="BQ51" s="202" t="e">
        <f>('Expenditure DATA'!AK53/'Expenditure DATA'!F53)*100</f>
        <v>#DIV/0!</v>
      </c>
      <c r="BR51" s="202" t="e">
        <f>('Expenditure DATA'!AL53/'Expenditure DATA'!G53)*100</f>
        <v>#DIV/0!</v>
      </c>
      <c r="BS51" s="202" t="e">
        <f>('Expenditure DATA'!AM53/'Expenditure DATA'!H53)*100</f>
        <v>#DIV/0!</v>
      </c>
      <c r="BT51" s="202" t="e">
        <f>('Expenditure DATA'!AN53/'Expenditure DATA'!I53)*100</f>
        <v>#DIV/0!</v>
      </c>
      <c r="BU51" s="202">
        <f>('Expenditure DATA'!AO53/'Expenditure DATA'!J53)*100</f>
        <v>31.384733368759022</v>
      </c>
      <c r="BV51" s="202">
        <f>('Expenditure DATA'!AP53/'Expenditure DATA'!K53)*100</f>
        <v>31.052089287642847</v>
      </c>
      <c r="BW51" s="202">
        <f>('Expenditure DATA'!AQ53/'Expenditure DATA'!L53)*100</f>
        <v>30.766943946274449</v>
      </c>
      <c r="BX51" s="202">
        <f>('Expenditure DATA'!AR53/'Expenditure DATA'!M53)*100</f>
        <v>31.210743604932979</v>
      </c>
      <c r="BY51" s="202">
        <f>('Expenditure DATA'!AS53/'Expenditure DATA'!N53)*100</f>
        <v>30.608616843172399</v>
      </c>
      <c r="BZ51" s="202">
        <f>('Expenditure DATA'!AT53/'Expenditure DATA'!O53)*100</f>
        <v>30.320874584823628</v>
      </c>
      <c r="CA51" s="202">
        <f>('Expenditure DATA'!AU53/'Expenditure DATA'!P53)*100</f>
        <v>30.742662614266191</v>
      </c>
      <c r="CB51" s="202">
        <f>('Expenditure DATA'!AV53/'Expenditure DATA'!Q53)*100</f>
        <v>31.115387757785129</v>
      </c>
      <c r="CC51" s="202">
        <f>('Expenditure DATA'!AW53/'Expenditure DATA'!R53)*100</f>
        <v>31.895848666400596</v>
      </c>
      <c r="CD51" s="202">
        <f>('Expenditure DATA'!AX53/'Expenditure DATA'!S53)*100</f>
        <v>32.352996790036151</v>
      </c>
      <c r="CE51" s="202">
        <f>('Expenditure DATA'!AY53/'Expenditure DATA'!T53)*100</f>
        <v>32.807135626630831</v>
      </c>
      <c r="CF51" s="202">
        <f>('Expenditure DATA'!AZ53/'Expenditure DATA'!U53)*100</f>
        <v>32.654708453317149</v>
      </c>
      <c r="CG51" s="202">
        <f>('Expenditure DATA'!BA53/'Expenditure DATA'!V53)*100</f>
        <v>32.520860980466018</v>
      </c>
      <c r="CH51" s="202">
        <f>('Expenditure DATA'!BB53/'Expenditure DATA'!W53)*100</f>
        <v>32.927953513421315</v>
      </c>
      <c r="CI51" s="202">
        <f>('Expenditure DATA'!BC53/'Expenditure DATA'!X53)*100</f>
        <v>33.297061130759147</v>
      </c>
      <c r="CJ51" s="202">
        <f>('Expenditure DATA'!BD53/'Expenditure DATA'!Y53)*100</f>
        <v>33.411347419531914</v>
      </c>
      <c r="CK51" s="202">
        <f>('Expenditure DATA'!BE53/'Expenditure DATA'!Z53)*100</f>
        <v>33.5960747898786</v>
      </c>
      <c r="CL51" s="202">
        <f>('Expenditure DATA'!BF53/'Expenditure DATA'!AA53)*100</f>
        <v>33.471882949657193</v>
      </c>
      <c r="CM51" s="202">
        <f>('Expenditure DATA'!BG53/'Expenditure DATA'!AB53)*100</f>
        <v>33.616473815800489</v>
      </c>
      <c r="CN51" s="202">
        <f>('Expenditure DATA'!BH53/'Expenditure DATA'!AC53)*100</f>
        <v>33.936351877908727</v>
      </c>
      <c r="CO51" s="202">
        <f>('Expenditure DATA'!BI53/'Expenditure DATA'!AD53)*100</f>
        <v>33.205740321063089</v>
      </c>
      <c r="CP51" s="202">
        <f>('Expenditure DATA'!BJ53/'Expenditure DATA'!AE53)*100</f>
        <v>32.784945631627451</v>
      </c>
      <c r="CQ51" s="464">
        <f>('Expenditure DATA'!BK53/'Expenditure DATA'!AF53)*100</f>
        <v>32.866891338952108</v>
      </c>
      <c r="CR51" s="203" t="e">
        <f>('Expenditure DATA'!FA53/'Expenditure DATA'!B53)*100</f>
        <v>#DIV/0!</v>
      </c>
      <c r="CS51" s="202" t="e">
        <f>('Expenditure DATA'!FB53/'Expenditure DATA'!C53)*100</f>
        <v>#DIV/0!</v>
      </c>
      <c r="CT51" s="202" t="e">
        <f>('Expenditure DATA'!FC53/'Expenditure DATA'!D53)*100</f>
        <v>#DIV/0!</v>
      </c>
      <c r="CU51" s="202" t="e">
        <f>('Expenditure DATA'!FD53/'Expenditure DATA'!E53)*100</f>
        <v>#DIV/0!</v>
      </c>
      <c r="CV51" s="202" t="e">
        <f>('Expenditure DATA'!FE53/'Expenditure DATA'!F53)*100</f>
        <v>#DIV/0!</v>
      </c>
      <c r="CW51" s="202" t="e">
        <f>('Expenditure DATA'!FF53/'Expenditure DATA'!G53)*100</f>
        <v>#DIV/0!</v>
      </c>
      <c r="CX51" s="202" t="e">
        <f>('Expenditure DATA'!FG53/'Expenditure DATA'!H53)*100</f>
        <v>#DIV/0!</v>
      </c>
      <c r="CY51" s="202" t="e">
        <f>('Expenditure DATA'!FH53/'Expenditure DATA'!I53)*100</f>
        <v>#DIV/0!</v>
      </c>
      <c r="CZ51" s="202">
        <f>('Expenditure DATA'!FI53/'Expenditure DATA'!J53)*100</f>
        <v>24.573254592448844</v>
      </c>
      <c r="DA51" s="202">
        <f>('Expenditure DATA'!FJ53/'Expenditure DATA'!K53)*100</f>
        <v>26.105189301829629</v>
      </c>
      <c r="DB51" s="202">
        <f>('Expenditure DATA'!FK53/'Expenditure DATA'!L53)*100</f>
        <v>27.418376790976435</v>
      </c>
      <c r="DC51" s="202">
        <f>('Expenditure DATA'!FL53/'Expenditure DATA'!M53)*100</f>
        <v>27.407241685744875</v>
      </c>
      <c r="DD51" s="202">
        <f>('Expenditure DATA'!FM53/'Expenditure DATA'!N53)*100</f>
        <v>28.014700199914728</v>
      </c>
      <c r="DE51" s="202">
        <f>('Expenditure DATA'!FN53/'Expenditure DATA'!O53)*100</f>
        <v>28.480874130909513</v>
      </c>
      <c r="DF51" s="202">
        <f>('Expenditure DATA'!FO53/'Expenditure DATA'!P53)*100</f>
        <v>27.73433923323627</v>
      </c>
      <c r="DG51" s="202">
        <f>('Expenditure DATA'!FP53/'Expenditure DATA'!Q53)*100</f>
        <v>26.027483312492777</v>
      </c>
      <c r="DH51" s="202">
        <f>('Expenditure DATA'!FQ53/'Expenditure DATA'!R53)*100</f>
        <v>25.939754831278865</v>
      </c>
      <c r="DI51" s="202">
        <f>('Expenditure DATA'!FR53/'Expenditure DATA'!S53)*100</f>
        <v>25.397740184076955</v>
      </c>
      <c r="DJ51" s="202">
        <f>('Expenditure DATA'!FS53/'Expenditure DATA'!T53)*100</f>
        <v>25.604054363975663</v>
      </c>
      <c r="DK51" s="202">
        <f>('Expenditure DATA'!FT53/'Expenditure DATA'!U53)*100</f>
        <v>25.428951814025407</v>
      </c>
      <c r="DL51" s="202">
        <f>('Expenditure DATA'!FU53/'Expenditure DATA'!V53)*100</f>
        <v>25.275192918605882</v>
      </c>
      <c r="DM51" s="202">
        <f>('Expenditure DATA'!FV53/'Expenditure DATA'!W53)*100</f>
        <v>26.435774435689378</v>
      </c>
      <c r="DN51" s="202">
        <f>('Expenditure DATA'!FW53/'Expenditure DATA'!X53)*100</f>
        <v>27.488064624819518</v>
      </c>
      <c r="DO51" s="202">
        <f>('Expenditure DATA'!FX53/'Expenditure DATA'!Y53)*100</f>
        <v>27.923936460954597</v>
      </c>
      <c r="DP51" s="202">
        <f>('Expenditure DATA'!FY53/'Expenditure DATA'!Z53)*100</f>
        <v>27.558986157711857</v>
      </c>
      <c r="DQ51" s="202">
        <f>('Expenditure DATA'!FZ53/'Expenditure DATA'!AA53)*100</f>
        <v>27.691492749327629</v>
      </c>
      <c r="DR51" s="202">
        <f>('Expenditure DATA'!GA53/'Expenditure DATA'!AB53)*100</f>
        <v>27.152840576029373</v>
      </c>
      <c r="DS51" s="202">
        <f>('Expenditure DATA'!GB53/'Expenditure DATA'!AC53)*100</f>
        <v>27.771262695404708</v>
      </c>
      <c r="DT51" s="202">
        <f>('Expenditure DATA'!GC53/'Expenditure DATA'!AD53)*100</f>
        <v>28.3328197241566</v>
      </c>
      <c r="DU51" s="202">
        <f>('Expenditure DATA'!GD53/'Expenditure DATA'!AE53)*100</f>
        <v>28.875847537083931</v>
      </c>
      <c r="DV51" s="464">
        <f>('Expenditure DATA'!GE53/'Expenditure DATA'!AF53)*100</f>
        <v>28.776173141256518</v>
      </c>
      <c r="DW51" s="203" t="e">
        <f>('Expenditure DATA'!GF53/'Expenditure DATA'!B53)*100</f>
        <v>#DIV/0!</v>
      </c>
      <c r="DX51" s="202" t="e">
        <f>('Expenditure DATA'!GG53/'Expenditure DATA'!C53)*100</f>
        <v>#DIV/0!</v>
      </c>
      <c r="DY51" s="202" t="e">
        <f>('Expenditure DATA'!GH53/'Expenditure DATA'!D53)*100</f>
        <v>#DIV/0!</v>
      </c>
      <c r="DZ51" s="202" t="e">
        <f>('Expenditure DATA'!GI53/'Expenditure DATA'!E53)*100</f>
        <v>#DIV/0!</v>
      </c>
      <c r="EA51" s="202" t="e">
        <f>('Expenditure DATA'!GJ53/'Expenditure DATA'!F53)*100</f>
        <v>#DIV/0!</v>
      </c>
      <c r="EB51" s="202" t="e">
        <f>('Expenditure DATA'!GK53/'Expenditure DATA'!G53)*100</f>
        <v>#DIV/0!</v>
      </c>
      <c r="EC51" s="202" t="e">
        <f>('Expenditure DATA'!GL53/'Expenditure DATA'!H53)*100</f>
        <v>#DIV/0!</v>
      </c>
      <c r="ED51" s="202" t="e">
        <f>('Expenditure DATA'!GM53/'Expenditure DATA'!I53)*100</f>
        <v>#DIV/0!</v>
      </c>
      <c r="EE51" s="202">
        <f>('Expenditure DATA'!GN53/'Expenditure DATA'!J53)*100</f>
        <v>24.324532839495504</v>
      </c>
      <c r="EF51" s="202">
        <f>('Expenditure DATA'!GO53/'Expenditure DATA'!K53)*100</f>
        <v>23.282022610686518</v>
      </c>
      <c r="EG51" s="202">
        <f>('Expenditure DATA'!GP53/'Expenditure DATA'!L53)*100</f>
        <v>22.388373957518471</v>
      </c>
      <c r="EH51" s="202">
        <f>('Expenditure DATA'!GQ53/'Expenditure DATA'!M53)*100</f>
        <v>22.295439433915977</v>
      </c>
      <c r="EI51" s="202">
        <f>('Expenditure DATA'!GR53/'Expenditure DATA'!N53)*100</f>
        <v>22.257429192634177</v>
      </c>
      <c r="EJ51" s="202">
        <f>('Expenditure DATA'!GS53/'Expenditure DATA'!O53)*100</f>
        <v>22.262905626311127</v>
      </c>
      <c r="EK51" s="202">
        <f>('Expenditure DATA'!GT53/'Expenditure DATA'!P53)*100</f>
        <v>22.50427301033562</v>
      </c>
      <c r="EL51" s="202">
        <f>('Expenditure DATA'!GU53/'Expenditure DATA'!Q53)*100</f>
        <v>22.87706960611612</v>
      </c>
      <c r="EM51" s="202">
        <f>('Expenditure DATA'!GV53/'Expenditure DATA'!R53)*100</f>
        <v>22.58709915803945</v>
      </c>
      <c r="EN51" s="202">
        <f>('Expenditure DATA'!GW53/'Expenditure DATA'!S53)*100</f>
        <v>22.524433414921344</v>
      </c>
      <c r="EO51" s="202">
        <f>('Expenditure DATA'!GX53/'Expenditure DATA'!T53)*100</f>
        <v>22.319492954072999</v>
      </c>
      <c r="EP51" s="202">
        <f>('Expenditure DATA'!GY53/'Expenditure DATA'!U53)*100</f>
        <v>22.308528439036508</v>
      </c>
      <c r="EQ51" s="202">
        <f>('Expenditure DATA'!GZ53/'Expenditure DATA'!V53)*100</f>
        <v>22.298900414080272</v>
      </c>
      <c r="ER51" s="202">
        <f>('Expenditure DATA'!HA53/'Expenditure DATA'!W53)*100</f>
        <v>21.823543608581083</v>
      </c>
      <c r="ES51" s="202">
        <f>('Expenditure DATA'!HB53/'Expenditure DATA'!X53)*100</f>
        <v>21.392541308958002</v>
      </c>
      <c r="ET51" s="202">
        <f>('Expenditure DATA'!HC53/'Expenditure DATA'!Y53)*100</f>
        <v>21.119294578453349</v>
      </c>
      <c r="EU51" s="202">
        <f>('Expenditure DATA'!HD53/'Expenditure DATA'!Z53)*100</f>
        <v>20.88267235837699</v>
      </c>
      <c r="EV51" s="202">
        <f>('Expenditure DATA'!HE53/'Expenditure DATA'!AA53)*100</f>
        <v>20.964688512391803</v>
      </c>
      <c r="EW51" s="202">
        <f>('Expenditure DATA'!HF53/'Expenditure DATA'!AB53)*100</f>
        <v>21.146046562923409</v>
      </c>
      <c r="EX51" s="202">
        <f>('Expenditure DATA'!HG53/'Expenditure DATA'!AC53)*100</f>
        <v>20.792219036836297</v>
      </c>
      <c r="EY51" s="202">
        <f>('Expenditure DATA'!HH53/'Expenditure DATA'!AD53)*100</f>
        <v>21.234410160649887</v>
      </c>
      <c r="EZ51" s="202">
        <f>('Expenditure DATA'!HI53/'Expenditure DATA'!AE53)*100</f>
        <v>21.199555915134404</v>
      </c>
      <c r="FA51" s="464">
        <f>('Expenditure DATA'!HJ53/'Expenditure DATA'!AF53)*100</f>
        <v>20.81010646511675</v>
      </c>
      <c r="FB51" s="203" t="e">
        <f>('Expenditure DATA'!HK53/'Expenditure DATA'!B53)*100</f>
        <v>#DIV/0!</v>
      </c>
      <c r="FC51" s="202" t="e">
        <f>('Expenditure DATA'!HL53/'Expenditure DATA'!C53)*100</f>
        <v>#DIV/0!</v>
      </c>
      <c r="FD51" s="202" t="e">
        <f>('Expenditure DATA'!HM53/'Expenditure DATA'!D53)*100</f>
        <v>#DIV/0!</v>
      </c>
      <c r="FE51" s="202" t="e">
        <f>('Expenditure DATA'!HN53/'Expenditure DATA'!E53)*100</f>
        <v>#DIV/0!</v>
      </c>
      <c r="FF51" s="202" t="e">
        <f>('Expenditure DATA'!HO53/'Expenditure DATA'!F53)*100</f>
        <v>#DIV/0!</v>
      </c>
      <c r="FG51" s="202" t="e">
        <f>('Expenditure DATA'!HP53/'Expenditure DATA'!G53)*100</f>
        <v>#DIV/0!</v>
      </c>
      <c r="FH51" s="202" t="e">
        <f>('Expenditure DATA'!HQ53/'Expenditure DATA'!H53)*100</f>
        <v>#DIV/0!</v>
      </c>
      <c r="FI51" s="202" t="e">
        <f>('Expenditure DATA'!HR53/'Expenditure DATA'!I53)*100</f>
        <v>#DIV/0!</v>
      </c>
      <c r="FJ51" s="202">
        <f>('Expenditure DATA'!HS53/'Expenditure DATA'!J53)*100</f>
        <v>5.1368281540149701</v>
      </c>
      <c r="FK51" s="202">
        <f>('Expenditure DATA'!HT53/'Expenditure DATA'!K53)*100</f>
        <v>4.888989756880985</v>
      </c>
      <c r="FL51" s="202">
        <f>('Expenditure DATA'!HU53/'Expenditure DATA'!L53)*100</f>
        <v>4.6765405705980427</v>
      </c>
      <c r="FM51" s="202">
        <f>('Expenditure DATA'!HV53/'Expenditure DATA'!M53)*100</f>
        <v>4.6277043079501512</v>
      </c>
      <c r="FN51" s="202">
        <f>('Expenditure DATA'!HW53/'Expenditure DATA'!N53)*100</f>
        <v>4.7495079505180744</v>
      </c>
      <c r="FO51" s="202">
        <f>('Expenditure DATA'!HX53/'Expenditure DATA'!O53)*100</f>
        <v>4.8481480314691883</v>
      </c>
      <c r="FP51" s="202">
        <f>('Expenditure DATA'!HY53/'Expenditure DATA'!P53)*100</f>
        <v>4.8066147546246709</v>
      </c>
      <c r="FQ51" s="202">
        <f>('Expenditure DATA'!HZ53/'Expenditure DATA'!Q53)*100</f>
        <v>5.0429606584368667</v>
      </c>
      <c r="FR51" s="202">
        <f>('Expenditure DATA'!IA53/'Expenditure DATA'!R53)*100</f>
        <v>5.0236886829490217</v>
      </c>
      <c r="FS51" s="202">
        <f>('Expenditure DATA'!IB53/'Expenditure DATA'!S53)*100</f>
        <v>5.0096664012373147</v>
      </c>
      <c r="FT51" s="202">
        <f>('Expenditure DATA'!IC53/'Expenditure DATA'!T53)*100</f>
        <v>4.9146410375540768</v>
      </c>
      <c r="FU51" s="202">
        <f>('Expenditure DATA'!ID53/'Expenditure DATA'!U53)*100</f>
        <v>4.8819605440358984</v>
      </c>
      <c r="FV51" s="202">
        <f>('Expenditure DATA'!IE53/'Expenditure DATA'!V53)*100</f>
        <v>4.8532635514075908</v>
      </c>
      <c r="FW51" s="202">
        <f>('Expenditure DATA'!IF53/'Expenditure DATA'!W53)*100</f>
        <v>4.7930785177348962</v>
      </c>
      <c r="FX51" s="202">
        <f>('Expenditure DATA'!IG53/'Expenditure DATA'!X53)*100</f>
        <v>4.7385092181777262</v>
      </c>
      <c r="FY51" s="202">
        <f>('Expenditure DATA'!IH53/'Expenditure DATA'!Y53)*100</f>
        <v>4.8531221428958489</v>
      </c>
      <c r="FZ51" s="202">
        <f>('Expenditure DATA'!II53/'Expenditure DATA'!Z53)*100</f>
        <v>4.8420991306810857</v>
      </c>
      <c r="GA51" s="202">
        <f>('Expenditure DATA'!IJ53/'Expenditure DATA'!AA53)*100</f>
        <v>4.9180834724734916</v>
      </c>
      <c r="GB51" s="202">
        <f>('Expenditure DATA'!IK53/'Expenditure DATA'!AB53)*100</f>
        <v>5.135942729037299</v>
      </c>
      <c r="GC51" s="202">
        <f>('Expenditure DATA'!IL53/'Expenditure DATA'!AC53)*100</f>
        <v>4.9750420554844004</v>
      </c>
      <c r="GD51" s="202">
        <f>('Expenditure DATA'!IM53/'Expenditure DATA'!AD53)*100</f>
        <v>4.8233845914051443</v>
      </c>
      <c r="GE51" s="202">
        <f>('Expenditure DATA'!IN53/'Expenditure DATA'!AE53)*100</f>
        <v>4.5618446725731188</v>
      </c>
      <c r="GF51" s="464">
        <f>('Expenditure DATA'!IO53/'Expenditure DATA'!AF53)*100</f>
        <v>4.5622557488535209</v>
      </c>
      <c r="GG51" s="203" t="e">
        <f>('Expenditure DATA'!IP53/'Expenditure DATA'!B53)*100</f>
        <v>#DIV/0!</v>
      </c>
      <c r="GH51" s="202" t="e">
        <f>('Expenditure DATA'!IQ53/'Expenditure DATA'!C53)*100</f>
        <v>#DIV/0!</v>
      </c>
      <c r="GI51" s="202" t="e">
        <f>('Expenditure DATA'!IR53/'Expenditure DATA'!D53)*100</f>
        <v>#DIV/0!</v>
      </c>
      <c r="GJ51" s="202" t="e">
        <f>('Expenditure DATA'!IS53/'Expenditure DATA'!E53)*100</f>
        <v>#DIV/0!</v>
      </c>
      <c r="GK51" s="202" t="e">
        <f>('Expenditure DATA'!IT53/'Expenditure DATA'!F53)*100</f>
        <v>#DIV/0!</v>
      </c>
      <c r="GL51" s="202" t="e">
        <f>('Expenditure DATA'!IU53/'Expenditure DATA'!G53)*100</f>
        <v>#DIV/0!</v>
      </c>
      <c r="GM51" s="202" t="e">
        <f>('Expenditure DATA'!IV53/'Expenditure DATA'!H53)*100</f>
        <v>#DIV/0!</v>
      </c>
      <c r="GN51" s="202" t="e">
        <f>('Expenditure DATA'!IW53/'Expenditure DATA'!I53)*100</f>
        <v>#DIV/0!</v>
      </c>
      <c r="GO51" s="202">
        <f>('Expenditure DATA'!IX53/'Expenditure DATA'!J53)*100</f>
        <v>14.580696748317035</v>
      </c>
      <c r="GP51" s="202">
        <f>('Expenditure DATA'!IY53/'Expenditure DATA'!K53)*100</f>
        <v>14.671730137538763</v>
      </c>
      <c r="GQ51" s="202">
        <f>('Expenditure DATA'!IZ53/'Expenditure DATA'!L53)*100</f>
        <v>14.74976473463261</v>
      </c>
      <c r="GR51" s="202">
        <f>('Expenditure DATA'!JA53/'Expenditure DATA'!M53)*100</f>
        <v>14.458870967456011</v>
      </c>
      <c r="GS51" s="202">
        <f>('Expenditure DATA'!JB53/'Expenditure DATA'!N53)*100</f>
        <v>14.369745813760634</v>
      </c>
      <c r="GT51" s="202">
        <f>('Expenditure DATA'!JC53/'Expenditure DATA'!O53)*100</f>
        <v>14.08719762648653</v>
      </c>
      <c r="GU51" s="202">
        <f>('Expenditure DATA'!JD53/'Expenditure DATA'!P53)*100</f>
        <v>14.21211038753723</v>
      </c>
      <c r="GV51" s="202">
        <f>('Expenditure DATA'!JE53/'Expenditure DATA'!Q53)*100</f>
        <v>14.937098665169074</v>
      </c>
      <c r="GW51" s="202">
        <f>('Expenditure DATA'!JF53/'Expenditure DATA'!R53)*100</f>
        <v>14.553608661332069</v>
      </c>
      <c r="GX51" s="202">
        <f>('Expenditure DATA'!JG53/'Expenditure DATA'!S53)*100</f>
        <v>14.715163209728244</v>
      </c>
      <c r="GY51" s="202">
        <f>('Expenditure DATA'!JH53/'Expenditure DATA'!T53)*100</f>
        <v>14.354676017766446</v>
      </c>
      <c r="GZ51" s="202">
        <f>('Expenditure DATA'!JI53/'Expenditure DATA'!U53)*100</f>
        <v>14.725850749585035</v>
      </c>
      <c r="HA51" s="202">
        <f>('Expenditure DATA'!JJ53/'Expenditure DATA'!V53)*100</f>
        <v>15.051782135440254</v>
      </c>
      <c r="HB51" s="202">
        <f>('Expenditure DATA'!JK53/'Expenditure DATA'!W53)*100</f>
        <v>14.019649924573322</v>
      </c>
      <c r="HC51" s="202">
        <f>('Expenditure DATA'!JL53/'Expenditure DATA'!X53)*100</f>
        <v>13.083823717285609</v>
      </c>
      <c r="HD51" s="202">
        <f>('Expenditure DATA'!JM53/'Expenditure DATA'!Y53)*100</f>
        <v>12.692299398164298</v>
      </c>
      <c r="HE51" s="202">
        <f>('Expenditure DATA'!JN53/'Expenditure DATA'!Z53)*100</f>
        <v>13.120167563351458</v>
      </c>
      <c r="HF51" s="202">
        <f>('Expenditure DATA'!JO53/'Expenditure DATA'!AA53)*100</f>
        <v>12.953852316149863</v>
      </c>
      <c r="HG51" s="202">
        <f>('Expenditure DATA'!JP53/'Expenditure DATA'!AB53)*100</f>
        <v>12.948696316209421</v>
      </c>
      <c r="HH51" s="202">
        <f>('Expenditure DATA'!JQ53/'Expenditure DATA'!AC53)*100</f>
        <v>12.525125286198445</v>
      </c>
      <c r="HI51" s="202">
        <f>('Expenditure DATA'!JR53/'Expenditure DATA'!AD53)*100</f>
        <v>12.403645385119228</v>
      </c>
      <c r="HJ51" s="202">
        <f>('Expenditure DATA'!JS53/'Expenditure DATA'!AE53)*100</f>
        <v>12.57780624358109</v>
      </c>
      <c r="HK51" s="464">
        <f>('Expenditure DATA'!JT53/'Expenditure DATA'!AF53)*100</f>
        <v>12.984573305821101</v>
      </c>
      <c r="HL51" s="203" t="e">
        <f t="shared" si="1"/>
        <v>#DIV/0!</v>
      </c>
      <c r="HM51" s="204" t="e">
        <f t="shared" si="2"/>
        <v>#DIV/0!</v>
      </c>
      <c r="HN51" s="204" t="e">
        <f t="shared" si="3"/>
        <v>#DIV/0!</v>
      </c>
      <c r="HO51" s="204" t="e">
        <f t="shared" si="4"/>
        <v>#DIV/0!</v>
      </c>
      <c r="HP51" s="204" t="e">
        <f t="shared" si="5"/>
        <v>#DIV/0!</v>
      </c>
      <c r="HQ51" s="204" t="e">
        <f t="shared" si="6"/>
        <v>#DIV/0!</v>
      </c>
      <c r="HR51" s="204" t="e">
        <f t="shared" si="7"/>
        <v>#DIV/0!</v>
      </c>
      <c r="HS51" s="204" t="e">
        <f t="shared" si="8"/>
        <v>#DIV/0!</v>
      </c>
      <c r="HT51" s="204">
        <f t="shared" si="9"/>
        <v>100.00004570303537</v>
      </c>
      <c r="HU51" s="204">
        <f t="shared" si="10"/>
        <v>100.00002109457874</v>
      </c>
      <c r="HV51" s="204">
        <f t="shared" si="11"/>
        <v>100</v>
      </c>
      <c r="HW51" s="204">
        <f t="shared" si="12"/>
        <v>99.999999999999986</v>
      </c>
      <c r="HX51" s="204">
        <f t="shared" si="13"/>
        <v>100.00000000000001</v>
      </c>
      <c r="HY51" s="204">
        <f t="shared" si="14"/>
        <v>99.999999999999986</v>
      </c>
      <c r="HZ51" s="204">
        <f t="shared" si="15"/>
        <v>100</v>
      </c>
      <c r="IA51" s="204">
        <f t="shared" si="16"/>
        <v>99.999999999999972</v>
      </c>
      <c r="IB51" s="204">
        <f t="shared" si="17"/>
        <v>99.999999999999986</v>
      </c>
      <c r="IC51" s="204">
        <f t="shared" si="18"/>
        <v>100.00000000000001</v>
      </c>
      <c r="ID51" s="204">
        <f t="shared" si="19"/>
        <v>100.00000000000003</v>
      </c>
      <c r="IE51" s="204">
        <f t="shared" si="20"/>
        <v>99.999999999999986</v>
      </c>
      <c r="IF51" s="204">
        <f t="shared" si="21"/>
        <v>100.00000000000001</v>
      </c>
      <c r="IG51" s="204">
        <f t="shared" si="22"/>
        <v>100</v>
      </c>
      <c r="IH51" s="204">
        <f t="shared" si="23"/>
        <v>100</v>
      </c>
      <c r="II51" s="204">
        <f t="shared" si="24"/>
        <v>100</v>
      </c>
      <c r="IJ51" s="204">
        <f t="shared" si="25"/>
        <v>100</v>
      </c>
      <c r="IK51" s="204">
        <f t="shared" si="26"/>
        <v>99.999999999999986</v>
      </c>
      <c r="IL51" s="204">
        <f t="shared" si="37"/>
        <v>100</v>
      </c>
      <c r="IM51" s="204">
        <f t="shared" si="38"/>
        <v>100.00000095183258</v>
      </c>
      <c r="IN51" s="204">
        <f t="shared" si="39"/>
        <v>100.00000018239395</v>
      </c>
      <c r="IO51" s="204">
        <f t="shared" si="40"/>
        <v>100</v>
      </c>
      <c r="IP51" s="204">
        <f t="shared" si="41"/>
        <v>99.999999999999986</v>
      </c>
    </row>
    <row r="52" spans="1:250" s="164" customFormat="1"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464"/>
      <c r="AH52" s="203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  <c r="AS52" s="202"/>
      <c r="AT52" s="202"/>
      <c r="AU52" s="202"/>
      <c r="AV52" s="202"/>
      <c r="AW52" s="202"/>
      <c r="AX52" s="202"/>
      <c r="AY52" s="202"/>
      <c r="AZ52" s="202"/>
      <c r="BA52" s="202"/>
      <c r="BB52" s="202"/>
      <c r="BC52" s="202"/>
      <c r="BD52" s="202"/>
      <c r="BE52" s="202"/>
      <c r="BF52" s="202"/>
      <c r="BG52" s="202"/>
      <c r="BH52" s="202"/>
      <c r="BI52" s="202"/>
      <c r="BJ52" s="202"/>
      <c r="BK52" s="202"/>
      <c r="BL52" s="464"/>
      <c r="BM52" s="203"/>
      <c r="BN52" s="202"/>
      <c r="BO52" s="202"/>
      <c r="BP52" s="202"/>
      <c r="BQ52" s="202"/>
      <c r="BR52" s="202"/>
      <c r="BS52" s="202"/>
      <c r="BT52" s="202"/>
      <c r="BU52" s="202"/>
      <c r="BV52" s="202"/>
      <c r="BW52" s="202"/>
      <c r="BX52" s="202"/>
      <c r="BY52" s="202"/>
      <c r="BZ52" s="202"/>
      <c r="CA52" s="202"/>
      <c r="CB52" s="202"/>
      <c r="CC52" s="202"/>
      <c r="CD52" s="202"/>
      <c r="CE52" s="202"/>
      <c r="CF52" s="202"/>
      <c r="CG52" s="202"/>
      <c r="CH52" s="202"/>
      <c r="CI52" s="202"/>
      <c r="CJ52" s="202"/>
      <c r="CK52" s="202"/>
      <c r="CL52" s="202"/>
      <c r="CM52" s="202"/>
      <c r="CN52" s="202"/>
      <c r="CO52" s="202"/>
      <c r="CP52" s="202"/>
      <c r="CQ52" s="464"/>
      <c r="CR52" s="203"/>
      <c r="CS52" s="202"/>
      <c r="CT52" s="202"/>
      <c r="CU52" s="202"/>
      <c r="CV52" s="202"/>
      <c r="CW52" s="202"/>
      <c r="CX52" s="202"/>
      <c r="CY52" s="202"/>
      <c r="CZ52" s="202"/>
      <c r="DA52" s="202"/>
      <c r="DB52" s="202"/>
      <c r="DC52" s="202"/>
      <c r="DD52" s="202"/>
      <c r="DE52" s="202"/>
      <c r="DF52" s="202"/>
      <c r="DG52" s="202"/>
      <c r="DH52" s="202"/>
      <c r="DI52" s="202"/>
      <c r="DJ52" s="202"/>
      <c r="DK52" s="202"/>
      <c r="DL52" s="202"/>
      <c r="DM52" s="202"/>
      <c r="DN52" s="202"/>
      <c r="DO52" s="202"/>
      <c r="DP52" s="202"/>
      <c r="DQ52" s="202"/>
      <c r="DR52" s="202"/>
      <c r="DS52" s="202"/>
      <c r="DT52" s="202"/>
      <c r="DU52" s="202"/>
      <c r="DV52" s="464"/>
      <c r="DW52" s="203"/>
      <c r="DX52" s="202"/>
      <c r="DY52" s="202"/>
      <c r="DZ52" s="202"/>
      <c r="EA52" s="202"/>
      <c r="EB52" s="202"/>
      <c r="EC52" s="202"/>
      <c r="ED52" s="202"/>
      <c r="EE52" s="202"/>
      <c r="EF52" s="202"/>
      <c r="EG52" s="202"/>
      <c r="EH52" s="202"/>
      <c r="EI52" s="202"/>
      <c r="EJ52" s="202"/>
      <c r="EK52" s="202"/>
      <c r="EL52" s="202"/>
      <c r="EM52" s="202"/>
      <c r="EN52" s="202"/>
      <c r="EO52" s="202"/>
      <c r="EP52" s="202"/>
      <c r="EQ52" s="202"/>
      <c r="ER52" s="202"/>
      <c r="ES52" s="202"/>
      <c r="ET52" s="202"/>
      <c r="EU52" s="202"/>
      <c r="EV52" s="202"/>
      <c r="EW52" s="202"/>
      <c r="EX52" s="202"/>
      <c r="EY52" s="202"/>
      <c r="EZ52" s="202"/>
      <c r="FA52" s="464"/>
      <c r="FB52" s="203"/>
      <c r="FC52" s="202"/>
      <c r="FD52" s="202"/>
      <c r="FE52" s="202"/>
      <c r="FF52" s="202"/>
      <c r="FG52" s="202"/>
      <c r="FH52" s="202"/>
      <c r="FI52" s="202"/>
      <c r="FJ52" s="202"/>
      <c r="FK52" s="202"/>
      <c r="FL52" s="202"/>
      <c r="FM52" s="202"/>
      <c r="FN52" s="202"/>
      <c r="FO52" s="202"/>
      <c r="FP52" s="202"/>
      <c r="FQ52" s="202"/>
      <c r="FR52" s="202"/>
      <c r="FS52" s="202"/>
      <c r="FT52" s="202"/>
      <c r="FU52" s="202"/>
      <c r="FV52" s="202"/>
      <c r="FW52" s="202"/>
      <c r="FX52" s="202"/>
      <c r="FY52" s="202"/>
      <c r="FZ52" s="202"/>
      <c r="GA52" s="202"/>
      <c r="GB52" s="202"/>
      <c r="GC52" s="202"/>
      <c r="GD52" s="202"/>
      <c r="GE52" s="202"/>
      <c r="GF52" s="464"/>
      <c r="GG52" s="203"/>
      <c r="GH52" s="202"/>
      <c r="GI52" s="202"/>
      <c r="GJ52" s="202"/>
      <c r="GK52" s="202"/>
      <c r="GL52" s="202"/>
      <c r="GM52" s="202"/>
      <c r="GN52" s="202"/>
      <c r="GO52" s="202"/>
      <c r="GP52" s="202"/>
      <c r="GQ52" s="202"/>
      <c r="GR52" s="202"/>
      <c r="GS52" s="202"/>
      <c r="GT52" s="202"/>
      <c r="GU52" s="202"/>
      <c r="GV52" s="202"/>
      <c r="GW52" s="202"/>
      <c r="GX52" s="202"/>
      <c r="GY52" s="202"/>
      <c r="GZ52" s="202"/>
      <c r="HA52" s="202"/>
      <c r="HB52" s="202"/>
      <c r="HC52" s="202"/>
      <c r="HD52" s="202"/>
      <c r="HE52" s="202"/>
      <c r="HF52" s="202"/>
      <c r="HG52" s="202"/>
      <c r="HH52" s="202"/>
      <c r="HI52" s="202"/>
      <c r="HJ52" s="202"/>
      <c r="HK52" s="464"/>
      <c r="HL52" s="203"/>
      <c r="HM52" s="204"/>
      <c r="HN52" s="204"/>
      <c r="HO52" s="204"/>
      <c r="HP52" s="204"/>
      <c r="HQ52" s="204"/>
      <c r="HR52" s="204"/>
      <c r="HS52" s="204"/>
      <c r="HT52" s="204"/>
      <c r="HU52" s="204"/>
      <c r="HV52" s="204"/>
      <c r="HW52" s="204"/>
      <c r="HX52" s="204"/>
      <c r="HY52" s="204"/>
      <c r="HZ52" s="204"/>
      <c r="IA52" s="204"/>
      <c r="IB52" s="204"/>
      <c r="IC52" s="204"/>
      <c r="ID52" s="204"/>
      <c r="IE52" s="204"/>
      <c r="IF52" s="204"/>
      <c r="IG52" s="204"/>
      <c r="IH52" s="204"/>
      <c r="II52" s="204"/>
      <c r="IJ52" s="204"/>
      <c r="IK52" s="204"/>
      <c r="IL52" s="204"/>
      <c r="IM52" s="204"/>
      <c r="IN52" s="204"/>
      <c r="IO52" s="204"/>
      <c r="IP52" s="204"/>
    </row>
    <row r="53" spans="1:250" s="164" customFormat="1">
      <c r="A53" s="164" t="s">
        <v>51</v>
      </c>
      <c r="C53" s="202" t="e">
        <f>('Expenditure DATA'!CQ55/'Expenditure DATA'!B55)*100</f>
        <v>#DIV/0!</v>
      </c>
      <c r="D53" s="202" t="e">
        <f>('Expenditure DATA'!CR55/'Expenditure DATA'!C55)*100</f>
        <v>#DIV/0!</v>
      </c>
      <c r="E53" s="202" t="e">
        <f>('Expenditure DATA'!CS55/'Expenditure DATA'!D55)*100</f>
        <v>#DIV/0!</v>
      </c>
      <c r="F53" s="202" t="e">
        <f>('Expenditure DATA'!CT55/'Expenditure DATA'!E55)*100</f>
        <v>#DIV/0!</v>
      </c>
      <c r="G53" s="202" t="e">
        <f>('Expenditure DATA'!CU55/'Expenditure DATA'!F55)*100</f>
        <v>#DIV/0!</v>
      </c>
      <c r="H53" s="202" t="e">
        <f>('Expenditure DATA'!CV55/'Expenditure DATA'!G55)*100</f>
        <v>#DIV/0!</v>
      </c>
      <c r="I53" s="202" t="e">
        <f>('Expenditure DATA'!CW55/'Expenditure DATA'!H55)*100</f>
        <v>#DIV/0!</v>
      </c>
      <c r="J53" s="202" t="e">
        <f>('Expenditure DATA'!CX55/'Expenditure DATA'!I55)*100</f>
        <v>#DIV/0!</v>
      </c>
      <c r="K53" s="202">
        <f>('Expenditure DATA'!CY55/'Expenditure DATA'!J55)*100</f>
        <v>4.8618848088973809</v>
      </c>
      <c r="L53" s="202">
        <f>('Expenditure DATA'!CZ55/'Expenditure DATA'!K55)*100</f>
        <v>4.9787063281205768</v>
      </c>
      <c r="M53" s="202">
        <f>('Expenditure DATA'!DA55/'Expenditure DATA'!L55)*100</f>
        <v>5.082785927826114</v>
      </c>
      <c r="N53" s="202">
        <f>('Expenditure DATA'!DB55/'Expenditure DATA'!M55)*100</f>
        <v>4.931472643841885</v>
      </c>
      <c r="O53" s="202">
        <f>('Expenditure DATA'!DC55/'Expenditure DATA'!N55)*100</f>
        <v>4.9865385678750904</v>
      </c>
      <c r="P53" s="202">
        <f>('Expenditure DATA'!DD55/'Expenditure DATA'!O55)*100</f>
        <v>5.2883415247530818</v>
      </c>
      <c r="Q53" s="202">
        <f>('Expenditure DATA'!DE55/'Expenditure DATA'!P55)*100</f>
        <v>5.1049970340208795</v>
      </c>
      <c r="R53" s="202">
        <f>('Expenditure DATA'!DF55/'Expenditure DATA'!Q55)*100</f>
        <v>5.1156960290905289</v>
      </c>
      <c r="S53" s="202">
        <f>('Expenditure DATA'!DG55/'Expenditure DATA'!R55)*100</f>
        <v>5.5212172373099531</v>
      </c>
      <c r="T53" s="202">
        <f>('Expenditure DATA'!DH55/'Expenditure DATA'!S55)*100</f>
        <v>5.6509053286100199</v>
      </c>
      <c r="U53" s="202">
        <f>('Expenditure DATA'!DI55/'Expenditure DATA'!T55)*100</f>
        <v>5.5823638839030494</v>
      </c>
      <c r="V53" s="202">
        <f>('Expenditure DATA'!DJ55/'Expenditure DATA'!U55)*100</f>
        <v>6.0297666968342547</v>
      </c>
      <c r="W53" s="202">
        <f>('Expenditure DATA'!DK55/'Expenditure DATA'!V55)*100</f>
        <v>6.4257824057835231</v>
      </c>
      <c r="X53" s="202">
        <f>('Expenditure DATA'!DL55/'Expenditure DATA'!W55)*100</f>
        <v>6.890181584147034</v>
      </c>
      <c r="Y53" s="202">
        <f>('Expenditure DATA'!DM55/'Expenditure DATA'!X55)*100</f>
        <v>7.3393719833313913</v>
      </c>
      <c r="Z53" s="202">
        <f>('Expenditure DATA'!DN55/'Expenditure DATA'!Y55)*100</f>
        <v>7.4589866296187468</v>
      </c>
      <c r="AA53" s="202">
        <f>('Expenditure DATA'!DO55/'Expenditure DATA'!Z55)*100</f>
        <v>7.7020675822075653</v>
      </c>
      <c r="AB53" s="202">
        <f>('Expenditure DATA'!DP55/'Expenditure DATA'!AA55)*100</f>
        <v>7.4319096849187209</v>
      </c>
      <c r="AC53" s="202">
        <f>('Expenditure DATA'!DQ55/'Expenditure DATA'!AB55)*100</f>
        <v>7.5461309056559784</v>
      </c>
      <c r="AD53" s="202">
        <f>('Expenditure DATA'!DR55/'Expenditure DATA'!AC55)*100</f>
        <v>7.840838836494866</v>
      </c>
      <c r="AE53" s="202">
        <f>('Expenditure DATA'!DS55/'Expenditure DATA'!AD55)*100</f>
        <v>7.5847719661417177</v>
      </c>
      <c r="AF53" s="202">
        <f>('Expenditure DATA'!DT55/'Expenditure DATA'!AE55)*100</f>
        <v>7.8946699613834808</v>
      </c>
      <c r="AG53" s="464">
        <f>('Expenditure DATA'!DU55/'Expenditure DATA'!AF55)*100</f>
        <v>7.5778484056762423</v>
      </c>
      <c r="AH53" s="203" t="e">
        <f>('Expenditure DATA'!BL55/'Expenditure DATA'!B55)*100</f>
        <v>#DIV/0!</v>
      </c>
      <c r="AI53" s="202" t="e">
        <f>('Expenditure DATA'!BM55/'Expenditure DATA'!C55)*100</f>
        <v>#DIV/0!</v>
      </c>
      <c r="AJ53" s="202" t="e">
        <f>('Expenditure DATA'!BN55/'Expenditure DATA'!D55)*100</f>
        <v>#DIV/0!</v>
      </c>
      <c r="AK53" s="202" t="e">
        <f>('Expenditure DATA'!BO55/'Expenditure DATA'!E55)*100</f>
        <v>#DIV/0!</v>
      </c>
      <c r="AL53" s="202" t="e">
        <f>('Expenditure DATA'!BP55/'Expenditure DATA'!F55)*100</f>
        <v>#DIV/0!</v>
      </c>
      <c r="AM53" s="202" t="e">
        <f>('Expenditure DATA'!BQ55/'Expenditure DATA'!G55)*100</f>
        <v>#DIV/0!</v>
      </c>
      <c r="AN53" s="202" t="e">
        <f>('Expenditure DATA'!BR55/'Expenditure DATA'!H55)*100</f>
        <v>#DIV/0!</v>
      </c>
      <c r="AO53" s="202" t="e">
        <f>('Expenditure DATA'!BS55/'Expenditure DATA'!I55)*100</f>
        <v>#DIV/0!</v>
      </c>
      <c r="AP53" s="202">
        <f>('Expenditure DATA'!BT55/'Expenditure DATA'!J55)*100</f>
        <v>24.086926919209073</v>
      </c>
      <c r="AQ53" s="202">
        <f>('Expenditure DATA'!BU55/'Expenditure DATA'!K55)*100</f>
        <v>24.298485559048888</v>
      </c>
      <c r="AR53" s="202">
        <f>('Expenditure DATA'!BV55/'Expenditure DATA'!L55)*100</f>
        <v>24.486969142340655</v>
      </c>
      <c r="AS53" s="202">
        <f>('Expenditure DATA'!BW55/'Expenditure DATA'!M55)*100</f>
        <v>23.9456676233637</v>
      </c>
      <c r="AT53" s="202">
        <f>('Expenditure DATA'!BX55/'Expenditure DATA'!N55)*100</f>
        <v>23.219873220044327</v>
      </c>
      <c r="AU53" s="202">
        <f>('Expenditure DATA'!BY55/'Expenditure DATA'!O55)*100</f>
        <v>23.21782273457417</v>
      </c>
      <c r="AV53" s="202">
        <f>('Expenditure DATA'!BZ55/'Expenditure DATA'!P55)*100</f>
        <v>24.061488454651645</v>
      </c>
      <c r="AW53" s="202">
        <f>('Expenditure DATA'!CA55/'Expenditure DATA'!Q55)*100</f>
        <v>24.031957556103649</v>
      </c>
      <c r="AX53" s="202">
        <f>('Expenditure DATA'!CB55/'Expenditure DATA'!R55)*100</f>
        <v>22.913096070520915</v>
      </c>
      <c r="AY53" s="202">
        <f>('Expenditure DATA'!CC55/'Expenditure DATA'!S55)*100</f>
        <v>24.450762400031898</v>
      </c>
      <c r="AZ53" s="202">
        <f>('Expenditure DATA'!CD55/'Expenditure DATA'!T55)*100</f>
        <v>24.361323998183718</v>
      </c>
      <c r="BA53" s="202">
        <f>('Expenditure DATA'!CE55/'Expenditure DATA'!U55)*100</f>
        <v>24.503025066717456</v>
      </c>
      <c r="BB53" s="202">
        <f>('Expenditure DATA'!CF55/'Expenditure DATA'!V55)*100</f>
        <v>24.62845085192119</v>
      </c>
      <c r="BC53" s="202">
        <f>('Expenditure DATA'!CG55/'Expenditure DATA'!W55)*100</f>
        <v>25.492629746769406</v>
      </c>
      <c r="BD53" s="202">
        <f>('Expenditure DATA'!CH55/'Expenditure DATA'!X55)*100</f>
        <v>26.328507329739026</v>
      </c>
      <c r="BE53" s="202">
        <f>('Expenditure DATA'!CI55/'Expenditure DATA'!Y55)*100</f>
        <v>25.869418901046849</v>
      </c>
      <c r="BF53" s="202">
        <f>('Expenditure DATA'!CJ55/'Expenditure DATA'!Z55)*100</f>
        <v>26.574172116157609</v>
      </c>
      <c r="BG53" s="202">
        <f>('Expenditure DATA'!CK55/'Expenditure DATA'!AA55)*100</f>
        <v>28.02836612127723</v>
      </c>
      <c r="BH53" s="202">
        <f>('Expenditure DATA'!CL55/'Expenditure DATA'!AB55)*100</f>
        <v>26.891189997765892</v>
      </c>
      <c r="BI53" s="202">
        <f>('Expenditure DATA'!CM55/'Expenditure DATA'!AC55)*100</f>
        <v>26.295689927126169</v>
      </c>
      <c r="BJ53" s="202">
        <f>('Expenditure DATA'!CN55/'Expenditure DATA'!AD55)*100</f>
        <v>26.086921061561728</v>
      </c>
      <c r="BK53" s="202">
        <f>('Expenditure DATA'!CO55/'Expenditure DATA'!AE55)*100</f>
        <v>25.581092441382165</v>
      </c>
      <c r="BL53" s="464">
        <f>('Expenditure DATA'!CP55/'Expenditure DATA'!AF55)*100</f>
        <v>26.157111438170183</v>
      </c>
      <c r="BM53" s="203" t="e">
        <f>('Expenditure DATA'!AG55/'Expenditure DATA'!B55)*100</f>
        <v>#DIV/0!</v>
      </c>
      <c r="BN53" s="202" t="e">
        <f>('Expenditure DATA'!AH55/'Expenditure DATA'!C55)*100</f>
        <v>#DIV/0!</v>
      </c>
      <c r="BO53" s="202" t="e">
        <f>('Expenditure DATA'!AI55/'Expenditure DATA'!D55)*100</f>
        <v>#DIV/0!</v>
      </c>
      <c r="BP53" s="202" t="e">
        <f>('Expenditure DATA'!AJ55/'Expenditure DATA'!E55)*100</f>
        <v>#DIV/0!</v>
      </c>
      <c r="BQ53" s="202" t="e">
        <f>('Expenditure DATA'!AK55/'Expenditure DATA'!F55)*100</f>
        <v>#DIV/0!</v>
      </c>
      <c r="BR53" s="202" t="e">
        <f>('Expenditure DATA'!AL55/'Expenditure DATA'!G55)*100</f>
        <v>#DIV/0!</v>
      </c>
      <c r="BS53" s="202" t="e">
        <f>('Expenditure DATA'!AM55/'Expenditure DATA'!H55)*100</f>
        <v>#DIV/0!</v>
      </c>
      <c r="BT53" s="202" t="e">
        <f>('Expenditure DATA'!AN55/'Expenditure DATA'!I55)*100</f>
        <v>#DIV/0!</v>
      </c>
      <c r="BU53" s="202">
        <f>('Expenditure DATA'!AO55/'Expenditure DATA'!J55)*100</f>
        <v>31.019349322200384</v>
      </c>
      <c r="BV53" s="202">
        <f>('Expenditure DATA'!AP55/'Expenditure DATA'!K55)*100</f>
        <v>31.161443044408294</v>
      </c>
      <c r="BW53" s="202">
        <f>('Expenditure DATA'!AQ55/'Expenditure DATA'!L55)*100</f>
        <v>31.288038365427994</v>
      </c>
      <c r="BX53" s="202">
        <f>('Expenditure DATA'!AR55/'Expenditure DATA'!M55)*100</f>
        <v>30.622199277049518</v>
      </c>
      <c r="BY53" s="202">
        <f>('Expenditure DATA'!AS55/'Expenditure DATA'!N55)*100</f>
        <v>29.98671417918105</v>
      </c>
      <c r="BZ53" s="202">
        <f>('Expenditure DATA'!AT55/'Expenditure DATA'!O55)*100</f>
        <v>30.324151714597242</v>
      </c>
      <c r="CA53" s="202">
        <f>('Expenditure DATA'!AU55/'Expenditure DATA'!P55)*100</f>
        <v>31.078695252968725</v>
      </c>
      <c r="CB53" s="202">
        <f>('Expenditure DATA'!AV55/'Expenditure DATA'!Q55)*100</f>
        <v>31.003392953789927</v>
      </c>
      <c r="CC53" s="202">
        <f>('Expenditure DATA'!AW55/'Expenditure DATA'!R55)*100</f>
        <v>30.404347950582551</v>
      </c>
      <c r="CD53" s="202">
        <f>('Expenditure DATA'!AX55/'Expenditure DATA'!S55)*100</f>
        <v>32.103978254945673</v>
      </c>
      <c r="CE53" s="202">
        <f>('Expenditure DATA'!AY55/'Expenditure DATA'!T55)*100</f>
        <v>31.900536080456611</v>
      </c>
      <c r="CF53" s="202">
        <f>('Expenditure DATA'!AZ55/'Expenditure DATA'!U55)*100</f>
        <v>32.488629941301447</v>
      </c>
      <c r="CG53" s="202">
        <f>('Expenditure DATA'!BA55/'Expenditure DATA'!V55)*100</f>
        <v>33.009177422228866</v>
      </c>
      <c r="CH53" s="202">
        <f>('Expenditure DATA'!BB55/'Expenditure DATA'!W55)*100</f>
        <v>34.272253032001778</v>
      </c>
      <c r="CI53" s="202">
        <f>('Expenditure DATA'!BC55/'Expenditure DATA'!X55)*100</f>
        <v>35.493963714938893</v>
      </c>
      <c r="CJ53" s="202">
        <f>('Expenditure DATA'!BD55/'Expenditure DATA'!Y55)*100</f>
        <v>35.332944094148679</v>
      </c>
      <c r="CK53" s="202">
        <f>('Expenditure DATA'!BE55/'Expenditure DATA'!Z55)*100</f>
        <v>36.661412812150388</v>
      </c>
      <c r="CL53" s="202">
        <f>('Expenditure DATA'!BF55/'Expenditure DATA'!AA55)*100</f>
        <v>38.154504306169535</v>
      </c>
      <c r="CM53" s="202">
        <f>('Expenditure DATA'!BG55/'Expenditure DATA'!AB55)*100</f>
        <v>37.14223385617629</v>
      </c>
      <c r="CN53" s="202">
        <f>('Expenditure DATA'!BH55/'Expenditure DATA'!AC55)*100</f>
        <v>36.633521019885663</v>
      </c>
      <c r="CO53" s="202">
        <f>('Expenditure DATA'!BI55/'Expenditure DATA'!AD55)*100</f>
        <v>35.948179544185116</v>
      </c>
      <c r="CP53" s="202">
        <f>('Expenditure DATA'!BJ55/'Expenditure DATA'!AE55)*100</f>
        <v>35.836884544551353</v>
      </c>
      <c r="CQ53" s="464">
        <f>('Expenditure DATA'!BK55/'Expenditure DATA'!AF55)*100</f>
        <v>36.118380850449533</v>
      </c>
      <c r="CR53" s="203" t="e">
        <f>('Expenditure DATA'!FA55/'Expenditure DATA'!B55)*100</f>
        <v>#DIV/0!</v>
      </c>
      <c r="CS53" s="202" t="e">
        <f>('Expenditure DATA'!FB55/'Expenditure DATA'!C55)*100</f>
        <v>#DIV/0!</v>
      </c>
      <c r="CT53" s="202" t="e">
        <f>('Expenditure DATA'!FC55/'Expenditure DATA'!D55)*100</f>
        <v>#DIV/0!</v>
      </c>
      <c r="CU53" s="202" t="e">
        <f>('Expenditure DATA'!FD55/'Expenditure DATA'!E55)*100</f>
        <v>#DIV/0!</v>
      </c>
      <c r="CV53" s="202" t="e">
        <f>('Expenditure DATA'!FE55/'Expenditure DATA'!F55)*100</f>
        <v>#DIV/0!</v>
      </c>
      <c r="CW53" s="202" t="e">
        <f>('Expenditure DATA'!FF55/'Expenditure DATA'!G55)*100</f>
        <v>#DIV/0!</v>
      </c>
      <c r="CX53" s="202" t="e">
        <f>('Expenditure DATA'!FG55/'Expenditure DATA'!H55)*100</f>
        <v>#DIV/0!</v>
      </c>
      <c r="CY53" s="202" t="e">
        <f>('Expenditure DATA'!FH55/'Expenditure DATA'!I55)*100</f>
        <v>#DIV/0!</v>
      </c>
      <c r="CZ53" s="202">
        <f>('Expenditure DATA'!FI55/'Expenditure DATA'!J55)*100</f>
        <v>21.344606262718131</v>
      </c>
      <c r="DA53" s="202">
        <f>('Expenditure DATA'!FJ55/'Expenditure DATA'!K55)*100</f>
        <v>23.021458526566303</v>
      </c>
      <c r="DB53" s="202">
        <f>('Expenditure DATA'!FK55/'Expenditure DATA'!L55)*100</f>
        <v>24.515413694647965</v>
      </c>
      <c r="DC53" s="202">
        <f>('Expenditure DATA'!FL55/'Expenditure DATA'!M55)*100</f>
        <v>25.860868808734654</v>
      </c>
      <c r="DD53" s="202">
        <f>('Expenditure DATA'!FM55/'Expenditure DATA'!N55)*100</f>
        <v>26.180109476988704</v>
      </c>
      <c r="DE53" s="202">
        <f>('Expenditure DATA'!FN55/'Expenditure DATA'!O55)*100</f>
        <v>25.28649769783442</v>
      </c>
      <c r="DF53" s="202">
        <f>('Expenditure DATA'!FO55/'Expenditure DATA'!P55)*100</f>
        <v>24.298749620098352</v>
      </c>
      <c r="DG53" s="202">
        <f>('Expenditure DATA'!FP55/'Expenditure DATA'!Q55)*100</f>
        <v>24.319222806777677</v>
      </c>
      <c r="DH53" s="202">
        <f>('Expenditure DATA'!FQ55/'Expenditure DATA'!R55)*100</f>
        <v>25.054251567710743</v>
      </c>
      <c r="DI53" s="202">
        <f>('Expenditure DATA'!FR55/'Expenditure DATA'!S55)*100</f>
        <v>23.153490004523025</v>
      </c>
      <c r="DJ53" s="202">
        <f>('Expenditure DATA'!FS55/'Expenditure DATA'!T55)*100</f>
        <v>22.440321564238573</v>
      </c>
      <c r="DK53" s="202">
        <f>('Expenditure DATA'!FT55/'Expenditure DATA'!U55)*100</f>
        <v>22.516782556058725</v>
      </c>
      <c r="DL53" s="202">
        <f>('Expenditure DATA'!FU55/'Expenditure DATA'!V55)*100</f>
        <v>22.584461508911627</v>
      </c>
      <c r="DM53" s="202">
        <f>('Expenditure DATA'!FV55/'Expenditure DATA'!W55)*100</f>
        <v>23.303764492102637</v>
      </c>
      <c r="DN53" s="202">
        <f>('Expenditure DATA'!FW55/'Expenditure DATA'!X55)*100</f>
        <v>23.999510757831722</v>
      </c>
      <c r="DO53" s="202">
        <f>('Expenditure DATA'!FX55/'Expenditure DATA'!Y55)*100</f>
        <v>23.574492238577271</v>
      </c>
      <c r="DP53" s="202">
        <f>('Expenditure DATA'!FY55/'Expenditure DATA'!Z55)*100</f>
        <v>23.922647448207186</v>
      </c>
      <c r="DQ53" s="202">
        <f>('Expenditure DATA'!FZ55/'Expenditure DATA'!AA55)*100</f>
        <v>24.014558199334264</v>
      </c>
      <c r="DR53" s="202">
        <f>('Expenditure DATA'!GA55/'Expenditure DATA'!AB55)*100</f>
        <v>24.408773950712494</v>
      </c>
      <c r="DS53" s="202">
        <f>('Expenditure DATA'!GB55/'Expenditure DATA'!AC55)*100</f>
        <v>25.175096367686152</v>
      </c>
      <c r="DT53" s="202">
        <f>('Expenditure DATA'!GC55/'Expenditure DATA'!AD55)*100</f>
        <v>24.731025075634445</v>
      </c>
      <c r="DU53" s="202">
        <f>('Expenditure DATA'!GD55/'Expenditure DATA'!AE55)*100</f>
        <v>25.561174289820194</v>
      </c>
      <c r="DV53" s="464">
        <f>('Expenditure DATA'!GE55/'Expenditure DATA'!AF55)*100</f>
        <v>25.160431435577401</v>
      </c>
      <c r="DW53" s="203" t="e">
        <f>('Expenditure DATA'!GF55/'Expenditure DATA'!B55)*100</f>
        <v>#DIV/0!</v>
      </c>
      <c r="DX53" s="202" t="e">
        <f>('Expenditure DATA'!GG55/'Expenditure DATA'!C55)*100</f>
        <v>#DIV/0!</v>
      </c>
      <c r="DY53" s="202" t="e">
        <f>('Expenditure DATA'!GH55/'Expenditure DATA'!D55)*100</f>
        <v>#DIV/0!</v>
      </c>
      <c r="DZ53" s="202" t="e">
        <f>('Expenditure DATA'!GI55/'Expenditure DATA'!E55)*100</f>
        <v>#DIV/0!</v>
      </c>
      <c r="EA53" s="202" t="e">
        <f>('Expenditure DATA'!GJ55/'Expenditure DATA'!F55)*100</f>
        <v>#DIV/0!</v>
      </c>
      <c r="EB53" s="202" t="e">
        <f>('Expenditure DATA'!GK55/'Expenditure DATA'!G55)*100</f>
        <v>#DIV/0!</v>
      </c>
      <c r="EC53" s="202" t="e">
        <f>('Expenditure DATA'!GL55/'Expenditure DATA'!H55)*100</f>
        <v>#DIV/0!</v>
      </c>
      <c r="ED53" s="202" t="e">
        <f>('Expenditure DATA'!GM55/'Expenditure DATA'!I55)*100</f>
        <v>#DIV/0!</v>
      </c>
      <c r="EE53" s="202">
        <f>('Expenditure DATA'!GN55/'Expenditure DATA'!J55)*100</f>
        <v>26.670783010017583</v>
      </c>
      <c r="EF53" s="202">
        <f>('Expenditure DATA'!GO55/'Expenditure DATA'!K55)*100</f>
        <v>25.053626043080644</v>
      </c>
      <c r="EG53" s="202">
        <f>('Expenditure DATA'!GP55/'Expenditure DATA'!L55)*100</f>
        <v>23.61285510550838</v>
      </c>
      <c r="EH53" s="202">
        <f>('Expenditure DATA'!GQ55/'Expenditure DATA'!M55)*100</f>
        <v>22.575107818639463</v>
      </c>
      <c r="EI53" s="202">
        <f>('Expenditure DATA'!GR55/'Expenditure DATA'!N55)*100</f>
        <v>22.975872567550766</v>
      </c>
      <c r="EJ53" s="202">
        <f>('Expenditure DATA'!GS55/'Expenditure DATA'!O55)*100</f>
        <v>23.084177641133508</v>
      </c>
      <c r="EK53" s="202">
        <f>('Expenditure DATA'!GT55/'Expenditure DATA'!P55)*100</f>
        <v>22.076216280296013</v>
      </c>
      <c r="EL53" s="202">
        <f>('Expenditure DATA'!GU55/'Expenditure DATA'!Q55)*100</f>
        <v>21.778953450329787</v>
      </c>
      <c r="EM53" s="202">
        <f>('Expenditure DATA'!GV55/'Expenditure DATA'!R55)*100</f>
        <v>21.025220203004032</v>
      </c>
      <c r="EN53" s="202">
        <f>('Expenditure DATA'!GW55/'Expenditure DATA'!S55)*100</f>
        <v>20.949530314039077</v>
      </c>
      <c r="EO53" s="202">
        <f>('Expenditure DATA'!GX55/'Expenditure DATA'!T55)*100</f>
        <v>21.00630424192931</v>
      </c>
      <c r="EP53" s="202">
        <f>('Expenditure DATA'!GY55/'Expenditure DATA'!U55)*100</f>
        <v>20.555201094082491</v>
      </c>
      <c r="EQ53" s="202">
        <f>('Expenditure DATA'!GZ55/'Expenditure DATA'!V55)*100</f>
        <v>20.155910057592578</v>
      </c>
      <c r="ER53" s="202">
        <f>('Expenditure DATA'!HA55/'Expenditure DATA'!W55)*100</f>
        <v>20.015763989351942</v>
      </c>
      <c r="ES53" s="202">
        <f>('Expenditure DATA'!HB55/'Expenditure DATA'!X55)*100</f>
        <v>19.880207616149548</v>
      </c>
      <c r="ET53" s="202">
        <f>('Expenditure DATA'!HC55/'Expenditure DATA'!Y55)*100</f>
        <v>19.459153882420519</v>
      </c>
      <c r="EU53" s="202">
        <f>('Expenditure DATA'!HD55/'Expenditure DATA'!Z55)*100</f>
        <v>18.782594734173998</v>
      </c>
      <c r="EV53" s="202">
        <f>('Expenditure DATA'!HE55/'Expenditure DATA'!AA55)*100</f>
        <v>18.470039979569911</v>
      </c>
      <c r="EW53" s="202">
        <f>('Expenditure DATA'!HF55/'Expenditure DATA'!AB55)*100</f>
        <v>18.537590492524938</v>
      </c>
      <c r="EX53" s="202">
        <f>('Expenditure DATA'!HG55/'Expenditure DATA'!AC55)*100</f>
        <v>18.377371423950589</v>
      </c>
      <c r="EY53" s="202">
        <f>('Expenditure DATA'!HH55/'Expenditure DATA'!AD55)*100</f>
        <v>18.903394504857964</v>
      </c>
      <c r="EZ53" s="202">
        <f>('Expenditure DATA'!HI55/'Expenditure DATA'!AE55)*100</f>
        <v>18.870167877709861</v>
      </c>
      <c r="FA53" s="464">
        <f>('Expenditure DATA'!HJ55/'Expenditure DATA'!AF55)*100</f>
        <v>19.242092968073493</v>
      </c>
      <c r="FB53" s="203" t="e">
        <f>('Expenditure DATA'!HK55/'Expenditure DATA'!B55)*100</f>
        <v>#DIV/0!</v>
      </c>
      <c r="FC53" s="202" t="e">
        <f>('Expenditure DATA'!HL55/'Expenditure DATA'!C55)*100</f>
        <v>#DIV/0!</v>
      </c>
      <c r="FD53" s="202" t="e">
        <f>('Expenditure DATA'!HM55/'Expenditure DATA'!D55)*100</f>
        <v>#DIV/0!</v>
      </c>
      <c r="FE53" s="202" t="e">
        <f>('Expenditure DATA'!HN55/'Expenditure DATA'!E55)*100</f>
        <v>#DIV/0!</v>
      </c>
      <c r="FF53" s="202" t="e">
        <f>('Expenditure DATA'!HO55/'Expenditure DATA'!F55)*100</f>
        <v>#DIV/0!</v>
      </c>
      <c r="FG53" s="202" t="e">
        <f>('Expenditure DATA'!HP55/'Expenditure DATA'!G55)*100</f>
        <v>#DIV/0!</v>
      </c>
      <c r="FH53" s="202" t="e">
        <f>('Expenditure DATA'!HQ55/'Expenditure DATA'!H55)*100</f>
        <v>#DIV/0!</v>
      </c>
      <c r="FI53" s="202" t="e">
        <f>('Expenditure DATA'!HR55/'Expenditure DATA'!I55)*100</f>
        <v>#DIV/0!</v>
      </c>
      <c r="FJ53" s="202">
        <f>('Expenditure DATA'!HS55/'Expenditure DATA'!J55)*100</f>
        <v>5.1798794110584092</v>
      </c>
      <c r="FK53" s="202">
        <f>('Expenditure DATA'!HT55/'Expenditure DATA'!K55)*100</f>
        <v>5.0060955160894274</v>
      </c>
      <c r="FL53" s="202">
        <f>('Expenditure DATA'!HU55/'Expenditure DATA'!L55)*100</f>
        <v>4.8512665227334697</v>
      </c>
      <c r="FM53" s="202">
        <f>('Expenditure DATA'!HV55/'Expenditure DATA'!M55)*100</f>
        <v>4.9983869053235175</v>
      </c>
      <c r="FN53" s="202">
        <f>('Expenditure DATA'!HW55/'Expenditure DATA'!N55)*100</f>
        <v>4.9116591077756908</v>
      </c>
      <c r="FO53" s="202">
        <f>('Expenditure DATA'!HX55/'Expenditure DATA'!O55)*100</f>
        <v>5.2850939419225114</v>
      </c>
      <c r="FP53" s="202">
        <f>('Expenditure DATA'!HY55/'Expenditure DATA'!P55)*100</f>
        <v>5.020640559947565</v>
      </c>
      <c r="FQ53" s="202">
        <f>('Expenditure DATA'!HZ55/'Expenditure DATA'!Q55)*100</f>
        <v>5.3365555155169986</v>
      </c>
      <c r="FR53" s="202">
        <f>('Expenditure DATA'!IA55/'Expenditure DATA'!R55)*100</f>
        <v>5.814125429537115</v>
      </c>
      <c r="FS53" s="202">
        <f>('Expenditure DATA'!IB55/'Expenditure DATA'!S55)*100</f>
        <v>6.4738366799733145</v>
      </c>
      <c r="FT53" s="202">
        <f>('Expenditure DATA'!IC55/'Expenditure DATA'!T55)*100</f>
        <v>6.3128648945220416</v>
      </c>
      <c r="FU53" s="202">
        <f>('Expenditure DATA'!ID55/'Expenditure DATA'!U55)*100</f>
        <v>5.9412960067207825</v>
      </c>
      <c r="FV53" s="202">
        <f>('Expenditure DATA'!IE55/'Expenditure DATA'!V55)*100</f>
        <v>5.612404206595393</v>
      </c>
      <c r="FW53" s="202">
        <f>('Expenditure DATA'!IF55/'Expenditure DATA'!W55)*100</f>
        <v>5.6796504037802853</v>
      </c>
      <c r="FX53" s="202">
        <f>('Expenditure DATA'!IG55/'Expenditure DATA'!X55)*100</f>
        <v>5.7446943305666238</v>
      </c>
      <c r="FY53" s="202">
        <f>('Expenditure DATA'!IH55/'Expenditure DATA'!Y55)*100</f>
        <v>5.7840741912674662</v>
      </c>
      <c r="FZ53" s="202">
        <f>('Expenditure DATA'!II55/'Expenditure DATA'!Z55)*100</f>
        <v>5.4971320615129642</v>
      </c>
      <c r="GA53" s="202">
        <f>('Expenditure DATA'!IJ55/'Expenditure DATA'!AA55)*100</f>
        <v>5.9118617798834077</v>
      </c>
      <c r="GB53" s="202">
        <f>('Expenditure DATA'!IK55/'Expenditure DATA'!AB55)*100</f>
        <v>5.7930438810967226</v>
      </c>
      <c r="GC53" s="202">
        <f>('Expenditure DATA'!IL55/'Expenditure DATA'!AC55)*100</f>
        <v>5.5783667493126892</v>
      </c>
      <c r="GD53" s="202">
        <f>('Expenditure DATA'!IM55/'Expenditure DATA'!AD55)*100</f>
        <v>5.4055156194703002</v>
      </c>
      <c r="GE53" s="202">
        <f>('Expenditure DATA'!IN55/'Expenditure DATA'!AE55)*100</f>
        <v>5.3008776753964666</v>
      </c>
      <c r="GF53" s="464">
        <f>('Expenditure DATA'!IO55/'Expenditure DATA'!AF55)*100</f>
        <v>5.2008133522338156</v>
      </c>
      <c r="GG53" s="203" t="e">
        <f>('Expenditure DATA'!IP55/'Expenditure DATA'!B55)*100</f>
        <v>#DIV/0!</v>
      </c>
      <c r="GH53" s="202" t="e">
        <f>('Expenditure DATA'!IQ55/'Expenditure DATA'!C55)*100</f>
        <v>#DIV/0!</v>
      </c>
      <c r="GI53" s="202" t="e">
        <f>('Expenditure DATA'!IR55/'Expenditure DATA'!D55)*100</f>
        <v>#DIV/0!</v>
      </c>
      <c r="GJ53" s="202" t="e">
        <f>('Expenditure DATA'!IS55/'Expenditure DATA'!E55)*100</f>
        <v>#DIV/0!</v>
      </c>
      <c r="GK53" s="202" t="e">
        <f>('Expenditure DATA'!IT55/'Expenditure DATA'!F55)*100</f>
        <v>#DIV/0!</v>
      </c>
      <c r="GL53" s="202" t="e">
        <f>('Expenditure DATA'!IU55/'Expenditure DATA'!G55)*100</f>
        <v>#DIV/0!</v>
      </c>
      <c r="GM53" s="202" t="e">
        <f>('Expenditure DATA'!IV55/'Expenditure DATA'!H55)*100</f>
        <v>#DIV/0!</v>
      </c>
      <c r="GN53" s="202" t="e">
        <f>('Expenditure DATA'!IW55/'Expenditure DATA'!I55)*100</f>
        <v>#DIV/0!</v>
      </c>
      <c r="GO53" s="202">
        <f>('Expenditure DATA'!IX55/'Expenditure DATA'!J55)*100</f>
        <v>15.785381994005498</v>
      </c>
      <c r="GP53" s="202">
        <f>('Expenditure DATA'!IY55/'Expenditure DATA'!K55)*100</f>
        <v>15.757376869855333</v>
      </c>
      <c r="GQ53" s="202">
        <f>('Expenditure DATA'!IZ55/'Expenditure DATA'!L55)*100</f>
        <v>15.732426311682193</v>
      </c>
      <c r="GR53" s="202">
        <f>('Expenditure DATA'!JA55/'Expenditure DATA'!M55)*100</f>
        <v>15.943437190252849</v>
      </c>
      <c r="GS53" s="202">
        <f>('Expenditure DATA'!JB55/'Expenditure DATA'!N55)*100</f>
        <v>15.945644668503792</v>
      </c>
      <c r="GT53" s="202">
        <f>('Expenditure DATA'!JC55/'Expenditure DATA'!O55)*100</f>
        <v>16.020079004512315</v>
      </c>
      <c r="GU53" s="202">
        <f>('Expenditure DATA'!JD55/'Expenditure DATA'!P55)*100</f>
        <v>17.525698286689344</v>
      </c>
      <c r="GV53" s="202">
        <f>('Expenditure DATA'!JE55/'Expenditure DATA'!Q55)*100</f>
        <v>17.561875273585621</v>
      </c>
      <c r="GW53" s="202">
        <f>('Expenditure DATA'!JF55/'Expenditure DATA'!R55)*100</f>
        <v>17.702054849165556</v>
      </c>
      <c r="GX53" s="202">
        <f>('Expenditure DATA'!JG55/'Expenditure DATA'!S55)*100</f>
        <v>17.319164746518911</v>
      </c>
      <c r="GY53" s="202">
        <f>('Expenditure DATA'!JH55/'Expenditure DATA'!T55)*100</f>
        <v>18.339973218853473</v>
      </c>
      <c r="GZ53" s="202">
        <f>('Expenditure DATA'!JI55/'Expenditure DATA'!U55)*100</f>
        <v>18.498090401836553</v>
      </c>
      <c r="HA53" s="202">
        <f>('Expenditure DATA'!JJ55/'Expenditure DATA'!V55)*100</f>
        <v>18.638046804671543</v>
      </c>
      <c r="HB53" s="202">
        <f>('Expenditure DATA'!JK55/'Expenditure DATA'!W55)*100</f>
        <v>16.728568082763363</v>
      </c>
      <c r="HC53" s="202">
        <f>('Expenditure DATA'!JL55/'Expenditure DATA'!X55)*100</f>
        <v>14.881623580513212</v>
      </c>
      <c r="HD53" s="202">
        <f>('Expenditure DATA'!JM55/'Expenditure DATA'!Y55)*100</f>
        <v>15.849335593586069</v>
      </c>
      <c r="HE53" s="202">
        <f>('Expenditure DATA'!JN55/'Expenditure DATA'!Z55)*100</f>
        <v>15.136212943955464</v>
      </c>
      <c r="HF53" s="202">
        <f>('Expenditure DATA'!JO55/'Expenditure DATA'!AA55)*100</f>
        <v>13.449035735042886</v>
      </c>
      <c r="HG53" s="202">
        <f>('Expenditure DATA'!JP55/'Expenditure DATA'!AB55)*100</f>
        <v>14.118357819489555</v>
      </c>
      <c r="HH53" s="202">
        <f>('Expenditure DATA'!JQ55/'Expenditure DATA'!AC55)*100</f>
        <v>14.235641304874184</v>
      </c>
      <c r="HI53" s="202">
        <f>('Expenditure DATA'!JR55/'Expenditure DATA'!AD55)*100</f>
        <v>15.01188211899033</v>
      </c>
      <c r="HJ53" s="202">
        <f>('Expenditure DATA'!JS55/'Expenditure DATA'!AE55)*100</f>
        <v>14.430895612522118</v>
      </c>
      <c r="HK53" s="464">
        <f>('Expenditure DATA'!JT55/'Expenditure DATA'!AF55)*100</f>
        <v>14.278281393665763</v>
      </c>
      <c r="HL53" s="203" t="e">
        <f t="shared" si="1"/>
        <v>#DIV/0!</v>
      </c>
      <c r="HM53" s="204" t="e">
        <f t="shared" si="2"/>
        <v>#DIV/0!</v>
      </c>
      <c r="HN53" s="204" t="e">
        <f t="shared" si="3"/>
        <v>#DIV/0!</v>
      </c>
      <c r="HO53" s="204" t="e">
        <f t="shared" si="4"/>
        <v>#DIV/0!</v>
      </c>
      <c r="HP53" s="204" t="e">
        <f t="shared" si="5"/>
        <v>#DIV/0!</v>
      </c>
      <c r="HQ53" s="204" t="e">
        <f t="shared" si="6"/>
        <v>#DIV/0!</v>
      </c>
      <c r="HR53" s="204" t="e">
        <f t="shared" si="7"/>
        <v>#DIV/0!</v>
      </c>
      <c r="HS53" s="204" t="e">
        <f t="shared" si="8"/>
        <v>#DIV/0!</v>
      </c>
      <c r="HT53" s="204">
        <f t="shared" si="9"/>
        <v>100</v>
      </c>
      <c r="HU53" s="204">
        <f t="shared" si="10"/>
        <v>100</v>
      </c>
      <c r="HV53" s="204">
        <f t="shared" si="11"/>
        <v>99.999999999999986</v>
      </c>
      <c r="HW53" s="204">
        <f t="shared" si="12"/>
        <v>100</v>
      </c>
      <c r="HX53" s="204">
        <f t="shared" si="13"/>
        <v>100</v>
      </c>
      <c r="HY53" s="204">
        <f t="shared" si="14"/>
        <v>100</v>
      </c>
      <c r="HZ53" s="204">
        <f t="shared" si="15"/>
        <v>100</v>
      </c>
      <c r="IA53" s="204">
        <f t="shared" si="16"/>
        <v>100.00000000000003</v>
      </c>
      <c r="IB53" s="204">
        <f t="shared" si="17"/>
        <v>100</v>
      </c>
      <c r="IC53" s="204">
        <f t="shared" si="18"/>
        <v>100</v>
      </c>
      <c r="ID53" s="204">
        <f t="shared" si="19"/>
        <v>100</v>
      </c>
      <c r="IE53" s="204">
        <f t="shared" si="20"/>
        <v>99.999999999999986</v>
      </c>
      <c r="IF53" s="204">
        <f t="shared" si="21"/>
        <v>100</v>
      </c>
      <c r="IG53" s="204">
        <f t="shared" si="22"/>
        <v>100</v>
      </c>
      <c r="IH53" s="204">
        <f t="shared" si="23"/>
        <v>100</v>
      </c>
      <c r="II53" s="204">
        <f t="shared" si="24"/>
        <v>100</v>
      </c>
      <c r="IJ53" s="204">
        <f t="shared" si="25"/>
        <v>100</v>
      </c>
      <c r="IK53" s="204">
        <f t="shared" si="26"/>
        <v>100.00000000000001</v>
      </c>
      <c r="IL53" s="204">
        <f t="shared" ref="IL53:IL62" si="42">+CM53+DR53+EW53+GB53+HG53</f>
        <v>100</v>
      </c>
      <c r="IM53" s="204">
        <f t="shared" ref="IM53:IM62" si="43">+CN53+DS53+EX53+GC53+HH53</f>
        <v>99.999996865709278</v>
      </c>
      <c r="IN53" s="204">
        <f t="shared" ref="IN53:IN62" si="44">+CO53+DT53+EY53+GD53+HI53</f>
        <v>99.999996863138151</v>
      </c>
      <c r="IO53" s="204">
        <f t="shared" ref="IO53:IO62" si="45">+CP53+DU53+EZ53+GE53+HJ53</f>
        <v>99.999999999999986</v>
      </c>
      <c r="IP53" s="204">
        <f t="shared" ref="IP53:IP62" si="46">+CQ53+DV53+FA53+GF53+HK53</f>
        <v>100</v>
      </c>
    </row>
    <row r="54" spans="1:250" s="164" customFormat="1">
      <c r="A54" s="164" t="s">
        <v>58</v>
      </c>
      <c r="C54" s="202" t="e">
        <f>('Expenditure DATA'!CQ56/'Expenditure DATA'!B56)*100</f>
        <v>#DIV/0!</v>
      </c>
      <c r="D54" s="202" t="e">
        <f>('Expenditure DATA'!CR56/'Expenditure DATA'!C56)*100</f>
        <v>#DIV/0!</v>
      </c>
      <c r="E54" s="202" t="e">
        <f>('Expenditure DATA'!CS56/'Expenditure DATA'!D56)*100</f>
        <v>#DIV/0!</v>
      </c>
      <c r="F54" s="202" t="e">
        <f>('Expenditure DATA'!CT56/'Expenditure DATA'!E56)*100</f>
        <v>#DIV/0!</v>
      </c>
      <c r="G54" s="202" t="e">
        <f>('Expenditure DATA'!CU56/'Expenditure DATA'!F56)*100</f>
        <v>#DIV/0!</v>
      </c>
      <c r="H54" s="202" t="e">
        <f>('Expenditure DATA'!CV56/'Expenditure DATA'!G56)*100</f>
        <v>#DIV/0!</v>
      </c>
      <c r="I54" s="202" t="e">
        <f>('Expenditure DATA'!CW56/'Expenditure DATA'!H56)*100</f>
        <v>#DIV/0!</v>
      </c>
      <c r="J54" s="202" t="e">
        <f>('Expenditure DATA'!CX56/'Expenditure DATA'!I56)*100</f>
        <v>#DIV/0!</v>
      </c>
      <c r="K54" s="202">
        <f>('Expenditure DATA'!CY56/'Expenditure DATA'!J56)*100</f>
        <v>8.2464859191552922</v>
      </c>
      <c r="L54" s="202">
        <f>('Expenditure DATA'!CZ56/'Expenditure DATA'!K56)*100</f>
        <v>7.9320646206594914</v>
      </c>
      <c r="M54" s="202">
        <f>('Expenditure DATA'!DA56/'Expenditure DATA'!L56)*100</f>
        <v>7.6606557852629358</v>
      </c>
      <c r="N54" s="202">
        <f>('Expenditure DATA'!DB56/'Expenditure DATA'!M56)*100</f>
        <v>7.6832595540475213</v>
      </c>
      <c r="O54" s="202">
        <f>('Expenditure DATA'!DC56/'Expenditure DATA'!N56)*100</f>
        <v>7.5213779519737525</v>
      </c>
      <c r="P54" s="202">
        <f>('Expenditure DATA'!DD56/'Expenditure DATA'!O56)*100</f>
        <v>7.1469836528997677</v>
      </c>
      <c r="Q54" s="202">
        <f>('Expenditure DATA'!DE56/'Expenditure DATA'!P56)*100</f>
        <v>7.2441962752183731</v>
      </c>
      <c r="R54" s="202">
        <f>('Expenditure DATA'!DF56/'Expenditure DATA'!Q56)*100</f>
        <v>7.0014147207050774</v>
      </c>
      <c r="S54" s="202">
        <f>('Expenditure DATA'!DG56/'Expenditure DATA'!R56)*100</f>
        <v>6.7317672039453909</v>
      </c>
      <c r="T54" s="202">
        <f>('Expenditure DATA'!DH56/'Expenditure DATA'!S56)*100</f>
        <v>6.9795792916989878</v>
      </c>
      <c r="U54" s="202">
        <f>('Expenditure DATA'!DI56/'Expenditure DATA'!T56)*100</f>
        <v>6.6454641446703793</v>
      </c>
      <c r="V54" s="202">
        <f>('Expenditure DATA'!DJ56/'Expenditure DATA'!U56)*100</f>
        <v>6.837524786765746</v>
      </c>
      <c r="W54" s="202">
        <f>('Expenditure DATA'!DK56/'Expenditure DATA'!V56)*100</f>
        <v>7.0050323382212234</v>
      </c>
      <c r="X54" s="202">
        <f>('Expenditure DATA'!DL56/'Expenditure DATA'!W56)*100</f>
        <v>7.0405638992142725</v>
      </c>
      <c r="Y54" s="202">
        <f>('Expenditure DATA'!DM56/'Expenditure DATA'!X56)*100</f>
        <v>7.0711178511743906</v>
      </c>
      <c r="Z54" s="202">
        <f>('Expenditure DATA'!DN56/'Expenditure DATA'!Y56)*100</f>
        <v>7.0250144783530244</v>
      </c>
      <c r="AA54" s="202">
        <f>('Expenditure DATA'!DO56/'Expenditure DATA'!Z56)*100</f>
        <v>7.1598007646325987</v>
      </c>
      <c r="AB54" s="202">
        <f>('Expenditure DATA'!DP56/'Expenditure DATA'!AA56)*100</f>
        <v>7.4772219837309404</v>
      </c>
      <c r="AC54" s="202">
        <f>('Expenditure DATA'!DQ56/'Expenditure DATA'!AB56)*100</f>
        <v>7.376407489404806</v>
      </c>
      <c r="AD54" s="202">
        <f>('Expenditure DATA'!DR56/'Expenditure DATA'!AC56)*100</f>
        <v>7.0985655122874807</v>
      </c>
      <c r="AE54" s="202">
        <f>('Expenditure DATA'!DS56/'Expenditure DATA'!AD56)*100</f>
        <v>6.7607576865999777</v>
      </c>
      <c r="AF54" s="202">
        <f>('Expenditure DATA'!DT56/'Expenditure DATA'!AE56)*100</f>
        <v>6.9973737762864463</v>
      </c>
      <c r="AG54" s="464">
        <f>('Expenditure DATA'!DU56/'Expenditure DATA'!AF56)*100</f>
        <v>7.0820327464139288</v>
      </c>
      <c r="AH54" s="203" t="e">
        <f>('Expenditure DATA'!BL56/'Expenditure DATA'!B56)*100</f>
        <v>#DIV/0!</v>
      </c>
      <c r="AI54" s="202" t="e">
        <f>('Expenditure DATA'!BM56/'Expenditure DATA'!C56)*100</f>
        <v>#DIV/0!</v>
      </c>
      <c r="AJ54" s="202" t="e">
        <f>('Expenditure DATA'!BN56/'Expenditure DATA'!D56)*100</f>
        <v>#DIV/0!</v>
      </c>
      <c r="AK54" s="202" t="e">
        <f>('Expenditure DATA'!BO56/'Expenditure DATA'!E56)*100</f>
        <v>#DIV/0!</v>
      </c>
      <c r="AL54" s="202" t="e">
        <f>('Expenditure DATA'!BP56/'Expenditure DATA'!F56)*100</f>
        <v>#DIV/0!</v>
      </c>
      <c r="AM54" s="202" t="e">
        <f>('Expenditure DATA'!BQ56/'Expenditure DATA'!G56)*100</f>
        <v>#DIV/0!</v>
      </c>
      <c r="AN54" s="202" t="e">
        <f>('Expenditure DATA'!BR56/'Expenditure DATA'!H56)*100</f>
        <v>#DIV/0!</v>
      </c>
      <c r="AO54" s="202" t="e">
        <f>('Expenditure DATA'!BS56/'Expenditure DATA'!I56)*100</f>
        <v>#DIV/0!</v>
      </c>
      <c r="AP54" s="202">
        <f>('Expenditure DATA'!BT56/'Expenditure DATA'!J56)*100</f>
        <v>26.677339876337815</v>
      </c>
      <c r="AQ54" s="202">
        <f>('Expenditure DATA'!BU56/'Expenditure DATA'!K56)*100</f>
        <v>26.072243823133746</v>
      </c>
      <c r="AR54" s="202">
        <f>('Expenditure DATA'!BV56/'Expenditure DATA'!L56)*100</f>
        <v>25.549924196922536</v>
      </c>
      <c r="AS54" s="202">
        <f>('Expenditure DATA'!BW56/'Expenditure DATA'!M56)*100</f>
        <v>24.73303863308109</v>
      </c>
      <c r="AT54" s="202">
        <f>('Expenditure DATA'!BX56/'Expenditure DATA'!N56)*100</f>
        <v>24.360242665247075</v>
      </c>
      <c r="AU54" s="202">
        <f>('Expenditure DATA'!BY56/'Expenditure DATA'!O56)*100</f>
        <v>23.458771828202039</v>
      </c>
      <c r="AV54" s="202">
        <f>('Expenditure DATA'!BZ56/'Expenditure DATA'!P56)*100</f>
        <v>24.088910515979908</v>
      </c>
      <c r="AW54" s="202">
        <f>('Expenditure DATA'!CA56/'Expenditure DATA'!Q56)*100</f>
        <v>24.703375613535659</v>
      </c>
      <c r="AX54" s="202">
        <f>('Expenditure DATA'!CB56/'Expenditure DATA'!R56)*100</f>
        <v>25.043272655770565</v>
      </c>
      <c r="AY54" s="202">
        <f>('Expenditure DATA'!CC56/'Expenditure DATA'!S56)*100</f>
        <v>23.897037557456791</v>
      </c>
      <c r="AZ54" s="202">
        <f>('Expenditure DATA'!CD56/'Expenditure DATA'!T56)*100</f>
        <v>23.993898590635897</v>
      </c>
      <c r="BA54" s="202">
        <f>('Expenditure DATA'!CE56/'Expenditure DATA'!U56)*100</f>
        <v>23.238391070054405</v>
      </c>
      <c r="BB54" s="202">
        <f>('Expenditure DATA'!CF56/'Expenditure DATA'!V56)*100</f>
        <v>22.579467859665648</v>
      </c>
      <c r="BC54" s="202">
        <f>('Expenditure DATA'!CG56/'Expenditure DATA'!W56)*100</f>
        <v>22.462097705494013</v>
      </c>
      <c r="BD54" s="202">
        <f>('Expenditure DATA'!CH56/'Expenditure DATA'!X56)*100</f>
        <v>22.361169911952565</v>
      </c>
      <c r="BE54" s="202">
        <f>('Expenditure DATA'!CI56/'Expenditure DATA'!Y56)*100</f>
        <v>21.569606755752808</v>
      </c>
      <c r="BF54" s="202">
        <f>('Expenditure DATA'!CJ56/'Expenditure DATA'!Z56)*100</f>
        <v>21.322052726571563</v>
      </c>
      <c r="BG54" s="202">
        <f>('Expenditure DATA'!CK56/'Expenditure DATA'!AA56)*100</f>
        <v>21.753698973276801</v>
      </c>
      <c r="BH54" s="202">
        <f>('Expenditure DATA'!CL56/'Expenditure DATA'!AB56)*100</f>
        <v>22.064847710830719</v>
      </c>
      <c r="BI54" s="202">
        <f>('Expenditure DATA'!CM56/'Expenditure DATA'!AC56)*100</f>
        <v>21.387379671082485</v>
      </c>
      <c r="BJ54" s="202">
        <f>('Expenditure DATA'!CN56/'Expenditure DATA'!AD56)*100</f>
        <v>22.22506130012227</v>
      </c>
      <c r="BK54" s="202">
        <f>('Expenditure DATA'!CO56/'Expenditure DATA'!AE56)*100</f>
        <v>21.509399014514656</v>
      </c>
      <c r="BL54" s="464">
        <f>('Expenditure DATA'!CP56/'Expenditure DATA'!AF56)*100</f>
        <v>20.770047956186776</v>
      </c>
      <c r="BM54" s="203" t="e">
        <f>('Expenditure DATA'!AG56/'Expenditure DATA'!B56)*100</f>
        <v>#DIV/0!</v>
      </c>
      <c r="BN54" s="202" t="e">
        <f>('Expenditure DATA'!AH56/'Expenditure DATA'!C56)*100</f>
        <v>#DIV/0!</v>
      </c>
      <c r="BO54" s="202" t="e">
        <f>('Expenditure DATA'!AI56/'Expenditure DATA'!D56)*100</f>
        <v>#DIV/0!</v>
      </c>
      <c r="BP54" s="202" t="e">
        <f>('Expenditure DATA'!AJ56/'Expenditure DATA'!E56)*100</f>
        <v>#DIV/0!</v>
      </c>
      <c r="BQ54" s="202" t="e">
        <f>('Expenditure DATA'!AK56/'Expenditure DATA'!F56)*100</f>
        <v>#DIV/0!</v>
      </c>
      <c r="BR54" s="202" t="e">
        <f>('Expenditure DATA'!AL56/'Expenditure DATA'!G56)*100</f>
        <v>#DIV/0!</v>
      </c>
      <c r="BS54" s="202" t="e">
        <f>('Expenditure DATA'!AM56/'Expenditure DATA'!H56)*100</f>
        <v>#DIV/0!</v>
      </c>
      <c r="BT54" s="202" t="e">
        <f>('Expenditure DATA'!AN56/'Expenditure DATA'!I56)*100</f>
        <v>#DIV/0!</v>
      </c>
      <c r="BU54" s="202">
        <f>('Expenditure DATA'!AO56/'Expenditure DATA'!J56)*100</f>
        <v>36.782916026767829</v>
      </c>
      <c r="BV54" s="202">
        <f>('Expenditure DATA'!AP56/'Expenditure DATA'!K56)*100</f>
        <v>35.688287620801582</v>
      </c>
      <c r="BW54" s="202">
        <f>('Expenditure DATA'!AQ56/'Expenditure DATA'!L56)*100</f>
        <v>34.743403090788554</v>
      </c>
      <c r="BX54" s="202">
        <f>('Expenditure DATA'!AR56/'Expenditure DATA'!M56)*100</f>
        <v>34.012719761488313</v>
      </c>
      <c r="BY54" s="202">
        <f>('Expenditure DATA'!AS56/'Expenditure DATA'!N56)*100</f>
        <v>33.652571739951007</v>
      </c>
      <c r="BZ54" s="202">
        <f>('Expenditure DATA'!AT56/'Expenditure DATA'!O56)*100</f>
        <v>32.397217993933161</v>
      </c>
      <c r="CA54" s="202">
        <f>('Expenditure DATA'!AU56/'Expenditure DATA'!P56)*100</f>
        <v>33.389660730350649</v>
      </c>
      <c r="CB54" s="202">
        <f>('Expenditure DATA'!AV56/'Expenditure DATA'!Q56)*100</f>
        <v>33.702123464647542</v>
      </c>
      <c r="CC54" s="202">
        <f>('Expenditure DATA'!AW56/'Expenditure DATA'!R56)*100</f>
        <v>33.393701912370368</v>
      </c>
      <c r="CD54" s="202">
        <f>('Expenditure DATA'!AX56/'Expenditure DATA'!S56)*100</f>
        <v>32.694723058350554</v>
      </c>
      <c r="CE54" s="202">
        <f>('Expenditure DATA'!AY56/'Expenditure DATA'!T56)*100</f>
        <v>32.375782942160832</v>
      </c>
      <c r="CF54" s="202">
        <f>('Expenditure DATA'!AZ56/'Expenditure DATA'!U56)*100</f>
        <v>31.917627492165007</v>
      </c>
      <c r="CG54" s="202">
        <f>('Expenditure DATA'!BA56/'Expenditure DATA'!V56)*100</f>
        <v>31.518042773622433</v>
      </c>
      <c r="CH54" s="202">
        <f>('Expenditure DATA'!BB56/'Expenditure DATA'!W56)*100</f>
        <v>31.316672214993986</v>
      </c>
      <c r="CI54" s="202">
        <f>('Expenditure DATA'!BC56/'Expenditure DATA'!X56)*100</f>
        <v>31.143511616287974</v>
      </c>
      <c r="CJ54" s="202">
        <f>('Expenditure DATA'!BD56/'Expenditure DATA'!Y56)*100</f>
        <v>30.411743781657613</v>
      </c>
      <c r="CK54" s="202">
        <f>('Expenditure DATA'!BE56/'Expenditure DATA'!Z56)*100</f>
        <v>30.348203369685482</v>
      </c>
      <c r="CL54" s="202">
        <f>('Expenditure DATA'!BF56/'Expenditure DATA'!AA56)*100</f>
        <v>31.054554102051156</v>
      </c>
      <c r="CM54" s="202">
        <f>('Expenditure DATA'!BG56/'Expenditure DATA'!AB56)*100</f>
        <v>31.238759242185587</v>
      </c>
      <c r="CN54" s="202">
        <f>('Expenditure DATA'!BH56/'Expenditure DATA'!AC56)*100</f>
        <v>30.418634890323876</v>
      </c>
      <c r="CO54" s="202">
        <f>('Expenditure DATA'!BI56/'Expenditure DATA'!AD56)*100</f>
        <v>31.334296992322464</v>
      </c>
      <c r="CP54" s="202">
        <f>('Expenditure DATA'!BJ56/'Expenditure DATA'!AE56)*100</f>
        <v>30.81428781200492</v>
      </c>
      <c r="CQ54" s="464">
        <f>('Expenditure DATA'!BK56/'Expenditure DATA'!AF56)*100</f>
        <v>30.124749932605955</v>
      </c>
      <c r="CR54" s="203" t="e">
        <f>('Expenditure DATA'!FA56/'Expenditure DATA'!B56)*100</f>
        <v>#DIV/0!</v>
      </c>
      <c r="CS54" s="202" t="e">
        <f>('Expenditure DATA'!FB56/'Expenditure DATA'!C56)*100</f>
        <v>#DIV/0!</v>
      </c>
      <c r="CT54" s="202" t="e">
        <f>('Expenditure DATA'!FC56/'Expenditure DATA'!D56)*100</f>
        <v>#DIV/0!</v>
      </c>
      <c r="CU54" s="202" t="e">
        <f>('Expenditure DATA'!FD56/'Expenditure DATA'!E56)*100</f>
        <v>#DIV/0!</v>
      </c>
      <c r="CV54" s="202" t="e">
        <f>('Expenditure DATA'!FE56/'Expenditure DATA'!F56)*100</f>
        <v>#DIV/0!</v>
      </c>
      <c r="CW54" s="202" t="e">
        <f>('Expenditure DATA'!FF56/'Expenditure DATA'!G56)*100</f>
        <v>#DIV/0!</v>
      </c>
      <c r="CX54" s="202" t="e">
        <f>('Expenditure DATA'!FG56/'Expenditure DATA'!H56)*100</f>
        <v>#DIV/0!</v>
      </c>
      <c r="CY54" s="202" t="e">
        <f>('Expenditure DATA'!FH56/'Expenditure DATA'!I56)*100</f>
        <v>#DIV/0!</v>
      </c>
      <c r="CZ54" s="202">
        <f>('Expenditure DATA'!FI56/'Expenditure DATA'!J56)*100</f>
        <v>22.792464159649043</v>
      </c>
      <c r="DA54" s="202">
        <f>('Expenditure DATA'!FJ56/'Expenditure DATA'!K56)*100</f>
        <v>24.869475697590516</v>
      </c>
      <c r="DB54" s="202">
        <f>('Expenditure DATA'!FK56/'Expenditure DATA'!L56)*100</f>
        <v>26.662354504830226</v>
      </c>
      <c r="DC54" s="202">
        <f>('Expenditure DATA'!FL56/'Expenditure DATA'!M56)*100</f>
        <v>28.585048996157724</v>
      </c>
      <c r="DD54" s="202">
        <f>('Expenditure DATA'!FM56/'Expenditure DATA'!N56)*100</f>
        <v>29.319063931337556</v>
      </c>
      <c r="DE54" s="202">
        <f>('Expenditure DATA'!FN56/'Expenditure DATA'!O56)*100</f>
        <v>30.142241501042939</v>
      </c>
      <c r="DF54" s="202">
        <f>('Expenditure DATA'!FO56/'Expenditure DATA'!P56)*100</f>
        <v>29.459678519701214</v>
      </c>
      <c r="DG54" s="202">
        <f>('Expenditure DATA'!FP56/'Expenditure DATA'!Q56)*100</f>
        <v>29.544210886777371</v>
      </c>
      <c r="DH54" s="202">
        <f>('Expenditure DATA'!FQ56/'Expenditure DATA'!R56)*100</f>
        <v>29.75418850798815</v>
      </c>
      <c r="DI54" s="202">
        <f>('Expenditure DATA'!FR56/'Expenditure DATA'!S56)*100</f>
        <v>28.85193040118839</v>
      </c>
      <c r="DJ54" s="202">
        <f>('Expenditure DATA'!FS56/'Expenditure DATA'!T56)*100</f>
        <v>28.887462112111816</v>
      </c>
      <c r="DK54" s="202">
        <f>('Expenditure DATA'!FT56/'Expenditure DATA'!U56)*100</f>
        <v>28.957351275893352</v>
      </c>
      <c r="DL54" s="202">
        <f>('Expenditure DATA'!FU56/'Expenditure DATA'!V56)*100</f>
        <v>29.01830578781518</v>
      </c>
      <c r="DM54" s="202">
        <f>('Expenditure DATA'!FV56/'Expenditure DATA'!W56)*100</f>
        <v>30.332339691509912</v>
      </c>
      <c r="DN54" s="202">
        <f>('Expenditure DATA'!FW56/'Expenditure DATA'!X56)*100</f>
        <v>31.46229085732865</v>
      </c>
      <c r="DO54" s="202">
        <f>('Expenditure DATA'!FX56/'Expenditure DATA'!Y56)*100</f>
        <v>31.397972652606459</v>
      </c>
      <c r="DP54" s="202">
        <f>('Expenditure DATA'!FY56/'Expenditure DATA'!Z56)*100</f>
        <v>31.348514925232674</v>
      </c>
      <c r="DQ54" s="202">
        <f>('Expenditure DATA'!FZ56/'Expenditure DATA'!AA56)*100</f>
        <v>30.797202235459757</v>
      </c>
      <c r="DR54" s="202">
        <f>('Expenditure DATA'!GA56/'Expenditure DATA'!AB56)*100</f>
        <v>30.613922056070653</v>
      </c>
      <c r="DS54" s="202">
        <f>('Expenditure DATA'!GB56/'Expenditure DATA'!AC56)*100</f>
        <v>33.187696483653895</v>
      </c>
      <c r="DT54" s="202">
        <f>('Expenditure DATA'!GC56/'Expenditure DATA'!AD56)*100</f>
        <v>32.492170609775158</v>
      </c>
      <c r="DU54" s="202">
        <f>('Expenditure DATA'!GD56/'Expenditure DATA'!AE56)*100</f>
        <v>31.380248177788793</v>
      </c>
      <c r="DV54" s="464">
        <f>('Expenditure DATA'!GE56/'Expenditure DATA'!AF56)*100</f>
        <v>32.911360863211364</v>
      </c>
      <c r="DW54" s="203" t="e">
        <f>('Expenditure DATA'!GF56/'Expenditure DATA'!B56)*100</f>
        <v>#DIV/0!</v>
      </c>
      <c r="DX54" s="202" t="e">
        <f>('Expenditure DATA'!GG56/'Expenditure DATA'!C56)*100</f>
        <v>#DIV/0!</v>
      </c>
      <c r="DY54" s="202" t="e">
        <f>('Expenditure DATA'!GH56/'Expenditure DATA'!D56)*100</f>
        <v>#DIV/0!</v>
      </c>
      <c r="DZ54" s="202" t="e">
        <f>('Expenditure DATA'!GI56/'Expenditure DATA'!E56)*100</f>
        <v>#DIV/0!</v>
      </c>
      <c r="EA54" s="202" t="e">
        <f>('Expenditure DATA'!GJ56/'Expenditure DATA'!F56)*100</f>
        <v>#DIV/0!</v>
      </c>
      <c r="EB54" s="202" t="e">
        <f>('Expenditure DATA'!GK56/'Expenditure DATA'!G56)*100</f>
        <v>#DIV/0!</v>
      </c>
      <c r="EC54" s="202" t="e">
        <f>('Expenditure DATA'!GL56/'Expenditure DATA'!H56)*100</f>
        <v>#DIV/0!</v>
      </c>
      <c r="ED54" s="202" t="e">
        <f>('Expenditure DATA'!GM56/'Expenditure DATA'!I56)*100</f>
        <v>#DIV/0!</v>
      </c>
      <c r="EE54" s="202">
        <f>('Expenditure DATA'!GN56/'Expenditure DATA'!J56)*100</f>
        <v>23.928760184131537</v>
      </c>
      <c r="EF54" s="202">
        <f>('Expenditure DATA'!GO56/'Expenditure DATA'!K56)*100</f>
        <v>23.584300914742727</v>
      </c>
      <c r="EG54" s="202">
        <f>('Expenditure DATA'!GP56/'Expenditure DATA'!L56)*100</f>
        <v>23.286963267472583</v>
      </c>
      <c r="EH54" s="202">
        <f>('Expenditure DATA'!GQ56/'Expenditure DATA'!M56)*100</f>
        <v>22.576565681073795</v>
      </c>
      <c r="EI54" s="202">
        <f>('Expenditure DATA'!GR56/'Expenditure DATA'!N56)*100</f>
        <v>22.107747878219765</v>
      </c>
      <c r="EJ54" s="202">
        <f>('Expenditure DATA'!GS56/'Expenditure DATA'!O56)*100</f>
        <v>22.826401661011548</v>
      </c>
      <c r="EK54" s="202">
        <f>('Expenditure DATA'!GT56/'Expenditure DATA'!P56)*100</f>
        <v>22.961888045046138</v>
      </c>
      <c r="EL54" s="202">
        <f>('Expenditure DATA'!GU56/'Expenditure DATA'!Q56)*100</f>
        <v>22.482212221941658</v>
      </c>
      <c r="EM54" s="202">
        <f>('Expenditure DATA'!GV56/'Expenditure DATA'!R56)*100</f>
        <v>21.961526475208615</v>
      </c>
      <c r="EN54" s="202">
        <f>('Expenditure DATA'!GW56/'Expenditure DATA'!S56)*100</f>
        <v>22.265688388702277</v>
      </c>
      <c r="EO54" s="202">
        <f>('Expenditure DATA'!GX56/'Expenditure DATA'!T56)*100</f>
        <v>21.987389635617138</v>
      </c>
      <c r="EP54" s="202">
        <f>('Expenditure DATA'!GY56/'Expenditure DATA'!U56)*100</f>
        <v>21.556600526478565</v>
      </c>
      <c r="EQ54" s="202">
        <f>('Expenditure DATA'!GZ56/'Expenditure DATA'!V56)*100</f>
        <v>21.180883627491745</v>
      </c>
      <c r="ER54" s="202">
        <f>('Expenditure DATA'!HA56/'Expenditure DATA'!W56)*100</f>
        <v>21.168664769020978</v>
      </c>
      <c r="ES54" s="202">
        <f>('Expenditure DATA'!HB56/'Expenditure DATA'!X56)*100</f>
        <v>21.158157647906986</v>
      </c>
      <c r="ET54" s="202">
        <f>('Expenditure DATA'!HC56/'Expenditure DATA'!Y56)*100</f>
        <v>21.239775384994001</v>
      </c>
      <c r="EU54" s="202">
        <f>('Expenditure DATA'!HD56/'Expenditure DATA'!Z56)*100</f>
        <v>21.641186922515978</v>
      </c>
      <c r="EV54" s="202">
        <f>('Expenditure DATA'!HE56/'Expenditure DATA'!AA56)*100</f>
        <v>21.766583467563386</v>
      </c>
      <c r="EW54" s="202">
        <f>('Expenditure DATA'!HF56/'Expenditure DATA'!AB56)*100</f>
        <v>21.23052372958184</v>
      </c>
      <c r="EX54" s="202">
        <f>('Expenditure DATA'!HG56/'Expenditure DATA'!AC56)*100</f>
        <v>21.169344707153446</v>
      </c>
      <c r="EY54" s="202">
        <f>('Expenditure DATA'!HH56/'Expenditure DATA'!AD56)*100</f>
        <v>21.460616971410936</v>
      </c>
      <c r="EZ54" s="202">
        <f>('Expenditure DATA'!HI56/'Expenditure DATA'!AE56)*100</f>
        <v>23.017065524246441</v>
      </c>
      <c r="FA54" s="464">
        <f>('Expenditure DATA'!HJ56/'Expenditure DATA'!AF56)*100</f>
        <v>22.727055873214059</v>
      </c>
      <c r="FB54" s="203" t="e">
        <f>('Expenditure DATA'!HK56/'Expenditure DATA'!B56)*100</f>
        <v>#DIV/0!</v>
      </c>
      <c r="FC54" s="202" t="e">
        <f>('Expenditure DATA'!HL56/'Expenditure DATA'!C56)*100</f>
        <v>#DIV/0!</v>
      </c>
      <c r="FD54" s="202" t="e">
        <f>('Expenditure DATA'!HM56/'Expenditure DATA'!D56)*100</f>
        <v>#DIV/0!</v>
      </c>
      <c r="FE54" s="202" t="e">
        <f>('Expenditure DATA'!HN56/'Expenditure DATA'!E56)*100</f>
        <v>#DIV/0!</v>
      </c>
      <c r="FF54" s="202" t="e">
        <f>('Expenditure DATA'!HO56/'Expenditure DATA'!F56)*100</f>
        <v>#DIV/0!</v>
      </c>
      <c r="FG54" s="202" t="e">
        <f>('Expenditure DATA'!HP56/'Expenditure DATA'!G56)*100</f>
        <v>#DIV/0!</v>
      </c>
      <c r="FH54" s="202" t="e">
        <f>('Expenditure DATA'!HQ56/'Expenditure DATA'!H56)*100</f>
        <v>#DIV/0!</v>
      </c>
      <c r="FI54" s="202" t="e">
        <f>('Expenditure DATA'!HR56/'Expenditure DATA'!I56)*100</f>
        <v>#DIV/0!</v>
      </c>
      <c r="FJ54" s="202">
        <f>('Expenditure DATA'!HS56/'Expenditure DATA'!J56)*100</f>
        <v>4.9750915566712823</v>
      </c>
      <c r="FK54" s="202">
        <f>('Expenditure DATA'!HT56/'Expenditure DATA'!K56)*100</f>
        <v>4.7705092812155714</v>
      </c>
      <c r="FL54" s="202">
        <f>('Expenditure DATA'!HU56/'Expenditure DATA'!L56)*100</f>
        <v>4.5939136199488342</v>
      </c>
      <c r="FM54" s="202">
        <f>('Expenditure DATA'!HV56/'Expenditure DATA'!M56)*100</f>
        <v>4.3302051916687665</v>
      </c>
      <c r="FN54" s="202">
        <f>('Expenditure DATA'!HW56/'Expenditure DATA'!N56)*100</f>
        <v>4.7941103848740871</v>
      </c>
      <c r="FO54" s="202">
        <f>('Expenditure DATA'!HX56/'Expenditure DATA'!O56)*100</f>
        <v>4.8070315182205805</v>
      </c>
      <c r="FP54" s="202">
        <f>('Expenditure DATA'!HY56/'Expenditure DATA'!P56)*100</f>
        <v>4.6988511799357129</v>
      </c>
      <c r="FQ54" s="202">
        <f>('Expenditure DATA'!HZ56/'Expenditure DATA'!Q56)*100</f>
        <v>4.9928572169780319</v>
      </c>
      <c r="FR54" s="202">
        <f>('Expenditure DATA'!IA56/'Expenditure DATA'!R56)*100</f>
        <v>5.1619777978083228</v>
      </c>
      <c r="FS54" s="202">
        <f>('Expenditure DATA'!IB56/'Expenditure DATA'!S56)*100</f>
        <v>5.30464410011278</v>
      </c>
      <c r="FT54" s="202">
        <f>('Expenditure DATA'!IC56/'Expenditure DATA'!T56)*100</f>
        <v>5.0914629811978998</v>
      </c>
      <c r="FU54" s="202">
        <f>('Expenditure DATA'!ID56/'Expenditure DATA'!U56)*100</f>
        <v>5.206282821705142</v>
      </c>
      <c r="FV54" s="202">
        <f>('Expenditure DATA'!IE56/'Expenditure DATA'!V56)*100</f>
        <v>5.3064240590354146</v>
      </c>
      <c r="FW54" s="202">
        <f>('Expenditure DATA'!IF56/'Expenditure DATA'!W56)*100</f>
        <v>4.9659199133453376</v>
      </c>
      <c r="FX54" s="202">
        <f>('Expenditure DATA'!IG56/'Expenditure DATA'!X56)*100</f>
        <v>4.6731169230215821</v>
      </c>
      <c r="FY54" s="202">
        <f>('Expenditure DATA'!IH56/'Expenditure DATA'!Y56)*100</f>
        <v>4.8310452845925544</v>
      </c>
      <c r="FZ54" s="202">
        <f>('Expenditure DATA'!II56/'Expenditure DATA'!Z56)*100</f>
        <v>4.712487891181417</v>
      </c>
      <c r="GA54" s="202">
        <f>('Expenditure DATA'!IJ56/'Expenditure DATA'!AA56)*100</f>
        <v>5.0647694381386197</v>
      </c>
      <c r="GB54" s="202">
        <f>('Expenditure DATA'!IK56/'Expenditure DATA'!AB56)*100</f>
        <v>4.9533396839427066</v>
      </c>
      <c r="GC54" s="202">
        <f>('Expenditure DATA'!IL56/'Expenditure DATA'!AC56)*100</f>
        <v>4.6375130619598783</v>
      </c>
      <c r="GD54" s="202">
        <f>('Expenditure DATA'!IM56/'Expenditure DATA'!AD56)*100</f>
        <v>4.6180857038051508</v>
      </c>
      <c r="GE54" s="202">
        <f>('Expenditure DATA'!IN56/'Expenditure DATA'!AE56)*100</f>
        <v>4.3207859374136168</v>
      </c>
      <c r="GF54" s="464">
        <f>('Expenditure DATA'!IO56/'Expenditure DATA'!AF56)*100</f>
        <v>4.4306266937188745</v>
      </c>
      <c r="GG54" s="203" t="e">
        <f>('Expenditure DATA'!IP56/'Expenditure DATA'!B56)*100</f>
        <v>#DIV/0!</v>
      </c>
      <c r="GH54" s="202" t="e">
        <f>('Expenditure DATA'!IQ56/'Expenditure DATA'!C56)*100</f>
        <v>#DIV/0!</v>
      </c>
      <c r="GI54" s="202" t="e">
        <f>('Expenditure DATA'!IR56/'Expenditure DATA'!D56)*100</f>
        <v>#DIV/0!</v>
      </c>
      <c r="GJ54" s="202" t="e">
        <f>('Expenditure DATA'!IS56/'Expenditure DATA'!E56)*100</f>
        <v>#DIV/0!</v>
      </c>
      <c r="GK54" s="202" t="e">
        <f>('Expenditure DATA'!IT56/'Expenditure DATA'!F56)*100</f>
        <v>#DIV/0!</v>
      </c>
      <c r="GL54" s="202" t="e">
        <f>('Expenditure DATA'!IU56/'Expenditure DATA'!G56)*100</f>
        <v>#DIV/0!</v>
      </c>
      <c r="GM54" s="202" t="e">
        <f>('Expenditure DATA'!IV56/'Expenditure DATA'!H56)*100</f>
        <v>#DIV/0!</v>
      </c>
      <c r="GN54" s="202" t="e">
        <f>('Expenditure DATA'!IW56/'Expenditure DATA'!I56)*100</f>
        <v>#DIV/0!</v>
      </c>
      <c r="GO54" s="202">
        <f>('Expenditure DATA'!IX56/'Expenditure DATA'!J56)*100</f>
        <v>11.520768072780303</v>
      </c>
      <c r="GP54" s="202">
        <f>('Expenditure DATA'!IY56/'Expenditure DATA'!K56)*100</f>
        <v>11.087426485649592</v>
      </c>
      <c r="GQ54" s="202">
        <f>('Expenditure DATA'!IZ56/'Expenditure DATA'!L56)*100</f>
        <v>10.713365516959797</v>
      </c>
      <c r="GR54" s="202">
        <f>('Expenditure DATA'!JA56/'Expenditure DATA'!M56)*100</f>
        <v>10.495460369611397</v>
      </c>
      <c r="GS54" s="202">
        <f>('Expenditure DATA'!JB56/'Expenditure DATA'!N56)*100</f>
        <v>10.126506065617571</v>
      </c>
      <c r="GT54" s="202">
        <f>('Expenditure DATA'!JC56/'Expenditure DATA'!O56)*100</f>
        <v>9.8271073257917685</v>
      </c>
      <c r="GU54" s="202">
        <f>('Expenditure DATA'!JD56/'Expenditure DATA'!P56)*100</f>
        <v>9.4899215249662863</v>
      </c>
      <c r="GV54" s="202">
        <f>('Expenditure DATA'!JE56/'Expenditure DATA'!Q56)*100</f>
        <v>9.2785962096553813</v>
      </c>
      <c r="GW54" s="202">
        <f>('Expenditure DATA'!JF56/'Expenditure DATA'!R56)*100</f>
        <v>9.7286053066245408</v>
      </c>
      <c r="GX54" s="202">
        <f>('Expenditure DATA'!JG56/'Expenditure DATA'!S56)*100</f>
        <v>10.883014051645997</v>
      </c>
      <c r="GY54" s="202">
        <f>('Expenditure DATA'!JH56/'Expenditure DATA'!T56)*100</f>
        <v>11.65790232891232</v>
      </c>
      <c r="GZ54" s="202">
        <f>('Expenditure DATA'!JI56/'Expenditure DATA'!U56)*100</f>
        <v>12.362137883757937</v>
      </c>
      <c r="HA54" s="202">
        <f>('Expenditure DATA'!JJ56/'Expenditure DATA'!V56)*100</f>
        <v>12.97634375203523</v>
      </c>
      <c r="HB54" s="202">
        <f>('Expenditure DATA'!JK56/'Expenditure DATA'!W56)*100</f>
        <v>12.216403411129781</v>
      </c>
      <c r="HC54" s="202">
        <f>('Expenditure DATA'!JL56/'Expenditure DATA'!X56)*100</f>
        <v>11.562922955454805</v>
      </c>
      <c r="HD54" s="202">
        <f>('Expenditure DATA'!JM56/'Expenditure DATA'!Y56)*100</f>
        <v>12.119462896149367</v>
      </c>
      <c r="HE54" s="202">
        <f>('Expenditure DATA'!JN56/'Expenditure DATA'!Z56)*100</f>
        <v>11.949606891384448</v>
      </c>
      <c r="HF54" s="202">
        <f>('Expenditure DATA'!JO56/'Expenditure DATA'!AA56)*100</f>
        <v>11.316890756787075</v>
      </c>
      <c r="HG54" s="202">
        <f>('Expenditure DATA'!JP56/'Expenditure DATA'!AB56)*100</f>
        <v>11.963455288219206</v>
      </c>
      <c r="HH54" s="202">
        <f>('Expenditure DATA'!JQ56/'Expenditure DATA'!AC56)*100</f>
        <v>10.58683856969507</v>
      </c>
      <c r="HI54" s="202">
        <f>('Expenditure DATA'!JR56/'Expenditure DATA'!AD56)*100</f>
        <v>10.094829722686285</v>
      </c>
      <c r="HJ54" s="202">
        <f>('Expenditure DATA'!JS56/'Expenditure DATA'!AE56)*100</f>
        <v>10.46761254854623</v>
      </c>
      <c r="HK54" s="464">
        <f>('Expenditure DATA'!JT56/'Expenditure DATA'!AF56)*100</f>
        <v>9.8062066372497565</v>
      </c>
      <c r="HL54" s="203" t="e">
        <f t="shared" si="1"/>
        <v>#DIV/0!</v>
      </c>
      <c r="HM54" s="204" t="e">
        <f t="shared" si="2"/>
        <v>#DIV/0!</v>
      </c>
      <c r="HN54" s="204" t="e">
        <f t="shared" si="3"/>
        <v>#DIV/0!</v>
      </c>
      <c r="HO54" s="204" t="e">
        <f t="shared" si="4"/>
        <v>#DIV/0!</v>
      </c>
      <c r="HP54" s="204" t="e">
        <f t="shared" si="5"/>
        <v>#DIV/0!</v>
      </c>
      <c r="HQ54" s="204" t="e">
        <f t="shared" si="6"/>
        <v>#DIV/0!</v>
      </c>
      <c r="HR54" s="204" t="e">
        <f t="shared" si="7"/>
        <v>#DIV/0!</v>
      </c>
      <c r="HS54" s="204" t="e">
        <f t="shared" si="8"/>
        <v>#DIV/0!</v>
      </c>
      <c r="HT54" s="204">
        <f t="shared" si="9"/>
        <v>100</v>
      </c>
      <c r="HU54" s="204">
        <f t="shared" si="10"/>
        <v>99.999999999999972</v>
      </c>
      <c r="HV54" s="204">
        <f t="shared" si="11"/>
        <v>100</v>
      </c>
      <c r="HW54" s="204">
        <f t="shared" si="12"/>
        <v>99.999999999999986</v>
      </c>
      <c r="HX54" s="204">
        <f t="shared" si="13"/>
        <v>100</v>
      </c>
      <c r="HY54" s="204">
        <f t="shared" si="14"/>
        <v>100</v>
      </c>
      <c r="HZ54" s="204">
        <f t="shared" si="15"/>
        <v>100.00000000000001</v>
      </c>
      <c r="IA54" s="204">
        <f t="shared" si="16"/>
        <v>99.999999999999986</v>
      </c>
      <c r="IB54" s="204">
        <f t="shared" si="17"/>
        <v>100</v>
      </c>
      <c r="IC54" s="204">
        <f t="shared" si="18"/>
        <v>100</v>
      </c>
      <c r="ID54" s="204">
        <f t="shared" si="19"/>
        <v>100</v>
      </c>
      <c r="IE54" s="204">
        <f t="shared" si="20"/>
        <v>100</v>
      </c>
      <c r="IF54" s="204">
        <f t="shared" si="21"/>
        <v>100</v>
      </c>
      <c r="IG54" s="204">
        <f t="shared" si="22"/>
        <v>99.999999999999986</v>
      </c>
      <c r="IH54" s="204">
        <f t="shared" si="23"/>
        <v>100</v>
      </c>
      <c r="II54" s="204">
        <f t="shared" si="24"/>
        <v>100</v>
      </c>
      <c r="IJ54" s="204">
        <f t="shared" si="25"/>
        <v>99.999999999999986</v>
      </c>
      <c r="IK54" s="204">
        <f t="shared" si="26"/>
        <v>100</v>
      </c>
      <c r="IL54" s="204">
        <f t="shared" si="42"/>
        <v>100</v>
      </c>
      <c r="IM54" s="204">
        <f t="shared" si="43"/>
        <v>100.00002771278616</v>
      </c>
      <c r="IN54" s="204">
        <f t="shared" si="44"/>
        <v>100</v>
      </c>
      <c r="IO54" s="204">
        <f t="shared" si="45"/>
        <v>100</v>
      </c>
      <c r="IP54" s="204">
        <f t="shared" si="46"/>
        <v>100.00000000000001</v>
      </c>
    </row>
    <row r="55" spans="1:250" s="164" customFormat="1">
      <c r="A55" s="164" t="s">
        <v>59</v>
      </c>
      <c r="C55" s="202" t="e">
        <f>('Expenditure DATA'!CQ57/'Expenditure DATA'!B57)*100</f>
        <v>#DIV/0!</v>
      </c>
      <c r="D55" s="202" t="e">
        <f>('Expenditure DATA'!CR57/'Expenditure DATA'!C57)*100</f>
        <v>#DIV/0!</v>
      </c>
      <c r="E55" s="202" t="e">
        <f>('Expenditure DATA'!CS57/'Expenditure DATA'!D57)*100</f>
        <v>#DIV/0!</v>
      </c>
      <c r="F55" s="202" t="e">
        <f>('Expenditure DATA'!CT57/'Expenditure DATA'!E57)*100</f>
        <v>#DIV/0!</v>
      </c>
      <c r="G55" s="202" t="e">
        <f>('Expenditure DATA'!CU57/'Expenditure DATA'!F57)*100</f>
        <v>#DIV/0!</v>
      </c>
      <c r="H55" s="202" t="e">
        <f>('Expenditure DATA'!CV57/'Expenditure DATA'!G57)*100</f>
        <v>#DIV/0!</v>
      </c>
      <c r="I55" s="202" t="e">
        <f>('Expenditure DATA'!CW57/'Expenditure DATA'!H57)*100</f>
        <v>#DIV/0!</v>
      </c>
      <c r="J55" s="202" t="e">
        <f>('Expenditure DATA'!CX57/'Expenditure DATA'!I57)*100</f>
        <v>#DIV/0!</v>
      </c>
      <c r="K55" s="202">
        <f>('Expenditure DATA'!CY57/'Expenditure DATA'!J57)*100</f>
        <v>5.0412562197047643</v>
      </c>
      <c r="L55" s="202">
        <f>('Expenditure DATA'!CZ57/'Expenditure DATA'!K57)*100</f>
        <v>5.1341396857884103</v>
      </c>
      <c r="M55" s="202">
        <f>('Expenditure DATA'!DA57/'Expenditure DATA'!L57)*100</f>
        <v>5.221118713971225</v>
      </c>
      <c r="N55" s="202">
        <f>('Expenditure DATA'!DB57/'Expenditure DATA'!M57)*100</f>
        <v>5.1204079431341833</v>
      </c>
      <c r="O55" s="202">
        <f>('Expenditure DATA'!DC57/'Expenditure DATA'!N57)*100</f>
        <v>4.8217392935180996</v>
      </c>
      <c r="P55" s="202">
        <f>('Expenditure DATA'!DD57/'Expenditure DATA'!O57)*100</f>
        <v>4.7295430092662398</v>
      </c>
      <c r="Q55" s="202">
        <f>('Expenditure DATA'!DE57/'Expenditure DATA'!P57)*100</f>
        <v>4.8862548144833164</v>
      </c>
      <c r="R55" s="202">
        <f>('Expenditure DATA'!DF57/'Expenditure DATA'!Q57)*100</f>
        <v>5.2866707146717404</v>
      </c>
      <c r="S55" s="202">
        <f>('Expenditure DATA'!DG57/'Expenditure DATA'!R57)*100</f>
        <v>5.376055384097552</v>
      </c>
      <c r="T55" s="202">
        <f>('Expenditure DATA'!DH57/'Expenditure DATA'!S57)*100</f>
        <v>5.5347795736418277</v>
      </c>
      <c r="U55" s="202">
        <f>('Expenditure DATA'!DI57/'Expenditure DATA'!T57)*100</f>
        <v>5.5440364388502479</v>
      </c>
      <c r="V55" s="202">
        <f>('Expenditure DATA'!DJ57/'Expenditure DATA'!U57)*100</f>
        <v>5.7418627398280826</v>
      </c>
      <c r="W55" s="202">
        <f>('Expenditure DATA'!DK57/'Expenditure DATA'!V57)*100</f>
        <v>5.9184002428548803</v>
      </c>
      <c r="X55" s="202">
        <f>('Expenditure DATA'!DL57/'Expenditure DATA'!W57)*100</f>
        <v>5.7313785272284568</v>
      </c>
      <c r="Y55" s="202">
        <f>('Expenditure DATA'!DM57/'Expenditure DATA'!X57)*100</f>
        <v>5.5678141944021897</v>
      </c>
      <c r="Z55" s="202">
        <f>('Expenditure DATA'!DN57/'Expenditure DATA'!Y57)*100</f>
        <v>6.3616108229346962</v>
      </c>
      <c r="AA55" s="202">
        <f>('Expenditure DATA'!DO57/'Expenditure DATA'!Z57)*100</f>
        <v>6.8159728024722472</v>
      </c>
      <c r="AB55" s="202">
        <f>('Expenditure DATA'!DP57/'Expenditure DATA'!AA57)*100</f>
        <v>6.7815866466564456</v>
      </c>
      <c r="AC55" s="202">
        <f>('Expenditure DATA'!DQ57/'Expenditure DATA'!AB57)*100</f>
        <v>6.6470951760237886</v>
      </c>
      <c r="AD55" s="202">
        <f>('Expenditure DATA'!DR57/'Expenditure DATA'!AC57)*100</f>
        <v>7.0471339301828682</v>
      </c>
      <c r="AE55" s="202">
        <f>('Expenditure DATA'!DS57/'Expenditure DATA'!AD57)*100</f>
        <v>6.9759837078592613</v>
      </c>
      <c r="AF55" s="202">
        <f>('Expenditure DATA'!DT57/'Expenditure DATA'!AE57)*100</f>
        <v>7.5562098961333994</v>
      </c>
      <c r="AG55" s="464">
        <f>('Expenditure DATA'!DU57/'Expenditure DATA'!AF57)*100</f>
        <v>7.9571521755937322</v>
      </c>
      <c r="AH55" s="203" t="e">
        <f>('Expenditure DATA'!BL57/'Expenditure DATA'!B57)*100</f>
        <v>#DIV/0!</v>
      </c>
      <c r="AI55" s="202" t="e">
        <f>('Expenditure DATA'!BM57/'Expenditure DATA'!C57)*100</f>
        <v>#DIV/0!</v>
      </c>
      <c r="AJ55" s="202" t="e">
        <f>('Expenditure DATA'!BN57/'Expenditure DATA'!D57)*100</f>
        <v>#DIV/0!</v>
      </c>
      <c r="AK55" s="202" t="e">
        <f>('Expenditure DATA'!BO57/'Expenditure DATA'!E57)*100</f>
        <v>#DIV/0!</v>
      </c>
      <c r="AL55" s="202" t="e">
        <f>('Expenditure DATA'!BP57/'Expenditure DATA'!F57)*100</f>
        <v>#DIV/0!</v>
      </c>
      <c r="AM55" s="202" t="e">
        <f>('Expenditure DATA'!BQ57/'Expenditure DATA'!G57)*100</f>
        <v>#DIV/0!</v>
      </c>
      <c r="AN55" s="202" t="e">
        <f>('Expenditure DATA'!BR57/'Expenditure DATA'!H57)*100</f>
        <v>#DIV/0!</v>
      </c>
      <c r="AO55" s="202" t="e">
        <f>('Expenditure DATA'!BS57/'Expenditure DATA'!I57)*100</f>
        <v>#DIV/0!</v>
      </c>
      <c r="AP55" s="202">
        <f>('Expenditure DATA'!BT57/'Expenditure DATA'!J57)*100</f>
        <v>20.109995093227599</v>
      </c>
      <c r="AQ55" s="202">
        <f>('Expenditure DATA'!BU57/'Expenditure DATA'!K57)*100</f>
        <v>19.848740577076956</v>
      </c>
      <c r="AR55" s="202">
        <f>('Expenditure DATA'!BV57/'Expenditure DATA'!L57)*100</f>
        <v>19.604093549125931</v>
      </c>
      <c r="AS55" s="202">
        <f>('Expenditure DATA'!BW57/'Expenditure DATA'!M57)*100</f>
        <v>19.132662907439123</v>
      </c>
      <c r="AT55" s="202">
        <f>('Expenditure DATA'!BX57/'Expenditure DATA'!N57)*100</f>
        <v>19.975105500701059</v>
      </c>
      <c r="AU55" s="202">
        <f>('Expenditure DATA'!BY57/'Expenditure DATA'!O57)*100</f>
        <v>20.291281169812013</v>
      </c>
      <c r="AV55" s="202">
        <f>('Expenditure DATA'!BZ57/'Expenditure DATA'!P57)*100</f>
        <v>19.620693156218376</v>
      </c>
      <c r="AW55" s="202">
        <f>('Expenditure DATA'!CA57/'Expenditure DATA'!Q57)*100</f>
        <v>20.953608181740009</v>
      </c>
      <c r="AX55" s="202">
        <f>('Expenditure DATA'!CB57/'Expenditure DATA'!R57)*100</f>
        <v>21.879762292193156</v>
      </c>
      <c r="AY55" s="202">
        <f>('Expenditure DATA'!CC57/'Expenditure DATA'!S57)*100</f>
        <v>22.652795097939663</v>
      </c>
      <c r="AZ55" s="202">
        <f>('Expenditure DATA'!CD57/'Expenditure DATA'!T57)*100</f>
        <v>22.951162478973171</v>
      </c>
      <c r="BA55" s="202">
        <f>('Expenditure DATA'!CE57/'Expenditure DATA'!U57)*100</f>
        <v>23.572880656217997</v>
      </c>
      <c r="BB55" s="202">
        <f>('Expenditure DATA'!CF57/'Expenditure DATA'!V57)*100</f>
        <v>24.127693509992547</v>
      </c>
      <c r="BC55" s="202">
        <f>('Expenditure DATA'!CG57/'Expenditure DATA'!W57)*100</f>
        <v>22.60122530751114</v>
      </c>
      <c r="BD55" s="202">
        <f>('Expenditure DATA'!CH57/'Expenditure DATA'!X57)*100</f>
        <v>21.266215882091732</v>
      </c>
      <c r="BE55" s="202">
        <f>('Expenditure DATA'!CI57/'Expenditure DATA'!Y57)*100</f>
        <v>22.048977378940496</v>
      </c>
      <c r="BF55" s="202">
        <f>('Expenditure DATA'!CJ57/'Expenditure DATA'!Z57)*100</f>
        <v>22.530143726031024</v>
      </c>
      <c r="BG55" s="202">
        <f>('Expenditure DATA'!CK57/'Expenditure DATA'!AA57)*100</f>
        <v>22.106146551309322</v>
      </c>
      <c r="BH55" s="202">
        <f>('Expenditure DATA'!CL57/'Expenditure DATA'!AB57)*100</f>
        <v>21.988658467060183</v>
      </c>
      <c r="BI55" s="202">
        <f>('Expenditure DATA'!CM57/'Expenditure DATA'!AC57)*100</f>
        <v>21.984195853140438</v>
      </c>
      <c r="BJ55" s="202">
        <f>('Expenditure DATA'!CN57/'Expenditure DATA'!AD57)*100</f>
        <v>21.634605111911011</v>
      </c>
      <c r="BK55" s="202">
        <f>('Expenditure DATA'!CO57/'Expenditure DATA'!AE57)*100</f>
        <v>21.08121871810566</v>
      </c>
      <c r="BL55" s="464">
        <f>('Expenditure DATA'!CP57/'Expenditure DATA'!AF57)*100</f>
        <v>21.349680121839899</v>
      </c>
      <c r="BM55" s="203" t="e">
        <f>('Expenditure DATA'!AG57/'Expenditure DATA'!B57)*100</f>
        <v>#DIV/0!</v>
      </c>
      <c r="BN55" s="202" t="e">
        <f>('Expenditure DATA'!AH57/'Expenditure DATA'!C57)*100</f>
        <v>#DIV/0!</v>
      </c>
      <c r="BO55" s="202" t="e">
        <f>('Expenditure DATA'!AI57/'Expenditure DATA'!D57)*100</f>
        <v>#DIV/0!</v>
      </c>
      <c r="BP55" s="202" t="e">
        <f>('Expenditure DATA'!AJ57/'Expenditure DATA'!E57)*100</f>
        <v>#DIV/0!</v>
      </c>
      <c r="BQ55" s="202" t="e">
        <f>('Expenditure DATA'!AK57/'Expenditure DATA'!F57)*100</f>
        <v>#DIV/0!</v>
      </c>
      <c r="BR55" s="202" t="e">
        <f>('Expenditure DATA'!AL57/'Expenditure DATA'!G57)*100</f>
        <v>#DIV/0!</v>
      </c>
      <c r="BS55" s="202" t="e">
        <f>('Expenditure DATA'!AM57/'Expenditure DATA'!H57)*100</f>
        <v>#DIV/0!</v>
      </c>
      <c r="BT55" s="202" t="e">
        <f>('Expenditure DATA'!AN57/'Expenditure DATA'!I57)*100</f>
        <v>#DIV/0!</v>
      </c>
      <c r="BU55" s="202">
        <f>('Expenditure DATA'!AO57/'Expenditure DATA'!J57)*100</f>
        <v>27.024129585215462</v>
      </c>
      <c r="BV55" s="202">
        <f>('Expenditure DATA'!AP57/'Expenditure DATA'!K57)*100</f>
        <v>26.697651920192911</v>
      </c>
      <c r="BW55" s="202">
        <f>('Expenditure DATA'!AQ57/'Expenditure DATA'!L57)*100</f>
        <v>26.391927863755527</v>
      </c>
      <c r="BX55" s="202">
        <f>('Expenditure DATA'!AR57/'Expenditure DATA'!M57)*100</f>
        <v>26.162483582256808</v>
      </c>
      <c r="BY55" s="202">
        <f>('Expenditure DATA'!AS57/'Expenditure DATA'!N57)*100</f>
        <v>26.568456941565032</v>
      </c>
      <c r="BZ55" s="202">
        <f>('Expenditure DATA'!AT57/'Expenditure DATA'!O57)*100</f>
        <v>26.948586707300876</v>
      </c>
      <c r="CA55" s="202">
        <f>('Expenditure DATA'!AU57/'Expenditure DATA'!P57)*100</f>
        <v>26.585033562098413</v>
      </c>
      <c r="CB55" s="202">
        <f>('Expenditure DATA'!AV57/'Expenditure DATA'!Q57)*100</f>
        <v>28.411930105872042</v>
      </c>
      <c r="CC55" s="202">
        <f>('Expenditure DATA'!AW57/'Expenditure DATA'!R57)*100</f>
        <v>29.434177045981951</v>
      </c>
      <c r="CD55" s="202">
        <f>('Expenditure DATA'!AX57/'Expenditure DATA'!S57)*100</f>
        <v>30.365938080877669</v>
      </c>
      <c r="CE55" s="202">
        <f>('Expenditure DATA'!AY57/'Expenditure DATA'!T57)*100</f>
        <v>30.758485109835142</v>
      </c>
      <c r="CF55" s="202">
        <f>('Expenditure DATA'!AZ57/'Expenditure DATA'!U57)*100</f>
        <v>31.494020667265438</v>
      </c>
      <c r="CG55" s="202">
        <f>('Expenditure DATA'!BA57/'Expenditure DATA'!V57)*100</f>
        <v>32.150402604623295</v>
      </c>
      <c r="CH55" s="202">
        <f>('Expenditure DATA'!BB57/'Expenditure DATA'!W57)*100</f>
        <v>31.327058248522761</v>
      </c>
      <c r="CI55" s="202">
        <f>('Expenditure DATA'!BC57/'Expenditure DATA'!X57)*100</f>
        <v>30.606982668845916</v>
      </c>
      <c r="CJ55" s="202">
        <f>('Expenditure DATA'!BD57/'Expenditure DATA'!Y57)*100</f>
        <v>32.714302375602081</v>
      </c>
      <c r="CK55" s="202">
        <f>('Expenditure DATA'!BE57/'Expenditure DATA'!Z57)*100</f>
        <v>31.826631287831898</v>
      </c>
      <c r="CL55" s="202">
        <f>('Expenditure DATA'!BF57/'Expenditure DATA'!AA57)*100</f>
        <v>31.226474764439118</v>
      </c>
      <c r="CM55" s="202">
        <f>('Expenditure DATA'!BG57/'Expenditure DATA'!AB57)*100</f>
        <v>30.929004920612453</v>
      </c>
      <c r="CN55" s="202">
        <f>('Expenditure DATA'!BH57/'Expenditure DATA'!AC57)*100</f>
        <v>31.317933278718936</v>
      </c>
      <c r="CO55" s="202">
        <f>('Expenditure DATA'!BI57/'Expenditure DATA'!AD57)*100</f>
        <v>30.803170882808672</v>
      </c>
      <c r="CP55" s="202">
        <f>('Expenditure DATA'!BJ57/'Expenditure DATA'!AE57)*100</f>
        <v>30.821318897887039</v>
      </c>
      <c r="CQ55" s="464">
        <f>('Expenditure DATA'!BK57/'Expenditure DATA'!AF57)*100</f>
        <v>31.308281442979474</v>
      </c>
      <c r="CR55" s="203" t="e">
        <f>('Expenditure DATA'!FA57/'Expenditure DATA'!B57)*100</f>
        <v>#DIV/0!</v>
      </c>
      <c r="CS55" s="202" t="e">
        <f>('Expenditure DATA'!FB57/'Expenditure DATA'!C57)*100</f>
        <v>#DIV/0!</v>
      </c>
      <c r="CT55" s="202" t="e">
        <f>('Expenditure DATA'!FC57/'Expenditure DATA'!D57)*100</f>
        <v>#DIV/0!</v>
      </c>
      <c r="CU55" s="202" t="e">
        <f>('Expenditure DATA'!FD57/'Expenditure DATA'!E57)*100</f>
        <v>#DIV/0!</v>
      </c>
      <c r="CV55" s="202" t="e">
        <f>('Expenditure DATA'!FE57/'Expenditure DATA'!F57)*100</f>
        <v>#DIV/0!</v>
      </c>
      <c r="CW55" s="202" t="e">
        <f>('Expenditure DATA'!FF57/'Expenditure DATA'!G57)*100</f>
        <v>#DIV/0!</v>
      </c>
      <c r="CX55" s="202" t="e">
        <f>('Expenditure DATA'!FG57/'Expenditure DATA'!H57)*100</f>
        <v>#DIV/0!</v>
      </c>
      <c r="CY55" s="202" t="e">
        <f>('Expenditure DATA'!FH57/'Expenditure DATA'!I57)*100</f>
        <v>#DIV/0!</v>
      </c>
      <c r="CZ55" s="202">
        <f>('Expenditure DATA'!FI57/'Expenditure DATA'!J57)*100</f>
        <v>29.606892951334402</v>
      </c>
      <c r="DA55" s="202">
        <f>('Expenditure DATA'!FJ57/'Expenditure DATA'!K57)*100</f>
        <v>29.528682614323078</v>
      </c>
      <c r="DB55" s="202">
        <f>('Expenditure DATA'!FK57/'Expenditure DATA'!L57)*100</f>
        <v>29.455443970311141</v>
      </c>
      <c r="DC55" s="202">
        <f>('Expenditure DATA'!FL57/'Expenditure DATA'!M57)*100</f>
        <v>29.325495941775937</v>
      </c>
      <c r="DD55" s="202">
        <f>('Expenditure DATA'!FM57/'Expenditure DATA'!N57)*100</f>
        <v>29.130032541141233</v>
      </c>
      <c r="DE55" s="202">
        <f>('Expenditure DATA'!FN57/'Expenditure DATA'!O57)*100</f>
        <v>28.769003301407636</v>
      </c>
      <c r="DF55" s="202">
        <f>('Expenditure DATA'!FO57/'Expenditure DATA'!P57)*100</f>
        <v>28.011251721511641</v>
      </c>
      <c r="DG55" s="202">
        <f>('Expenditure DATA'!FP57/'Expenditure DATA'!Q57)*100</f>
        <v>26.021288303256934</v>
      </c>
      <c r="DH55" s="202">
        <f>('Expenditure DATA'!FQ57/'Expenditure DATA'!R57)*100</f>
        <v>24.27928859943998</v>
      </c>
      <c r="DI55" s="202">
        <f>('Expenditure DATA'!FR57/'Expenditure DATA'!S57)*100</f>
        <v>23.037204143618233</v>
      </c>
      <c r="DJ55" s="202">
        <f>('Expenditure DATA'!FS57/'Expenditure DATA'!T57)*100</f>
        <v>22.741647153087687</v>
      </c>
      <c r="DK55" s="202">
        <f>('Expenditure DATA'!FT57/'Expenditure DATA'!U57)*100</f>
        <v>21.947911276243666</v>
      </c>
      <c r="DL55" s="202">
        <f>('Expenditure DATA'!FU57/'Expenditure DATA'!V57)*100</f>
        <v>21.239592164638115</v>
      </c>
      <c r="DM55" s="202">
        <f>('Expenditure DATA'!FV57/'Expenditure DATA'!W57)*100</f>
        <v>23.459073088386944</v>
      </c>
      <c r="DN55" s="202">
        <f>('Expenditure DATA'!FW57/'Expenditure DATA'!X57)*100</f>
        <v>25.400173432256938</v>
      </c>
      <c r="DO55" s="202">
        <f>('Expenditure DATA'!FX57/'Expenditure DATA'!Y57)*100</f>
        <v>25.899955051076667</v>
      </c>
      <c r="DP55" s="202">
        <f>('Expenditure DATA'!FY57/'Expenditure DATA'!Z57)*100</f>
        <v>26.065894147256145</v>
      </c>
      <c r="DQ55" s="202">
        <f>('Expenditure DATA'!FZ57/'Expenditure DATA'!AA57)*100</f>
        <v>27.134452454571068</v>
      </c>
      <c r="DR55" s="202">
        <f>('Expenditure DATA'!GA57/'Expenditure DATA'!AB57)*100</f>
        <v>27.148924092353692</v>
      </c>
      <c r="DS55" s="202">
        <f>('Expenditure DATA'!GB57/'Expenditure DATA'!AC57)*100</f>
        <v>27.634000003675229</v>
      </c>
      <c r="DT55" s="202">
        <f>('Expenditure DATA'!GC57/'Expenditure DATA'!AD57)*100</f>
        <v>27.938606335804234</v>
      </c>
      <c r="DU55" s="202">
        <f>('Expenditure DATA'!GD57/'Expenditure DATA'!AE57)*100</f>
        <v>29.004667800486157</v>
      </c>
      <c r="DV55" s="464">
        <f>('Expenditure DATA'!GE57/'Expenditure DATA'!AF57)*100</f>
        <v>28.127728918354578</v>
      </c>
      <c r="DW55" s="203" t="e">
        <f>('Expenditure DATA'!GF57/'Expenditure DATA'!B57)*100</f>
        <v>#DIV/0!</v>
      </c>
      <c r="DX55" s="202" t="e">
        <f>('Expenditure DATA'!GG57/'Expenditure DATA'!C57)*100</f>
        <v>#DIV/0!</v>
      </c>
      <c r="DY55" s="202" t="e">
        <f>('Expenditure DATA'!GH57/'Expenditure DATA'!D57)*100</f>
        <v>#DIV/0!</v>
      </c>
      <c r="DZ55" s="202" t="e">
        <f>('Expenditure DATA'!GI57/'Expenditure DATA'!E57)*100</f>
        <v>#DIV/0!</v>
      </c>
      <c r="EA55" s="202" t="e">
        <f>('Expenditure DATA'!GJ57/'Expenditure DATA'!F57)*100</f>
        <v>#DIV/0!</v>
      </c>
      <c r="EB55" s="202" t="e">
        <f>('Expenditure DATA'!GK57/'Expenditure DATA'!G57)*100</f>
        <v>#DIV/0!</v>
      </c>
      <c r="EC55" s="202" t="e">
        <f>('Expenditure DATA'!GL57/'Expenditure DATA'!H57)*100</f>
        <v>#DIV/0!</v>
      </c>
      <c r="ED55" s="202" t="e">
        <f>('Expenditure DATA'!GM57/'Expenditure DATA'!I57)*100</f>
        <v>#DIV/0!</v>
      </c>
      <c r="EE55" s="202">
        <f>('Expenditure DATA'!GN57/'Expenditure DATA'!J57)*100</f>
        <v>23.259949539552171</v>
      </c>
      <c r="EF55" s="202">
        <f>('Expenditure DATA'!GO57/'Expenditure DATA'!K57)*100</f>
        <v>23.465579833850772</v>
      </c>
      <c r="EG55" s="202">
        <f>('Expenditure DATA'!GP57/'Expenditure DATA'!L57)*100</f>
        <v>23.658138573496991</v>
      </c>
      <c r="EH55" s="202">
        <f>('Expenditure DATA'!GQ57/'Expenditure DATA'!M57)*100</f>
        <v>24.107540696242765</v>
      </c>
      <c r="EI55" s="202">
        <f>('Expenditure DATA'!GR57/'Expenditure DATA'!N57)*100</f>
        <v>25.060012894392774</v>
      </c>
      <c r="EJ55" s="202">
        <f>('Expenditure DATA'!GS57/'Expenditure DATA'!O57)*100</f>
        <v>25.064371772943023</v>
      </c>
      <c r="EK55" s="202">
        <f>('Expenditure DATA'!GT57/'Expenditure DATA'!P57)*100</f>
        <v>26.266731602090754</v>
      </c>
      <c r="EL55" s="202">
        <f>('Expenditure DATA'!GU57/'Expenditure DATA'!Q57)*100</f>
        <v>25.304606403871034</v>
      </c>
      <c r="EM55" s="202">
        <f>('Expenditure DATA'!GV57/'Expenditure DATA'!R57)*100</f>
        <v>26.209455711042022</v>
      </c>
      <c r="EN55" s="202">
        <f>('Expenditure DATA'!GW57/'Expenditure DATA'!S57)*100</f>
        <v>26.378465679585162</v>
      </c>
      <c r="EO55" s="202">
        <f>('Expenditure DATA'!GX57/'Expenditure DATA'!T57)*100</f>
        <v>25.954955034953958</v>
      </c>
      <c r="EP55" s="202">
        <f>('Expenditure DATA'!GY57/'Expenditure DATA'!U57)*100</f>
        <v>25.110378094349766</v>
      </c>
      <c r="EQ55" s="202">
        <f>('Expenditure DATA'!GZ57/'Expenditure DATA'!V57)*100</f>
        <v>24.356689108247835</v>
      </c>
      <c r="ER55" s="202">
        <f>('Expenditure DATA'!HA57/'Expenditure DATA'!W57)*100</f>
        <v>23.989497809277214</v>
      </c>
      <c r="ES55" s="202">
        <f>('Expenditure DATA'!HB57/'Expenditure DATA'!X57)*100</f>
        <v>23.668361840469675</v>
      </c>
      <c r="ET55" s="202">
        <f>('Expenditure DATA'!HC57/'Expenditure DATA'!Y57)*100</f>
        <v>20.167957687834438</v>
      </c>
      <c r="EU55" s="202">
        <f>('Expenditure DATA'!HD57/'Expenditure DATA'!Z57)*100</f>
        <v>20.100496231439845</v>
      </c>
      <c r="EV55" s="202">
        <f>('Expenditure DATA'!HE57/'Expenditure DATA'!AA57)*100</f>
        <v>20.340967924492787</v>
      </c>
      <c r="EW55" s="202">
        <f>('Expenditure DATA'!HF57/'Expenditure DATA'!AB57)*100</f>
        <v>21.027584594389296</v>
      </c>
      <c r="EX55" s="202">
        <f>('Expenditure DATA'!HG57/'Expenditure DATA'!AC57)*100</f>
        <v>20.193053026424963</v>
      </c>
      <c r="EY55" s="202">
        <f>('Expenditure DATA'!HH57/'Expenditure DATA'!AD57)*100</f>
        <v>20.75878834303332</v>
      </c>
      <c r="EZ55" s="202">
        <f>('Expenditure DATA'!HI57/'Expenditure DATA'!AE57)*100</f>
        <v>20.144557936855694</v>
      </c>
      <c r="FA55" s="464">
        <f>('Expenditure DATA'!HJ57/'Expenditure DATA'!AF57)*100</f>
        <v>20.414282956074558</v>
      </c>
      <c r="FB55" s="203" t="e">
        <f>('Expenditure DATA'!HK57/'Expenditure DATA'!B57)*100</f>
        <v>#DIV/0!</v>
      </c>
      <c r="FC55" s="202" t="e">
        <f>('Expenditure DATA'!HL57/'Expenditure DATA'!C57)*100</f>
        <v>#DIV/0!</v>
      </c>
      <c r="FD55" s="202" t="e">
        <f>('Expenditure DATA'!HM57/'Expenditure DATA'!D57)*100</f>
        <v>#DIV/0!</v>
      </c>
      <c r="FE55" s="202" t="e">
        <f>('Expenditure DATA'!HN57/'Expenditure DATA'!E57)*100</f>
        <v>#DIV/0!</v>
      </c>
      <c r="FF55" s="202" t="e">
        <f>('Expenditure DATA'!HO57/'Expenditure DATA'!F57)*100</f>
        <v>#DIV/0!</v>
      </c>
      <c r="FG55" s="202" t="e">
        <f>('Expenditure DATA'!HP57/'Expenditure DATA'!G57)*100</f>
        <v>#DIV/0!</v>
      </c>
      <c r="FH55" s="202" t="e">
        <f>('Expenditure DATA'!HQ57/'Expenditure DATA'!H57)*100</f>
        <v>#DIV/0!</v>
      </c>
      <c r="FI55" s="202" t="e">
        <f>('Expenditure DATA'!HR57/'Expenditure DATA'!I57)*100</f>
        <v>#DIV/0!</v>
      </c>
      <c r="FJ55" s="202">
        <f>('Expenditure DATA'!HS57/'Expenditure DATA'!J57)*100</f>
        <v>5.383801805081851</v>
      </c>
      <c r="FK55" s="202">
        <f>('Expenditure DATA'!HT57/'Expenditure DATA'!K57)*100</f>
        <v>5.1590156101778213</v>
      </c>
      <c r="FL55" s="202">
        <f>('Expenditure DATA'!HU57/'Expenditure DATA'!L57)*100</f>
        <v>4.9485186766971276</v>
      </c>
      <c r="FM55" s="202">
        <f>('Expenditure DATA'!HV57/'Expenditure DATA'!M57)*100</f>
        <v>4.8962480980892797</v>
      </c>
      <c r="FN55" s="202">
        <f>('Expenditure DATA'!HW57/'Expenditure DATA'!N57)*100</f>
        <v>4.8097059867943734</v>
      </c>
      <c r="FO55" s="202">
        <f>('Expenditure DATA'!HX57/'Expenditure DATA'!O57)*100</f>
        <v>5.1336257967676637</v>
      </c>
      <c r="FP55" s="202">
        <f>('Expenditure DATA'!HY57/'Expenditure DATA'!P57)*100</f>
        <v>4.6629204270328923</v>
      </c>
      <c r="FQ55" s="202">
        <f>('Expenditure DATA'!HZ57/'Expenditure DATA'!Q57)*100</f>
        <v>4.7819663481969625</v>
      </c>
      <c r="FR55" s="202">
        <f>('Expenditure DATA'!IA57/'Expenditure DATA'!R57)*100</f>
        <v>4.780222030715036</v>
      </c>
      <c r="FS55" s="202">
        <f>('Expenditure DATA'!IB57/'Expenditure DATA'!S57)*100</f>
        <v>4.6832378496040006</v>
      </c>
      <c r="FT55" s="202">
        <f>('Expenditure DATA'!IC57/'Expenditure DATA'!T57)*100</f>
        <v>4.5071815512892792</v>
      </c>
      <c r="FU55" s="202">
        <f>('Expenditure DATA'!ID57/'Expenditure DATA'!U57)*100</f>
        <v>4.6767990279326952</v>
      </c>
      <c r="FV55" s="202">
        <f>('Expenditure DATA'!IE57/'Expenditure DATA'!V57)*100</f>
        <v>4.8281633594109969</v>
      </c>
      <c r="FW55" s="202">
        <f>('Expenditure DATA'!IF57/'Expenditure DATA'!W57)*100</f>
        <v>4.6862508424485547</v>
      </c>
      <c r="FX55" s="202">
        <f>('Expenditure DATA'!IG57/'Expenditure DATA'!X57)*100</f>
        <v>4.5621378426350798</v>
      </c>
      <c r="FY55" s="202">
        <f>('Expenditure DATA'!IH57/'Expenditure DATA'!Y57)*100</f>
        <v>4.5862906144412454</v>
      </c>
      <c r="FZ55" s="202">
        <f>('Expenditure DATA'!II57/'Expenditure DATA'!Z57)*100</f>
        <v>4.4379572895868646</v>
      </c>
      <c r="GA55" s="202">
        <f>('Expenditure DATA'!IJ57/'Expenditure DATA'!AA57)*100</f>
        <v>4.6659770850207591</v>
      </c>
      <c r="GB55" s="202">
        <f>('Expenditure DATA'!IK57/'Expenditure DATA'!AB57)*100</f>
        <v>4.6447297173609456</v>
      </c>
      <c r="GC55" s="202">
        <f>('Expenditure DATA'!IL57/'Expenditure DATA'!AC57)*100</f>
        <v>4.7238210575258011</v>
      </c>
      <c r="GD55" s="202">
        <f>('Expenditure DATA'!IM57/'Expenditure DATA'!AD57)*100</f>
        <v>4.2798468150811351</v>
      </c>
      <c r="GE55" s="202">
        <f>('Expenditure DATA'!IN57/'Expenditure DATA'!AE57)*100</f>
        <v>4.1604605760899274</v>
      </c>
      <c r="GF55" s="464">
        <f>('Expenditure DATA'!IO57/'Expenditure DATA'!AF57)*100</f>
        <v>4.0158438278117536</v>
      </c>
      <c r="GG55" s="203" t="e">
        <f>('Expenditure DATA'!IP57/'Expenditure DATA'!B57)*100</f>
        <v>#DIV/0!</v>
      </c>
      <c r="GH55" s="202" t="e">
        <f>('Expenditure DATA'!IQ57/'Expenditure DATA'!C57)*100</f>
        <v>#DIV/0!</v>
      </c>
      <c r="GI55" s="202" t="e">
        <f>('Expenditure DATA'!IR57/'Expenditure DATA'!D57)*100</f>
        <v>#DIV/0!</v>
      </c>
      <c r="GJ55" s="202" t="e">
        <f>('Expenditure DATA'!IS57/'Expenditure DATA'!E57)*100</f>
        <v>#DIV/0!</v>
      </c>
      <c r="GK55" s="202" t="e">
        <f>('Expenditure DATA'!IT57/'Expenditure DATA'!F57)*100</f>
        <v>#DIV/0!</v>
      </c>
      <c r="GL55" s="202" t="e">
        <f>('Expenditure DATA'!IU57/'Expenditure DATA'!G57)*100</f>
        <v>#DIV/0!</v>
      </c>
      <c r="GM55" s="202" t="e">
        <f>('Expenditure DATA'!IV57/'Expenditure DATA'!H57)*100</f>
        <v>#DIV/0!</v>
      </c>
      <c r="GN55" s="202" t="e">
        <f>('Expenditure DATA'!IW57/'Expenditure DATA'!I57)*100</f>
        <v>#DIV/0!</v>
      </c>
      <c r="GO55" s="202">
        <f>('Expenditure DATA'!IX57/'Expenditure DATA'!J57)*100</f>
        <v>14.725617285078318</v>
      </c>
      <c r="GP55" s="202">
        <f>('Expenditure DATA'!IY57/'Expenditure DATA'!K57)*100</f>
        <v>15.149259184079241</v>
      </c>
      <c r="GQ55" s="202">
        <f>('Expenditure DATA'!IZ57/'Expenditure DATA'!L57)*100</f>
        <v>15.545970915739208</v>
      </c>
      <c r="GR55" s="202">
        <f>('Expenditure DATA'!JA57/'Expenditure DATA'!M57)*100</f>
        <v>15.50823168163522</v>
      </c>
      <c r="GS55" s="202">
        <f>('Expenditure DATA'!JB57/'Expenditure DATA'!N57)*100</f>
        <v>14.431791636106588</v>
      </c>
      <c r="GT55" s="202">
        <f>('Expenditure DATA'!JC57/'Expenditure DATA'!O57)*100</f>
        <v>14.084412421580788</v>
      </c>
      <c r="GU55" s="202">
        <f>('Expenditure DATA'!JD57/'Expenditure DATA'!P57)*100</f>
        <v>14.474062687266295</v>
      </c>
      <c r="GV55" s="202">
        <f>('Expenditure DATA'!JE57/'Expenditure DATA'!Q57)*100</f>
        <v>15.480208838803033</v>
      </c>
      <c r="GW55" s="202">
        <f>('Expenditure DATA'!JF57/'Expenditure DATA'!R57)*100</f>
        <v>15.296856612821017</v>
      </c>
      <c r="GX55" s="202">
        <f>('Expenditure DATA'!JG57/'Expenditure DATA'!S57)*100</f>
        <v>15.535154246314931</v>
      </c>
      <c r="GY55" s="202">
        <f>('Expenditure DATA'!JH57/'Expenditure DATA'!T57)*100</f>
        <v>16.037731150833931</v>
      </c>
      <c r="GZ55" s="202">
        <f>('Expenditure DATA'!JI57/'Expenditure DATA'!U57)*100</f>
        <v>16.770890934208442</v>
      </c>
      <c r="HA55" s="202">
        <f>('Expenditure DATA'!JJ57/'Expenditure DATA'!V57)*100</f>
        <v>17.425152763079758</v>
      </c>
      <c r="HB55" s="202">
        <f>('Expenditure DATA'!JK57/'Expenditure DATA'!W57)*100</f>
        <v>16.538120011364512</v>
      </c>
      <c r="HC55" s="202">
        <f>('Expenditure DATA'!JL57/'Expenditure DATA'!X57)*100</f>
        <v>15.762344215792387</v>
      </c>
      <c r="HD55" s="202">
        <f>('Expenditure DATA'!JM57/'Expenditure DATA'!Y57)*100</f>
        <v>16.631494271045575</v>
      </c>
      <c r="HE55" s="202">
        <f>('Expenditure DATA'!JN57/'Expenditure DATA'!Z57)*100</f>
        <v>17.56902104388524</v>
      </c>
      <c r="HF55" s="202">
        <f>('Expenditure DATA'!JO57/'Expenditure DATA'!AA57)*100</f>
        <v>16.632127771476267</v>
      </c>
      <c r="HG55" s="202">
        <f>('Expenditure DATA'!JP57/'Expenditure DATA'!AB57)*100</f>
        <v>16.249756675283606</v>
      </c>
      <c r="HH55" s="202">
        <f>('Expenditure DATA'!JQ57/'Expenditure DATA'!AC57)*100</f>
        <v>16.131196068450599</v>
      </c>
      <c r="HI55" s="202">
        <f>('Expenditure DATA'!JR57/'Expenditure DATA'!AD57)*100</f>
        <v>16.219590972367488</v>
      </c>
      <c r="HJ55" s="202">
        <f>('Expenditure DATA'!JS57/'Expenditure DATA'!AE57)*100</f>
        <v>15.868994788681182</v>
      </c>
      <c r="HK55" s="464">
        <f>('Expenditure DATA'!JT57/'Expenditure DATA'!AF57)*100</f>
        <v>16.133862854779625</v>
      </c>
      <c r="HL55" s="203" t="e">
        <f t="shared" si="1"/>
        <v>#DIV/0!</v>
      </c>
      <c r="HM55" s="204" t="e">
        <f t="shared" si="2"/>
        <v>#DIV/0!</v>
      </c>
      <c r="HN55" s="204" t="e">
        <f t="shared" si="3"/>
        <v>#DIV/0!</v>
      </c>
      <c r="HO55" s="204" t="e">
        <f t="shared" si="4"/>
        <v>#DIV/0!</v>
      </c>
      <c r="HP55" s="204" t="e">
        <f t="shared" si="5"/>
        <v>#DIV/0!</v>
      </c>
      <c r="HQ55" s="204" t="e">
        <f t="shared" si="6"/>
        <v>#DIV/0!</v>
      </c>
      <c r="HR55" s="204" t="e">
        <f t="shared" si="7"/>
        <v>#DIV/0!</v>
      </c>
      <c r="HS55" s="204" t="e">
        <f t="shared" si="8"/>
        <v>#DIV/0!</v>
      </c>
      <c r="HT55" s="204">
        <f t="shared" si="9"/>
        <v>100.00039116626219</v>
      </c>
      <c r="HU55" s="204">
        <f t="shared" si="10"/>
        <v>100.00018916262381</v>
      </c>
      <c r="HV55" s="204">
        <f t="shared" si="11"/>
        <v>100</v>
      </c>
      <c r="HW55" s="204">
        <f t="shared" si="12"/>
        <v>100.00000000000001</v>
      </c>
      <c r="HX55" s="204">
        <f t="shared" si="13"/>
        <v>100</v>
      </c>
      <c r="HY55" s="204">
        <f t="shared" si="14"/>
        <v>99.999999999999986</v>
      </c>
      <c r="HZ55" s="204">
        <f t="shared" si="15"/>
        <v>100</v>
      </c>
      <c r="IA55" s="204">
        <f t="shared" si="16"/>
        <v>100</v>
      </c>
      <c r="IB55" s="204">
        <f t="shared" si="17"/>
        <v>100.00000000000001</v>
      </c>
      <c r="IC55" s="204">
        <f t="shared" si="18"/>
        <v>99.999999999999986</v>
      </c>
      <c r="ID55" s="204">
        <f t="shared" si="19"/>
        <v>100</v>
      </c>
      <c r="IE55" s="204">
        <f t="shared" si="20"/>
        <v>100</v>
      </c>
      <c r="IF55" s="204">
        <f t="shared" si="21"/>
        <v>100</v>
      </c>
      <c r="IG55" s="204">
        <f t="shared" si="22"/>
        <v>99.999999999999986</v>
      </c>
      <c r="IH55" s="204">
        <f t="shared" si="23"/>
        <v>99.999999999999986</v>
      </c>
      <c r="II55" s="204">
        <f t="shared" si="24"/>
        <v>100</v>
      </c>
      <c r="IJ55" s="204">
        <f t="shared" si="25"/>
        <v>100</v>
      </c>
      <c r="IK55" s="204">
        <f t="shared" si="26"/>
        <v>100</v>
      </c>
      <c r="IL55" s="204">
        <f t="shared" si="42"/>
        <v>100</v>
      </c>
      <c r="IM55" s="204">
        <f t="shared" si="43"/>
        <v>100.00000343479553</v>
      </c>
      <c r="IN55" s="204">
        <f t="shared" si="44"/>
        <v>100.00000334909484</v>
      </c>
      <c r="IO55" s="204">
        <f t="shared" si="45"/>
        <v>100</v>
      </c>
      <c r="IP55" s="204">
        <f t="shared" si="46"/>
        <v>99.999999999999986</v>
      </c>
    </row>
    <row r="56" spans="1:250" s="164" customFormat="1">
      <c r="A56" s="164" t="s">
        <v>66</v>
      </c>
      <c r="C56" s="202" t="e">
        <f>('Expenditure DATA'!CQ58/'Expenditure DATA'!B58)*100</f>
        <v>#DIV/0!</v>
      </c>
      <c r="D56" s="202" t="e">
        <f>('Expenditure DATA'!CR58/'Expenditure DATA'!C58)*100</f>
        <v>#DIV/0!</v>
      </c>
      <c r="E56" s="202" t="e">
        <f>('Expenditure DATA'!CS58/'Expenditure DATA'!D58)*100</f>
        <v>#DIV/0!</v>
      </c>
      <c r="F56" s="202" t="e">
        <f>('Expenditure DATA'!CT58/'Expenditure DATA'!E58)*100</f>
        <v>#DIV/0!</v>
      </c>
      <c r="G56" s="202" t="e">
        <f>('Expenditure DATA'!CU58/'Expenditure DATA'!F58)*100</f>
        <v>#DIV/0!</v>
      </c>
      <c r="H56" s="202" t="e">
        <f>('Expenditure DATA'!CV58/'Expenditure DATA'!G58)*100</f>
        <v>#DIV/0!</v>
      </c>
      <c r="I56" s="202" t="e">
        <f>('Expenditure DATA'!CW58/'Expenditure DATA'!H58)*100</f>
        <v>#DIV/0!</v>
      </c>
      <c r="J56" s="202" t="e">
        <f>('Expenditure DATA'!CX58/'Expenditure DATA'!I58)*100</f>
        <v>#DIV/0!</v>
      </c>
      <c r="K56" s="202">
        <f>('Expenditure DATA'!CY58/'Expenditure DATA'!J58)*100</f>
        <v>7.2992451963235085</v>
      </c>
      <c r="L56" s="202">
        <f>('Expenditure DATA'!CZ58/'Expenditure DATA'!K58)*100</f>
        <v>6.9726403764344287</v>
      </c>
      <c r="M56" s="202">
        <f>('Expenditure DATA'!DA58/'Expenditure DATA'!L58)*100</f>
        <v>6.7099073288491766</v>
      </c>
      <c r="N56" s="202">
        <f>('Expenditure DATA'!DB58/'Expenditure DATA'!M58)*100</f>
        <v>7.4957673025087583</v>
      </c>
      <c r="O56" s="202">
        <f>('Expenditure DATA'!DC58/'Expenditure DATA'!N58)*100</f>
        <v>7.5066130940951394</v>
      </c>
      <c r="P56" s="202">
        <f>('Expenditure DATA'!DD58/'Expenditure DATA'!O58)*100</f>
        <v>7.6496431628765196</v>
      </c>
      <c r="Q56" s="202">
        <f>('Expenditure DATA'!DE58/'Expenditure DATA'!P58)*100</f>
        <v>7.6257028887765577</v>
      </c>
      <c r="R56" s="202">
        <f>('Expenditure DATA'!DF58/'Expenditure DATA'!Q58)*100</f>
        <v>7.7793325594116034</v>
      </c>
      <c r="S56" s="202">
        <f>('Expenditure DATA'!DG58/'Expenditure DATA'!R58)*100</f>
        <v>8.1068330803333897</v>
      </c>
      <c r="T56" s="202">
        <f>('Expenditure DATA'!DH58/'Expenditure DATA'!S58)*100</f>
        <v>7.8490579775552476</v>
      </c>
      <c r="U56" s="202">
        <f>('Expenditure DATA'!DI58/'Expenditure DATA'!T58)*100</f>
        <v>8.1975974510480381</v>
      </c>
      <c r="V56" s="202">
        <f>('Expenditure DATA'!DJ58/'Expenditure DATA'!U58)*100</f>
        <v>8.5382714992371422</v>
      </c>
      <c r="W56" s="202">
        <f>('Expenditure DATA'!DK58/'Expenditure DATA'!V58)*100</f>
        <v>8.8424668710384573</v>
      </c>
      <c r="X56" s="202">
        <f>('Expenditure DATA'!DL58/'Expenditure DATA'!W58)*100</f>
        <v>8.4477008781529879</v>
      </c>
      <c r="Y56" s="202">
        <f>('Expenditure DATA'!DM58/'Expenditure DATA'!X58)*100</f>
        <v>8.1159796982934935</v>
      </c>
      <c r="Z56" s="202">
        <f>('Expenditure DATA'!DN58/'Expenditure DATA'!Y58)*100</f>
        <v>8.5958765792294081</v>
      </c>
      <c r="AA56" s="202">
        <f>('Expenditure DATA'!DO58/'Expenditure DATA'!Z58)*100</f>
        <v>9.0316392274895296</v>
      </c>
      <c r="AB56" s="202">
        <f>('Expenditure DATA'!DP58/'Expenditure DATA'!AA58)*100</f>
        <v>9.0321916367843755</v>
      </c>
      <c r="AC56" s="202">
        <f>('Expenditure DATA'!DQ58/'Expenditure DATA'!AB58)*100</f>
        <v>9.147108360803303</v>
      </c>
      <c r="AD56" s="202">
        <f>('Expenditure DATA'!DR58/'Expenditure DATA'!AC58)*100</f>
        <v>8.7705658293664648</v>
      </c>
      <c r="AE56" s="202">
        <f>('Expenditure DATA'!DS58/'Expenditure DATA'!AD58)*100</f>
        <v>8.1451793866127051</v>
      </c>
      <c r="AF56" s="202">
        <f>('Expenditure DATA'!DT58/'Expenditure DATA'!AE58)*100</f>
        <v>8.2311388071035303</v>
      </c>
      <c r="AG56" s="464">
        <f>('Expenditure DATA'!DU58/'Expenditure DATA'!AF58)*100</f>
        <v>9.2454841636156466</v>
      </c>
      <c r="AH56" s="203" t="e">
        <f>('Expenditure DATA'!BL58/'Expenditure DATA'!B58)*100</f>
        <v>#DIV/0!</v>
      </c>
      <c r="AI56" s="202" t="e">
        <f>('Expenditure DATA'!BM58/'Expenditure DATA'!C58)*100</f>
        <v>#DIV/0!</v>
      </c>
      <c r="AJ56" s="202" t="e">
        <f>('Expenditure DATA'!BN58/'Expenditure DATA'!D58)*100</f>
        <v>#DIV/0!</v>
      </c>
      <c r="AK56" s="202" t="e">
        <f>('Expenditure DATA'!BO58/'Expenditure DATA'!E58)*100</f>
        <v>#DIV/0!</v>
      </c>
      <c r="AL56" s="202" t="e">
        <f>('Expenditure DATA'!BP58/'Expenditure DATA'!F58)*100</f>
        <v>#DIV/0!</v>
      </c>
      <c r="AM56" s="202" t="e">
        <f>('Expenditure DATA'!BQ58/'Expenditure DATA'!G58)*100</f>
        <v>#DIV/0!</v>
      </c>
      <c r="AN56" s="202" t="e">
        <f>('Expenditure DATA'!BR58/'Expenditure DATA'!H58)*100</f>
        <v>#DIV/0!</v>
      </c>
      <c r="AO56" s="202" t="e">
        <f>('Expenditure DATA'!BS58/'Expenditure DATA'!I58)*100</f>
        <v>#DIV/0!</v>
      </c>
      <c r="AP56" s="202">
        <f>('Expenditure DATA'!BT58/'Expenditure DATA'!J58)*100</f>
        <v>28.356396356372009</v>
      </c>
      <c r="AQ56" s="202">
        <f>('Expenditure DATA'!BU58/'Expenditure DATA'!K58)*100</f>
        <v>26.048774717380478</v>
      </c>
      <c r="AR56" s="202">
        <f>('Expenditure DATA'!BV58/'Expenditure DATA'!L58)*100</f>
        <v>24.19243816333994</v>
      </c>
      <c r="AS56" s="202">
        <f>('Expenditure DATA'!BW58/'Expenditure DATA'!M58)*100</f>
        <v>23.852333637785371</v>
      </c>
      <c r="AT56" s="202">
        <f>('Expenditure DATA'!BX58/'Expenditure DATA'!N58)*100</f>
        <v>23.30134481441354</v>
      </c>
      <c r="AU56" s="202">
        <f>('Expenditure DATA'!BY58/'Expenditure DATA'!O58)*100</f>
        <v>25.104589426621065</v>
      </c>
      <c r="AV56" s="202">
        <f>('Expenditure DATA'!BZ58/'Expenditure DATA'!P58)*100</f>
        <v>25.666839398858105</v>
      </c>
      <c r="AW56" s="202">
        <f>('Expenditure DATA'!CA58/'Expenditure DATA'!Q58)*100</f>
        <v>26.99410881480091</v>
      </c>
      <c r="AX56" s="202">
        <f>('Expenditure DATA'!CB58/'Expenditure DATA'!R58)*100</f>
        <v>26.231364045149931</v>
      </c>
      <c r="AY56" s="202">
        <f>('Expenditure DATA'!CC58/'Expenditure DATA'!S58)*100</f>
        <v>25.721672380471265</v>
      </c>
      <c r="AZ56" s="202">
        <f>('Expenditure DATA'!CD58/'Expenditure DATA'!T58)*100</f>
        <v>26.978815350352004</v>
      </c>
      <c r="BA56" s="202">
        <f>('Expenditure DATA'!CE58/'Expenditure DATA'!U58)*100</f>
        <v>27.793140789082351</v>
      </c>
      <c r="BB56" s="202">
        <f>('Expenditure DATA'!CF58/'Expenditure DATA'!V58)*100</f>
        <v>28.520269934723469</v>
      </c>
      <c r="BC56" s="202">
        <f>('Expenditure DATA'!CG58/'Expenditure DATA'!W58)*100</f>
        <v>27.845121308698388</v>
      </c>
      <c r="BD56" s="202">
        <f>('Expenditure DATA'!CH58/'Expenditure DATA'!X58)*100</f>
        <v>27.277795087995965</v>
      </c>
      <c r="BE56" s="202">
        <f>('Expenditure DATA'!CI58/'Expenditure DATA'!Y58)*100</f>
        <v>27.232289883281396</v>
      </c>
      <c r="BF56" s="202">
        <f>('Expenditure DATA'!CJ58/'Expenditure DATA'!Z58)*100</f>
        <v>28.28483486963523</v>
      </c>
      <c r="BG56" s="202">
        <f>('Expenditure DATA'!CK58/'Expenditure DATA'!AA58)*100</f>
        <v>28.286564877366011</v>
      </c>
      <c r="BH56" s="202">
        <f>('Expenditure DATA'!CL58/'Expenditure DATA'!AB58)*100</f>
        <v>27.932480102660101</v>
      </c>
      <c r="BI56" s="202">
        <f>('Expenditure DATA'!CM58/'Expenditure DATA'!AC58)*100</f>
        <v>27.076364712647788</v>
      </c>
      <c r="BJ56" s="202">
        <f>('Expenditure DATA'!CN58/'Expenditure DATA'!AD58)*100</f>
        <v>26.439623643361799</v>
      </c>
      <c r="BK56" s="202">
        <f>('Expenditure DATA'!CO58/'Expenditure DATA'!AE58)*100</f>
        <v>27.041713886844665</v>
      </c>
      <c r="BL56" s="464">
        <f>('Expenditure DATA'!CP58/'Expenditure DATA'!AF58)*100</f>
        <v>27.49819440293313</v>
      </c>
      <c r="BM56" s="203" t="e">
        <f>('Expenditure DATA'!AG58/'Expenditure DATA'!B58)*100</f>
        <v>#DIV/0!</v>
      </c>
      <c r="BN56" s="202" t="e">
        <f>('Expenditure DATA'!AH58/'Expenditure DATA'!C58)*100</f>
        <v>#DIV/0!</v>
      </c>
      <c r="BO56" s="202" t="e">
        <f>('Expenditure DATA'!AI58/'Expenditure DATA'!D58)*100</f>
        <v>#DIV/0!</v>
      </c>
      <c r="BP56" s="202" t="e">
        <f>('Expenditure DATA'!AJ58/'Expenditure DATA'!E58)*100</f>
        <v>#DIV/0!</v>
      </c>
      <c r="BQ56" s="202" t="e">
        <f>('Expenditure DATA'!AK58/'Expenditure DATA'!F58)*100</f>
        <v>#DIV/0!</v>
      </c>
      <c r="BR56" s="202" t="e">
        <f>('Expenditure DATA'!AL58/'Expenditure DATA'!G58)*100</f>
        <v>#DIV/0!</v>
      </c>
      <c r="BS56" s="202" t="e">
        <f>('Expenditure DATA'!AM58/'Expenditure DATA'!H58)*100</f>
        <v>#DIV/0!</v>
      </c>
      <c r="BT56" s="202" t="e">
        <f>('Expenditure DATA'!AN58/'Expenditure DATA'!I58)*100</f>
        <v>#DIV/0!</v>
      </c>
      <c r="BU56" s="202">
        <f>('Expenditure DATA'!AO58/'Expenditure DATA'!J58)*100</f>
        <v>37.651481840436851</v>
      </c>
      <c r="BV56" s="202">
        <f>('Expenditure DATA'!AP58/'Expenditure DATA'!K58)*100</f>
        <v>34.753848038447622</v>
      </c>
      <c r="BW56" s="202">
        <f>('Expenditure DATA'!AQ58/'Expenditure DATA'!L58)*100</f>
        <v>32.422883786783409</v>
      </c>
      <c r="BX56" s="202">
        <f>('Expenditure DATA'!AR58/'Expenditure DATA'!M58)*100</f>
        <v>32.847822753018313</v>
      </c>
      <c r="BY56" s="202">
        <f>('Expenditure DATA'!AS58/'Expenditure DATA'!N58)*100</f>
        <v>32.333533603927492</v>
      </c>
      <c r="BZ56" s="202">
        <f>('Expenditure DATA'!AT58/'Expenditure DATA'!O58)*100</f>
        <v>34.352437093318784</v>
      </c>
      <c r="CA56" s="202">
        <f>('Expenditure DATA'!AU58/'Expenditure DATA'!P58)*100</f>
        <v>34.879794482561252</v>
      </c>
      <c r="CB56" s="202">
        <f>('Expenditure DATA'!AV58/'Expenditure DATA'!Q58)*100</f>
        <v>36.244615763269152</v>
      </c>
      <c r="CC56" s="202">
        <f>('Expenditure DATA'!AW58/'Expenditure DATA'!R58)*100</f>
        <v>35.826697035825298</v>
      </c>
      <c r="CD56" s="202">
        <f>('Expenditure DATA'!AX58/'Expenditure DATA'!S58)*100</f>
        <v>35.06728490476565</v>
      </c>
      <c r="CE56" s="202">
        <f>('Expenditure DATA'!AY58/'Expenditure DATA'!T58)*100</f>
        <v>36.776005161182788</v>
      </c>
      <c r="CF56" s="202">
        <f>('Expenditure DATA'!AZ58/'Expenditure DATA'!U58)*100</f>
        <v>37.870527557100189</v>
      </c>
      <c r="CG56" s="202">
        <f>('Expenditure DATA'!BA58/'Expenditure DATA'!V58)*100</f>
        <v>38.847850746056885</v>
      </c>
      <c r="CH56" s="202">
        <f>('Expenditure DATA'!BB58/'Expenditure DATA'!W58)*100</f>
        <v>37.767201238912044</v>
      </c>
      <c r="CI56" s="202">
        <f>('Expenditure DATA'!BC58/'Expenditure DATA'!X58)*100</f>
        <v>36.859133330365864</v>
      </c>
      <c r="CJ56" s="202">
        <f>('Expenditure DATA'!BD58/'Expenditure DATA'!Y58)*100</f>
        <v>37.329311999003309</v>
      </c>
      <c r="CK56" s="202">
        <f>('Expenditure DATA'!BE58/'Expenditure DATA'!Z58)*100</f>
        <v>38.905938794374833</v>
      </c>
      <c r="CL56" s="202">
        <f>('Expenditure DATA'!BF58/'Expenditure DATA'!AA58)*100</f>
        <v>38.908318429087139</v>
      </c>
      <c r="CM56" s="202">
        <f>('Expenditure DATA'!BG58/'Expenditure DATA'!AB58)*100</f>
        <v>38.704330659445091</v>
      </c>
      <c r="CN56" s="202">
        <f>('Expenditure DATA'!BH58/'Expenditure DATA'!AC58)*100</f>
        <v>37.664394578210839</v>
      </c>
      <c r="CO56" s="202">
        <f>('Expenditure DATA'!BI58/'Expenditure DATA'!AD58)*100</f>
        <v>36.449381000333311</v>
      </c>
      <c r="CP56" s="202">
        <f>('Expenditure DATA'!BJ58/'Expenditure DATA'!AE58)*100</f>
        <v>37.232383446665018</v>
      </c>
      <c r="CQ56" s="464">
        <f>('Expenditure DATA'!BK58/'Expenditure DATA'!AF58)*100</f>
        <v>38.76966461389523</v>
      </c>
      <c r="CR56" s="203" t="e">
        <f>('Expenditure DATA'!FA58/'Expenditure DATA'!B58)*100</f>
        <v>#DIV/0!</v>
      </c>
      <c r="CS56" s="202" t="e">
        <f>('Expenditure DATA'!FB58/'Expenditure DATA'!C58)*100</f>
        <v>#DIV/0!</v>
      </c>
      <c r="CT56" s="202" t="e">
        <f>('Expenditure DATA'!FC58/'Expenditure DATA'!D58)*100</f>
        <v>#DIV/0!</v>
      </c>
      <c r="CU56" s="202" t="e">
        <f>('Expenditure DATA'!FD58/'Expenditure DATA'!E58)*100</f>
        <v>#DIV/0!</v>
      </c>
      <c r="CV56" s="202" t="e">
        <f>('Expenditure DATA'!FE58/'Expenditure DATA'!F58)*100</f>
        <v>#DIV/0!</v>
      </c>
      <c r="CW56" s="202" t="e">
        <f>('Expenditure DATA'!FF58/'Expenditure DATA'!G58)*100</f>
        <v>#DIV/0!</v>
      </c>
      <c r="CX56" s="202" t="e">
        <f>('Expenditure DATA'!FG58/'Expenditure DATA'!H58)*100</f>
        <v>#DIV/0!</v>
      </c>
      <c r="CY56" s="202" t="e">
        <f>('Expenditure DATA'!FH58/'Expenditure DATA'!I58)*100</f>
        <v>#DIV/0!</v>
      </c>
      <c r="CZ56" s="202">
        <f>('Expenditure DATA'!FI58/'Expenditure DATA'!J58)*100</f>
        <v>16.365440002921233</v>
      </c>
      <c r="DA56" s="202">
        <f>('Expenditure DATA'!FJ58/'Expenditure DATA'!K58)*100</f>
        <v>22.960169615801867</v>
      </c>
      <c r="DB56" s="202">
        <f>('Expenditure DATA'!FK58/'Expenditure DATA'!L58)*100</f>
        <v>28.265215051999931</v>
      </c>
      <c r="DC56" s="202">
        <f>('Expenditure DATA'!FL58/'Expenditure DATA'!M58)*100</f>
        <v>27.022494300624977</v>
      </c>
      <c r="DD56" s="202">
        <f>('Expenditure DATA'!FM58/'Expenditure DATA'!N58)*100</f>
        <v>28.50609917378813</v>
      </c>
      <c r="DE56" s="202">
        <f>('Expenditure DATA'!FN58/'Expenditure DATA'!O58)*100</f>
        <v>25.232997564902661</v>
      </c>
      <c r="DF56" s="202">
        <f>('Expenditure DATA'!FO58/'Expenditure DATA'!P58)*100</f>
        <v>24.934272860978528</v>
      </c>
      <c r="DG56" s="202">
        <f>('Expenditure DATA'!FP58/'Expenditure DATA'!Q58)*100</f>
        <v>22.680981920966726</v>
      </c>
      <c r="DH56" s="202">
        <f>('Expenditure DATA'!FQ58/'Expenditure DATA'!R58)*100</f>
        <v>22.81104311853576</v>
      </c>
      <c r="DI56" s="202">
        <f>('Expenditure DATA'!FR58/'Expenditure DATA'!S58)*100</f>
        <v>21.916107749675493</v>
      </c>
      <c r="DJ56" s="202">
        <f>('Expenditure DATA'!FS58/'Expenditure DATA'!T58)*100</f>
        <v>23.040341338651771</v>
      </c>
      <c r="DK56" s="202">
        <f>('Expenditure DATA'!FT58/'Expenditure DATA'!U58)*100</f>
        <v>21.163382550585983</v>
      </c>
      <c r="DL56" s="202">
        <f>('Expenditure DATA'!FU58/'Expenditure DATA'!V58)*100</f>
        <v>19.487404649050962</v>
      </c>
      <c r="DM56" s="202">
        <f>('Expenditure DATA'!FV58/'Expenditure DATA'!W58)*100</f>
        <v>21.296223176935776</v>
      </c>
      <c r="DN56" s="202">
        <f>('Expenditure DATA'!FW58/'Expenditure DATA'!X58)*100</f>
        <v>22.816170252001449</v>
      </c>
      <c r="DO56" s="202">
        <f>('Expenditure DATA'!FX58/'Expenditure DATA'!Y58)*100</f>
        <v>23.351086127902839</v>
      </c>
      <c r="DP56" s="202">
        <f>('Expenditure DATA'!FY58/'Expenditure DATA'!Z58)*100</f>
        <v>20.903631478345861</v>
      </c>
      <c r="DQ56" s="202">
        <f>('Expenditure DATA'!FZ58/'Expenditure DATA'!AA58)*100</f>
        <v>20.904874600649446</v>
      </c>
      <c r="DR56" s="202">
        <f>('Expenditure DATA'!GA58/'Expenditure DATA'!AB58)*100</f>
        <v>21.064016495872671</v>
      </c>
      <c r="DS56" s="202">
        <f>('Expenditure DATA'!GB58/'Expenditure DATA'!AC58)*100</f>
        <v>22.865765572909108</v>
      </c>
      <c r="DT56" s="202">
        <f>('Expenditure DATA'!GC58/'Expenditure DATA'!AD58)*100</f>
        <v>22.865213837394531</v>
      </c>
      <c r="DU56" s="202">
        <f>('Expenditure DATA'!GD58/'Expenditure DATA'!AE58)*100</f>
        <v>22.496405861508013</v>
      </c>
      <c r="DV56" s="464">
        <f>('Expenditure DATA'!GE58/'Expenditure DATA'!AF58)*100</f>
        <v>21.125819544737396</v>
      </c>
      <c r="DW56" s="203" t="e">
        <f>('Expenditure DATA'!GF58/'Expenditure DATA'!B58)*100</f>
        <v>#DIV/0!</v>
      </c>
      <c r="DX56" s="202" t="e">
        <f>('Expenditure DATA'!GG58/'Expenditure DATA'!C58)*100</f>
        <v>#DIV/0!</v>
      </c>
      <c r="DY56" s="202" t="e">
        <f>('Expenditure DATA'!GH58/'Expenditure DATA'!D58)*100</f>
        <v>#DIV/0!</v>
      </c>
      <c r="DZ56" s="202" t="e">
        <f>('Expenditure DATA'!GI58/'Expenditure DATA'!E58)*100</f>
        <v>#DIV/0!</v>
      </c>
      <c r="EA56" s="202" t="e">
        <f>('Expenditure DATA'!GJ58/'Expenditure DATA'!F58)*100</f>
        <v>#DIV/0!</v>
      </c>
      <c r="EB56" s="202" t="e">
        <f>('Expenditure DATA'!GK58/'Expenditure DATA'!G58)*100</f>
        <v>#DIV/0!</v>
      </c>
      <c r="EC56" s="202" t="e">
        <f>('Expenditure DATA'!GL58/'Expenditure DATA'!H58)*100</f>
        <v>#DIV/0!</v>
      </c>
      <c r="ED56" s="202" t="e">
        <f>('Expenditure DATA'!GM58/'Expenditure DATA'!I58)*100</f>
        <v>#DIV/0!</v>
      </c>
      <c r="EE56" s="202">
        <f>('Expenditure DATA'!GN58/'Expenditure DATA'!J58)*100</f>
        <v>27.190824898023152</v>
      </c>
      <c r="EF56" s="202">
        <f>('Expenditure DATA'!GO58/'Expenditure DATA'!K58)*100</f>
        <v>23.210200715378441</v>
      </c>
      <c r="EG56" s="202">
        <f>('Expenditure DATA'!GP58/'Expenditure DATA'!L58)*100</f>
        <v>20.008038778046991</v>
      </c>
      <c r="EH56" s="202">
        <f>('Expenditure DATA'!GQ58/'Expenditure DATA'!M58)*100</f>
        <v>20.255556523685375</v>
      </c>
      <c r="EI56" s="202">
        <f>('Expenditure DATA'!GR58/'Expenditure DATA'!N58)*100</f>
        <v>19.549794105471392</v>
      </c>
      <c r="EJ56" s="202">
        <f>('Expenditure DATA'!GS58/'Expenditure DATA'!O58)*100</f>
        <v>20.158126083928799</v>
      </c>
      <c r="EK56" s="202">
        <f>('Expenditure DATA'!GT58/'Expenditure DATA'!P58)*100</f>
        <v>20.661775974814969</v>
      </c>
      <c r="EL56" s="202">
        <f>('Expenditure DATA'!GU58/'Expenditure DATA'!Q58)*100</f>
        <v>22.122395870290934</v>
      </c>
      <c r="EM56" s="202">
        <f>('Expenditure DATA'!GV58/'Expenditure DATA'!R58)*100</f>
        <v>22.310647268062162</v>
      </c>
      <c r="EN56" s="202">
        <f>('Expenditure DATA'!GW58/'Expenditure DATA'!S58)*100</f>
        <v>24.29025314196701</v>
      </c>
      <c r="EO56" s="202">
        <f>('Expenditure DATA'!GX58/'Expenditure DATA'!T58)*100</f>
        <v>22.342667084288372</v>
      </c>
      <c r="EP56" s="202">
        <f>('Expenditure DATA'!GY58/'Expenditure DATA'!U58)*100</f>
        <v>22.454164224654409</v>
      </c>
      <c r="EQ56" s="202">
        <f>('Expenditure DATA'!GZ58/'Expenditure DATA'!V58)*100</f>
        <v>22.553722480555383</v>
      </c>
      <c r="ER56" s="202">
        <f>('Expenditure DATA'!HA58/'Expenditure DATA'!W58)*100</f>
        <v>22.317815954642327</v>
      </c>
      <c r="ES56" s="202">
        <f>('Expenditure DATA'!HB58/'Expenditure DATA'!X58)*100</f>
        <v>22.119584109643629</v>
      </c>
      <c r="ET56" s="202">
        <f>('Expenditure DATA'!HC58/'Expenditure DATA'!Y58)*100</f>
        <v>22.007525258224405</v>
      </c>
      <c r="EU56" s="202">
        <f>('Expenditure DATA'!HD58/'Expenditure DATA'!Z58)*100</f>
        <v>23.432457874834657</v>
      </c>
      <c r="EV56" s="202">
        <f>('Expenditure DATA'!HE58/'Expenditure DATA'!AA58)*100</f>
        <v>23.435768514179195</v>
      </c>
      <c r="EW56" s="202">
        <f>('Expenditure DATA'!HF58/'Expenditure DATA'!AB58)*100</f>
        <v>23.312697063532138</v>
      </c>
      <c r="EX56" s="202">
        <f>('Expenditure DATA'!HG58/'Expenditure DATA'!AC58)*100</f>
        <v>22.974159012545066</v>
      </c>
      <c r="EY56" s="202">
        <f>('Expenditure DATA'!HH58/'Expenditure DATA'!AD58)*100</f>
        <v>22.089657756291984</v>
      </c>
      <c r="EZ56" s="202">
        <f>('Expenditure DATA'!HI58/'Expenditure DATA'!AE58)*100</f>
        <v>21.804674616913385</v>
      </c>
      <c r="FA56" s="464">
        <f>('Expenditure DATA'!HJ58/'Expenditure DATA'!AF58)*100</f>
        <v>21.978105210872911</v>
      </c>
      <c r="FB56" s="203" t="e">
        <f>('Expenditure DATA'!HK58/'Expenditure DATA'!B58)*100</f>
        <v>#DIV/0!</v>
      </c>
      <c r="FC56" s="202" t="e">
        <f>('Expenditure DATA'!HL58/'Expenditure DATA'!C58)*100</f>
        <v>#DIV/0!</v>
      </c>
      <c r="FD56" s="202" t="e">
        <f>('Expenditure DATA'!HM58/'Expenditure DATA'!D58)*100</f>
        <v>#DIV/0!</v>
      </c>
      <c r="FE56" s="202" t="e">
        <f>('Expenditure DATA'!HN58/'Expenditure DATA'!E58)*100</f>
        <v>#DIV/0!</v>
      </c>
      <c r="FF56" s="202" t="e">
        <f>('Expenditure DATA'!HO58/'Expenditure DATA'!F58)*100</f>
        <v>#DIV/0!</v>
      </c>
      <c r="FG56" s="202" t="e">
        <f>('Expenditure DATA'!HP58/'Expenditure DATA'!G58)*100</f>
        <v>#DIV/0!</v>
      </c>
      <c r="FH56" s="202" t="e">
        <f>('Expenditure DATA'!HQ58/'Expenditure DATA'!H58)*100</f>
        <v>#DIV/0!</v>
      </c>
      <c r="FI56" s="202" t="e">
        <f>('Expenditure DATA'!HR58/'Expenditure DATA'!I58)*100</f>
        <v>#DIV/0!</v>
      </c>
      <c r="FJ56" s="202">
        <f>('Expenditure DATA'!HS58/'Expenditure DATA'!J58)*100</f>
        <v>6.2961368231909285</v>
      </c>
      <c r="FK56" s="202">
        <f>('Expenditure DATA'!HT58/'Expenditure DATA'!K58)*100</f>
        <v>5.5464416047625695</v>
      </c>
      <c r="FL56" s="202">
        <f>('Expenditure DATA'!HU58/'Expenditure DATA'!L58)*100</f>
        <v>4.9433589265440743</v>
      </c>
      <c r="FM56" s="202">
        <f>('Expenditure DATA'!HV58/'Expenditure DATA'!M58)*100</f>
        <v>5.1144419474001763</v>
      </c>
      <c r="FN56" s="202">
        <f>('Expenditure DATA'!HW58/'Expenditure DATA'!N58)*100</f>
        <v>5.038377443513224</v>
      </c>
      <c r="FO56" s="202">
        <f>('Expenditure DATA'!HX58/'Expenditure DATA'!O58)*100</f>
        <v>5.2883306054920531</v>
      </c>
      <c r="FP56" s="202">
        <f>('Expenditure DATA'!HY58/'Expenditure DATA'!P58)*100</f>
        <v>5.3473102464905304</v>
      </c>
      <c r="FQ56" s="202">
        <f>('Expenditure DATA'!HZ58/'Expenditure DATA'!Q58)*100</f>
        <v>5.5439543886268368</v>
      </c>
      <c r="FR56" s="202">
        <f>('Expenditure DATA'!IA58/'Expenditure DATA'!R58)*100</f>
        <v>5.6277937115258574</v>
      </c>
      <c r="FS56" s="202">
        <f>('Expenditure DATA'!IB58/'Expenditure DATA'!S58)*100</f>
        <v>5.6872262923710251</v>
      </c>
      <c r="FT56" s="202">
        <f>('Expenditure DATA'!IC58/'Expenditure DATA'!T58)*100</f>
        <v>5.6466856809311308</v>
      </c>
      <c r="FU56" s="202">
        <f>('Expenditure DATA'!ID58/'Expenditure DATA'!U58)*100</f>
        <v>5.6666982875500969</v>
      </c>
      <c r="FV56" s="202">
        <f>('Expenditure DATA'!IE58/'Expenditure DATA'!V58)*100</f>
        <v>5.6845679854138753</v>
      </c>
      <c r="FW56" s="202">
        <f>('Expenditure DATA'!IF58/'Expenditure DATA'!W58)*100</f>
        <v>5.4481060887188697</v>
      </c>
      <c r="FX56" s="202">
        <f>('Expenditure DATA'!IG58/'Expenditure DATA'!X58)*100</f>
        <v>5.2494075666143116</v>
      </c>
      <c r="FY56" s="202">
        <f>('Expenditure DATA'!IH58/'Expenditure DATA'!Y58)*100</f>
        <v>5.0834426447979055</v>
      </c>
      <c r="FZ56" s="202">
        <f>('Expenditure DATA'!II58/'Expenditure DATA'!Z58)*100</f>
        <v>5.4671771838536056</v>
      </c>
      <c r="GA56" s="202">
        <f>('Expenditure DATA'!IJ58/'Expenditure DATA'!AA58)*100</f>
        <v>5.4675115771366922</v>
      </c>
      <c r="GB56" s="202">
        <f>('Expenditure DATA'!IK58/'Expenditure DATA'!AB58)*100</f>
        <v>5.5868365481078088</v>
      </c>
      <c r="GC56" s="202">
        <f>('Expenditure DATA'!IL58/'Expenditure DATA'!AC58)*100</f>
        <v>5.3652560585164188</v>
      </c>
      <c r="GD56" s="202">
        <f>('Expenditure DATA'!IM58/'Expenditure DATA'!AD58)*100</f>
        <v>5.3245619652678435</v>
      </c>
      <c r="GE56" s="202">
        <f>('Expenditure DATA'!IN58/'Expenditure DATA'!AE58)*100</f>
        <v>5.0749489475069209</v>
      </c>
      <c r="GF56" s="464">
        <f>('Expenditure DATA'!IO58/'Expenditure DATA'!AF58)*100</f>
        <v>5.093263685339469</v>
      </c>
      <c r="GG56" s="203" t="e">
        <f>('Expenditure DATA'!IP58/'Expenditure DATA'!B58)*100</f>
        <v>#DIV/0!</v>
      </c>
      <c r="GH56" s="202" t="e">
        <f>('Expenditure DATA'!IQ58/'Expenditure DATA'!C58)*100</f>
        <v>#DIV/0!</v>
      </c>
      <c r="GI56" s="202" t="e">
        <f>('Expenditure DATA'!IR58/'Expenditure DATA'!D58)*100</f>
        <v>#DIV/0!</v>
      </c>
      <c r="GJ56" s="202" t="e">
        <f>('Expenditure DATA'!IS58/'Expenditure DATA'!E58)*100</f>
        <v>#DIV/0!</v>
      </c>
      <c r="GK56" s="202" t="e">
        <f>('Expenditure DATA'!IT58/'Expenditure DATA'!F58)*100</f>
        <v>#DIV/0!</v>
      </c>
      <c r="GL56" s="202" t="e">
        <f>('Expenditure DATA'!IU58/'Expenditure DATA'!G58)*100</f>
        <v>#DIV/0!</v>
      </c>
      <c r="GM56" s="202" t="e">
        <f>('Expenditure DATA'!IV58/'Expenditure DATA'!H58)*100</f>
        <v>#DIV/0!</v>
      </c>
      <c r="GN56" s="202" t="e">
        <f>('Expenditure DATA'!IW58/'Expenditure DATA'!I58)*100</f>
        <v>#DIV/0!</v>
      </c>
      <c r="GO56" s="202">
        <f>('Expenditure DATA'!IX58/'Expenditure DATA'!J58)*100</f>
        <v>12.496116435427847</v>
      </c>
      <c r="GP56" s="202">
        <f>('Expenditure DATA'!IY58/'Expenditure DATA'!K58)*100</f>
        <v>13.529340025609502</v>
      </c>
      <c r="GQ56" s="202">
        <f>('Expenditure DATA'!IZ58/'Expenditure DATA'!L58)*100</f>
        <v>14.360503456625603</v>
      </c>
      <c r="GR56" s="202">
        <f>('Expenditure DATA'!JA58/'Expenditure DATA'!M58)*100</f>
        <v>14.759684475271159</v>
      </c>
      <c r="GS56" s="202">
        <f>('Expenditure DATA'!JB58/'Expenditure DATA'!N58)*100</f>
        <v>14.57219567329976</v>
      </c>
      <c r="GT56" s="202">
        <f>('Expenditure DATA'!JC58/'Expenditure DATA'!O58)*100</f>
        <v>14.968108652357698</v>
      </c>
      <c r="GU56" s="202">
        <f>('Expenditure DATA'!JD58/'Expenditure DATA'!P58)*100</f>
        <v>14.176846435154728</v>
      </c>
      <c r="GV56" s="202">
        <f>('Expenditure DATA'!JE58/'Expenditure DATA'!Q58)*100</f>
        <v>13.408052056846351</v>
      </c>
      <c r="GW56" s="202">
        <f>('Expenditure DATA'!JF58/'Expenditure DATA'!R58)*100</f>
        <v>13.423818866050915</v>
      </c>
      <c r="GX56" s="202">
        <f>('Expenditure DATA'!JG58/'Expenditure DATA'!S58)*100</f>
        <v>13.039127911220818</v>
      </c>
      <c r="GY56" s="202">
        <f>('Expenditure DATA'!JH58/'Expenditure DATA'!T58)*100</f>
        <v>12.194300734945932</v>
      </c>
      <c r="GZ56" s="202">
        <f>('Expenditure DATA'!JI58/'Expenditure DATA'!U58)*100</f>
        <v>12.845227380109309</v>
      </c>
      <c r="HA56" s="202">
        <f>('Expenditure DATA'!JJ58/'Expenditure DATA'!V58)*100</f>
        <v>13.426454138922894</v>
      </c>
      <c r="HB56" s="202">
        <f>('Expenditure DATA'!JK58/'Expenditure DATA'!W58)*100</f>
        <v>13.170653540790966</v>
      </c>
      <c r="HC56" s="202">
        <f>('Expenditure DATA'!JL58/'Expenditure DATA'!X58)*100</f>
        <v>12.955704741374744</v>
      </c>
      <c r="HD56" s="202">
        <f>('Expenditure DATA'!JM58/'Expenditure DATA'!Y58)*100</f>
        <v>12.228633970071551</v>
      </c>
      <c r="HE56" s="202">
        <f>('Expenditure DATA'!JN58/'Expenditure DATA'!Z58)*100</f>
        <v>11.290794668591044</v>
      </c>
      <c r="HF56" s="202">
        <f>('Expenditure DATA'!JO58/'Expenditure DATA'!AA58)*100</f>
        <v>11.28352687894753</v>
      </c>
      <c r="HG56" s="202">
        <f>('Expenditure DATA'!JP58/'Expenditure DATA'!AB58)*100</f>
        <v>11.332119233042286</v>
      </c>
      <c r="HH56" s="202">
        <f>('Expenditure DATA'!JQ58/'Expenditure DATA'!AC58)*100</f>
        <v>11.13043547067047</v>
      </c>
      <c r="HI56" s="202">
        <f>('Expenditure DATA'!JR58/'Expenditure DATA'!AD58)*100</f>
        <v>13.271205610959305</v>
      </c>
      <c r="HJ56" s="202">
        <f>('Expenditure DATA'!JS58/'Expenditure DATA'!AE58)*100</f>
        <v>13.391587127406664</v>
      </c>
      <c r="HK56" s="464">
        <f>('Expenditure DATA'!JT58/'Expenditure DATA'!AF58)*100</f>
        <v>13.033146945154996</v>
      </c>
      <c r="HL56" s="203" t="e">
        <f t="shared" si="1"/>
        <v>#DIV/0!</v>
      </c>
      <c r="HM56" s="204" t="e">
        <f t="shared" si="2"/>
        <v>#DIV/0!</v>
      </c>
      <c r="HN56" s="204" t="e">
        <f t="shared" si="3"/>
        <v>#DIV/0!</v>
      </c>
      <c r="HO56" s="204" t="e">
        <f t="shared" si="4"/>
        <v>#DIV/0!</v>
      </c>
      <c r="HP56" s="204" t="e">
        <f t="shared" si="5"/>
        <v>#DIV/0!</v>
      </c>
      <c r="HQ56" s="204" t="e">
        <f t="shared" si="6"/>
        <v>#DIV/0!</v>
      </c>
      <c r="HR56" s="204" t="e">
        <f t="shared" si="7"/>
        <v>#DIV/0!</v>
      </c>
      <c r="HS56" s="204" t="e">
        <f t="shared" si="8"/>
        <v>#DIV/0!</v>
      </c>
      <c r="HT56" s="204">
        <f t="shared" si="9"/>
        <v>100.00000000000003</v>
      </c>
      <c r="HU56" s="204">
        <f t="shared" si="10"/>
        <v>100</v>
      </c>
      <c r="HV56" s="204">
        <f t="shared" si="11"/>
        <v>100.00000000000001</v>
      </c>
      <c r="HW56" s="204">
        <f t="shared" si="12"/>
        <v>100</v>
      </c>
      <c r="HX56" s="204">
        <f t="shared" si="13"/>
        <v>100</v>
      </c>
      <c r="HY56" s="204">
        <f t="shared" si="14"/>
        <v>99.999999999999986</v>
      </c>
      <c r="HZ56" s="204">
        <f t="shared" si="15"/>
        <v>100.00000000000001</v>
      </c>
      <c r="IA56" s="204">
        <f t="shared" si="16"/>
        <v>100</v>
      </c>
      <c r="IB56" s="204">
        <f t="shared" si="17"/>
        <v>100</v>
      </c>
      <c r="IC56" s="204">
        <f t="shared" si="18"/>
        <v>100</v>
      </c>
      <c r="ID56" s="204">
        <f t="shared" si="19"/>
        <v>99.999999999999986</v>
      </c>
      <c r="IE56" s="204">
        <f t="shared" si="20"/>
        <v>99.999999999999972</v>
      </c>
      <c r="IF56" s="204">
        <f t="shared" si="21"/>
        <v>100</v>
      </c>
      <c r="IG56" s="204">
        <f t="shared" si="22"/>
        <v>99.999999999999986</v>
      </c>
      <c r="IH56" s="204">
        <f t="shared" si="23"/>
        <v>100</v>
      </c>
      <c r="II56" s="204">
        <f t="shared" si="24"/>
        <v>100.00000000000001</v>
      </c>
      <c r="IJ56" s="204">
        <f t="shared" si="25"/>
        <v>100</v>
      </c>
      <c r="IK56" s="204">
        <f t="shared" si="26"/>
        <v>100</v>
      </c>
      <c r="IL56" s="204">
        <f t="shared" si="42"/>
        <v>100</v>
      </c>
      <c r="IM56" s="204">
        <f t="shared" si="43"/>
        <v>100.0000106928519</v>
      </c>
      <c r="IN56" s="204">
        <f t="shared" si="44"/>
        <v>100.00002017024697</v>
      </c>
      <c r="IO56" s="204">
        <f t="shared" si="45"/>
        <v>100.00000000000001</v>
      </c>
      <c r="IP56" s="204">
        <f t="shared" si="46"/>
        <v>100</v>
      </c>
    </row>
    <row r="57" spans="1:250" s="164" customFormat="1">
      <c r="A57" s="164" t="s">
        <v>67</v>
      </c>
      <c r="C57" s="202" t="e">
        <f>('Expenditure DATA'!CQ59/'Expenditure DATA'!B59)*100</f>
        <v>#DIV/0!</v>
      </c>
      <c r="D57" s="202" t="e">
        <f>('Expenditure DATA'!CR59/'Expenditure DATA'!C59)*100</f>
        <v>#DIV/0!</v>
      </c>
      <c r="E57" s="202" t="e">
        <f>('Expenditure DATA'!CS59/'Expenditure DATA'!D59)*100</f>
        <v>#DIV/0!</v>
      </c>
      <c r="F57" s="202" t="e">
        <f>('Expenditure DATA'!CT59/'Expenditure DATA'!E59)*100</f>
        <v>#DIV/0!</v>
      </c>
      <c r="G57" s="202" t="e">
        <f>('Expenditure DATA'!CU59/'Expenditure DATA'!F59)*100</f>
        <v>#DIV/0!</v>
      </c>
      <c r="H57" s="202" t="e">
        <f>('Expenditure DATA'!CV59/'Expenditure DATA'!G59)*100</f>
        <v>#DIV/0!</v>
      </c>
      <c r="I57" s="202" t="e">
        <f>('Expenditure DATA'!CW59/'Expenditure DATA'!H59)*100</f>
        <v>#DIV/0!</v>
      </c>
      <c r="J57" s="202" t="e">
        <f>('Expenditure DATA'!CX59/'Expenditure DATA'!I59)*100</f>
        <v>#DIV/0!</v>
      </c>
      <c r="K57" s="202">
        <f>('Expenditure DATA'!CY59/'Expenditure DATA'!J59)*100</f>
        <v>6.7706757501812582</v>
      </c>
      <c r="L57" s="202">
        <f>('Expenditure DATA'!CZ59/'Expenditure DATA'!K59)*100</f>
        <v>6.3169976084244013</v>
      </c>
      <c r="M57" s="202">
        <f>('Expenditure DATA'!DA59/'Expenditure DATA'!L59)*100</f>
        <v>5.9463640902911123</v>
      </c>
      <c r="N57" s="202">
        <f>('Expenditure DATA'!DB59/'Expenditure DATA'!M59)*100</f>
        <v>6.314672814598314</v>
      </c>
      <c r="O57" s="202">
        <f>('Expenditure DATA'!DC59/'Expenditure DATA'!N59)*100</f>
        <v>6.6014262973031794</v>
      </c>
      <c r="P57" s="202">
        <f>('Expenditure DATA'!DD59/'Expenditure DATA'!O59)*100</f>
        <v>6.2050717315936579</v>
      </c>
      <c r="Q57" s="202">
        <f>('Expenditure DATA'!DE59/'Expenditure DATA'!P59)*100</f>
        <v>6.2475409512340256</v>
      </c>
      <c r="R57" s="202">
        <f>('Expenditure DATA'!DF59/'Expenditure DATA'!Q59)*100</f>
        <v>6.5708108413955673</v>
      </c>
      <c r="S57" s="202">
        <f>('Expenditure DATA'!DG59/'Expenditure DATA'!R59)*100</f>
        <v>6.4027091117445787</v>
      </c>
      <c r="T57" s="202">
        <f>('Expenditure DATA'!DH59/'Expenditure DATA'!S59)*100</f>
        <v>6.9584846615239586</v>
      </c>
      <c r="U57" s="202">
        <f>('Expenditure DATA'!DI59/'Expenditure DATA'!T59)*100</f>
        <v>7.3650299928651934</v>
      </c>
      <c r="V57" s="202">
        <f>('Expenditure DATA'!DJ59/'Expenditure DATA'!U59)*100</f>
        <v>7.38082000265958</v>
      </c>
      <c r="W57" s="202">
        <f>('Expenditure DATA'!DK59/'Expenditure DATA'!V59)*100</f>
        <v>7.394535004887774</v>
      </c>
      <c r="X57" s="202">
        <f>('Expenditure DATA'!DL59/'Expenditure DATA'!W59)*100</f>
        <v>7.2695245151270989</v>
      </c>
      <c r="Y57" s="202">
        <f>('Expenditure DATA'!DM59/'Expenditure DATA'!X59)*100</f>
        <v>7.158477863725726</v>
      </c>
      <c r="Z57" s="202">
        <f>('Expenditure DATA'!DN59/'Expenditure DATA'!Y59)*100</f>
        <v>7.2374526085904405</v>
      </c>
      <c r="AA57" s="202">
        <f>('Expenditure DATA'!DO59/'Expenditure DATA'!Z59)*100</f>
        <v>6.3512074963893133</v>
      </c>
      <c r="AB57" s="202">
        <f>('Expenditure DATA'!DP59/'Expenditure DATA'!AA59)*100</f>
        <v>6.3515560964572781</v>
      </c>
      <c r="AC57" s="202">
        <f>('Expenditure DATA'!DQ59/'Expenditure DATA'!AB59)*100</f>
        <v>6.6747038573317079</v>
      </c>
      <c r="AD57" s="202">
        <f>('Expenditure DATA'!DR59/'Expenditure DATA'!AC59)*100</f>
        <v>6.8876476567337583</v>
      </c>
      <c r="AE57" s="202">
        <f>('Expenditure DATA'!DS59/'Expenditure DATA'!AD59)*100</f>
        <v>6.696431378029807</v>
      </c>
      <c r="AF57" s="202">
        <f>('Expenditure DATA'!DT59/'Expenditure DATA'!AE59)*100</f>
        <v>6.9899594655323902</v>
      </c>
      <c r="AG57" s="464">
        <f>('Expenditure DATA'!DU59/'Expenditure DATA'!AF59)*100</f>
        <v>7.1071613074565931</v>
      </c>
      <c r="AH57" s="203" t="e">
        <f>('Expenditure DATA'!BL59/'Expenditure DATA'!B59)*100</f>
        <v>#DIV/0!</v>
      </c>
      <c r="AI57" s="202" t="e">
        <f>('Expenditure DATA'!BM59/'Expenditure DATA'!C59)*100</f>
        <v>#DIV/0!</v>
      </c>
      <c r="AJ57" s="202" t="e">
        <f>('Expenditure DATA'!BN59/'Expenditure DATA'!D59)*100</f>
        <v>#DIV/0!</v>
      </c>
      <c r="AK57" s="202" t="e">
        <f>('Expenditure DATA'!BO59/'Expenditure DATA'!E59)*100</f>
        <v>#DIV/0!</v>
      </c>
      <c r="AL57" s="202" t="e">
        <f>('Expenditure DATA'!BP59/'Expenditure DATA'!F59)*100</f>
        <v>#DIV/0!</v>
      </c>
      <c r="AM57" s="202" t="e">
        <f>('Expenditure DATA'!BQ59/'Expenditure DATA'!G59)*100</f>
        <v>#DIV/0!</v>
      </c>
      <c r="AN57" s="202" t="e">
        <f>('Expenditure DATA'!BR59/'Expenditure DATA'!H59)*100</f>
        <v>#DIV/0!</v>
      </c>
      <c r="AO57" s="202" t="e">
        <f>('Expenditure DATA'!BS59/'Expenditure DATA'!I59)*100</f>
        <v>#DIV/0!</v>
      </c>
      <c r="AP57" s="202">
        <f>('Expenditure DATA'!BT59/'Expenditure DATA'!J59)*100</f>
        <v>25.807483210745119</v>
      </c>
      <c r="AQ57" s="202">
        <f>('Expenditure DATA'!BU59/'Expenditure DATA'!K59)*100</f>
        <v>26.380400494295003</v>
      </c>
      <c r="AR57" s="202">
        <f>('Expenditure DATA'!BV59/'Expenditure DATA'!L59)*100</f>
        <v>26.848446734255273</v>
      </c>
      <c r="AS57" s="202">
        <f>('Expenditure DATA'!BW59/'Expenditure DATA'!M59)*100</f>
        <v>27.451146536269682</v>
      </c>
      <c r="AT57" s="202">
        <f>('Expenditure DATA'!BX59/'Expenditure DATA'!N59)*100</f>
        <v>27.858735126437633</v>
      </c>
      <c r="AU57" s="202">
        <f>('Expenditure DATA'!BY59/'Expenditure DATA'!O59)*100</f>
        <v>26.129878897384657</v>
      </c>
      <c r="AV57" s="202">
        <f>('Expenditure DATA'!BZ59/'Expenditure DATA'!P59)*100</f>
        <v>27.018659672546015</v>
      </c>
      <c r="AW57" s="202">
        <f>('Expenditure DATA'!CA59/'Expenditure DATA'!Q59)*100</f>
        <v>29.05225067917095</v>
      </c>
      <c r="AX57" s="202">
        <f>('Expenditure DATA'!CB59/'Expenditure DATA'!R59)*100</f>
        <v>28.766146755278804</v>
      </c>
      <c r="AY57" s="202">
        <f>('Expenditure DATA'!CC59/'Expenditure DATA'!S59)*100</f>
        <v>30.138128094358635</v>
      </c>
      <c r="AZ57" s="202">
        <f>('Expenditure DATA'!CD59/'Expenditure DATA'!T59)*100</f>
        <v>31.414214546187679</v>
      </c>
      <c r="BA57" s="202">
        <f>('Expenditure DATA'!CE59/'Expenditure DATA'!U59)*100</f>
        <v>30.33244193937346</v>
      </c>
      <c r="BB57" s="202">
        <f>('Expenditure DATA'!CF59/'Expenditure DATA'!V59)*100</f>
        <v>29.392827974211233</v>
      </c>
      <c r="BC57" s="202">
        <f>('Expenditure DATA'!CG59/'Expenditure DATA'!W59)*100</f>
        <v>30.829226255750207</v>
      </c>
      <c r="BD57" s="202">
        <f>('Expenditure DATA'!CH59/'Expenditure DATA'!X59)*100</f>
        <v>32.105176934360927</v>
      </c>
      <c r="BE57" s="202">
        <f>('Expenditure DATA'!CI59/'Expenditure DATA'!Y59)*100</f>
        <v>31.720479657268601</v>
      </c>
      <c r="BF57" s="202">
        <f>('Expenditure DATA'!CJ59/'Expenditure DATA'!Z59)*100</f>
        <v>31.556132290899004</v>
      </c>
      <c r="BG57" s="202">
        <f>('Expenditure DATA'!CK59/'Expenditure DATA'!AA59)*100</f>
        <v>31.558093738206839</v>
      </c>
      <c r="BH57" s="202">
        <f>('Expenditure DATA'!CL59/'Expenditure DATA'!AB59)*100</f>
        <v>30.478162976629221</v>
      </c>
      <c r="BI57" s="202">
        <f>('Expenditure DATA'!CM59/'Expenditure DATA'!AC59)*100</f>
        <v>30.489626344945293</v>
      </c>
      <c r="BJ57" s="202">
        <f>('Expenditure DATA'!CN59/'Expenditure DATA'!AD59)*100</f>
        <v>29.887986385721447</v>
      </c>
      <c r="BK57" s="202">
        <f>('Expenditure DATA'!CO59/'Expenditure DATA'!AE59)*100</f>
        <v>28.720701419509894</v>
      </c>
      <c r="BL57" s="464">
        <f>('Expenditure DATA'!CP59/'Expenditure DATA'!AF59)*100</f>
        <v>28.820048871210286</v>
      </c>
      <c r="BM57" s="203" t="e">
        <f>('Expenditure DATA'!AG59/'Expenditure DATA'!B59)*100</f>
        <v>#DIV/0!</v>
      </c>
      <c r="BN57" s="202" t="e">
        <f>('Expenditure DATA'!AH59/'Expenditure DATA'!C59)*100</f>
        <v>#DIV/0!</v>
      </c>
      <c r="BO57" s="202" t="e">
        <f>('Expenditure DATA'!AI59/'Expenditure DATA'!D59)*100</f>
        <v>#DIV/0!</v>
      </c>
      <c r="BP57" s="202" t="e">
        <f>('Expenditure DATA'!AJ59/'Expenditure DATA'!E59)*100</f>
        <v>#DIV/0!</v>
      </c>
      <c r="BQ57" s="202" t="e">
        <f>('Expenditure DATA'!AK59/'Expenditure DATA'!F59)*100</f>
        <v>#DIV/0!</v>
      </c>
      <c r="BR57" s="202" t="e">
        <f>('Expenditure DATA'!AL59/'Expenditure DATA'!G59)*100</f>
        <v>#DIV/0!</v>
      </c>
      <c r="BS57" s="202" t="e">
        <f>('Expenditure DATA'!AM59/'Expenditure DATA'!H59)*100</f>
        <v>#DIV/0!</v>
      </c>
      <c r="BT57" s="202" t="e">
        <f>('Expenditure DATA'!AN59/'Expenditure DATA'!I59)*100</f>
        <v>#DIV/0!</v>
      </c>
      <c r="BU57" s="202">
        <f>('Expenditure DATA'!AO59/'Expenditure DATA'!J59)*100</f>
        <v>34.020254194198934</v>
      </c>
      <c r="BV57" s="202">
        <f>('Expenditure DATA'!AP59/'Expenditure DATA'!K59)*100</f>
        <v>34.104698565955758</v>
      </c>
      <c r="BW57" s="202">
        <f>('Expenditure DATA'!AQ59/'Expenditure DATA'!L59)*100</f>
        <v>34.173685611418406</v>
      </c>
      <c r="BX57" s="202">
        <f>('Expenditure DATA'!AR59/'Expenditure DATA'!M59)*100</f>
        <v>35.227177684445827</v>
      </c>
      <c r="BY57" s="202">
        <f>('Expenditure DATA'!AS59/'Expenditure DATA'!N59)*100</f>
        <v>35.941081274564866</v>
      </c>
      <c r="BZ57" s="202">
        <f>('Expenditure DATA'!AT59/'Expenditure DATA'!O59)*100</f>
        <v>34.082550084499687</v>
      </c>
      <c r="CA57" s="202">
        <f>('Expenditure DATA'!AU59/'Expenditure DATA'!P59)*100</f>
        <v>35.16693823682202</v>
      </c>
      <c r="CB57" s="202">
        <f>('Expenditure DATA'!AV59/'Expenditure DATA'!Q59)*100</f>
        <v>37.267185494419763</v>
      </c>
      <c r="CC57" s="202">
        <f>('Expenditure DATA'!AW59/'Expenditure DATA'!R59)*100</f>
        <v>36.811473490181783</v>
      </c>
      <c r="CD57" s="202">
        <f>('Expenditure DATA'!AX59/'Expenditure DATA'!S59)*100</f>
        <v>38.529151375589279</v>
      </c>
      <c r="CE57" s="202">
        <f>('Expenditure DATA'!AY59/'Expenditure DATA'!T59)*100</f>
        <v>40.23866071086217</v>
      </c>
      <c r="CF57" s="202">
        <f>('Expenditure DATA'!AZ59/'Expenditure DATA'!U59)*100</f>
        <v>39.140655623490098</v>
      </c>
      <c r="CG57" s="202">
        <f>('Expenditure DATA'!BA59/'Expenditure DATA'!V59)*100</f>
        <v>38.186942331606794</v>
      </c>
      <c r="CH57" s="202">
        <f>('Expenditure DATA'!BB59/'Expenditure DATA'!W59)*100</f>
        <v>39.609592136839382</v>
      </c>
      <c r="CI57" s="202">
        <f>('Expenditure DATA'!BC59/'Expenditure DATA'!X59)*100</f>
        <v>40.873330062275407</v>
      </c>
      <c r="CJ57" s="202">
        <f>('Expenditure DATA'!BD59/'Expenditure DATA'!Y59)*100</f>
        <v>40.802518719499915</v>
      </c>
      <c r="CK57" s="202">
        <f>('Expenditure DATA'!BE59/'Expenditure DATA'!Z59)*100</f>
        <v>40.040916003541504</v>
      </c>
      <c r="CL57" s="202">
        <f>('Expenditure DATA'!BF59/'Expenditure DATA'!AA59)*100</f>
        <v>40.043343156965946</v>
      </c>
      <c r="CM57" s="202">
        <f>('Expenditure DATA'!BG59/'Expenditure DATA'!AB59)*100</f>
        <v>39.208001167416946</v>
      </c>
      <c r="CN57" s="202">
        <f>('Expenditure DATA'!BH59/'Expenditure DATA'!AC59)*100</f>
        <v>39.728887430810659</v>
      </c>
      <c r="CO57" s="202">
        <f>('Expenditure DATA'!BI59/'Expenditure DATA'!AD59)*100</f>
        <v>38.965917878122411</v>
      </c>
      <c r="CP57" s="202">
        <f>('Expenditure DATA'!BJ59/'Expenditure DATA'!AE59)*100</f>
        <v>38.025193903760616</v>
      </c>
      <c r="CQ57" s="464">
        <f>('Expenditure DATA'!BK59/'Expenditure DATA'!AF59)*100</f>
        <v>38.460868979708728</v>
      </c>
      <c r="CR57" s="203" t="e">
        <f>('Expenditure DATA'!FA59/'Expenditure DATA'!B59)*100</f>
        <v>#DIV/0!</v>
      </c>
      <c r="CS57" s="202" t="e">
        <f>('Expenditure DATA'!FB59/'Expenditure DATA'!C59)*100</f>
        <v>#DIV/0!</v>
      </c>
      <c r="CT57" s="202" t="e">
        <f>('Expenditure DATA'!FC59/'Expenditure DATA'!D59)*100</f>
        <v>#DIV/0!</v>
      </c>
      <c r="CU57" s="202" t="e">
        <f>('Expenditure DATA'!FD59/'Expenditure DATA'!E59)*100</f>
        <v>#DIV/0!</v>
      </c>
      <c r="CV57" s="202" t="e">
        <f>('Expenditure DATA'!FE59/'Expenditure DATA'!F59)*100</f>
        <v>#DIV/0!</v>
      </c>
      <c r="CW57" s="202" t="e">
        <f>('Expenditure DATA'!FF59/'Expenditure DATA'!G59)*100</f>
        <v>#DIV/0!</v>
      </c>
      <c r="CX57" s="202" t="e">
        <f>('Expenditure DATA'!FG59/'Expenditure DATA'!H59)*100</f>
        <v>#DIV/0!</v>
      </c>
      <c r="CY57" s="202" t="e">
        <f>('Expenditure DATA'!FH59/'Expenditure DATA'!I59)*100</f>
        <v>#DIV/0!</v>
      </c>
      <c r="CZ57" s="202">
        <f>('Expenditure DATA'!FI59/'Expenditure DATA'!J59)*100</f>
        <v>17.570625699907186</v>
      </c>
      <c r="DA57" s="202">
        <f>('Expenditure DATA'!FJ59/'Expenditure DATA'!K59)*100</f>
        <v>19.424859410078017</v>
      </c>
      <c r="DB57" s="202">
        <f>('Expenditure DATA'!FK59/'Expenditure DATA'!L59)*100</f>
        <v>20.939680381572558</v>
      </c>
      <c r="DC57" s="202">
        <f>('Expenditure DATA'!FL59/'Expenditure DATA'!M59)*100</f>
        <v>20.042677410863195</v>
      </c>
      <c r="DD57" s="202">
        <f>('Expenditure DATA'!FM59/'Expenditure DATA'!N59)*100</f>
        <v>20.289134514346717</v>
      </c>
      <c r="DE57" s="202">
        <f>('Expenditure DATA'!FN59/'Expenditure DATA'!O59)*100</f>
        <v>21.847546694222551</v>
      </c>
      <c r="DF57" s="202">
        <f>('Expenditure DATA'!FO59/'Expenditure DATA'!P59)*100</f>
        <v>21.916957918717443</v>
      </c>
      <c r="DG57" s="202">
        <f>('Expenditure DATA'!FP59/'Expenditure DATA'!Q59)*100</f>
        <v>18.261734756487783</v>
      </c>
      <c r="DH57" s="202">
        <f>('Expenditure DATA'!FQ59/'Expenditure DATA'!R59)*100</f>
        <v>18.159127941446911</v>
      </c>
      <c r="DI57" s="202">
        <f>('Expenditure DATA'!FR59/'Expenditure DATA'!S59)*100</f>
        <v>17.609759021789166</v>
      </c>
      <c r="DJ57" s="202">
        <f>('Expenditure DATA'!FS59/'Expenditure DATA'!T59)*100</f>
        <v>17.336135229302858</v>
      </c>
      <c r="DK57" s="202">
        <f>('Expenditure DATA'!FT59/'Expenditure DATA'!U59)*100</f>
        <v>17.703256776345995</v>
      </c>
      <c r="DL57" s="202">
        <f>('Expenditure DATA'!FU59/'Expenditure DATA'!V59)*100</f>
        <v>18.022133895567531</v>
      </c>
      <c r="DM57" s="202">
        <f>('Expenditure DATA'!FV59/'Expenditure DATA'!W59)*100</f>
        <v>18.352831276262759</v>
      </c>
      <c r="DN57" s="202">
        <f>('Expenditure DATA'!FW59/'Expenditure DATA'!X59)*100</f>
        <v>18.646589318677556</v>
      </c>
      <c r="DO57" s="202">
        <f>('Expenditure DATA'!FX59/'Expenditure DATA'!Y59)*100</f>
        <v>18.163963129363449</v>
      </c>
      <c r="DP57" s="202">
        <f>('Expenditure DATA'!FY59/'Expenditure DATA'!Z59)*100</f>
        <v>21.38822692187459</v>
      </c>
      <c r="DQ57" s="202">
        <f>('Expenditure DATA'!FZ59/'Expenditure DATA'!AA59)*100</f>
        <v>21.389400862005324</v>
      </c>
      <c r="DR57" s="202">
        <f>('Expenditure DATA'!GA59/'Expenditure DATA'!AB59)*100</f>
        <v>21.433711750708305</v>
      </c>
      <c r="DS57" s="202">
        <f>('Expenditure DATA'!GB59/'Expenditure DATA'!AC59)*100</f>
        <v>21.919247226142247</v>
      </c>
      <c r="DT57" s="202">
        <f>('Expenditure DATA'!GC59/'Expenditure DATA'!AD59)*100</f>
        <v>22.4045363518937</v>
      </c>
      <c r="DU57" s="202">
        <f>('Expenditure DATA'!GD59/'Expenditure DATA'!AE59)*100</f>
        <v>22.861671166253714</v>
      </c>
      <c r="DV57" s="464">
        <f>('Expenditure DATA'!GE59/'Expenditure DATA'!AF59)*100</f>
        <v>23.087933403993365</v>
      </c>
      <c r="DW57" s="203" t="e">
        <f>('Expenditure DATA'!GF59/'Expenditure DATA'!B59)*100</f>
        <v>#DIV/0!</v>
      </c>
      <c r="DX57" s="202" t="e">
        <f>('Expenditure DATA'!GG59/'Expenditure DATA'!C59)*100</f>
        <v>#DIV/0!</v>
      </c>
      <c r="DY57" s="202" t="e">
        <f>('Expenditure DATA'!GH59/'Expenditure DATA'!D59)*100</f>
        <v>#DIV/0!</v>
      </c>
      <c r="DZ57" s="202" t="e">
        <f>('Expenditure DATA'!GI59/'Expenditure DATA'!E59)*100</f>
        <v>#DIV/0!</v>
      </c>
      <c r="EA57" s="202" t="e">
        <f>('Expenditure DATA'!GJ59/'Expenditure DATA'!F59)*100</f>
        <v>#DIV/0!</v>
      </c>
      <c r="EB57" s="202" t="e">
        <f>('Expenditure DATA'!GK59/'Expenditure DATA'!G59)*100</f>
        <v>#DIV/0!</v>
      </c>
      <c r="EC57" s="202" t="e">
        <f>('Expenditure DATA'!GL59/'Expenditure DATA'!H59)*100</f>
        <v>#DIV/0!</v>
      </c>
      <c r="ED57" s="202" t="e">
        <f>('Expenditure DATA'!GM59/'Expenditure DATA'!I59)*100</f>
        <v>#DIV/0!</v>
      </c>
      <c r="EE57" s="202">
        <f>('Expenditure DATA'!GN59/'Expenditure DATA'!J59)*100</f>
        <v>25.116709930670485</v>
      </c>
      <c r="EF57" s="202">
        <f>('Expenditure DATA'!GO59/'Expenditure DATA'!K59)*100</f>
        <v>23.877365217803991</v>
      </c>
      <c r="EG57" s="202">
        <f>('Expenditure DATA'!GP59/'Expenditure DATA'!L59)*100</f>
        <v>22.864879385158829</v>
      </c>
      <c r="EH57" s="202">
        <f>('Expenditure DATA'!GQ59/'Expenditure DATA'!M59)*100</f>
        <v>22.843189362272359</v>
      </c>
      <c r="EI57" s="202">
        <f>('Expenditure DATA'!GR59/'Expenditure DATA'!N59)*100</f>
        <v>23.136908868083982</v>
      </c>
      <c r="EJ57" s="202">
        <f>('Expenditure DATA'!GS59/'Expenditure DATA'!O59)*100</f>
        <v>24.032276053360231</v>
      </c>
      <c r="EK57" s="202">
        <f>('Expenditure DATA'!GT59/'Expenditure DATA'!P59)*100</f>
        <v>22.730347149188241</v>
      </c>
      <c r="EL57" s="202">
        <f>('Expenditure DATA'!GU59/'Expenditure DATA'!Q59)*100</f>
        <v>23.785792050789542</v>
      </c>
      <c r="EM57" s="202">
        <f>('Expenditure DATA'!GV59/'Expenditure DATA'!R59)*100</f>
        <v>24.237314118238469</v>
      </c>
      <c r="EN57" s="202">
        <f>('Expenditure DATA'!GW59/'Expenditure DATA'!S59)*100</f>
        <v>23.014628994381074</v>
      </c>
      <c r="EO57" s="202">
        <f>('Expenditure DATA'!GX59/'Expenditure DATA'!T59)*100</f>
        <v>22.626624011988607</v>
      </c>
      <c r="EP57" s="202">
        <f>('Expenditure DATA'!GY59/'Expenditure DATA'!U59)*100</f>
        <v>22.994039838261152</v>
      </c>
      <c r="EQ57" s="202">
        <f>('Expenditure DATA'!GZ59/'Expenditure DATA'!V59)*100</f>
        <v>23.313172564688742</v>
      </c>
      <c r="ER57" s="202">
        <f>('Expenditure DATA'!HA59/'Expenditure DATA'!W59)*100</f>
        <v>22.511464925523896</v>
      </c>
      <c r="ES57" s="202">
        <f>('Expenditure DATA'!HB59/'Expenditure DATA'!X59)*100</f>
        <v>21.79930909842016</v>
      </c>
      <c r="ET57" s="202">
        <f>('Expenditure DATA'!HC59/'Expenditure DATA'!Y59)*100</f>
        <v>22.828995039822576</v>
      </c>
      <c r="EU57" s="202">
        <f>('Expenditure DATA'!HD59/'Expenditure DATA'!Z59)*100</f>
        <v>20.108562145758508</v>
      </c>
      <c r="EV57" s="202">
        <f>('Expenditure DATA'!HE59/'Expenditure DATA'!AA59)*100</f>
        <v>20.104515921006008</v>
      </c>
      <c r="EW57" s="202">
        <f>('Expenditure DATA'!HF59/'Expenditure DATA'!AB59)*100</f>
        <v>20.251405420146487</v>
      </c>
      <c r="EX57" s="202">
        <f>('Expenditure DATA'!HG59/'Expenditure DATA'!AC59)*100</f>
        <v>19.969033063404222</v>
      </c>
      <c r="EY57" s="202">
        <f>('Expenditure DATA'!HH59/'Expenditure DATA'!AD59)*100</f>
        <v>20.1138524994088</v>
      </c>
      <c r="EZ57" s="202">
        <f>('Expenditure DATA'!HI59/'Expenditure DATA'!AE59)*100</f>
        <v>20.663654531251339</v>
      </c>
      <c r="FA57" s="464">
        <f>('Expenditure DATA'!HJ59/'Expenditure DATA'!AF59)*100</f>
        <v>19.879682555798418</v>
      </c>
      <c r="FB57" s="203" t="e">
        <f>('Expenditure DATA'!HK59/'Expenditure DATA'!B59)*100</f>
        <v>#DIV/0!</v>
      </c>
      <c r="FC57" s="202" t="e">
        <f>('Expenditure DATA'!HL59/'Expenditure DATA'!C59)*100</f>
        <v>#DIV/0!</v>
      </c>
      <c r="FD57" s="202" t="e">
        <f>('Expenditure DATA'!HM59/'Expenditure DATA'!D59)*100</f>
        <v>#DIV/0!</v>
      </c>
      <c r="FE57" s="202" t="e">
        <f>('Expenditure DATA'!HN59/'Expenditure DATA'!E59)*100</f>
        <v>#DIV/0!</v>
      </c>
      <c r="FF57" s="202" t="e">
        <f>('Expenditure DATA'!HO59/'Expenditure DATA'!F59)*100</f>
        <v>#DIV/0!</v>
      </c>
      <c r="FG57" s="202" t="e">
        <f>('Expenditure DATA'!HP59/'Expenditure DATA'!G59)*100</f>
        <v>#DIV/0!</v>
      </c>
      <c r="FH57" s="202" t="e">
        <f>('Expenditure DATA'!HQ59/'Expenditure DATA'!H59)*100</f>
        <v>#DIV/0!</v>
      </c>
      <c r="FI57" s="202" t="e">
        <f>('Expenditure DATA'!HR59/'Expenditure DATA'!I59)*100</f>
        <v>#DIV/0!</v>
      </c>
      <c r="FJ57" s="202">
        <f>('Expenditure DATA'!HS59/'Expenditure DATA'!J59)*100</f>
        <v>5.490833057150506</v>
      </c>
      <c r="FK57" s="202">
        <f>('Expenditure DATA'!HT59/'Expenditure DATA'!K59)*100</f>
        <v>5.1129750635740994</v>
      </c>
      <c r="FL57" s="202">
        <f>('Expenditure DATA'!HU59/'Expenditure DATA'!L59)*100</f>
        <v>4.8042830093973601</v>
      </c>
      <c r="FM57" s="202">
        <f>('Expenditure DATA'!HV59/'Expenditure DATA'!M59)*100</f>
        <v>4.8858216805597552</v>
      </c>
      <c r="FN57" s="202">
        <f>('Expenditure DATA'!HW59/'Expenditure DATA'!N59)*100</f>
        <v>5.069994597703837</v>
      </c>
      <c r="FO57" s="202">
        <f>('Expenditure DATA'!HX59/'Expenditure DATA'!O59)*100</f>
        <v>5.193261172213897</v>
      </c>
      <c r="FP57" s="202">
        <f>('Expenditure DATA'!HY59/'Expenditure DATA'!P59)*100</f>
        <v>5.5358036906245092</v>
      </c>
      <c r="FQ57" s="202">
        <f>('Expenditure DATA'!HZ59/'Expenditure DATA'!Q59)*100</f>
        <v>5.8854625546355797</v>
      </c>
      <c r="FR57" s="202">
        <f>('Expenditure DATA'!IA59/'Expenditure DATA'!R59)*100</f>
        <v>5.7958385925390665</v>
      </c>
      <c r="FS57" s="202">
        <f>('Expenditure DATA'!IB59/'Expenditure DATA'!S59)*100</f>
        <v>5.7785736425788938</v>
      </c>
      <c r="FT57" s="202">
        <f>('Expenditure DATA'!IC59/'Expenditure DATA'!T59)*100</f>
        <v>5.4124742400576578</v>
      </c>
      <c r="FU57" s="202">
        <f>('Expenditure DATA'!ID59/'Expenditure DATA'!U59)*100</f>
        <v>5.2684731577542108</v>
      </c>
      <c r="FV57" s="202">
        <f>('Expenditure DATA'!IE59/'Expenditure DATA'!V59)*100</f>
        <v>5.1433956441635651</v>
      </c>
      <c r="FW57" s="202">
        <f>('Expenditure DATA'!IF59/'Expenditure DATA'!W59)*100</f>
        <v>4.8815246764992732</v>
      </c>
      <c r="FX57" s="202">
        <f>('Expenditure DATA'!IG59/'Expenditure DATA'!X59)*100</f>
        <v>4.6489050450265177</v>
      </c>
      <c r="FY57" s="202">
        <f>('Expenditure DATA'!IH59/'Expenditure DATA'!Y59)*100</f>
        <v>4.8198319579642073</v>
      </c>
      <c r="FZ57" s="202">
        <f>('Expenditure DATA'!II59/'Expenditure DATA'!Z59)*100</f>
        <v>4.5380843123193939</v>
      </c>
      <c r="GA57" s="202">
        <f>('Expenditure DATA'!IJ59/'Expenditure DATA'!AA59)*100</f>
        <v>4.5383333951120131</v>
      </c>
      <c r="GB57" s="202">
        <f>('Expenditure DATA'!IK59/'Expenditure DATA'!AB59)*100</f>
        <v>4.451662054093446</v>
      </c>
      <c r="GC57" s="202">
        <f>('Expenditure DATA'!IL59/'Expenditure DATA'!AC59)*100</f>
        <v>4.4674302821676077</v>
      </c>
      <c r="GD57" s="202">
        <f>('Expenditure DATA'!IM59/'Expenditure DATA'!AD59)*100</f>
        <v>4.4569461498025227</v>
      </c>
      <c r="GE57" s="202">
        <f>('Expenditure DATA'!IN59/'Expenditure DATA'!AE59)*100</f>
        <v>4.1203494162725551</v>
      </c>
      <c r="GF57" s="464">
        <f>('Expenditure DATA'!IO59/'Expenditure DATA'!AF59)*100</f>
        <v>4.0508623648429376</v>
      </c>
      <c r="GG57" s="203" t="e">
        <f>('Expenditure DATA'!IP59/'Expenditure DATA'!B59)*100</f>
        <v>#DIV/0!</v>
      </c>
      <c r="GH57" s="202" t="e">
        <f>('Expenditure DATA'!IQ59/'Expenditure DATA'!C59)*100</f>
        <v>#DIV/0!</v>
      </c>
      <c r="GI57" s="202" t="e">
        <f>('Expenditure DATA'!IR59/'Expenditure DATA'!D59)*100</f>
        <v>#DIV/0!</v>
      </c>
      <c r="GJ57" s="202" t="e">
        <f>('Expenditure DATA'!IS59/'Expenditure DATA'!E59)*100</f>
        <v>#DIV/0!</v>
      </c>
      <c r="GK57" s="202" t="e">
        <f>('Expenditure DATA'!IT59/'Expenditure DATA'!F59)*100</f>
        <v>#DIV/0!</v>
      </c>
      <c r="GL57" s="202" t="e">
        <f>('Expenditure DATA'!IU59/'Expenditure DATA'!G59)*100</f>
        <v>#DIV/0!</v>
      </c>
      <c r="GM57" s="202" t="e">
        <f>('Expenditure DATA'!IV59/'Expenditure DATA'!H59)*100</f>
        <v>#DIV/0!</v>
      </c>
      <c r="GN57" s="202" t="e">
        <f>('Expenditure DATA'!IW59/'Expenditure DATA'!I59)*100</f>
        <v>#DIV/0!</v>
      </c>
      <c r="GO57" s="202">
        <f>('Expenditure DATA'!IX59/'Expenditure DATA'!J59)*100</f>
        <v>17.801577118072885</v>
      </c>
      <c r="GP57" s="202">
        <f>('Expenditure DATA'!IY59/'Expenditure DATA'!K59)*100</f>
        <v>17.480101742588129</v>
      </c>
      <c r="GQ57" s="202">
        <f>('Expenditure DATA'!IZ59/'Expenditure DATA'!L59)*100</f>
        <v>17.217471612452847</v>
      </c>
      <c r="GR57" s="202">
        <f>('Expenditure DATA'!JA59/'Expenditure DATA'!M59)*100</f>
        <v>17.001133861858868</v>
      </c>
      <c r="GS57" s="202">
        <f>('Expenditure DATA'!JB59/'Expenditure DATA'!N59)*100</f>
        <v>15.5628807453006</v>
      </c>
      <c r="GT57" s="202">
        <f>('Expenditure DATA'!JC59/'Expenditure DATA'!O59)*100</f>
        <v>14.84436599570364</v>
      </c>
      <c r="GU57" s="202">
        <f>('Expenditure DATA'!JD59/'Expenditure DATA'!P59)*100</f>
        <v>14.649953004647776</v>
      </c>
      <c r="GV57" s="202">
        <f>('Expenditure DATA'!JE59/'Expenditure DATA'!Q59)*100</f>
        <v>14.799825143667325</v>
      </c>
      <c r="GW57" s="202">
        <f>('Expenditure DATA'!JF59/'Expenditure DATA'!R59)*100</f>
        <v>14.99624585759377</v>
      </c>
      <c r="GX57" s="202">
        <f>('Expenditure DATA'!JG59/'Expenditure DATA'!S59)*100</f>
        <v>15.067886965661593</v>
      </c>
      <c r="GY57" s="202">
        <f>('Expenditure DATA'!JH59/'Expenditure DATA'!T59)*100</f>
        <v>14.386105807788713</v>
      </c>
      <c r="GZ57" s="202">
        <f>('Expenditure DATA'!JI59/'Expenditure DATA'!U59)*100</f>
        <v>14.893574604148549</v>
      </c>
      <c r="HA57" s="202">
        <f>('Expenditure DATA'!JJ59/'Expenditure DATA'!V59)*100</f>
        <v>15.334355563973368</v>
      </c>
      <c r="HB57" s="202">
        <f>('Expenditure DATA'!JK59/'Expenditure DATA'!W59)*100</f>
        <v>14.644586984874675</v>
      </c>
      <c r="HC57" s="202">
        <f>('Expenditure DATA'!JL59/'Expenditure DATA'!X59)*100</f>
        <v>14.031866475600353</v>
      </c>
      <c r="HD57" s="202">
        <f>('Expenditure DATA'!JM59/'Expenditure DATA'!Y59)*100</f>
        <v>13.384691153349854</v>
      </c>
      <c r="HE57" s="202">
        <f>('Expenditure DATA'!JN59/'Expenditure DATA'!Z59)*100</f>
        <v>13.924210616506002</v>
      </c>
      <c r="HF57" s="202">
        <f>('Expenditure DATA'!JO59/'Expenditure DATA'!AA59)*100</f>
        <v>13.924406664910721</v>
      </c>
      <c r="HG57" s="202">
        <f>('Expenditure DATA'!JP59/'Expenditure DATA'!AB59)*100</f>
        <v>14.655219607634814</v>
      </c>
      <c r="HH57" s="202">
        <f>('Expenditure DATA'!JQ59/'Expenditure DATA'!AC59)*100</f>
        <v>13.915397044390021</v>
      </c>
      <c r="HI57" s="202">
        <f>('Expenditure DATA'!JR59/'Expenditure DATA'!AD59)*100</f>
        <v>14.058750747764925</v>
      </c>
      <c r="HJ57" s="202">
        <f>('Expenditure DATA'!JS59/'Expenditure DATA'!AE59)*100</f>
        <v>14.329130982461777</v>
      </c>
      <c r="HK57" s="464">
        <f>('Expenditure DATA'!JT59/'Expenditure DATA'!AF59)*100</f>
        <v>14.520652695656544</v>
      </c>
      <c r="HL57" s="203" t="e">
        <f t="shared" si="1"/>
        <v>#DIV/0!</v>
      </c>
      <c r="HM57" s="204" t="e">
        <f t="shared" si="2"/>
        <v>#DIV/0!</v>
      </c>
      <c r="HN57" s="204" t="e">
        <f t="shared" si="3"/>
        <v>#DIV/0!</v>
      </c>
      <c r="HO57" s="204" t="e">
        <f t="shared" si="4"/>
        <v>#DIV/0!</v>
      </c>
      <c r="HP57" s="204" t="e">
        <f t="shared" si="5"/>
        <v>#DIV/0!</v>
      </c>
      <c r="HQ57" s="204" t="e">
        <f t="shared" si="6"/>
        <v>#DIV/0!</v>
      </c>
      <c r="HR57" s="204" t="e">
        <f t="shared" si="7"/>
        <v>#DIV/0!</v>
      </c>
      <c r="HS57" s="204" t="e">
        <f t="shared" si="8"/>
        <v>#DIV/0!</v>
      </c>
      <c r="HT57" s="204">
        <f t="shared" si="9"/>
        <v>100</v>
      </c>
      <c r="HU57" s="204">
        <f t="shared" si="10"/>
        <v>100</v>
      </c>
      <c r="HV57" s="204">
        <f t="shared" si="11"/>
        <v>100</v>
      </c>
      <c r="HW57" s="204">
        <f t="shared" si="12"/>
        <v>100</v>
      </c>
      <c r="HX57" s="204">
        <f t="shared" si="13"/>
        <v>100</v>
      </c>
      <c r="HY57" s="204">
        <f t="shared" si="14"/>
        <v>100</v>
      </c>
      <c r="HZ57" s="204">
        <f t="shared" si="15"/>
        <v>99.999999999999986</v>
      </c>
      <c r="IA57" s="204">
        <f t="shared" si="16"/>
        <v>99.999999999999986</v>
      </c>
      <c r="IB57" s="204">
        <f t="shared" si="17"/>
        <v>100</v>
      </c>
      <c r="IC57" s="204">
        <f t="shared" si="18"/>
        <v>100</v>
      </c>
      <c r="ID57" s="204">
        <f t="shared" si="19"/>
        <v>100.00000000000001</v>
      </c>
      <c r="IE57" s="204">
        <f t="shared" si="20"/>
        <v>100.00000000000001</v>
      </c>
      <c r="IF57" s="204">
        <f t="shared" si="21"/>
        <v>100</v>
      </c>
      <c r="IG57" s="204">
        <f t="shared" si="22"/>
        <v>99.999999999999986</v>
      </c>
      <c r="IH57" s="204">
        <f t="shared" si="23"/>
        <v>100</v>
      </c>
      <c r="II57" s="204">
        <f t="shared" si="24"/>
        <v>100</v>
      </c>
      <c r="IJ57" s="204">
        <f t="shared" si="25"/>
        <v>100</v>
      </c>
      <c r="IK57" s="204">
        <f t="shared" si="26"/>
        <v>100.00000000000001</v>
      </c>
      <c r="IL57" s="204">
        <f t="shared" si="42"/>
        <v>100</v>
      </c>
      <c r="IM57" s="204">
        <f t="shared" si="43"/>
        <v>99.999995046914762</v>
      </c>
      <c r="IN57" s="204">
        <f t="shared" si="44"/>
        <v>100.00000362699234</v>
      </c>
      <c r="IO57" s="204">
        <f t="shared" si="45"/>
        <v>100.00000000000001</v>
      </c>
      <c r="IP57" s="204">
        <f t="shared" si="46"/>
        <v>100</v>
      </c>
    </row>
    <row r="58" spans="1:250" s="164" customFormat="1">
      <c r="A58" s="164" t="s">
        <v>69</v>
      </c>
      <c r="C58" s="202" t="e">
        <f>('Expenditure DATA'!CQ60/'Expenditure DATA'!B60)*100</f>
        <v>#DIV/0!</v>
      </c>
      <c r="D58" s="202" t="e">
        <f>('Expenditure DATA'!CR60/'Expenditure DATA'!C60)*100</f>
        <v>#DIV/0!</v>
      </c>
      <c r="E58" s="202" t="e">
        <f>('Expenditure DATA'!CS60/'Expenditure DATA'!D60)*100</f>
        <v>#DIV/0!</v>
      </c>
      <c r="F58" s="202" t="e">
        <f>('Expenditure DATA'!CT60/'Expenditure DATA'!E60)*100</f>
        <v>#DIV/0!</v>
      </c>
      <c r="G58" s="202" t="e">
        <f>('Expenditure DATA'!CU60/'Expenditure DATA'!F60)*100</f>
        <v>#DIV/0!</v>
      </c>
      <c r="H58" s="202" t="e">
        <f>('Expenditure DATA'!CV60/'Expenditure DATA'!G60)*100</f>
        <v>#DIV/0!</v>
      </c>
      <c r="I58" s="202" t="e">
        <f>('Expenditure DATA'!CW60/'Expenditure DATA'!H60)*100</f>
        <v>#DIV/0!</v>
      </c>
      <c r="J58" s="202" t="e">
        <f>('Expenditure DATA'!CX60/'Expenditure DATA'!I60)*100</f>
        <v>#DIV/0!</v>
      </c>
      <c r="K58" s="202">
        <f>('Expenditure DATA'!CY60/'Expenditure DATA'!J60)*100</f>
        <v>4.9314168529305933</v>
      </c>
      <c r="L58" s="202">
        <f>('Expenditure DATA'!CZ60/'Expenditure DATA'!K60)*100</f>
        <v>4.9404629344585178</v>
      </c>
      <c r="M58" s="202">
        <f>('Expenditure DATA'!DA60/'Expenditure DATA'!L60)*100</f>
        <v>4.9484215684636945</v>
      </c>
      <c r="N58" s="202">
        <f>('Expenditure DATA'!DB60/'Expenditure DATA'!M60)*100</f>
        <v>5.1720556865828318</v>
      </c>
      <c r="O58" s="202">
        <f>('Expenditure DATA'!DC60/'Expenditure DATA'!N60)*100</f>
        <v>5.152807447378879</v>
      </c>
      <c r="P58" s="202">
        <f>('Expenditure DATA'!DD60/'Expenditure DATA'!O60)*100</f>
        <v>5.0567293726605405</v>
      </c>
      <c r="Q58" s="202">
        <f>('Expenditure DATA'!DE60/'Expenditure DATA'!P60)*100</f>
        <v>4.467851260342937</v>
      </c>
      <c r="R58" s="202">
        <f>('Expenditure DATA'!DF60/'Expenditure DATA'!Q60)*100</f>
        <v>4.424364419632953</v>
      </c>
      <c r="S58" s="202">
        <f>('Expenditure DATA'!DG60/'Expenditure DATA'!R60)*100</f>
        <v>4.6035422283378713</v>
      </c>
      <c r="T58" s="202">
        <f>('Expenditure DATA'!DH60/'Expenditure DATA'!S60)*100</f>
        <v>4.2679775606171422</v>
      </c>
      <c r="U58" s="202">
        <f>('Expenditure DATA'!DI60/'Expenditure DATA'!T60)*100</f>
        <v>4.3337803525713001</v>
      </c>
      <c r="V58" s="202">
        <f>('Expenditure DATA'!DJ60/'Expenditure DATA'!U60)*100</f>
        <v>4.655713078284859</v>
      </c>
      <c r="W58" s="202">
        <f>('Expenditure DATA'!DK60/'Expenditure DATA'!V60)*100</f>
        <v>4.9356609028684222</v>
      </c>
      <c r="X58" s="202">
        <f>('Expenditure DATA'!DL60/'Expenditure DATA'!W60)*100</f>
        <v>4.977147929062677</v>
      </c>
      <c r="Y58" s="202">
        <f>('Expenditure DATA'!DM60/'Expenditure DATA'!X60)*100</f>
        <v>5.0151841638426085</v>
      </c>
      <c r="Z58" s="202">
        <f>('Expenditure DATA'!DN60/'Expenditure DATA'!Y60)*100</f>
        <v>5.1038733876094673</v>
      </c>
      <c r="AA58" s="202">
        <f>('Expenditure DATA'!DO60/'Expenditure DATA'!Z60)*100</f>
        <v>5.3385510382807366</v>
      </c>
      <c r="AB58" s="202">
        <f>('Expenditure DATA'!DP60/'Expenditure DATA'!AA60)*100</f>
        <v>5.3370611371037793</v>
      </c>
      <c r="AC58" s="202">
        <f>('Expenditure DATA'!DQ60/'Expenditure DATA'!AB60)*100</f>
        <v>5.4273421969105247</v>
      </c>
      <c r="AD58" s="202">
        <f>('Expenditure DATA'!DR60/'Expenditure DATA'!AC60)*100</f>
        <v>5.9456659128780585</v>
      </c>
      <c r="AE58" s="202">
        <f>('Expenditure DATA'!DS60/'Expenditure DATA'!AD60)*100</f>
        <v>5.5917899948935643</v>
      </c>
      <c r="AF58" s="202">
        <f>('Expenditure DATA'!DT60/'Expenditure DATA'!AE60)*100</f>
        <v>6.0133212288934885</v>
      </c>
      <c r="AG58" s="464">
        <f>('Expenditure DATA'!DU60/'Expenditure DATA'!AF60)*100</f>
        <v>5.8650783994449558</v>
      </c>
      <c r="AH58" s="203" t="e">
        <f>('Expenditure DATA'!BL60/'Expenditure DATA'!B60)*100</f>
        <v>#DIV/0!</v>
      </c>
      <c r="AI58" s="202" t="e">
        <f>('Expenditure DATA'!BM60/'Expenditure DATA'!C60)*100</f>
        <v>#DIV/0!</v>
      </c>
      <c r="AJ58" s="202" t="e">
        <f>('Expenditure DATA'!BN60/'Expenditure DATA'!D60)*100</f>
        <v>#DIV/0!</v>
      </c>
      <c r="AK58" s="202" t="e">
        <f>('Expenditure DATA'!BO60/'Expenditure DATA'!E60)*100</f>
        <v>#DIV/0!</v>
      </c>
      <c r="AL58" s="202" t="e">
        <f>('Expenditure DATA'!BP60/'Expenditure DATA'!F60)*100</f>
        <v>#DIV/0!</v>
      </c>
      <c r="AM58" s="202" t="e">
        <f>('Expenditure DATA'!BQ60/'Expenditure DATA'!G60)*100</f>
        <v>#DIV/0!</v>
      </c>
      <c r="AN58" s="202" t="e">
        <f>('Expenditure DATA'!BR60/'Expenditure DATA'!H60)*100</f>
        <v>#DIV/0!</v>
      </c>
      <c r="AO58" s="202" t="e">
        <f>('Expenditure DATA'!BS60/'Expenditure DATA'!I60)*100</f>
        <v>#DIV/0!</v>
      </c>
      <c r="AP58" s="202">
        <f>('Expenditure DATA'!BT60/'Expenditure DATA'!J60)*100</f>
        <v>21.844421131041404</v>
      </c>
      <c r="AQ58" s="202">
        <f>('Expenditure DATA'!BU60/'Expenditure DATA'!K60)*100</f>
        <v>21.717952622803971</v>
      </c>
      <c r="AR58" s="202">
        <f>('Expenditure DATA'!BV60/'Expenditure DATA'!L60)*100</f>
        <v>21.606687146460949</v>
      </c>
      <c r="AS58" s="202">
        <f>('Expenditure DATA'!BW60/'Expenditure DATA'!M60)*100</f>
        <v>21.719344339007655</v>
      </c>
      <c r="AT58" s="202">
        <f>('Expenditure DATA'!BX60/'Expenditure DATA'!N60)*100</f>
        <v>21.50537754126082</v>
      </c>
      <c r="AU58" s="202">
        <f>('Expenditure DATA'!BY60/'Expenditure DATA'!O60)*100</f>
        <v>21.771013777160274</v>
      </c>
      <c r="AV58" s="202">
        <f>('Expenditure DATA'!BZ60/'Expenditure DATA'!P60)*100</f>
        <v>21.6174654172221</v>
      </c>
      <c r="AW58" s="202">
        <f>('Expenditure DATA'!CA60/'Expenditure DATA'!Q60)*100</f>
        <v>21.463994195299403</v>
      </c>
      <c r="AX58" s="202">
        <f>('Expenditure DATA'!CB60/'Expenditure DATA'!R60)*100</f>
        <v>22.248357183142826</v>
      </c>
      <c r="AY58" s="202">
        <f>('Expenditure DATA'!CC60/'Expenditure DATA'!S60)*100</f>
        <v>22.843818216172661</v>
      </c>
      <c r="AZ58" s="202">
        <f>('Expenditure DATA'!CD60/'Expenditure DATA'!T60)*100</f>
        <v>23.632089669952201</v>
      </c>
      <c r="BA58" s="202">
        <f>('Expenditure DATA'!CE60/'Expenditure DATA'!U60)*100</f>
        <v>23.652372128896378</v>
      </c>
      <c r="BB58" s="202">
        <f>('Expenditure DATA'!CF60/'Expenditure DATA'!V60)*100</f>
        <v>23.670009448140757</v>
      </c>
      <c r="BC58" s="202">
        <f>('Expenditure DATA'!CG60/'Expenditure DATA'!W60)*100</f>
        <v>23.442801185119784</v>
      </c>
      <c r="BD58" s="202">
        <f>('Expenditure DATA'!CH60/'Expenditure DATA'!X60)*100</f>
        <v>23.2344915609076</v>
      </c>
      <c r="BE58" s="202">
        <f>('Expenditure DATA'!CI60/'Expenditure DATA'!Y60)*100</f>
        <v>22.951110121523982</v>
      </c>
      <c r="BF58" s="202">
        <f>('Expenditure DATA'!CJ60/'Expenditure DATA'!Z60)*100</f>
        <v>23.438808141125573</v>
      </c>
      <c r="BG58" s="202">
        <f>('Expenditure DATA'!CK60/'Expenditure DATA'!AA60)*100</f>
        <v>23.43226675797019</v>
      </c>
      <c r="BH58" s="202">
        <f>('Expenditure DATA'!CL60/'Expenditure DATA'!AB60)*100</f>
        <v>24.030099119703969</v>
      </c>
      <c r="BI58" s="202">
        <f>('Expenditure DATA'!CM60/'Expenditure DATA'!AC60)*100</f>
        <v>24.285037847332241</v>
      </c>
      <c r="BJ58" s="202">
        <f>('Expenditure DATA'!CN60/'Expenditure DATA'!AD60)*100</f>
        <v>24.051849581635548</v>
      </c>
      <c r="BK58" s="202">
        <f>('Expenditure DATA'!CO60/'Expenditure DATA'!AE60)*100</f>
        <v>23.484769094492677</v>
      </c>
      <c r="BL58" s="464">
        <f>('Expenditure DATA'!CP60/'Expenditure DATA'!AF60)*100</f>
        <v>23.262600162256213</v>
      </c>
      <c r="BM58" s="203" t="e">
        <f>('Expenditure DATA'!AG60/'Expenditure DATA'!B60)*100</f>
        <v>#DIV/0!</v>
      </c>
      <c r="BN58" s="202" t="e">
        <f>('Expenditure DATA'!AH60/'Expenditure DATA'!C60)*100</f>
        <v>#DIV/0!</v>
      </c>
      <c r="BO58" s="202" t="e">
        <f>('Expenditure DATA'!AI60/'Expenditure DATA'!D60)*100</f>
        <v>#DIV/0!</v>
      </c>
      <c r="BP58" s="202" t="e">
        <f>('Expenditure DATA'!AJ60/'Expenditure DATA'!E60)*100</f>
        <v>#DIV/0!</v>
      </c>
      <c r="BQ58" s="202" t="e">
        <f>('Expenditure DATA'!AK60/'Expenditure DATA'!F60)*100</f>
        <v>#DIV/0!</v>
      </c>
      <c r="BR58" s="202" t="e">
        <f>('Expenditure DATA'!AL60/'Expenditure DATA'!G60)*100</f>
        <v>#DIV/0!</v>
      </c>
      <c r="BS58" s="202" t="e">
        <f>('Expenditure DATA'!AM60/'Expenditure DATA'!H60)*100</f>
        <v>#DIV/0!</v>
      </c>
      <c r="BT58" s="202" t="e">
        <f>('Expenditure DATA'!AN60/'Expenditure DATA'!I60)*100</f>
        <v>#DIV/0!</v>
      </c>
      <c r="BU58" s="202">
        <f>('Expenditure DATA'!AO60/'Expenditure DATA'!J60)*100</f>
        <v>28.599349894361271</v>
      </c>
      <c r="BV58" s="202">
        <f>('Expenditure DATA'!AP60/'Expenditure DATA'!K60)*100</f>
        <v>28.317581473652059</v>
      </c>
      <c r="BW58" s="202">
        <f>('Expenditure DATA'!AQ60/'Expenditure DATA'!L60)*100</f>
        <v>28.069684997402245</v>
      </c>
      <c r="BX58" s="202">
        <f>('Expenditure DATA'!AR60/'Expenditure DATA'!M60)*100</f>
        <v>28.396702611829777</v>
      </c>
      <c r="BY58" s="202">
        <f>('Expenditure DATA'!AS60/'Expenditure DATA'!N60)*100</f>
        <v>28.153428560234733</v>
      </c>
      <c r="BZ58" s="202">
        <f>('Expenditure DATA'!AT60/'Expenditure DATA'!O60)*100</f>
        <v>28.364299494849043</v>
      </c>
      <c r="CA58" s="202">
        <f>('Expenditure DATA'!AU60/'Expenditure DATA'!P60)*100</f>
        <v>27.717061189298619</v>
      </c>
      <c r="CB58" s="202">
        <f>('Expenditure DATA'!AV60/'Expenditure DATA'!Q60)*100</f>
        <v>27.471870872111165</v>
      </c>
      <c r="CC58" s="202">
        <f>('Expenditure DATA'!AW60/'Expenditure DATA'!R60)*100</f>
        <v>28.411474358234656</v>
      </c>
      <c r="CD58" s="202">
        <f>('Expenditure DATA'!AX60/'Expenditure DATA'!S60)*100</f>
        <v>28.599133477813478</v>
      </c>
      <c r="CE58" s="202">
        <f>('Expenditure DATA'!AY60/'Expenditure DATA'!T60)*100</f>
        <v>29.43508170434027</v>
      </c>
      <c r="CF58" s="202">
        <f>('Expenditure DATA'!AZ60/'Expenditure DATA'!U60)*100</f>
        <v>29.722502914592301</v>
      </c>
      <c r="CG58" s="202">
        <f>('Expenditure DATA'!BA60/'Expenditure DATA'!V60)*100</f>
        <v>29.972440047795789</v>
      </c>
      <c r="CH58" s="202">
        <f>('Expenditure DATA'!BB60/'Expenditure DATA'!W60)*100</f>
        <v>29.848481380449023</v>
      </c>
      <c r="CI58" s="202">
        <f>('Expenditure DATA'!BC60/'Expenditure DATA'!X60)*100</f>
        <v>29.734833297982654</v>
      </c>
      <c r="CJ58" s="202">
        <f>('Expenditure DATA'!BD60/'Expenditure DATA'!Y60)*100</f>
        <v>29.656054584202934</v>
      </c>
      <c r="CK58" s="202">
        <f>('Expenditure DATA'!BE60/'Expenditure DATA'!Z60)*100</f>
        <v>30.195874994077727</v>
      </c>
      <c r="CL58" s="202">
        <f>('Expenditure DATA'!BF60/'Expenditure DATA'!AA60)*100</f>
        <v>30.187303673330877</v>
      </c>
      <c r="CM58" s="202">
        <f>('Expenditure DATA'!BG60/'Expenditure DATA'!AB60)*100</f>
        <v>30.812216344726711</v>
      </c>
      <c r="CN58" s="202">
        <f>('Expenditure DATA'!BH60/'Expenditure DATA'!AC60)*100</f>
        <v>31.515020957855523</v>
      </c>
      <c r="CO58" s="202">
        <f>('Expenditure DATA'!BI60/'Expenditure DATA'!AD60)*100</f>
        <v>31.049772373942758</v>
      </c>
      <c r="CP58" s="202">
        <f>('Expenditure DATA'!BJ60/'Expenditure DATA'!AE60)*100</f>
        <v>30.808359606378964</v>
      </c>
      <c r="CQ58" s="464">
        <f>('Expenditure DATA'!BK60/'Expenditure DATA'!AF60)*100</f>
        <v>30.423822337639013</v>
      </c>
      <c r="CR58" s="203" t="e">
        <f>('Expenditure DATA'!FA60/'Expenditure DATA'!B60)*100</f>
        <v>#DIV/0!</v>
      </c>
      <c r="CS58" s="202" t="e">
        <f>('Expenditure DATA'!FB60/'Expenditure DATA'!C60)*100</f>
        <v>#DIV/0!</v>
      </c>
      <c r="CT58" s="202" t="e">
        <f>('Expenditure DATA'!FC60/'Expenditure DATA'!D60)*100</f>
        <v>#DIV/0!</v>
      </c>
      <c r="CU58" s="202" t="e">
        <f>('Expenditure DATA'!FD60/'Expenditure DATA'!E60)*100</f>
        <v>#DIV/0!</v>
      </c>
      <c r="CV58" s="202" t="e">
        <f>('Expenditure DATA'!FE60/'Expenditure DATA'!F60)*100</f>
        <v>#DIV/0!</v>
      </c>
      <c r="CW58" s="202" t="e">
        <f>('Expenditure DATA'!FF60/'Expenditure DATA'!G60)*100</f>
        <v>#DIV/0!</v>
      </c>
      <c r="CX58" s="202" t="e">
        <f>('Expenditure DATA'!FG60/'Expenditure DATA'!H60)*100</f>
        <v>#DIV/0!</v>
      </c>
      <c r="CY58" s="202" t="e">
        <f>('Expenditure DATA'!FH60/'Expenditure DATA'!I60)*100</f>
        <v>#DIV/0!</v>
      </c>
      <c r="CZ58" s="202">
        <f>('Expenditure DATA'!FI60/'Expenditure DATA'!J60)*100</f>
        <v>28.327634528812894</v>
      </c>
      <c r="DA58" s="202">
        <f>('Expenditure DATA'!FJ60/'Expenditure DATA'!K60)*100</f>
        <v>29.420108114820632</v>
      </c>
      <c r="DB58" s="202">
        <f>('Expenditure DATA'!FK60/'Expenditure DATA'!L60)*100</f>
        <v>30.381253269716535</v>
      </c>
      <c r="DC58" s="202">
        <f>('Expenditure DATA'!FL60/'Expenditure DATA'!M60)*100</f>
        <v>30.741047292071705</v>
      </c>
      <c r="DD58" s="202">
        <f>('Expenditure DATA'!FM60/'Expenditure DATA'!N60)*100</f>
        <v>31.178034874107414</v>
      </c>
      <c r="DE58" s="202">
        <f>('Expenditure DATA'!FN60/'Expenditure DATA'!O60)*100</f>
        <v>31.377612620078597</v>
      </c>
      <c r="DF58" s="202">
        <f>('Expenditure DATA'!FO60/'Expenditure DATA'!P60)*100</f>
        <v>31.163874893002959</v>
      </c>
      <c r="DG58" s="202">
        <f>('Expenditure DATA'!FP60/'Expenditure DATA'!Q60)*100</f>
        <v>29.070430452742162</v>
      </c>
      <c r="DH58" s="202">
        <f>('Expenditure DATA'!FQ60/'Expenditure DATA'!R60)*100</f>
        <v>29.683264331030152</v>
      </c>
      <c r="DI58" s="202">
        <f>('Expenditure DATA'!FR60/'Expenditure DATA'!S60)*100</f>
        <v>29.341084942817353</v>
      </c>
      <c r="DJ58" s="202">
        <f>('Expenditure DATA'!FS60/'Expenditure DATA'!T60)*100</f>
        <v>29.194983207716341</v>
      </c>
      <c r="DK58" s="202">
        <f>('Expenditure DATA'!FT60/'Expenditure DATA'!U60)*100</f>
        <v>28.745331347012549</v>
      </c>
      <c r="DL58" s="202">
        <f>('Expenditure DATA'!FU60/'Expenditure DATA'!V60)*100</f>
        <v>28.354320896164566</v>
      </c>
      <c r="DM58" s="202">
        <f>('Expenditure DATA'!FV60/'Expenditure DATA'!W60)*100</f>
        <v>29.756910744231991</v>
      </c>
      <c r="DN58" s="202">
        <f>('Expenditure DATA'!FW60/'Expenditure DATA'!X60)*100</f>
        <v>31.042836530072698</v>
      </c>
      <c r="DO58" s="202">
        <f>('Expenditure DATA'!FX60/'Expenditure DATA'!Y60)*100</f>
        <v>31.426440538718261</v>
      </c>
      <c r="DP58" s="202">
        <f>('Expenditure DATA'!FY60/'Expenditure DATA'!Z60)*100</f>
        <v>30.384325155609609</v>
      </c>
      <c r="DQ58" s="202">
        <f>('Expenditure DATA'!FZ60/'Expenditure DATA'!AA60)*100</f>
        <v>30.37530494530985</v>
      </c>
      <c r="DR58" s="202">
        <f>('Expenditure DATA'!GA60/'Expenditure DATA'!AB60)*100</f>
        <v>29.249995336950107</v>
      </c>
      <c r="DS58" s="202">
        <f>('Expenditure DATA'!GB60/'Expenditure DATA'!AC60)*100</f>
        <v>29.76799246663915</v>
      </c>
      <c r="DT58" s="202">
        <f>('Expenditure DATA'!GC60/'Expenditure DATA'!AD60)*100</f>
        <v>30.478502763079462</v>
      </c>
      <c r="DU58" s="202">
        <f>('Expenditure DATA'!GD60/'Expenditure DATA'!AE60)*100</f>
        <v>30.780516185478966</v>
      </c>
      <c r="DV58" s="464">
        <f>('Expenditure DATA'!GE60/'Expenditure DATA'!AF60)*100</f>
        <v>30.867572058614627</v>
      </c>
      <c r="DW58" s="203" t="e">
        <f>('Expenditure DATA'!GF60/'Expenditure DATA'!B60)*100</f>
        <v>#DIV/0!</v>
      </c>
      <c r="DX58" s="202" t="e">
        <f>('Expenditure DATA'!GG60/'Expenditure DATA'!C60)*100</f>
        <v>#DIV/0!</v>
      </c>
      <c r="DY58" s="202" t="e">
        <f>('Expenditure DATA'!GH60/'Expenditure DATA'!D60)*100</f>
        <v>#DIV/0!</v>
      </c>
      <c r="DZ58" s="202" t="e">
        <f>('Expenditure DATA'!GI60/'Expenditure DATA'!E60)*100</f>
        <v>#DIV/0!</v>
      </c>
      <c r="EA58" s="202" t="e">
        <f>('Expenditure DATA'!GJ60/'Expenditure DATA'!F60)*100</f>
        <v>#DIV/0!</v>
      </c>
      <c r="EB58" s="202" t="e">
        <f>('Expenditure DATA'!GK60/'Expenditure DATA'!G60)*100</f>
        <v>#DIV/0!</v>
      </c>
      <c r="EC58" s="202" t="e">
        <f>('Expenditure DATA'!GL60/'Expenditure DATA'!H60)*100</f>
        <v>#DIV/0!</v>
      </c>
      <c r="ED58" s="202" t="e">
        <f>('Expenditure DATA'!GM60/'Expenditure DATA'!I60)*100</f>
        <v>#DIV/0!</v>
      </c>
      <c r="EE58" s="202">
        <f>('Expenditure DATA'!GN60/'Expenditure DATA'!J60)*100</f>
        <v>24.669408746780061</v>
      </c>
      <c r="EF58" s="202">
        <f>('Expenditure DATA'!GO60/'Expenditure DATA'!K60)*100</f>
        <v>23.744819640011961</v>
      </c>
      <c r="EG58" s="202">
        <f>('Expenditure DATA'!GP60/'Expenditure DATA'!L60)*100</f>
        <v>22.931377235892004</v>
      </c>
      <c r="EH58" s="202">
        <f>('Expenditure DATA'!GQ60/'Expenditure DATA'!M60)*100</f>
        <v>22.501916903759323</v>
      </c>
      <c r="EI58" s="202">
        <f>('Expenditure DATA'!GR60/'Expenditure DATA'!N60)*100</f>
        <v>22.011099412711751</v>
      </c>
      <c r="EJ58" s="202">
        <f>('Expenditure DATA'!GS60/'Expenditure DATA'!O60)*100</f>
        <v>21.557177519821444</v>
      </c>
      <c r="EK58" s="202">
        <f>('Expenditure DATA'!GT60/'Expenditure DATA'!P60)*100</f>
        <v>21.943403567153595</v>
      </c>
      <c r="EL58" s="202">
        <f>('Expenditure DATA'!GU60/'Expenditure DATA'!Q60)*100</f>
        <v>22.710547440535318</v>
      </c>
      <c r="EM58" s="202">
        <f>('Expenditure DATA'!GV60/'Expenditure DATA'!R60)*100</f>
        <v>21.773950812305969</v>
      </c>
      <c r="EN58" s="202">
        <f>('Expenditure DATA'!GW60/'Expenditure DATA'!S60)*100</f>
        <v>21.884008809651906</v>
      </c>
      <c r="EO58" s="202">
        <f>('Expenditure DATA'!GX60/'Expenditure DATA'!T60)*100</f>
        <v>21.798349044655911</v>
      </c>
      <c r="EP58" s="202">
        <f>('Expenditure DATA'!GY60/'Expenditure DATA'!U60)*100</f>
        <v>21.640712555923063</v>
      </c>
      <c r="EQ58" s="202">
        <f>('Expenditure DATA'!GZ60/'Expenditure DATA'!V60)*100</f>
        <v>21.503634251758928</v>
      </c>
      <c r="ER58" s="202">
        <f>('Expenditure DATA'!HA60/'Expenditure DATA'!W60)*100</f>
        <v>21.40882788142509</v>
      </c>
      <c r="ES58" s="202">
        <f>('Expenditure DATA'!HB60/'Expenditure DATA'!X60)*100</f>
        <v>21.321907277770201</v>
      </c>
      <c r="ET58" s="202">
        <f>('Expenditure DATA'!HC60/'Expenditure DATA'!Y60)*100</f>
        <v>21.082977719853879</v>
      </c>
      <c r="EU58" s="202">
        <f>('Expenditure DATA'!HD60/'Expenditure DATA'!Z60)*100</f>
        <v>20.954534630340749</v>
      </c>
      <c r="EV58" s="202">
        <f>('Expenditure DATA'!HE60/'Expenditure DATA'!AA60)*100</f>
        <v>20.979458407395775</v>
      </c>
      <c r="EW58" s="202">
        <f>('Expenditure DATA'!HF60/'Expenditure DATA'!AB60)*100</f>
        <v>21.080753512619264</v>
      </c>
      <c r="EX58" s="202">
        <f>('Expenditure DATA'!HG60/'Expenditure DATA'!AC60)*100</f>
        <v>20.867376248784321</v>
      </c>
      <c r="EY58" s="202">
        <f>('Expenditure DATA'!HH60/'Expenditure DATA'!AD60)*100</f>
        <v>21.177284822871727</v>
      </c>
      <c r="EZ58" s="202">
        <f>('Expenditure DATA'!HI60/'Expenditure DATA'!AE60)*100</f>
        <v>20.772268759618186</v>
      </c>
      <c r="FA58" s="464">
        <f>('Expenditure DATA'!HJ60/'Expenditure DATA'!AF60)*100</f>
        <v>20.383349114975978</v>
      </c>
      <c r="FB58" s="203" t="e">
        <f>('Expenditure DATA'!HK60/'Expenditure DATA'!B60)*100</f>
        <v>#DIV/0!</v>
      </c>
      <c r="FC58" s="202" t="e">
        <f>('Expenditure DATA'!HL60/'Expenditure DATA'!C60)*100</f>
        <v>#DIV/0!</v>
      </c>
      <c r="FD58" s="202" t="e">
        <f>('Expenditure DATA'!HM60/'Expenditure DATA'!D60)*100</f>
        <v>#DIV/0!</v>
      </c>
      <c r="FE58" s="202" t="e">
        <f>('Expenditure DATA'!HN60/'Expenditure DATA'!E60)*100</f>
        <v>#DIV/0!</v>
      </c>
      <c r="FF58" s="202" t="e">
        <f>('Expenditure DATA'!HO60/'Expenditure DATA'!F60)*100</f>
        <v>#DIV/0!</v>
      </c>
      <c r="FG58" s="202" t="e">
        <f>('Expenditure DATA'!HP60/'Expenditure DATA'!G60)*100</f>
        <v>#DIV/0!</v>
      </c>
      <c r="FH58" s="202" t="e">
        <f>('Expenditure DATA'!HQ60/'Expenditure DATA'!H60)*100</f>
        <v>#DIV/0!</v>
      </c>
      <c r="FI58" s="202" t="e">
        <f>('Expenditure DATA'!HR60/'Expenditure DATA'!I60)*100</f>
        <v>#DIV/0!</v>
      </c>
      <c r="FJ58" s="202">
        <f>('Expenditure DATA'!HS60/'Expenditure DATA'!J60)*100</f>
        <v>4.9138284785449517</v>
      </c>
      <c r="FK58" s="202">
        <f>('Expenditure DATA'!HT60/'Expenditure DATA'!K60)*100</f>
        <v>4.6886386291738456</v>
      </c>
      <c r="FL58" s="202">
        <f>('Expenditure DATA'!HU60/'Expenditure DATA'!L60)*100</f>
        <v>4.4905193012313545</v>
      </c>
      <c r="FM58" s="202">
        <f>('Expenditure DATA'!HV60/'Expenditure DATA'!M60)*100</f>
        <v>4.2963722035920906</v>
      </c>
      <c r="FN58" s="202">
        <f>('Expenditure DATA'!HW60/'Expenditure DATA'!N60)*100</f>
        <v>4.3607892731410347</v>
      </c>
      <c r="FO58" s="202">
        <f>('Expenditure DATA'!HX60/'Expenditure DATA'!O60)*100</f>
        <v>4.4320035642446349</v>
      </c>
      <c r="FP58" s="202">
        <f>('Expenditure DATA'!HY60/'Expenditure DATA'!P60)*100</f>
        <v>4.4208656745829185</v>
      </c>
      <c r="FQ58" s="202">
        <f>('Expenditure DATA'!HZ60/'Expenditure DATA'!Q60)*100</f>
        <v>4.8078874705979784</v>
      </c>
      <c r="FR58" s="202">
        <f>('Expenditure DATA'!IA60/'Expenditure DATA'!R60)*100</f>
        <v>4.7225300822599419</v>
      </c>
      <c r="FS58" s="202">
        <f>('Expenditure DATA'!IB60/'Expenditure DATA'!S60)*100</f>
        <v>4.6247443091644538</v>
      </c>
      <c r="FT58" s="202">
        <f>('Expenditure DATA'!IC60/'Expenditure DATA'!T60)*100</f>
        <v>4.5974009510158602</v>
      </c>
      <c r="FU58" s="202">
        <f>('Expenditure DATA'!ID60/'Expenditure DATA'!U60)*100</f>
        <v>4.608567078042249</v>
      </c>
      <c r="FV58" s="202">
        <f>('Expenditure DATA'!IE60/'Expenditure DATA'!V60)*100</f>
        <v>4.6182769730618736</v>
      </c>
      <c r="FW58" s="202">
        <f>('Expenditure DATA'!IF60/'Expenditure DATA'!W60)*100</f>
        <v>4.5155461507442363</v>
      </c>
      <c r="FX58" s="202">
        <f>('Expenditure DATA'!IG60/'Expenditure DATA'!X60)*100</f>
        <v>4.4213602320304437</v>
      </c>
      <c r="FY58" s="202">
        <f>('Expenditure DATA'!IH60/'Expenditure DATA'!Y60)*100</f>
        <v>4.5905382346323833</v>
      </c>
      <c r="FZ58" s="202">
        <f>('Expenditure DATA'!II60/'Expenditure DATA'!Z60)*100</f>
        <v>4.635324282981732</v>
      </c>
      <c r="GA58" s="202">
        <f>('Expenditure DATA'!IJ60/'Expenditure DATA'!AA60)*100</f>
        <v>4.6340301520939011</v>
      </c>
      <c r="GB58" s="202">
        <f>('Expenditure DATA'!IK60/'Expenditure DATA'!AB60)*100</f>
        <v>5.1663297103544386</v>
      </c>
      <c r="GC58" s="202">
        <f>('Expenditure DATA'!IL60/'Expenditure DATA'!AC60)*100</f>
        <v>4.7258328622756292</v>
      </c>
      <c r="GD58" s="202">
        <f>('Expenditure DATA'!IM60/'Expenditure DATA'!AD60)*100</f>
        <v>4.5668620372447215</v>
      </c>
      <c r="GE58" s="202">
        <f>('Expenditure DATA'!IN60/'Expenditure DATA'!AE60)*100</f>
        <v>4.3502673364196056</v>
      </c>
      <c r="GF58" s="464">
        <f>('Expenditure DATA'!IO60/'Expenditure DATA'!AF60)*100</f>
        <v>4.2682995101340442</v>
      </c>
      <c r="GG58" s="203" t="e">
        <f>('Expenditure DATA'!IP60/'Expenditure DATA'!B60)*100</f>
        <v>#DIV/0!</v>
      </c>
      <c r="GH58" s="202" t="e">
        <f>('Expenditure DATA'!IQ60/'Expenditure DATA'!C60)*100</f>
        <v>#DIV/0!</v>
      </c>
      <c r="GI58" s="202" t="e">
        <f>('Expenditure DATA'!IR60/'Expenditure DATA'!D60)*100</f>
        <v>#DIV/0!</v>
      </c>
      <c r="GJ58" s="202" t="e">
        <f>('Expenditure DATA'!IS60/'Expenditure DATA'!E60)*100</f>
        <v>#DIV/0!</v>
      </c>
      <c r="GK58" s="202" t="e">
        <f>('Expenditure DATA'!IT60/'Expenditure DATA'!F60)*100</f>
        <v>#DIV/0!</v>
      </c>
      <c r="GL58" s="202" t="e">
        <f>('Expenditure DATA'!IU60/'Expenditure DATA'!G60)*100</f>
        <v>#DIV/0!</v>
      </c>
      <c r="GM58" s="202" t="e">
        <f>('Expenditure DATA'!IV60/'Expenditure DATA'!H60)*100</f>
        <v>#DIV/0!</v>
      </c>
      <c r="GN58" s="202" t="e">
        <f>('Expenditure DATA'!IW60/'Expenditure DATA'!I60)*100</f>
        <v>#DIV/0!</v>
      </c>
      <c r="GO58" s="202">
        <f>('Expenditure DATA'!IX60/'Expenditure DATA'!J60)*100</f>
        <v>13.489778351500828</v>
      </c>
      <c r="GP58" s="202">
        <f>('Expenditure DATA'!IY60/'Expenditure DATA'!K60)*100</f>
        <v>13.828852142341496</v>
      </c>
      <c r="GQ58" s="202">
        <f>('Expenditure DATA'!IZ60/'Expenditure DATA'!L60)*100</f>
        <v>14.127165195757865</v>
      </c>
      <c r="GR58" s="202">
        <f>('Expenditure DATA'!JA60/'Expenditure DATA'!M60)*100</f>
        <v>14.063960988747098</v>
      </c>
      <c r="GS58" s="202">
        <f>('Expenditure DATA'!JB60/'Expenditure DATA'!N60)*100</f>
        <v>14.296647879805068</v>
      </c>
      <c r="GT58" s="202">
        <f>('Expenditure DATA'!JC60/'Expenditure DATA'!O60)*100</f>
        <v>14.268906801006292</v>
      </c>
      <c r="GU58" s="202">
        <f>('Expenditure DATA'!JD60/'Expenditure DATA'!P60)*100</f>
        <v>14.754794675961911</v>
      </c>
      <c r="GV58" s="202">
        <f>('Expenditure DATA'!JE60/'Expenditure DATA'!Q60)*100</f>
        <v>15.939263764013372</v>
      </c>
      <c r="GW58" s="202">
        <f>('Expenditure DATA'!JF60/'Expenditure DATA'!R60)*100</f>
        <v>15.408780416169277</v>
      </c>
      <c r="GX58" s="202">
        <f>('Expenditure DATA'!JG60/'Expenditure DATA'!S60)*100</f>
        <v>15.551028460552821</v>
      </c>
      <c r="GY58" s="202">
        <f>('Expenditure DATA'!JH60/'Expenditure DATA'!T60)*100</f>
        <v>14.974185092271616</v>
      </c>
      <c r="GZ58" s="202">
        <f>('Expenditure DATA'!JI60/'Expenditure DATA'!U60)*100</f>
        <v>15.282886104429839</v>
      </c>
      <c r="HA58" s="202">
        <f>('Expenditure DATA'!JJ60/'Expenditure DATA'!V60)*100</f>
        <v>15.551327831218838</v>
      </c>
      <c r="HB58" s="202">
        <f>('Expenditure DATA'!JK60/'Expenditure DATA'!W60)*100</f>
        <v>14.470233843149652</v>
      </c>
      <c r="HC58" s="202">
        <f>('Expenditure DATA'!JL60/'Expenditure DATA'!X60)*100</f>
        <v>13.479062662144001</v>
      </c>
      <c r="HD58" s="202">
        <f>('Expenditure DATA'!JM60/'Expenditure DATA'!Y60)*100</f>
        <v>13.243988922592553</v>
      </c>
      <c r="HE58" s="202">
        <f>('Expenditure DATA'!JN60/'Expenditure DATA'!Z60)*100</f>
        <v>13.829940936990178</v>
      </c>
      <c r="HF58" s="202">
        <f>('Expenditure DATA'!JO60/'Expenditure DATA'!AA60)*100</f>
        <v>13.823902821869602</v>
      </c>
      <c r="HG58" s="202">
        <f>('Expenditure DATA'!JP60/'Expenditure DATA'!AB60)*100</f>
        <v>13.690705095349475</v>
      </c>
      <c r="HH58" s="202">
        <f>('Expenditure DATA'!JQ60/'Expenditure DATA'!AC60)*100</f>
        <v>13.123778367085329</v>
      </c>
      <c r="HI58" s="202">
        <f>('Expenditure DATA'!JR60/'Expenditure DATA'!AD60)*100</f>
        <v>12.727577140899356</v>
      </c>
      <c r="HJ58" s="202">
        <f>('Expenditure DATA'!JS60/'Expenditure DATA'!AE60)*100</f>
        <v>13.288588112104275</v>
      </c>
      <c r="HK58" s="464">
        <f>('Expenditure DATA'!JT60/'Expenditure DATA'!AF60)*100</f>
        <v>14.056956978636336</v>
      </c>
      <c r="HL58" s="203" t="e">
        <f t="shared" si="1"/>
        <v>#DIV/0!</v>
      </c>
      <c r="HM58" s="204" t="e">
        <f t="shared" si="2"/>
        <v>#DIV/0!</v>
      </c>
      <c r="HN58" s="204" t="e">
        <f t="shared" si="3"/>
        <v>#DIV/0!</v>
      </c>
      <c r="HO58" s="204" t="e">
        <f t="shared" si="4"/>
        <v>#DIV/0!</v>
      </c>
      <c r="HP58" s="204" t="e">
        <f t="shared" si="5"/>
        <v>#DIV/0!</v>
      </c>
      <c r="HQ58" s="204" t="e">
        <f t="shared" si="6"/>
        <v>#DIV/0!</v>
      </c>
      <c r="HR58" s="204" t="e">
        <f t="shared" si="7"/>
        <v>#DIV/0!</v>
      </c>
      <c r="HS58" s="204" t="e">
        <f t="shared" si="8"/>
        <v>#DIV/0!</v>
      </c>
      <c r="HT58" s="204">
        <f t="shared" si="9"/>
        <v>100.00000000000001</v>
      </c>
      <c r="HU58" s="204">
        <f t="shared" si="10"/>
        <v>100</v>
      </c>
      <c r="HV58" s="204">
        <f t="shared" si="11"/>
        <v>100.00000000000001</v>
      </c>
      <c r="HW58" s="204">
        <f t="shared" si="12"/>
        <v>99.999999999999986</v>
      </c>
      <c r="HX58" s="204">
        <f t="shared" si="13"/>
        <v>100</v>
      </c>
      <c r="HY58" s="204">
        <f t="shared" si="14"/>
        <v>100.00000000000003</v>
      </c>
      <c r="HZ58" s="204">
        <f t="shared" si="15"/>
        <v>100</v>
      </c>
      <c r="IA58" s="204">
        <f t="shared" si="16"/>
        <v>100</v>
      </c>
      <c r="IB58" s="204">
        <f t="shared" si="17"/>
        <v>99.999999999999986</v>
      </c>
      <c r="IC58" s="204">
        <f t="shared" si="18"/>
        <v>100</v>
      </c>
      <c r="ID58" s="204">
        <f t="shared" si="19"/>
        <v>99.999999999999986</v>
      </c>
      <c r="IE58" s="204">
        <f t="shared" si="20"/>
        <v>99.999999999999986</v>
      </c>
      <c r="IF58" s="204">
        <f t="shared" si="21"/>
        <v>99.999999999999986</v>
      </c>
      <c r="IG58" s="204">
        <f t="shared" si="22"/>
        <v>100.00000000000001</v>
      </c>
      <c r="IH58" s="204">
        <f t="shared" si="23"/>
        <v>99.999999999999986</v>
      </c>
      <c r="II58" s="204">
        <f t="shared" si="24"/>
        <v>100.00000000000001</v>
      </c>
      <c r="IJ58" s="204">
        <f t="shared" si="25"/>
        <v>100</v>
      </c>
      <c r="IK58" s="204">
        <f t="shared" si="26"/>
        <v>100</v>
      </c>
      <c r="IL58" s="204">
        <f t="shared" si="42"/>
        <v>99.999999999999986</v>
      </c>
      <c r="IM58" s="204">
        <f t="shared" si="43"/>
        <v>100.00000090263995</v>
      </c>
      <c r="IN58" s="204">
        <f t="shared" si="44"/>
        <v>99.999999138038021</v>
      </c>
      <c r="IO58" s="204">
        <f t="shared" si="45"/>
        <v>100</v>
      </c>
      <c r="IP58" s="204">
        <f t="shared" si="46"/>
        <v>100</v>
      </c>
    </row>
    <row r="59" spans="1:250" s="164" customFormat="1">
      <c r="A59" s="164" t="s">
        <v>73</v>
      </c>
      <c r="C59" s="202" t="e">
        <f>('Expenditure DATA'!CQ61/'Expenditure DATA'!B61)*100</f>
        <v>#DIV/0!</v>
      </c>
      <c r="D59" s="202" t="e">
        <f>('Expenditure DATA'!CR61/'Expenditure DATA'!C61)*100</f>
        <v>#DIV/0!</v>
      </c>
      <c r="E59" s="202" t="e">
        <f>('Expenditure DATA'!CS61/'Expenditure DATA'!D61)*100</f>
        <v>#DIV/0!</v>
      </c>
      <c r="F59" s="202" t="e">
        <f>('Expenditure DATA'!CT61/'Expenditure DATA'!E61)*100</f>
        <v>#DIV/0!</v>
      </c>
      <c r="G59" s="202" t="e">
        <f>('Expenditure DATA'!CU61/'Expenditure DATA'!F61)*100</f>
        <v>#DIV/0!</v>
      </c>
      <c r="H59" s="202" t="e">
        <f>('Expenditure DATA'!CV61/'Expenditure DATA'!G61)*100</f>
        <v>#DIV/0!</v>
      </c>
      <c r="I59" s="202" t="e">
        <f>('Expenditure DATA'!CW61/'Expenditure DATA'!H61)*100</f>
        <v>#DIV/0!</v>
      </c>
      <c r="J59" s="202" t="e">
        <f>('Expenditure DATA'!CX61/'Expenditure DATA'!I61)*100</f>
        <v>#DIV/0!</v>
      </c>
      <c r="K59" s="202">
        <f>('Expenditure DATA'!CY61/'Expenditure DATA'!J61)*100</f>
        <v>5.7910488235546245</v>
      </c>
      <c r="L59" s="202">
        <f>('Expenditure DATA'!CZ61/'Expenditure DATA'!K61)*100</f>
        <v>7.488752389643734</v>
      </c>
      <c r="M59" s="202">
        <f>('Expenditure DATA'!DA61/'Expenditure DATA'!L61)*100</f>
        <v>8.8288126566740264</v>
      </c>
      <c r="N59" s="202">
        <f>('Expenditure DATA'!DB61/'Expenditure DATA'!M61)*100</f>
        <v>7.4292311202594785</v>
      </c>
      <c r="O59" s="202">
        <f>('Expenditure DATA'!DC61/'Expenditure DATA'!N61)*100</f>
        <v>7.7432483982782516</v>
      </c>
      <c r="P59" s="202">
        <f>('Expenditure DATA'!DD61/'Expenditure DATA'!O61)*100</f>
        <v>7.7401329981200764</v>
      </c>
      <c r="Q59" s="202">
        <f>('Expenditure DATA'!DE61/'Expenditure DATA'!P61)*100</f>
        <v>8.0447912870694491</v>
      </c>
      <c r="R59" s="202">
        <f>('Expenditure DATA'!DF61/'Expenditure DATA'!Q61)*100</f>
        <v>7.7740221523391355</v>
      </c>
      <c r="S59" s="202">
        <f>('Expenditure DATA'!DG61/'Expenditure DATA'!R61)*100</f>
        <v>7.5762040091031313</v>
      </c>
      <c r="T59" s="202">
        <f>('Expenditure DATA'!DH61/'Expenditure DATA'!S61)*100</f>
        <v>7.6032274127604795</v>
      </c>
      <c r="U59" s="202">
        <f>('Expenditure DATA'!DI61/'Expenditure DATA'!T61)*100</f>
        <v>7.7339648600915263</v>
      </c>
      <c r="V59" s="202">
        <f>('Expenditure DATA'!DJ61/'Expenditure DATA'!U61)*100</f>
        <v>7.7861367560520298</v>
      </c>
      <c r="W59" s="202">
        <f>('Expenditure DATA'!DK61/'Expenditure DATA'!V61)*100</f>
        <v>7.8328970311096739</v>
      </c>
      <c r="X59" s="202">
        <f>('Expenditure DATA'!DL61/'Expenditure DATA'!W61)*100</f>
        <v>7.8553036321834409</v>
      </c>
      <c r="Y59" s="202">
        <f>('Expenditure DATA'!DM61/'Expenditure DATA'!X61)*100</f>
        <v>7.8758047008180743</v>
      </c>
      <c r="Z59" s="202">
        <f>('Expenditure DATA'!DN61/'Expenditure DATA'!Y61)*100</f>
        <v>7.5712573634752385</v>
      </c>
      <c r="AA59" s="202">
        <f>('Expenditure DATA'!DO61/'Expenditure DATA'!Z61)*100</f>
        <v>7.2982038379432552</v>
      </c>
      <c r="AB59" s="202">
        <f>('Expenditure DATA'!DP61/'Expenditure DATA'!AA61)*100</f>
        <v>7.4551414952468447</v>
      </c>
      <c r="AC59" s="202">
        <f>('Expenditure DATA'!DQ61/'Expenditure DATA'!AB61)*100</f>
        <v>7.9716313064632232</v>
      </c>
      <c r="AD59" s="202">
        <f>('Expenditure DATA'!DR61/'Expenditure DATA'!AC61)*100</f>
        <v>8.4509682128719277</v>
      </c>
      <c r="AE59" s="202">
        <f>('Expenditure DATA'!DS61/'Expenditure DATA'!AD61)*100</f>
        <v>8.0367540596197227</v>
      </c>
      <c r="AF59" s="202">
        <f>('Expenditure DATA'!DT61/'Expenditure DATA'!AE61)*100</f>
        <v>8.1422469416094607</v>
      </c>
      <c r="AG59" s="464">
        <f>('Expenditure DATA'!DU61/'Expenditure DATA'!AF61)*100</f>
        <v>8.5669205451454591</v>
      </c>
      <c r="AH59" s="203" t="e">
        <f>('Expenditure DATA'!BL61/'Expenditure DATA'!B61)*100</f>
        <v>#DIV/0!</v>
      </c>
      <c r="AI59" s="202" t="e">
        <f>('Expenditure DATA'!BM61/'Expenditure DATA'!C61)*100</f>
        <v>#DIV/0!</v>
      </c>
      <c r="AJ59" s="202" t="e">
        <f>('Expenditure DATA'!BN61/'Expenditure DATA'!D61)*100</f>
        <v>#DIV/0!</v>
      </c>
      <c r="AK59" s="202" t="e">
        <f>('Expenditure DATA'!BO61/'Expenditure DATA'!E61)*100</f>
        <v>#DIV/0!</v>
      </c>
      <c r="AL59" s="202" t="e">
        <f>('Expenditure DATA'!BP61/'Expenditure DATA'!F61)*100</f>
        <v>#DIV/0!</v>
      </c>
      <c r="AM59" s="202" t="e">
        <f>('Expenditure DATA'!BQ61/'Expenditure DATA'!G61)*100</f>
        <v>#DIV/0!</v>
      </c>
      <c r="AN59" s="202" t="e">
        <f>('Expenditure DATA'!BR61/'Expenditure DATA'!H61)*100</f>
        <v>#DIV/0!</v>
      </c>
      <c r="AO59" s="202" t="e">
        <f>('Expenditure DATA'!BS61/'Expenditure DATA'!I61)*100</f>
        <v>#DIV/0!</v>
      </c>
      <c r="AP59" s="202">
        <f>('Expenditure DATA'!BT61/'Expenditure DATA'!J61)*100</f>
        <v>28.155173297691711</v>
      </c>
      <c r="AQ59" s="202">
        <f>('Expenditure DATA'!BU61/'Expenditure DATA'!K61)*100</f>
        <v>25.939056116955335</v>
      </c>
      <c r="AR59" s="202">
        <f>('Expenditure DATA'!BV61/'Expenditure DATA'!L61)*100</f>
        <v>24.189792794248646</v>
      </c>
      <c r="AS59" s="202">
        <f>('Expenditure DATA'!BW61/'Expenditure DATA'!M61)*100</f>
        <v>27.03479600318698</v>
      </c>
      <c r="AT59" s="202">
        <f>('Expenditure DATA'!BX61/'Expenditure DATA'!N61)*100</f>
        <v>23.40917678470456</v>
      </c>
      <c r="AU59" s="202">
        <f>('Expenditure DATA'!BY61/'Expenditure DATA'!O61)*100</f>
        <v>22.437415845806335</v>
      </c>
      <c r="AV59" s="202">
        <f>('Expenditure DATA'!BZ61/'Expenditure DATA'!P61)*100</f>
        <v>24.501311763021686</v>
      </c>
      <c r="AW59" s="202">
        <f>('Expenditure DATA'!CA61/'Expenditure DATA'!Q61)*100</f>
        <v>24.704706719959013</v>
      </c>
      <c r="AX59" s="202">
        <f>('Expenditure DATA'!CB61/'Expenditure DATA'!R61)*100</f>
        <v>26.427792763751562</v>
      </c>
      <c r="AY59" s="202">
        <f>('Expenditure DATA'!CC61/'Expenditure DATA'!S61)*100</f>
        <v>26.040768896853688</v>
      </c>
      <c r="AZ59" s="202">
        <f>('Expenditure DATA'!CD61/'Expenditure DATA'!T61)*100</f>
        <v>24.767254123967515</v>
      </c>
      <c r="BA59" s="202">
        <f>('Expenditure DATA'!CE61/'Expenditure DATA'!U61)*100</f>
        <v>23.482727522375782</v>
      </c>
      <c r="BB59" s="202">
        <f>('Expenditure DATA'!CF61/'Expenditure DATA'!V61)*100</f>
        <v>22.33144068291028</v>
      </c>
      <c r="BC59" s="202">
        <f>('Expenditure DATA'!CG61/'Expenditure DATA'!W61)*100</f>
        <v>23.518811665005021</v>
      </c>
      <c r="BD59" s="202">
        <f>('Expenditure DATA'!CH61/'Expenditure DATA'!X61)*100</f>
        <v>24.605204639939267</v>
      </c>
      <c r="BE59" s="202">
        <f>('Expenditure DATA'!CI61/'Expenditure DATA'!Y61)*100</f>
        <v>24.023018759305543</v>
      </c>
      <c r="BF59" s="202">
        <f>('Expenditure DATA'!CJ61/'Expenditure DATA'!Z61)*100</f>
        <v>24.467300136417705</v>
      </c>
      <c r="BG59" s="202">
        <f>('Expenditure DATA'!CK61/'Expenditure DATA'!AA61)*100</f>
        <v>24.993435175835199</v>
      </c>
      <c r="BH59" s="202">
        <f>('Expenditure DATA'!CL61/'Expenditure DATA'!AB61)*100</f>
        <v>24.983210512644916</v>
      </c>
      <c r="BI59" s="202">
        <f>('Expenditure DATA'!CM61/'Expenditure DATA'!AC61)*100</f>
        <v>24.563139365932695</v>
      </c>
      <c r="BJ59" s="202">
        <f>('Expenditure DATA'!CN61/'Expenditure DATA'!AD61)*100</f>
        <v>23.249931191365782</v>
      </c>
      <c r="BK59" s="202">
        <f>('Expenditure DATA'!CO61/'Expenditure DATA'!AE61)*100</f>
        <v>22.682314300514257</v>
      </c>
      <c r="BL59" s="464">
        <f>('Expenditure DATA'!CP61/'Expenditure DATA'!AF61)*100</f>
        <v>22.563482584792254</v>
      </c>
      <c r="BM59" s="203" t="e">
        <f>('Expenditure DATA'!AG61/'Expenditure DATA'!B61)*100</f>
        <v>#DIV/0!</v>
      </c>
      <c r="BN59" s="202" t="e">
        <f>('Expenditure DATA'!AH61/'Expenditure DATA'!C61)*100</f>
        <v>#DIV/0!</v>
      </c>
      <c r="BO59" s="202" t="e">
        <f>('Expenditure DATA'!AI61/'Expenditure DATA'!D61)*100</f>
        <v>#DIV/0!</v>
      </c>
      <c r="BP59" s="202" t="e">
        <f>('Expenditure DATA'!AJ61/'Expenditure DATA'!E61)*100</f>
        <v>#DIV/0!</v>
      </c>
      <c r="BQ59" s="202" t="e">
        <f>('Expenditure DATA'!AK61/'Expenditure DATA'!F61)*100</f>
        <v>#DIV/0!</v>
      </c>
      <c r="BR59" s="202" t="e">
        <f>('Expenditure DATA'!AL61/'Expenditure DATA'!G61)*100</f>
        <v>#DIV/0!</v>
      </c>
      <c r="BS59" s="202" t="e">
        <f>('Expenditure DATA'!AM61/'Expenditure DATA'!H61)*100</f>
        <v>#DIV/0!</v>
      </c>
      <c r="BT59" s="202" t="e">
        <f>('Expenditure DATA'!AN61/'Expenditure DATA'!I61)*100</f>
        <v>#DIV/0!</v>
      </c>
      <c r="BU59" s="202">
        <f>('Expenditure DATA'!AO61/'Expenditure DATA'!J61)*100</f>
        <v>37.253018467849003</v>
      </c>
      <c r="BV59" s="202">
        <f>('Expenditure DATA'!AP61/'Expenditure DATA'!K61)*100</f>
        <v>36.225079791553441</v>
      </c>
      <c r="BW59" s="202">
        <f>('Expenditure DATA'!AQ61/'Expenditure DATA'!L61)*100</f>
        <v>35.413689744102079</v>
      </c>
      <c r="BX59" s="202">
        <f>('Expenditure DATA'!AR61/'Expenditure DATA'!M61)*100</f>
        <v>36.946524311082015</v>
      </c>
      <c r="BY59" s="202">
        <f>('Expenditure DATA'!AS61/'Expenditure DATA'!N61)*100</f>
        <v>33.85907701945446</v>
      </c>
      <c r="BZ59" s="202">
        <f>('Expenditure DATA'!AT61/'Expenditure DATA'!O61)*100</f>
        <v>32.758268871453581</v>
      </c>
      <c r="CA59" s="202">
        <f>('Expenditure DATA'!AU61/'Expenditure DATA'!P61)*100</f>
        <v>35.442087802525158</v>
      </c>
      <c r="CB59" s="202">
        <f>('Expenditure DATA'!AV61/'Expenditure DATA'!Q61)*100</f>
        <v>35.289570192874407</v>
      </c>
      <c r="CC59" s="202">
        <f>('Expenditure DATA'!AW61/'Expenditure DATA'!R61)*100</f>
        <v>36.795943521178302</v>
      </c>
      <c r="CD59" s="202">
        <f>('Expenditure DATA'!AX61/'Expenditure DATA'!S61)*100</f>
        <v>36.497145568542486</v>
      </c>
      <c r="CE59" s="202">
        <f>('Expenditure DATA'!AY61/'Expenditure DATA'!T61)*100</f>
        <v>35.45721159601986</v>
      </c>
      <c r="CF59" s="202">
        <f>('Expenditure DATA'!AZ61/'Expenditure DATA'!U61)*100</f>
        <v>34.281543888169743</v>
      </c>
      <c r="CG59" s="202">
        <f>('Expenditure DATA'!BA61/'Expenditure DATA'!V61)*100</f>
        <v>33.227824363828901</v>
      </c>
      <c r="CH59" s="202">
        <f>('Expenditure DATA'!BB61/'Expenditure DATA'!W61)*100</f>
        <v>34.626439781209122</v>
      </c>
      <c r="CI59" s="202">
        <f>('Expenditure DATA'!BC61/'Expenditure DATA'!X61)*100</f>
        <v>35.906112256778663</v>
      </c>
      <c r="CJ59" s="202">
        <f>('Expenditure DATA'!BD61/'Expenditure DATA'!Y61)*100</f>
        <v>35.175421138785481</v>
      </c>
      <c r="CK59" s="202">
        <f>('Expenditure DATA'!BE61/'Expenditure DATA'!Z61)*100</f>
        <v>35.43669976449754</v>
      </c>
      <c r="CL59" s="202">
        <f>('Expenditure DATA'!BF61/'Expenditure DATA'!AA61)*100</f>
        <v>34.666150060777248</v>
      </c>
      <c r="CM59" s="202">
        <f>('Expenditure DATA'!BG61/'Expenditure DATA'!AB61)*100</f>
        <v>35.145034160816294</v>
      </c>
      <c r="CN59" s="202">
        <f>('Expenditure DATA'!BH61/'Expenditure DATA'!AC61)*100</f>
        <v>35.040408491381143</v>
      </c>
      <c r="CO59" s="202">
        <f>('Expenditure DATA'!BI61/'Expenditure DATA'!AD61)*100</f>
        <v>33.440101157449462</v>
      </c>
      <c r="CP59" s="202">
        <f>('Expenditure DATA'!BJ61/'Expenditure DATA'!AE61)*100</f>
        <v>32.714152860579155</v>
      </c>
      <c r="CQ59" s="464">
        <f>('Expenditure DATA'!BK61/'Expenditure DATA'!AF61)*100</f>
        <v>33.161449004074967</v>
      </c>
      <c r="CR59" s="203" t="e">
        <f>('Expenditure DATA'!FA61/'Expenditure DATA'!B61)*100</f>
        <v>#DIV/0!</v>
      </c>
      <c r="CS59" s="202" t="e">
        <f>('Expenditure DATA'!FB61/'Expenditure DATA'!C61)*100</f>
        <v>#DIV/0!</v>
      </c>
      <c r="CT59" s="202" t="e">
        <f>('Expenditure DATA'!FC61/'Expenditure DATA'!D61)*100</f>
        <v>#DIV/0!</v>
      </c>
      <c r="CU59" s="202" t="e">
        <f>('Expenditure DATA'!FD61/'Expenditure DATA'!E61)*100</f>
        <v>#DIV/0!</v>
      </c>
      <c r="CV59" s="202" t="e">
        <f>('Expenditure DATA'!FE61/'Expenditure DATA'!F61)*100</f>
        <v>#DIV/0!</v>
      </c>
      <c r="CW59" s="202" t="e">
        <f>('Expenditure DATA'!FF61/'Expenditure DATA'!G61)*100</f>
        <v>#DIV/0!</v>
      </c>
      <c r="CX59" s="202" t="e">
        <f>('Expenditure DATA'!FG61/'Expenditure DATA'!H61)*100</f>
        <v>#DIV/0!</v>
      </c>
      <c r="CY59" s="202" t="e">
        <f>('Expenditure DATA'!FH61/'Expenditure DATA'!I61)*100</f>
        <v>#DIV/0!</v>
      </c>
      <c r="CZ59" s="202">
        <f>('Expenditure DATA'!FI61/'Expenditure DATA'!J61)*100</f>
        <v>20.459478895307583</v>
      </c>
      <c r="DA59" s="202">
        <f>('Expenditure DATA'!FJ61/'Expenditure DATA'!K61)*100</f>
        <v>23.895474640642345</v>
      </c>
      <c r="DB59" s="202">
        <f>('Expenditure DATA'!FK61/'Expenditure DATA'!L61)*100</f>
        <v>26.607633269498383</v>
      </c>
      <c r="DC59" s="202">
        <f>('Expenditure DATA'!FL61/'Expenditure DATA'!M61)*100</f>
        <v>25.309397008823087</v>
      </c>
      <c r="DD59" s="202">
        <f>('Expenditure DATA'!FM61/'Expenditure DATA'!N61)*100</f>
        <v>27.051951499002026</v>
      </c>
      <c r="DE59" s="202">
        <f>('Expenditure DATA'!FN61/'Expenditure DATA'!O61)*100</f>
        <v>28.736537259099126</v>
      </c>
      <c r="DF59" s="202">
        <f>('Expenditure DATA'!FO61/'Expenditure DATA'!P61)*100</f>
        <v>25.96955930354412</v>
      </c>
      <c r="DG59" s="202">
        <f>('Expenditure DATA'!FP61/'Expenditure DATA'!Q61)*100</f>
        <v>25.63877839926047</v>
      </c>
      <c r="DH59" s="202">
        <f>('Expenditure DATA'!FQ61/'Expenditure DATA'!R61)*100</f>
        <v>25.017634673799471</v>
      </c>
      <c r="DI59" s="202">
        <f>('Expenditure DATA'!FR61/'Expenditure DATA'!S61)*100</f>
        <v>24.695470505620268</v>
      </c>
      <c r="DJ59" s="202">
        <f>('Expenditure DATA'!FS61/'Expenditure DATA'!T61)*100</f>
        <v>26.524399483282519</v>
      </c>
      <c r="DK59" s="202">
        <f>('Expenditure DATA'!FT61/'Expenditure DATA'!U61)*100</f>
        <v>26.771193023086827</v>
      </c>
      <c r="DL59" s="202">
        <f>('Expenditure DATA'!FU61/'Expenditure DATA'!V61)*100</f>
        <v>26.992387472535928</v>
      </c>
      <c r="DM59" s="202">
        <f>('Expenditure DATA'!FV61/'Expenditure DATA'!W61)*100</f>
        <v>27.862355578100445</v>
      </c>
      <c r="DN59" s="202">
        <f>('Expenditure DATA'!FW61/'Expenditure DATA'!X61)*100</f>
        <v>28.658338680731749</v>
      </c>
      <c r="DO59" s="202">
        <f>('Expenditure DATA'!FX61/'Expenditure DATA'!Y61)*100</f>
        <v>30.353250430511409</v>
      </c>
      <c r="DP59" s="202">
        <f>('Expenditure DATA'!FY61/'Expenditure DATA'!Z61)*100</f>
        <v>28.491918853644933</v>
      </c>
      <c r="DQ59" s="202">
        <f>('Expenditure DATA'!FZ61/'Expenditure DATA'!AA61)*100</f>
        <v>28.753243801885453</v>
      </c>
      <c r="DR59" s="202">
        <f>('Expenditure DATA'!GA61/'Expenditure DATA'!AB61)*100</f>
        <v>28.282028765935618</v>
      </c>
      <c r="DS59" s="202">
        <f>('Expenditure DATA'!GB61/'Expenditure DATA'!AC61)*100</f>
        <v>28.975448876418135</v>
      </c>
      <c r="DT59" s="202">
        <f>('Expenditure DATA'!GC61/'Expenditure DATA'!AD61)*100</f>
        <v>29.741972838219468</v>
      </c>
      <c r="DU59" s="202">
        <f>('Expenditure DATA'!GD61/'Expenditure DATA'!AE61)*100</f>
        <v>30.699936176211335</v>
      </c>
      <c r="DV59" s="464">
        <f>('Expenditure DATA'!GE61/'Expenditure DATA'!AF61)*100</f>
        <v>30.566160670846426</v>
      </c>
      <c r="DW59" s="203" t="e">
        <f>('Expenditure DATA'!GF61/'Expenditure DATA'!B61)*100</f>
        <v>#DIV/0!</v>
      </c>
      <c r="DX59" s="202" t="e">
        <f>('Expenditure DATA'!GG61/'Expenditure DATA'!C61)*100</f>
        <v>#DIV/0!</v>
      </c>
      <c r="DY59" s="202" t="e">
        <f>('Expenditure DATA'!GH61/'Expenditure DATA'!D61)*100</f>
        <v>#DIV/0!</v>
      </c>
      <c r="DZ59" s="202" t="e">
        <f>('Expenditure DATA'!GI61/'Expenditure DATA'!E61)*100</f>
        <v>#DIV/0!</v>
      </c>
      <c r="EA59" s="202" t="e">
        <f>('Expenditure DATA'!GJ61/'Expenditure DATA'!F61)*100</f>
        <v>#DIV/0!</v>
      </c>
      <c r="EB59" s="202" t="e">
        <f>('Expenditure DATA'!GK61/'Expenditure DATA'!G61)*100</f>
        <v>#DIV/0!</v>
      </c>
      <c r="EC59" s="202" t="e">
        <f>('Expenditure DATA'!GL61/'Expenditure DATA'!H61)*100</f>
        <v>#DIV/0!</v>
      </c>
      <c r="ED59" s="202" t="e">
        <f>('Expenditure DATA'!GM61/'Expenditure DATA'!I61)*100</f>
        <v>#DIV/0!</v>
      </c>
      <c r="EE59" s="202">
        <f>('Expenditure DATA'!GN61/'Expenditure DATA'!J61)*100</f>
        <v>22.380252290937182</v>
      </c>
      <c r="EF59" s="202">
        <f>('Expenditure DATA'!GO61/'Expenditure DATA'!K61)*100</f>
        <v>20.880213669561723</v>
      </c>
      <c r="EG59" s="202">
        <f>('Expenditure DATA'!GP61/'Expenditure DATA'!L61)*100</f>
        <v>19.696177660173582</v>
      </c>
      <c r="EH59" s="202">
        <f>('Expenditure DATA'!GQ61/'Expenditure DATA'!M61)*100</f>
        <v>20.093184724140698</v>
      </c>
      <c r="EI59" s="202">
        <f>('Expenditure DATA'!GR61/'Expenditure DATA'!N61)*100</f>
        <v>20.179604067010988</v>
      </c>
      <c r="EJ59" s="202">
        <f>('Expenditure DATA'!GS61/'Expenditure DATA'!O61)*100</f>
        <v>20.231522343201949</v>
      </c>
      <c r="EK59" s="202">
        <f>('Expenditure DATA'!GT61/'Expenditure DATA'!P61)*100</f>
        <v>21.486390888198521</v>
      </c>
      <c r="EL59" s="202">
        <f>('Expenditure DATA'!GU61/'Expenditure DATA'!Q61)*100</f>
        <v>21.591675993430382</v>
      </c>
      <c r="EM59" s="202">
        <f>('Expenditure DATA'!GV61/'Expenditure DATA'!R61)*100</f>
        <v>21.556257863437505</v>
      </c>
      <c r="EN59" s="202">
        <f>('Expenditure DATA'!GW61/'Expenditure DATA'!S61)*100</f>
        <v>21.651289950424047</v>
      </c>
      <c r="EO59" s="202">
        <f>('Expenditure DATA'!GX61/'Expenditure DATA'!T61)*100</f>
        <v>21.510377096381863</v>
      </c>
      <c r="EP59" s="202">
        <f>('Expenditure DATA'!GY61/'Expenditure DATA'!U61)*100</f>
        <v>22.210250384924354</v>
      </c>
      <c r="EQ59" s="202">
        <f>('Expenditure DATA'!GZ61/'Expenditure DATA'!V61)*100</f>
        <v>22.837528095945643</v>
      </c>
      <c r="ER59" s="202">
        <f>('Expenditure DATA'!HA61/'Expenditure DATA'!W61)*100</f>
        <v>21.488789450908413</v>
      </c>
      <c r="ES59" s="202">
        <f>('Expenditure DATA'!HB61/'Expenditure DATA'!X61)*100</f>
        <v>20.254752059826313</v>
      </c>
      <c r="ET59" s="202">
        <f>('Expenditure DATA'!HC61/'Expenditure DATA'!Y61)*100</f>
        <v>20.713752614248826</v>
      </c>
      <c r="EU59" s="202">
        <f>('Expenditure DATA'!HD61/'Expenditure DATA'!Z61)*100</f>
        <v>21.997228296235008</v>
      </c>
      <c r="EV59" s="202">
        <f>('Expenditure DATA'!HE61/'Expenditure DATA'!AA61)*100</f>
        <v>22.379566288385629</v>
      </c>
      <c r="EW59" s="202">
        <f>('Expenditure DATA'!HF61/'Expenditure DATA'!AB61)*100</f>
        <v>22.688912912242245</v>
      </c>
      <c r="EX59" s="202">
        <f>('Expenditure DATA'!HG61/'Expenditure DATA'!AC61)*100</f>
        <v>22.224870641666428</v>
      </c>
      <c r="EY59" s="202">
        <f>('Expenditure DATA'!HH61/'Expenditure DATA'!AD61)*100</f>
        <v>23.043489709937958</v>
      </c>
      <c r="EZ59" s="202">
        <f>('Expenditure DATA'!HI61/'Expenditure DATA'!AE61)*100</f>
        <v>23.432195800881576</v>
      </c>
      <c r="FA59" s="464">
        <f>('Expenditure DATA'!HJ61/'Expenditure DATA'!AF61)*100</f>
        <v>22.717003922912436</v>
      </c>
      <c r="FB59" s="203" t="e">
        <f>('Expenditure DATA'!HK61/'Expenditure DATA'!B61)*100</f>
        <v>#DIV/0!</v>
      </c>
      <c r="FC59" s="202" t="e">
        <f>('Expenditure DATA'!HL61/'Expenditure DATA'!C61)*100</f>
        <v>#DIV/0!</v>
      </c>
      <c r="FD59" s="202" t="e">
        <f>('Expenditure DATA'!HM61/'Expenditure DATA'!D61)*100</f>
        <v>#DIV/0!</v>
      </c>
      <c r="FE59" s="202" t="e">
        <f>('Expenditure DATA'!HN61/'Expenditure DATA'!E61)*100</f>
        <v>#DIV/0!</v>
      </c>
      <c r="FF59" s="202" t="e">
        <f>('Expenditure DATA'!HO61/'Expenditure DATA'!F61)*100</f>
        <v>#DIV/0!</v>
      </c>
      <c r="FG59" s="202" t="e">
        <f>('Expenditure DATA'!HP61/'Expenditure DATA'!G61)*100</f>
        <v>#DIV/0!</v>
      </c>
      <c r="FH59" s="202" t="e">
        <f>('Expenditure DATA'!HQ61/'Expenditure DATA'!H61)*100</f>
        <v>#DIV/0!</v>
      </c>
      <c r="FI59" s="202" t="e">
        <f>('Expenditure DATA'!HR61/'Expenditure DATA'!I61)*100</f>
        <v>#DIV/0!</v>
      </c>
      <c r="FJ59" s="202">
        <f>('Expenditure DATA'!HS61/'Expenditure DATA'!J61)*100</f>
        <v>4.996586460870085</v>
      </c>
      <c r="FK59" s="202">
        <f>('Expenditure DATA'!HT61/'Expenditure DATA'!K61)*100</f>
        <v>4.8355771130342928</v>
      </c>
      <c r="FL59" s="202">
        <f>('Expenditure DATA'!HU61/'Expenditure DATA'!L61)*100</f>
        <v>4.7084864748540101</v>
      </c>
      <c r="FM59" s="202">
        <f>('Expenditure DATA'!HV61/'Expenditure DATA'!M61)*100</f>
        <v>4.8080714110140272</v>
      </c>
      <c r="FN59" s="202">
        <f>('Expenditure DATA'!HW61/'Expenditure DATA'!N61)*100</f>
        <v>5.1633800366652327</v>
      </c>
      <c r="FO59" s="202">
        <f>('Expenditure DATA'!HX61/'Expenditure DATA'!O61)*100</f>
        <v>5.0834764862755488</v>
      </c>
      <c r="FP59" s="202">
        <f>('Expenditure DATA'!HY61/'Expenditure DATA'!P61)*100</f>
        <v>4.9593034035392609</v>
      </c>
      <c r="FQ59" s="202">
        <f>('Expenditure DATA'!HZ61/'Expenditure DATA'!Q61)*100</f>
        <v>4.8432138728567731</v>
      </c>
      <c r="FR59" s="202">
        <f>('Expenditure DATA'!IA61/'Expenditure DATA'!R61)*100</f>
        <v>4.8157494991787635</v>
      </c>
      <c r="FS59" s="202">
        <f>('Expenditure DATA'!IB61/'Expenditure DATA'!S61)*100</f>
        <v>4.7914734543837412</v>
      </c>
      <c r="FT59" s="202">
        <f>('Expenditure DATA'!IC61/'Expenditure DATA'!T61)*100</f>
        <v>4.8064039769586833</v>
      </c>
      <c r="FU59" s="202">
        <f>('Expenditure DATA'!ID61/'Expenditure DATA'!U61)*100</f>
        <v>4.7222260021954314</v>
      </c>
      <c r="FV59" s="202">
        <f>('Expenditure DATA'!IE61/'Expenditure DATA'!V61)*100</f>
        <v>4.6467795346814871</v>
      </c>
      <c r="FW59" s="202">
        <f>('Expenditure DATA'!IF61/'Expenditure DATA'!W61)*100</f>
        <v>4.9243903332616483</v>
      </c>
      <c r="FX59" s="202">
        <f>('Expenditure DATA'!IG61/'Expenditure DATA'!X61)*100</f>
        <v>5.1783921792654199</v>
      </c>
      <c r="FY59" s="202">
        <f>('Expenditure DATA'!IH61/'Expenditure DATA'!Y61)*100</f>
        <v>5.2043964624230998</v>
      </c>
      <c r="FZ59" s="202">
        <f>('Expenditure DATA'!II61/'Expenditure DATA'!Z61)*100</f>
        <v>5.3535363727260883</v>
      </c>
      <c r="GA59" s="202">
        <f>('Expenditure DATA'!IJ61/'Expenditure DATA'!AA61)*100</f>
        <v>5.4726016807171431</v>
      </c>
      <c r="GB59" s="202">
        <f>('Expenditure DATA'!IK61/'Expenditure DATA'!AB61)*100</f>
        <v>5.6442523382092968</v>
      </c>
      <c r="GC59" s="202">
        <f>('Expenditure DATA'!IL61/'Expenditure DATA'!AC61)*100</f>
        <v>5.7944622174872009</v>
      </c>
      <c r="GD59" s="202">
        <f>('Expenditure DATA'!IM61/'Expenditure DATA'!AD61)*100</f>
        <v>5.7730035754619573</v>
      </c>
      <c r="GE59" s="202">
        <f>('Expenditure DATA'!IN61/'Expenditure DATA'!AE61)*100</f>
        <v>5.3018140315897755</v>
      </c>
      <c r="GF59" s="464">
        <f>('Expenditure DATA'!IO61/'Expenditure DATA'!AF61)*100</f>
        <v>5.668471130913086</v>
      </c>
      <c r="GG59" s="203" t="e">
        <f>('Expenditure DATA'!IP61/'Expenditure DATA'!B61)*100</f>
        <v>#DIV/0!</v>
      </c>
      <c r="GH59" s="202" t="e">
        <f>('Expenditure DATA'!IQ61/'Expenditure DATA'!C61)*100</f>
        <v>#DIV/0!</v>
      </c>
      <c r="GI59" s="202" t="e">
        <f>('Expenditure DATA'!IR61/'Expenditure DATA'!D61)*100</f>
        <v>#DIV/0!</v>
      </c>
      <c r="GJ59" s="202" t="e">
        <f>('Expenditure DATA'!IS61/'Expenditure DATA'!E61)*100</f>
        <v>#DIV/0!</v>
      </c>
      <c r="GK59" s="202" t="e">
        <f>('Expenditure DATA'!IT61/'Expenditure DATA'!F61)*100</f>
        <v>#DIV/0!</v>
      </c>
      <c r="GL59" s="202" t="e">
        <f>('Expenditure DATA'!IU61/'Expenditure DATA'!G61)*100</f>
        <v>#DIV/0!</v>
      </c>
      <c r="GM59" s="202" t="e">
        <f>('Expenditure DATA'!IV61/'Expenditure DATA'!H61)*100</f>
        <v>#DIV/0!</v>
      </c>
      <c r="GN59" s="202" t="e">
        <f>('Expenditure DATA'!IW61/'Expenditure DATA'!I61)*100</f>
        <v>#DIV/0!</v>
      </c>
      <c r="GO59" s="202">
        <f>('Expenditure DATA'!IX61/'Expenditure DATA'!J61)*100</f>
        <v>14.910663885036149</v>
      </c>
      <c r="GP59" s="202">
        <f>('Expenditure DATA'!IY61/'Expenditure DATA'!K61)*100</f>
        <v>14.163654785208205</v>
      </c>
      <c r="GQ59" s="202">
        <f>('Expenditure DATA'!IZ61/'Expenditure DATA'!L61)*100</f>
        <v>13.57401285137195</v>
      </c>
      <c r="GR59" s="202">
        <f>('Expenditure DATA'!JA61/'Expenditure DATA'!M61)*100</f>
        <v>12.842822544940169</v>
      </c>
      <c r="GS59" s="202">
        <f>('Expenditure DATA'!JB61/'Expenditure DATA'!N61)*100</f>
        <v>13.745987377867285</v>
      </c>
      <c r="GT59" s="202">
        <f>('Expenditure DATA'!JC61/'Expenditure DATA'!O61)*100</f>
        <v>13.19019503996979</v>
      </c>
      <c r="GU59" s="202">
        <f>('Expenditure DATA'!JD61/'Expenditure DATA'!P61)*100</f>
        <v>12.142658602192945</v>
      </c>
      <c r="GV59" s="202">
        <f>('Expenditure DATA'!JE61/'Expenditure DATA'!Q61)*100</f>
        <v>12.636761541577968</v>
      </c>
      <c r="GW59" s="202">
        <f>('Expenditure DATA'!JF61/'Expenditure DATA'!R61)*100</f>
        <v>11.81441444240596</v>
      </c>
      <c r="GX59" s="202">
        <f>('Expenditure DATA'!JG61/'Expenditure DATA'!S61)*100</f>
        <v>12.36462052102946</v>
      </c>
      <c r="GY59" s="202">
        <f>('Expenditure DATA'!JH61/'Expenditure DATA'!T61)*100</f>
        <v>11.701607847357071</v>
      </c>
      <c r="GZ59" s="202">
        <f>('Expenditure DATA'!JI61/'Expenditure DATA'!U61)*100</f>
        <v>12.014786701623635</v>
      </c>
      <c r="HA59" s="202">
        <f>('Expenditure DATA'!JJ61/'Expenditure DATA'!V61)*100</f>
        <v>12.29548053300805</v>
      </c>
      <c r="HB59" s="202">
        <f>('Expenditure DATA'!JK61/'Expenditure DATA'!W61)*100</f>
        <v>11.098024856520382</v>
      </c>
      <c r="HC59" s="202">
        <f>('Expenditure DATA'!JL61/'Expenditure DATA'!X61)*100</f>
        <v>10.002404823397871</v>
      </c>
      <c r="HD59" s="202">
        <f>('Expenditure DATA'!JM61/'Expenditure DATA'!Y61)*100</f>
        <v>8.5531793540311902</v>
      </c>
      <c r="HE59" s="202">
        <f>('Expenditure DATA'!JN61/'Expenditure DATA'!Z61)*100</f>
        <v>8.7206167128964296</v>
      </c>
      <c r="HF59" s="202">
        <f>('Expenditure DATA'!JO61/'Expenditure DATA'!AA61)*100</f>
        <v>8.7284381682345309</v>
      </c>
      <c r="HG59" s="202">
        <f>('Expenditure DATA'!JP61/'Expenditure DATA'!AB61)*100</f>
        <v>8.2397718227965466</v>
      </c>
      <c r="HH59" s="202">
        <f>('Expenditure DATA'!JQ61/'Expenditure DATA'!AC61)*100</f>
        <v>7.9648118125589491</v>
      </c>
      <c r="HI59" s="202">
        <f>('Expenditure DATA'!JR61/'Expenditure DATA'!AD61)*100</f>
        <v>8.0014317747627306</v>
      </c>
      <c r="HJ59" s="202">
        <f>('Expenditure DATA'!JS61/'Expenditure DATA'!AE61)*100</f>
        <v>7.8519011307381561</v>
      </c>
      <c r="HK59" s="464">
        <f>('Expenditure DATA'!JT61/'Expenditure DATA'!AF61)*100</f>
        <v>7.8869152712530894</v>
      </c>
      <c r="HL59" s="203" t="e">
        <f t="shared" si="1"/>
        <v>#DIV/0!</v>
      </c>
      <c r="HM59" s="204" t="e">
        <f t="shared" si="2"/>
        <v>#DIV/0!</v>
      </c>
      <c r="HN59" s="204" t="e">
        <f t="shared" si="3"/>
        <v>#DIV/0!</v>
      </c>
      <c r="HO59" s="204" t="e">
        <f t="shared" si="4"/>
        <v>#DIV/0!</v>
      </c>
      <c r="HP59" s="204" t="e">
        <f t="shared" si="5"/>
        <v>#DIV/0!</v>
      </c>
      <c r="HQ59" s="204" t="e">
        <f t="shared" si="6"/>
        <v>#DIV/0!</v>
      </c>
      <c r="HR59" s="204" t="e">
        <f t="shared" si="7"/>
        <v>#DIV/0!</v>
      </c>
      <c r="HS59" s="204" t="e">
        <f t="shared" si="8"/>
        <v>#DIV/0!</v>
      </c>
      <c r="HT59" s="204">
        <f t="shared" si="9"/>
        <v>100</v>
      </c>
      <c r="HU59" s="204">
        <f t="shared" si="10"/>
        <v>100.00000000000001</v>
      </c>
      <c r="HV59" s="204">
        <f t="shared" si="11"/>
        <v>100.00000000000001</v>
      </c>
      <c r="HW59" s="204">
        <f t="shared" si="12"/>
        <v>100</v>
      </c>
      <c r="HX59" s="204">
        <f t="shared" si="13"/>
        <v>99.999999999999986</v>
      </c>
      <c r="HY59" s="204">
        <f t="shared" si="14"/>
        <v>99.999999999999986</v>
      </c>
      <c r="HZ59" s="204">
        <f t="shared" si="15"/>
        <v>100.00000000000003</v>
      </c>
      <c r="IA59" s="204">
        <f t="shared" si="16"/>
        <v>100.00000000000001</v>
      </c>
      <c r="IB59" s="204">
        <f t="shared" si="17"/>
        <v>100</v>
      </c>
      <c r="IC59" s="204">
        <f t="shared" si="18"/>
        <v>100.00000000000001</v>
      </c>
      <c r="ID59" s="204">
        <f t="shared" si="19"/>
        <v>99.999999999999986</v>
      </c>
      <c r="IE59" s="204">
        <f t="shared" si="20"/>
        <v>99.999999999999986</v>
      </c>
      <c r="IF59" s="204">
        <f t="shared" si="21"/>
        <v>100</v>
      </c>
      <c r="IG59" s="204">
        <f t="shared" si="22"/>
        <v>100.00000000000001</v>
      </c>
      <c r="IH59" s="204">
        <f t="shared" si="23"/>
        <v>100.00000000000001</v>
      </c>
      <c r="II59" s="204">
        <f t="shared" si="24"/>
        <v>100.00000000000001</v>
      </c>
      <c r="IJ59" s="204">
        <f t="shared" si="25"/>
        <v>99.999999999999986</v>
      </c>
      <c r="IK59" s="204">
        <f t="shared" si="26"/>
        <v>100.00000000000001</v>
      </c>
      <c r="IL59" s="204">
        <f t="shared" si="42"/>
        <v>100</v>
      </c>
      <c r="IM59" s="204">
        <f t="shared" si="43"/>
        <v>100.00000203951184</v>
      </c>
      <c r="IN59" s="204">
        <f t="shared" si="44"/>
        <v>99.99999905583158</v>
      </c>
      <c r="IO59" s="204">
        <f t="shared" si="45"/>
        <v>99.999999999999986</v>
      </c>
      <c r="IP59" s="204">
        <f t="shared" si="46"/>
        <v>100.00000000000001</v>
      </c>
    </row>
    <row r="60" spans="1:250" s="164" customFormat="1">
      <c r="A60" s="164" t="s">
        <v>74</v>
      </c>
      <c r="C60" s="202" t="e">
        <f>('Expenditure DATA'!CQ62/'Expenditure DATA'!B62)*100</f>
        <v>#DIV/0!</v>
      </c>
      <c r="D60" s="202" t="e">
        <f>('Expenditure DATA'!CR62/'Expenditure DATA'!C62)*100</f>
        <v>#DIV/0!</v>
      </c>
      <c r="E60" s="202" t="e">
        <f>('Expenditure DATA'!CS62/'Expenditure DATA'!D62)*100</f>
        <v>#DIV/0!</v>
      </c>
      <c r="F60" s="202" t="e">
        <f>('Expenditure DATA'!CT62/'Expenditure DATA'!E62)*100</f>
        <v>#DIV/0!</v>
      </c>
      <c r="G60" s="202" t="e">
        <f>('Expenditure DATA'!CU62/'Expenditure DATA'!F62)*100</f>
        <v>#DIV/0!</v>
      </c>
      <c r="H60" s="202" t="e">
        <f>('Expenditure DATA'!CV62/'Expenditure DATA'!G62)*100</f>
        <v>#DIV/0!</v>
      </c>
      <c r="I60" s="202" t="e">
        <f>('Expenditure DATA'!CW62/'Expenditure DATA'!H62)*100</f>
        <v>#DIV/0!</v>
      </c>
      <c r="J60" s="202" t="e">
        <f>('Expenditure DATA'!CX62/'Expenditure DATA'!I62)*100</f>
        <v>#DIV/0!</v>
      </c>
      <c r="K60" s="202">
        <f>('Expenditure DATA'!CY62/'Expenditure DATA'!J62)*100</f>
        <v>7.3372506508888584</v>
      </c>
      <c r="L60" s="202">
        <f>('Expenditure DATA'!CZ62/'Expenditure DATA'!K62)*100</f>
        <v>6.90101550394394</v>
      </c>
      <c r="M60" s="202">
        <f>('Expenditure DATA'!DA62/'Expenditure DATA'!L62)*100</f>
        <v>6.5366293035334877</v>
      </c>
      <c r="N60" s="202">
        <f>('Expenditure DATA'!DB62/'Expenditure DATA'!M62)*100</f>
        <v>6.8481828245475604</v>
      </c>
      <c r="O60" s="202">
        <f>('Expenditure DATA'!DC62/'Expenditure DATA'!N62)*100</f>
        <v>6.7651969738218574</v>
      </c>
      <c r="P60" s="202">
        <f>('Expenditure DATA'!DD62/'Expenditure DATA'!O62)*100</f>
        <v>6.5507599763395357</v>
      </c>
      <c r="Q60" s="202">
        <f>('Expenditure DATA'!DE62/'Expenditure DATA'!P62)*100</f>
        <v>6.7286884374889304</v>
      </c>
      <c r="R60" s="202">
        <f>('Expenditure DATA'!DF62/'Expenditure DATA'!Q62)*100</f>
        <v>6.9577213164797049</v>
      </c>
      <c r="S60" s="202">
        <f>('Expenditure DATA'!DG62/'Expenditure DATA'!R62)*100</f>
        <v>7.0664020350498378</v>
      </c>
      <c r="T60" s="202">
        <f>('Expenditure DATA'!DH62/'Expenditure DATA'!S62)*100</f>
        <v>6.9543787251392697</v>
      </c>
      <c r="U60" s="202">
        <f>('Expenditure DATA'!DI62/'Expenditure DATA'!T62)*100</f>
        <v>7.1761554563367564</v>
      </c>
      <c r="V60" s="202">
        <f>('Expenditure DATA'!DJ62/'Expenditure DATA'!U62)*100</f>
        <v>7.1184631553436644</v>
      </c>
      <c r="W60" s="202">
        <f>('Expenditure DATA'!DK62/'Expenditure DATA'!V62)*100</f>
        <v>7.0709606249909713</v>
      </c>
      <c r="X60" s="202">
        <f>('Expenditure DATA'!DL62/'Expenditure DATA'!W62)*100</f>
        <v>6.7355901255217621</v>
      </c>
      <c r="Y60" s="202">
        <f>('Expenditure DATA'!DM62/'Expenditure DATA'!X62)*100</f>
        <v>6.4389272179320987</v>
      </c>
      <c r="Z60" s="202">
        <f>('Expenditure DATA'!DN62/'Expenditure DATA'!Y62)*100</f>
        <v>6.3942473655607674</v>
      </c>
      <c r="AA60" s="202">
        <f>('Expenditure DATA'!DO62/'Expenditure DATA'!Z62)*100</f>
        <v>6.5493016013114707</v>
      </c>
      <c r="AB60" s="202">
        <f>('Expenditure DATA'!DP62/'Expenditure DATA'!AA62)*100</f>
        <v>6.5898485791775219</v>
      </c>
      <c r="AC60" s="202">
        <f>('Expenditure DATA'!DQ62/'Expenditure DATA'!AB62)*100</f>
        <v>6.497946860333129</v>
      </c>
      <c r="AD60" s="202">
        <f>('Expenditure DATA'!DR62/'Expenditure DATA'!AC62)*100</f>
        <v>6.4472066886676087</v>
      </c>
      <c r="AE60" s="202">
        <f>('Expenditure DATA'!DS62/'Expenditure DATA'!AD62)*100</f>
        <v>6.6037303880550828</v>
      </c>
      <c r="AF60" s="202">
        <f>('Expenditure DATA'!DT62/'Expenditure DATA'!AE62)*100</f>
        <v>6.657033831056264</v>
      </c>
      <c r="AG60" s="464">
        <f>('Expenditure DATA'!DU62/'Expenditure DATA'!AF62)*100</f>
        <v>7.2486677636119143</v>
      </c>
      <c r="AH60" s="203" t="e">
        <f>('Expenditure DATA'!BL62/'Expenditure DATA'!B62)*100</f>
        <v>#DIV/0!</v>
      </c>
      <c r="AI60" s="202" t="e">
        <f>('Expenditure DATA'!BM62/'Expenditure DATA'!C62)*100</f>
        <v>#DIV/0!</v>
      </c>
      <c r="AJ60" s="202" t="e">
        <f>('Expenditure DATA'!BN62/'Expenditure DATA'!D62)*100</f>
        <v>#DIV/0!</v>
      </c>
      <c r="AK60" s="202" t="e">
        <f>('Expenditure DATA'!BO62/'Expenditure DATA'!E62)*100</f>
        <v>#DIV/0!</v>
      </c>
      <c r="AL60" s="202" t="e">
        <f>('Expenditure DATA'!BP62/'Expenditure DATA'!F62)*100</f>
        <v>#DIV/0!</v>
      </c>
      <c r="AM60" s="202" t="e">
        <f>('Expenditure DATA'!BQ62/'Expenditure DATA'!G62)*100</f>
        <v>#DIV/0!</v>
      </c>
      <c r="AN60" s="202" t="e">
        <f>('Expenditure DATA'!BR62/'Expenditure DATA'!H62)*100</f>
        <v>#DIV/0!</v>
      </c>
      <c r="AO60" s="202" t="e">
        <f>('Expenditure DATA'!BS62/'Expenditure DATA'!I62)*100</f>
        <v>#DIV/0!</v>
      </c>
      <c r="AP60" s="202">
        <f>('Expenditure DATA'!BT62/'Expenditure DATA'!J62)*100</f>
        <v>7.3372506508888584</v>
      </c>
      <c r="AQ60" s="202">
        <f>('Expenditure DATA'!BU62/'Expenditure DATA'!K62)*100</f>
        <v>14.066981592393274</v>
      </c>
      <c r="AR60" s="202">
        <f>('Expenditure DATA'!BV62/'Expenditure DATA'!L62)*100</f>
        <v>19.688310145888021</v>
      </c>
      <c r="AS60" s="202">
        <f>('Expenditure DATA'!BW62/'Expenditure DATA'!M62)*100</f>
        <v>20.596450985604537</v>
      </c>
      <c r="AT60" s="202">
        <f>('Expenditure DATA'!BX62/'Expenditure DATA'!N62)*100</f>
        <v>22.342222857967776</v>
      </c>
      <c r="AU60" s="202">
        <f>('Expenditure DATA'!BY62/'Expenditure DATA'!O62)*100</f>
        <v>21.32505175983437</v>
      </c>
      <c r="AV60" s="202">
        <f>('Expenditure DATA'!BZ62/'Expenditure DATA'!P62)*100</f>
        <v>22.329400194608063</v>
      </c>
      <c r="AW60" s="202">
        <f>('Expenditure DATA'!CA62/'Expenditure DATA'!Q62)*100</f>
        <v>23.079505905519472</v>
      </c>
      <c r="AX60" s="202">
        <f>('Expenditure DATA'!CB62/'Expenditure DATA'!R62)*100</f>
        <v>24.247077980850765</v>
      </c>
      <c r="AY60" s="202">
        <f>('Expenditure DATA'!CC62/'Expenditure DATA'!S62)*100</f>
        <v>24.010749852544851</v>
      </c>
      <c r="AZ60" s="202">
        <f>('Expenditure DATA'!CD62/'Expenditure DATA'!T62)*100</f>
        <v>24.102774699194413</v>
      </c>
      <c r="BA60" s="202">
        <f>('Expenditure DATA'!CE62/'Expenditure DATA'!U62)*100</f>
        <v>23.615786572454962</v>
      </c>
      <c r="BB60" s="202">
        <f>('Expenditure DATA'!CF62/'Expenditure DATA'!V62)*100</f>
        <v>23.214811609181947</v>
      </c>
      <c r="BC60" s="202">
        <f>('Expenditure DATA'!CG62/'Expenditure DATA'!W62)*100</f>
        <v>23.38328153188743</v>
      </c>
      <c r="BD60" s="202">
        <f>('Expenditure DATA'!CH62/'Expenditure DATA'!X62)*100</f>
        <v>23.532307093737135</v>
      </c>
      <c r="BE60" s="202">
        <f>('Expenditure DATA'!CI62/'Expenditure DATA'!Y62)*100</f>
        <v>22.790219510375813</v>
      </c>
      <c r="BF60" s="202">
        <f>('Expenditure DATA'!CJ62/'Expenditure DATA'!Z62)*100</f>
        <v>24.055111581678165</v>
      </c>
      <c r="BG60" s="202">
        <f>('Expenditure DATA'!CK62/'Expenditure DATA'!AA62)*100</f>
        <v>24.204037701781171</v>
      </c>
      <c r="BH60" s="202">
        <f>('Expenditure DATA'!CL62/'Expenditure DATA'!AB62)*100</f>
        <v>24.079245142029581</v>
      </c>
      <c r="BI60" s="202">
        <f>('Expenditure DATA'!CM62/'Expenditure DATA'!AC62)*100</f>
        <v>24.245503121670453</v>
      </c>
      <c r="BJ60" s="202">
        <f>('Expenditure DATA'!CN62/'Expenditure DATA'!AD62)*100</f>
        <v>23.878448260506232</v>
      </c>
      <c r="BK60" s="202">
        <f>('Expenditure DATA'!CO62/'Expenditure DATA'!AE62)*100</f>
        <v>23.799164565721941</v>
      </c>
      <c r="BL60" s="464">
        <f>('Expenditure DATA'!CP62/'Expenditure DATA'!AF62)*100</f>
        <v>23.568143274984141</v>
      </c>
      <c r="BM60" s="203" t="e">
        <f>('Expenditure DATA'!AG62/'Expenditure DATA'!B62)*100</f>
        <v>#DIV/0!</v>
      </c>
      <c r="BN60" s="202" t="e">
        <f>('Expenditure DATA'!AH62/'Expenditure DATA'!C62)*100</f>
        <v>#DIV/0!</v>
      </c>
      <c r="BO60" s="202" t="e">
        <f>('Expenditure DATA'!AI62/'Expenditure DATA'!D62)*100</f>
        <v>#DIV/0!</v>
      </c>
      <c r="BP60" s="202" t="e">
        <f>('Expenditure DATA'!AJ62/'Expenditure DATA'!E62)*100</f>
        <v>#DIV/0!</v>
      </c>
      <c r="BQ60" s="202" t="e">
        <f>('Expenditure DATA'!AK62/'Expenditure DATA'!F62)*100</f>
        <v>#DIV/0!</v>
      </c>
      <c r="BR60" s="202" t="e">
        <f>('Expenditure DATA'!AL62/'Expenditure DATA'!G62)*100</f>
        <v>#DIV/0!</v>
      </c>
      <c r="BS60" s="202" t="e">
        <f>('Expenditure DATA'!AM62/'Expenditure DATA'!H62)*100</f>
        <v>#DIV/0!</v>
      </c>
      <c r="BT60" s="202" t="e">
        <f>('Expenditure DATA'!AN62/'Expenditure DATA'!I62)*100</f>
        <v>#DIV/0!</v>
      </c>
      <c r="BU60" s="202">
        <f>('Expenditure DATA'!AO62/'Expenditure DATA'!J62)*100</f>
        <v>32.858172030027042</v>
      </c>
      <c r="BV60" s="202">
        <f>('Expenditure DATA'!AP62/'Expenditure DATA'!K62)*100</f>
        <v>30.749828431714587</v>
      </c>
      <c r="BW60" s="202">
        <f>('Expenditure DATA'!AQ62/'Expenditure DATA'!L62)*100</f>
        <v>28.988733943273981</v>
      </c>
      <c r="BX60" s="202">
        <f>('Expenditure DATA'!AR62/'Expenditure DATA'!M62)*100</f>
        <v>30.055899958739609</v>
      </c>
      <c r="BY60" s="202">
        <f>('Expenditure DATA'!AS62/'Expenditure DATA'!N62)*100</f>
        <v>31.622027880372311</v>
      </c>
      <c r="BZ60" s="202">
        <f>('Expenditure DATA'!AT62/'Expenditure DATA'!O62)*100</f>
        <v>30.464245187830109</v>
      </c>
      <c r="CA60" s="202">
        <f>('Expenditure DATA'!AU62/'Expenditure DATA'!P62)*100</f>
        <v>31.65166823283792</v>
      </c>
      <c r="CB60" s="202">
        <f>('Expenditure DATA'!AV62/'Expenditure DATA'!Q62)*100</f>
        <v>32.7814731562923</v>
      </c>
      <c r="CC60" s="202">
        <f>('Expenditure DATA'!AW62/'Expenditure DATA'!R62)*100</f>
        <v>33.925261096010317</v>
      </c>
      <c r="CD60" s="202">
        <f>('Expenditure DATA'!AX62/'Expenditure DATA'!S62)*100</f>
        <v>33.885032675759092</v>
      </c>
      <c r="CE60" s="202">
        <f>('Expenditure DATA'!AY62/'Expenditure DATA'!T62)*100</f>
        <v>33.64151588868264</v>
      </c>
      <c r="CF60" s="202">
        <f>('Expenditure DATA'!AZ62/'Expenditure DATA'!U62)*100</f>
        <v>33.021145493889989</v>
      </c>
      <c r="CG60" s="202">
        <f>('Expenditure DATA'!BA62/'Expenditure DATA'!V62)*100</f>
        <v>32.510346600427987</v>
      </c>
      <c r="CH60" s="202">
        <f>('Expenditure DATA'!BB62/'Expenditure DATA'!W62)*100</f>
        <v>32.351119157531656</v>
      </c>
      <c r="CI60" s="202">
        <f>('Expenditure DATA'!BC62/'Expenditure DATA'!X62)*100</f>
        <v>32.210269332480088</v>
      </c>
      <c r="CJ60" s="202">
        <f>('Expenditure DATA'!BD62/'Expenditure DATA'!Y62)*100</f>
        <v>33.546795417142569</v>
      </c>
      <c r="CK60" s="202">
        <f>('Expenditure DATA'!BE62/'Expenditure DATA'!Z62)*100</f>
        <v>32.960027033365478</v>
      </c>
      <c r="CL60" s="202">
        <f>('Expenditure DATA'!BF62/'Expenditure DATA'!AA62)*100</f>
        <v>33.164083827195029</v>
      </c>
      <c r="CM60" s="202">
        <f>('Expenditure DATA'!BG62/'Expenditure DATA'!AB62)*100</f>
        <v>33.102518209605272</v>
      </c>
      <c r="CN60" s="202">
        <f>('Expenditure DATA'!BH62/'Expenditure DATA'!AC62)*100</f>
        <v>33.150717773974783</v>
      </c>
      <c r="CO60" s="202">
        <f>('Expenditure DATA'!BI62/'Expenditure DATA'!AD62)*100</f>
        <v>33.489400908363997</v>
      </c>
      <c r="CP60" s="202">
        <f>('Expenditure DATA'!BJ62/'Expenditure DATA'!AE62)*100</f>
        <v>33.394054716480831</v>
      </c>
      <c r="CQ60" s="464">
        <f>('Expenditure DATA'!BK62/'Expenditure DATA'!AF62)*100</f>
        <v>34.046025514019881</v>
      </c>
      <c r="CR60" s="203" t="e">
        <f>('Expenditure DATA'!FA62/'Expenditure DATA'!B62)*100</f>
        <v>#DIV/0!</v>
      </c>
      <c r="CS60" s="202" t="e">
        <f>('Expenditure DATA'!FB62/'Expenditure DATA'!C62)*100</f>
        <v>#DIV/0!</v>
      </c>
      <c r="CT60" s="202" t="e">
        <f>('Expenditure DATA'!FC62/'Expenditure DATA'!D62)*100</f>
        <v>#DIV/0!</v>
      </c>
      <c r="CU60" s="202" t="e">
        <f>('Expenditure DATA'!FD62/'Expenditure DATA'!E62)*100</f>
        <v>#DIV/0!</v>
      </c>
      <c r="CV60" s="202" t="e">
        <f>('Expenditure DATA'!FE62/'Expenditure DATA'!F62)*100</f>
        <v>#DIV/0!</v>
      </c>
      <c r="CW60" s="202" t="e">
        <f>('Expenditure DATA'!FF62/'Expenditure DATA'!G62)*100</f>
        <v>#DIV/0!</v>
      </c>
      <c r="CX60" s="202" t="e">
        <f>('Expenditure DATA'!FG62/'Expenditure DATA'!H62)*100</f>
        <v>#DIV/0!</v>
      </c>
      <c r="CY60" s="202" t="e">
        <f>('Expenditure DATA'!FH62/'Expenditure DATA'!I62)*100</f>
        <v>#DIV/0!</v>
      </c>
      <c r="CZ60" s="202">
        <f>('Expenditure DATA'!FI62/'Expenditure DATA'!J62)*100</f>
        <v>22.549720582469217</v>
      </c>
      <c r="DA60" s="202">
        <f>('Expenditure DATA'!FJ62/'Expenditure DATA'!K62)*100</f>
        <v>23.022691719608826</v>
      </c>
      <c r="DB60" s="202">
        <f>('Expenditure DATA'!FK62/'Expenditure DATA'!L62)*100</f>
        <v>23.41776340691575</v>
      </c>
      <c r="DC60" s="202">
        <f>('Expenditure DATA'!FL62/'Expenditure DATA'!M62)*100</f>
        <v>25.492469701548366</v>
      </c>
      <c r="DD60" s="202">
        <f>('Expenditure DATA'!FM62/'Expenditure DATA'!N62)*100</f>
        <v>24.891086459125038</v>
      </c>
      <c r="DE60" s="202">
        <f>('Expenditure DATA'!FN62/'Expenditure DATA'!O62)*100</f>
        <v>25.944060958363874</v>
      </c>
      <c r="DF60" s="202">
        <f>('Expenditure DATA'!FO62/'Expenditure DATA'!P62)*100</f>
        <v>25.758815182762813</v>
      </c>
      <c r="DG60" s="202">
        <f>('Expenditure DATA'!FP62/'Expenditure DATA'!Q62)*100</f>
        <v>24.985581438105417</v>
      </c>
      <c r="DH60" s="202">
        <f>('Expenditure DATA'!FQ62/'Expenditure DATA'!R62)*100</f>
        <v>25.339058414436057</v>
      </c>
      <c r="DI60" s="202">
        <f>('Expenditure DATA'!FR62/'Expenditure DATA'!S62)*100</f>
        <v>24.981060331162869</v>
      </c>
      <c r="DJ60" s="202">
        <f>('Expenditure DATA'!FS62/'Expenditure DATA'!T62)*100</f>
        <v>26.223795815422008</v>
      </c>
      <c r="DK60" s="202">
        <f>('Expenditure DATA'!FT62/'Expenditure DATA'!U62)*100</f>
        <v>27.789988340751421</v>
      </c>
      <c r="DL60" s="202">
        <f>('Expenditure DATA'!FU62/'Expenditure DATA'!V62)*100</f>
        <v>29.079555695354337</v>
      </c>
      <c r="DM60" s="202">
        <f>('Expenditure DATA'!FV62/'Expenditure DATA'!W62)*100</f>
        <v>29.334232651819843</v>
      </c>
      <c r="DN60" s="202">
        <f>('Expenditure DATA'!FW62/'Expenditure DATA'!X62)*100</f>
        <v>29.559515455527141</v>
      </c>
      <c r="DO60" s="202">
        <f>('Expenditure DATA'!FX62/'Expenditure DATA'!Y62)*100</f>
        <v>29.135945068754509</v>
      </c>
      <c r="DP60" s="202">
        <f>('Expenditure DATA'!FY62/'Expenditure DATA'!Z62)*100</f>
        <v>27.382817218777745</v>
      </c>
      <c r="DQ60" s="202">
        <f>('Expenditure DATA'!FZ62/'Expenditure DATA'!AA62)*100</f>
        <v>26.924694517212728</v>
      </c>
      <c r="DR60" s="202">
        <f>('Expenditure DATA'!GA62/'Expenditure DATA'!AB62)*100</f>
        <v>27.215409311362009</v>
      </c>
      <c r="DS60" s="202">
        <f>('Expenditure DATA'!GB62/'Expenditure DATA'!AC62)*100</f>
        <v>26.661320002755339</v>
      </c>
      <c r="DT60" s="202">
        <f>('Expenditure DATA'!GC62/'Expenditure DATA'!AD62)*100</f>
        <v>27.785860308300851</v>
      </c>
      <c r="DU60" s="202">
        <f>('Expenditure DATA'!GD62/'Expenditure DATA'!AE62)*100</f>
        <v>28.049895595036951</v>
      </c>
      <c r="DV60" s="464">
        <f>('Expenditure DATA'!GE62/'Expenditure DATA'!AF62)*100</f>
        <v>27.131414420279398</v>
      </c>
      <c r="DW60" s="203" t="e">
        <f>('Expenditure DATA'!GF62/'Expenditure DATA'!B62)*100</f>
        <v>#DIV/0!</v>
      </c>
      <c r="DX60" s="202" t="e">
        <f>('Expenditure DATA'!GG62/'Expenditure DATA'!C62)*100</f>
        <v>#DIV/0!</v>
      </c>
      <c r="DY60" s="202" t="e">
        <f>('Expenditure DATA'!GH62/'Expenditure DATA'!D62)*100</f>
        <v>#DIV/0!</v>
      </c>
      <c r="DZ60" s="202" t="e">
        <f>('Expenditure DATA'!GI62/'Expenditure DATA'!E62)*100</f>
        <v>#DIV/0!</v>
      </c>
      <c r="EA60" s="202" t="e">
        <f>('Expenditure DATA'!GJ62/'Expenditure DATA'!F62)*100</f>
        <v>#DIV/0!</v>
      </c>
      <c r="EB60" s="202" t="e">
        <f>('Expenditure DATA'!GK62/'Expenditure DATA'!G62)*100</f>
        <v>#DIV/0!</v>
      </c>
      <c r="EC60" s="202" t="e">
        <f>('Expenditure DATA'!GL62/'Expenditure DATA'!H62)*100</f>
        <v>#DIV/0!</v>
      </c>
      <c r="ED60" s="202" t="e">
        <f>('Expenditure DATA'!GM62/'Expenditure DATA'!I62)*100</f>
        <v>#DIV/0!</v>
      </c>
      <c r="EE60" s="202">
        <f>('Expenditure DATA'!GN62/'Expenditure DATA'!J62)*100</f>
        <v>24.883613338778325</v>
      </c>
      <c r="EF60" s="202">
        <f>('Expenditure DATA'!GO62/'Expenditure DATA'!K62)*100</f>
        <v>23.892172744224379</v>
      </c>
      <c r="EG60" s="202">
        <f>('Expenditure DATA'!GP62/'Expenditure DATA'!L62)*100</f>
        <v>23.064024728842654</v>
      </c>
      <c r="EH60" s="202">
        <f>('Expenditure DATA'!GQ62/'Expenditure DATA'!M62)*100</f>
        <v>24.372829866403688</v>
      </c>
      <c r="EI60" s="202">
        <f>('Expenditure DATA'!GR62/'Expenditure DATA'!N62)*100</f>
        <v>24.250052789586313</v>
      </c>
      <c r="EJ60" s="202">
        <f>('Expenditure DATA'!GS62/'Expenditure DATA'!O62)*100</f>
        <v>26.404244255053893</v>
      </c>
      <c r="EK60" s="202">
        <f>('Expenditure DATA'!GT62/'Expenditure DATA'!P62)*100</f>
        <v>23.875367494619105</v>
      </c>
      <c r="EL60" s="202">
        <f>('Expenditure DATA'!GU62/'Expenditure DATA'!Q62)*100</f>
        <v>22.941206458451099</v>
      </c>
      <c r="EM60" s="202">
        <f>('Expenditure DATA'!GV62/'Expenditure DATA'!R62)*100</f>
        <v>22.540581093569685</v>
      </c>
      <c r="EN60" s="202">
        <f>('Expenditure DATA'!GW62/'Expenditure DATA'!S62)*100</f>
        <v>23.582324081626343</v>
      </c>
      <c r="EO60" s="202">
        <f>('Expenditure DATA'!GX62/'Expenditure DATA'!T62)*100</f>
        <v>22.841389932802649</v>
      </c>
      <c r="EP60" s="202">
        <f>('Expenditure DATA'!GY62/'Expenditure DATA'!U62)*100</f>
        <v>22.756512158786308</v>
      </c>
      <c r="EQ60" s="202">
        <f>('Expenditure DATA'!GZ62/'Expenditure DATA'!V62)*100</f>
        <v>22.686625727372128</v>
      </c>
      <c r="ER60" s="202">
        <f>('Expenditure DATA'!HA62/'Expenditure DATA'!W62)*100</f>
        <v>22.314103562856495</v>
      </c>
      <c r="ES60" s="202">
        <f>('Expenditure DATA'!HB62/'Expenditure DATA'!X62)*100</f>
        <v>21.984576938893706</v>
      </c>
      <c r="ET60" s="202">
        <f>('Expenditure DATA'!HC62/'Expenditure DATA'!Y62)*100</f>
        <v>22.189904639036662</v>
      </c>
      <c r="EU60" s="202">
        <f>('Expenditure DATA'!HD62/'Expenditure DATA'!Z62)*100</f>
        <v>21.487928226043309</v>
      </c>
      <c r="EV60" s="202">
        <f>('Expenditure DATA'!HE62/'Expenditure DATA'!AA62)*100</f>
        <v>21.620960815349356</v>
      </c>
      <c r="EW60" s="202">
        <f>('Expenditure DATA'!HF62/'Expenditure DATA'!AB62)*100</f>
        <v>21.783451587535982</v>
      </c>
      <c r="EX60" s="202">
        <f>('Expenditure DATA'!HG62/'Expenditure DATA'!AC62)*100</f>
        <v>20.362458636412839</v>
      </c>
      <c r="EY60" s="202">
        <f>('Expenditure DATA'!HH62/'Expenditure DATA'!AD62)*100</f>
        <v>21.417641005309193</v>
      </c>
      <c r="EZ60" s="202">
        <f>('Expenditure DATA'!HI62/'Expenditure DATA'!AE62)*100</f>
        <v>21.501012269272167</v>
      </c>
      <c r="FA60" s="464">
        <f>('Expenditure DATA'!HJ62/'Expenditure DATA'!AF62)*100</f>
        <v>20.919792779817438</v>
      </c>
      <c r="FB60" s="203" t="e">
        <f>('Expenditure DATA'!HK62/'Expenditure DATA'!B62)*100</f>
        <v>#DIV/0!</v>
      </c>
      <c r="FC60" s="202" t="e">
        <f>('Expenditure DATA'!HL62/'Expenditure DATA'!C62)*100</f>
        <v>#DIV/0!</v>
      </c>
      <c r="FD60" s="202" t="e">
        <f>('Expenditure DATA'!HM62/'Expenditure DATA'!D62)*100</f>
        <v>#DIV/0!</v>
      </c>
      <c r="FE60" s="202" t="e">
        <f>('Expenditure DATA'!HN62/'Expenditure DATA'!E62)*100</f>
        <v>#DIV/0!</v>
      </c>
      <c r="FF60" s="202" t="e">
        <f>('Expenditure DATA'!HO62/'Expenditure DATA'!F62)*100</f>
        <v>#DIV/0!</v>
      </c>
      <c r="FG60" s="202" t="e">
        <f>('Expenditure DATA'!HP62/'Expenditure DATA'!G62)*100</f>
        <v>#DIV/0!</v>
      </c>
      <c r="FH60" s="202" t="e">
        <f>('Expenditure DATA'!HQ62/'Expenditure DATA'!H62)*100</f>
        <v>#DIV/0!</v>
      </c>
      <c r="FI60" s="202" t="e">
        <f>('Expenditure DATA'!HR62/'Expenditure DATA'!I62)*100</f>
        <v>#DIV/0!</v>
      </c>
      <c r="FJ60" s="202">
        <f>('Expenditure DATA'!HS62/'Expenditure DATA'!J62)*100</f>
        <v>5.7486341170229656</v>
      </c>
      <c r="FK60" s="202">
        <f>('Expenditure DATA'!HT62/'Expenditure DATA'!K62)*100</f>
        <v>5.2546515474983879</v>
      </c>
      <c r="FL60" s="202">
        <f>('Expenditure DATA'!HU62/'Expenditure DATA'!L62)*100</f>
        <v>4.842029059744597</v>
      </c>
      <c r="FM60" s="202">
        <f>('Expenditure DATA'!HV62/'Expenditure DATA'!M62)*100</f>
        <v>5.1633576690561931</v>
      </c>
      <c r="FN60" s="202">
        <f>('Expenditure DATA'!HW62/'Expenditure DATA'!N62)*100</f>
        <v>5.3738150907684243</v>
      </c>
      <c r="FO60" s="202">
        <f>('Expenditure DATA'!HX62/'Expenditure DATA'!O62)*100</f>
        <v>5.2802941162572008</v>
      </c>
      <c r="FP60" s="202">
        <f>('Expenditure DATA'!HY62/'Expenditure DATA'!P62)*100</f>
        <v>5.6706164741769252</v>
      </c>
      <c r="FQ60" s="202">
        <f>('Expenditure DATA'!HZ62/'Expenditure DATA'!Q62)*100</f>
        <v>5.9705847005801616</v>
      </c>
      <c r="FR60" s="202">
        <f>('Expenditure DATA'!IA62/'Expenditure DATA'!R62)*100</f>
        <v>5.4390432719722313</v>
      </c>
      <c r="FS60" s="202">
        <f>('Expenditure DATA'!IB62/'Expenditure DATA'!S62)*100</f>
        <v>5.7621456575990635</v>
      </c>
      <c r="FT60" s="202">
        <f>('Expenditure DATA'!IC62/'Expenditure DATA'!T62)*100</f>
        <v>6.0808441263762107</v>
      </c>
      <c r="FU60" s="202">
        <f>('Expenditure DATA'!ID62/'Expenditure DATA'!U62)*100</f>
        <v>5.7535477525975844</v>
      </c>
      <c r="FV60" s="202">
        <f>('Expenditure DATA'!IE62/'Expenditure DATA'!V62)*100</f>
        <v>5.4840593518557554</v>
      </c>
      <c r="FW60" s="202">
        <f>('Expenditure DATA'!IF62/'Expenditure DATA'!W62)*100</f>
        <v>5.55076177321732</v>
      </c>
      <c r="FX60" s="202">
        <f>('Expenditure DATA'!IG62/'Expenditure DATA'!X62)*100</f>
        <v>5.6097655743736858</v>
      </c>
      <c r="FY60" s="202">
        <f>('Expenditure DATA'!IH62/'Expenditure DATA'!Y62)*100</f>
        <v>5.9151998402101054</v>
      </c>
      <c r="FZ60" s="202">
        <f>('Expenditure DATA'!II62/'Expenditure DATA'!Z62)*100</f>
        <v>6.860726064488083</v>
      </c>
      <c r="GA60" s="202">
        <f>('Expenditure DATA'!IJ62/'Expenditure DATA'!AA62)*100</f>
        <v>6.8973630143864009</v>
      </c>
      <c r="GB60" s="202">
        <f>('Expenditure DATA'!IK62/'Expenditure DATA'!AB62)*100</f>
        <v>6.0662359936377568</v>
      </c>
      <c r="GC60" s="202">
        <f>('Expenditure DATA'!IL62/'Expenditure DATA'!AC62)*100</f>
        <v>6.5473112661931916</v>
      </c>
      <c r="GD60" s="202">
        <f>('Expenditure DATA'!IM62/'Expenditure DATA'!AD62)*100</f>
        <v>5.5899322644722496</v>
      </c>
      <c r="GE60" s="202">
        <f>('Expenditure DATA'!IN62/'Expenditure DATA'!AE62)*100</f>
        <v>5.4135138082954732</v>
      </c>
      <c r="GF60" s="464">
        <f>('Expenditure DATA'!IO62/'Expenditure DATA'!AF62)*100</f>
        <v>5.4028330746715101</v>
      </c>
      <c r="GG60" s="203" t="e">
        <f>('Expenditure DATA'!IP62/'Expenditure DATA'!B62)*100</f>
        <v>#DIV/0!</v>
      </c>
      <c r="GH60" s="202" t="e">
        <f>('Expenditure DATA'!IQ62/'Expenditure DATA'!C62)*100</f>
        <v>#DIV/0!</v>
      </c>
      <c r="GI60" s="202" t="e">
        <f>('Expenditure DATA'!IR62/'Expenditure DATA'!D62)*100</f>
        <v>#DIV/0!</v>
      </c>
      <c r="GJ60" s="202" t="e">
        <f>('Expenditure DATA'!IS62/'Expenditure DATA'!E62)*100</f>
        <v>#DIV/0!</v>
      </c>
      <c r="GK60" s="202" t="e">
        <f>('Expenditure DATA'!IT62/'Expenditure DATA'!F62)*100</f>
        <v>#DIV/0!</v>
      </c>
      <c r="GL60" s="202" t="e">
        <f>('Expenditure DATA'!IU62/'Expenditure DATA'!G62)*100</f>
        <v>#DIV/0!</v>
      </c>
      <c r="GM60" s="202" t="e">
        <f>('Expenditure DATA'!IV62/'Expenditure DATA'!H62)*100</f>
        <v>#DIV/0!</v>
      </c>
      <c r="GN60" s="202" t="e">
        <f>('Expenditure DATA'!IW62/'Expenditure DATA'!I62)*100</f>
        <v>#DIV/0!</v>
      </c>
      <c r="GO60" s="202">
        <f>('Expenditure DATA'!IX62/'Expenditure DATA'!J62)*100</f>
        <v>13.959859931702463</v>
      </c>
      <c r="GP60" s="202">
        <f>('Expenditure DATA'!IY62/'Expenditure DATA'!K62)*100</f>
        <v>17.080655556953815</v>
      </c>
      <c r="GQ60" s="202">
        <f>('Expenditure DATA'!IZ62/'Expenditure DATA'!L62)*100</f>
        <v>19.687448861223018</v>
      </c>
      <c r="GR60" s="202">
        <f>('Expenditure DATA'!JA62/'Expenditure DATA'!M62)*100</f>
        <v>14.91544280425215</v>
      </c>
      <c r="GS60" s="202">
        <f>('Expenditure DATA'!JB62/'Expenditure DATA'!N62)*100</f>
        <v>13.863017780147906</v>
      </c>
      <c r="GT60" s="202">
        <f>('Expenditure DATA'!JC62/'Expenditure DATA'!O62)*100</f>
        <v>11.907155482494934</v>
      </c>
      <c r="GU60" s="202">
        <f>('Expenditure DATA'!JD62/'Expenditure DATA'!P62)*100</f>
        <v>13.043532615603231</v>
      </c>
      <c r="GV60" s="202">
        <f>('Expenditure DATA'!JE62/'Expenditure DATA'!Q62)*100</f>
        <v>13.321154246571023</v>
      </c>
      <c r="GW60" s="202">
        <f>('Expenditure DATA'!JF62/'Expenditure DATA'!R62)*100</f>
        <v>12.75605612401171</v>
      </c>
      <c r="GX60" s="202">
        <f>('Expenditure DATA'!JG62/'Expenditure DATA'!S62)*100</f>
        <v>11.789437253852636</v>
      </c>
      <c r="GY60" s="202">
        <f>('Expenditure DATA'!JH62/'Expenditure DATA'!T62)*100</f>
        <v>11.212454236716498</v>
      </c>
      <c r="GZ60" s="202">
        <f>('Expenditure DATA'!JI62/'Expenditure DATA'!U62)*100</f>
        <v>10.678806253974697</v>
      </c>
      <c r="HA60" s="202">
        <f>('Expenditure DATA'!JJ62/'Expenditure DATA'!V62)*100</f>
        <v>10.239412624989793</v>
      </c>
      <c r="HB60" s="202">
        <f>('Expenditure DATA'!JK62/'Expenditure DATA'!W62)*100</f>
        <v>10.449782854574694</v>
      </c>
      <c r="HC60" s="202">
        <f>('Expenditure DATA'!JL62/'Expenditure DATA'!X62)*100</f>
        <v>10.635872698725377</v>
      </c>
      <c r="HD60" s="202">
        <f>('Expenditure DATA'!JM62/'Expenditure DATA'!Y62)*100</f>
        <v>9.2121550348561545</v>
      </c>
      <c r="HE60" s="202">
        <f>('Expenditure DATA'!JN62/'Expenditure DATA'!Z62)*100</f>
        <v>11.308501457325379</v>
      </c>
      <c r="HF60" s="202">
        <f>('Expenditure DATA'!JO62/'Expenditure DATA'!AA62)*100</f>
        <v>11.392897825856478</v>
      </c>
      <c r="HG60" s="202">
        <f>('Expenditure DATA'!JP62/'Expenditure DATA'!AB62)*100</f>
        <v>11.832384897858971</v>
      </c>
      <c r="HH60" s="202">
        <f>('Expenditure DATA'!JQ62/'Expenditure DATA'!AC62)*100</f>
        <v>13.278203503034003</v>
      </c>
      <c r="HI60" s="202">
        <f>('Expenditure DATA'!JR62/'Expenditure DATA'!AD62)*100</f>
        <v>11.71717644163525</v>
      </c>
      <c r="HJ60" s="202">
        <f>('Expenditure DATA'!JS62/'Expenditure DATA'!AE62)*100</f>
        <v>11.641523610914588</v>
      </c>
      <c r="HK60" s="464">
        <f>('Expenditure DATA'!JT62/'Expenditure DATA'!AF62)*100</f>
        <v>12.499934211211764</v>
      </c>
      <c r="HL60" s="203" t="e">
        <f t="shared" si="1"/>
        <v>#DIV/0!</v>
      </c>
      <c r="HM60" s="204" t="e">
        <f t="shared" si="2"/>
        <v>#DIV/0!</v>
      </c>
      <c r="HN60" s="204" t="e">
        <f t="shared" si="3"/>
        <v>#DIV/0!</v>
      </c>
      <c r="HO60" s="204" t="e">
        <f t="shared" si="4"/>
        <v>#DIV/0!</v>
      </c>
      <c r="HP60" s="204" t="e">
        <f t="shared" si="5"/>
        <v>#DIV/0!</v>
      </c>
      <c r="HQ60" s="204" t="e">
        <f t="shared" si="6"/>
        <v>#DIV/0!</v>
      </c>
      <c r="HR60" s="204" t="e">
        <f t="shared" si="7"/>
        <v>#DIV/0!</v>
      </c>
      <c r="HS60" s="204" t="e">
        <f t="shared" si="8"/>
        <v>#DIV/0!</v>
      </c>
      <c r="HT60" s="204">
        <f t="shared" si="9"/>
        <v>100.00000000000001</v>
      </c>
      <c r="HU60" s="204">
        <f t="shared" si="10"/>
        <v>99.999999999999986</v>
      </c>
      <c r="HV60" s="204">
        <f t="shared" si="11"/>
        <v>99.999999999999986</v>
      </c>
      <c r="HW60" s="204">
        <f t="shared" si="12"/>
        <v>100.00000000000001</v>
      </c>
      <c r="HX60" s="204">
        <f t="shared" si="13"/>
        <v>100</v>
      </c>
      <c r="HY60" s="204">
        <f t="shared" si="14"/>
        <v>100</v>
      </c>
      <c r="HZ60" s="204">
        <f t="shared" si="15"/>
        <v>99.999999999999986</v>
      </c>
      <c r="IA60" s="204">
        <f t="shared" si="16"/>
        <v>100.00000000000001</v>
      </c>
      <c r="IB60" s="204">
        <f t="shared" si="17"/>
        <v>100</v>
      </c>
      <c r="IC60" s="204">
        <f t="shared" si="18"/>
        <v>100</v>
      </c>
      <c r="ID60" s="204">
        <f t="shared" si="19"/>
        <v>100</v>
      </c>
      <c r="IE60" s="204">
        <f t="shared" si="20"/>
        <v>100</v>
      </c>
      <c r="IF60" s="204">
        <f t="shared" si="21"/>
        <v>100</v>
      </c>
      <c r="IG60" s="204">
        <f t="shared" si="22"/>
        <v>100</v>
      </c>
      <c r="IH60" s="204">
        <f t="shared" si="23"/>
        <v>100</v>
      </c>
      <c r="II60" s="204">
        <f t="shared" si="24"/>
        <v>100</v>
      </c>
      <c r="IJ60" s="204">
        <f t="shared" si="25"/>
        <v>99.999999999999986</v>
      </c>
      <c r="IK60" s="204">
        <f t="shared" si="26"/>
        <v>99.999999999999986</v>
      </c>
      <c r="IL60" s="204">
        <f t="shared" si="42"/>
        <v>100</v>
      </c>
      <c r="IM60" s="204">
        <f t="shared" si="43"/>
        <v>100.00001118237016</v>
      </c>
      <c r="IN60" s="204">
        <f t="shared" si="44"/>
        <v>100.00001092808154</v>
      </c>
      <c r="IO60" s="204">
        <f t="shared" si="45"/>
        <v>100.00000000000001</v>
      </c>
      <c r="IP60" s="204">
        <f t="shared" si="46"/>
        <v>99.999999999999986</v>
      </c>
    </row>
    <row r="61" spans="1:250" s="164" customFormat="1" ht="13.5" customHeight="1">
      <c r="A61" s="162" t="s">
        <v>77</v>
      </c>
      <c r="B61" s="162"/>
      <c r="C61" s="205" t="e">
        <f>('Expenditure DATA'!CQ63/'Expenditure DATA'!B63)*100</f>
        <v>#DIV/0!</v>
      </c>
      <c r="D61" s="205" t="e">
        <f>('Expenditure DATA'!CR63/'Expenditure DATA'!C63)*100</f>
        <v>#DIV/0!</v>
      </c>
      <c r="E61" s="205" t="e">
        <f>('Expenditure DATA'!CS63/'Expenditure DATA'!D63)*100</f>
        <v>#DIV/0!</v>
      </c>
      <c r="F61" s="205" t="e">
        <f>('Expenditure DATA'!CT63/'Expenditure DATA'!E63)*100</f>
        <v>#DIV/0!</v>
      </c>
      <c r="G61" s="205" t="e">
        <f>('Expenditure DATA'!CU63/'Expenditure DATA'!F63)*100</f>
        <v>#DIV/0!</v>
      </c>
      <c r="H61" s="205" t="e">
        <f>('Expenditure DATA'!CV63/'Expenditure DATA'!G63)*100</f>
        <v>#DIV/0!</v>
      </c>
      <c r="I61" s="205" t="e">
        <f>('Expenditure DATA'!CW63/'Expenditure DATA'!H63)*100</f>
        <v>#DIV/0!</v>
      </c>
      <c r="J61" s="205" t="e">
        <f>('Expenditure DATA'!CX63/'Expenditure DATA'!I63)*100</f>
        <v>#DIV/0!</v>
      </c>
      <c r="K61" s="205">
        <f>('Expenditure DATA'!CY63/'Expenditure DATA'!J63)*100</f>
        <v>12.514798858338697</v>
      </c>
      <c r="L61" s="205">
        <f>('Expenditure DATA'!CZ63/'Expenditure DATA'!K63)*100</f>
        <v>11.975861692587602</v>
      </c>
      <c r="M61" s="205">
        <f>('Expenditure DATA'!DA63/'Expenditure DATA'!L63)*100</f>
        <v>11.50592477508215</v>
      </c>
      <c r="N61" s="205">
        <f>('Expenditure DATA'!DB63/'Expenditure DATA'!M63)*100</f>
        <v>12.235509322519505</v>
      </c>
      <c r="O61" s="205">
        <f>('Expenditure DATA'!DC63/'Expenditure DATA'!N63)*100</f>
        <v>11.454737123842474</v>
      </c>
      <c r="P61" s="205">
        <f>('Expenditure DATA'!DD63/'Expenditure DATA'!O63)*100</f>
        <v>11.86229240480943</v>
      </c>
      <c r="Q61" s="205">
        <f>('Expenditure DATA'!DE63/'Expenditure DATA'!P63)*100</f>
        <v>11.817482852165792</v>
      </c>
      <c r="R61" s="205">
        <f>('Expenditure DATA'!DF63/'Expenditure DATA'!Q63)*100</f>
        <v>11.495250646821809</v>
      </c>
      <c r="S61" s="205">
        <f>('Expenditure DATA'!DG63/'Expenditure DATA'!R63)*100</f>
        <v>10.624468720269444</v>
      </c>
      <c r="T61" s="205">
        <f>('Expenditure DATA'!DH63/'Expenditure DATA'!S63)*100</f>
        <v>11.19709244698759</v>
      </c>
      <c r="U61" s="205">
        <f>('Expenditure DATA'!DI63/'Expenditure DATA'!T63)*100</f>
        <v>10.741555217333433</v>
      </c>
      <c r="V61" s="205">
        <f>('Expenditure DATA'!DJ63/'Expenditure DATA'!U63)*100</f>
        <v>10.999299532944026</v>
      </c>
      <c r="W61" s="205">
        <f>('Expenditure DATA'!DK63/'Expenditure DATA'!V63)*100</f>
        <v>11.232795343920115</v>
      </c>
      <c r="X61" s="205">
        <f>('Expenditure DATA'!DL63/'Expenditure DATA'!W63)*100</f>
        <v>11.533356142617283</v>
      </c>
      <c r="Y61" s="205">
        <f>('Expenditure DATA'!DM63/'Expenditure DATA'!X63)*100</f>
        <v>11.794057815711936</v>
      </c>
      <c r="Z61" s="205">
        <f>('Expenditure DATA'!DN63/'Expenditure DATA'!Y63)*100</f>
        <v>12.388697902371753</v>
      </c>
      <c r="AA61" s="205">
        <f>('Expenditure DATA'!DO63/'Expenditure DATA'!Z63)*100</f>
        <v>13.483038506610617</v>
      </c>
      <c r="AB61" s="205">
        <f>('Expenditure DATA'!DP63/'Expenditure DATA'!AA63)*100</f>
        <v>13.490710509375223</v>
      </c>
      <c r="AC61" s="205">
        <f>('Expenditure DATA'!DQ63/'Expenditure DATA'!AB63)*100</f>
        <v>12.786946704944011</v>
      </c>
      <c r="AD61" s="205">
        <f>('Expenditure DATA'!DR63/'Expenditure DATA'!AC63)*100</f>
        <v>12.319481446506583</v>
      </c>
      <c r="AE61" s="205">
        <f>('Expenditure DATA'!DS63/'Expenditure DATA'!AD63)*100</f>
        <v>12.114212082813854</v>
      </c>
      <c r="AF61" s="205">
        <f>('Expenditure DATA'!DT63/'Expenditure DATA'!AE63)*100</f>
        <v>11.897726994785728</v>
      </c>
      <c r="AG61" s="465">
        <f>('Expenditure DATA'!DU63/'Expenditure DATA'!AF63)*100</f>
        <v>11.678037601122702</v>
      </c>
      <c r="AH61" s="206" t="e">
        <f>('Expenditure DATA'!BL63/'Expenditure DATA'!B63)*100</f>
        <v>#DIV/0!</v>
      </c>
      <c r="AI61" s="205" t="e">
        <f>('Expenditure DATA'!BM63/'Expenditure DATA'!C63)*100</f>
        <v>#DIV/0!</v>
      </c>
      <c r="AJ61" s="205" t="e">
        <f>('Expenditure DATA'!BN63/'Expenditure DATA'!D63)*100</f>
        <v>#DIV/0!</v>
      </c>
      <c r="AK61" s="205" t="e">
        <f>('Expenditure DATA'!BO63/'Expenditure DATA'!E63)*100</f>
        <v>#DIV/0!</v>
      </c>
      <c r="AL61" s="205" t="e">
        <f>('Expenditure DATA'!BP63/'Expenditure DATA'!F63)*100</f>
        <v>#DIV/0!</v>
      </c>
      <c r="AM61" s="205" t="e">
        <f>('Expenditure DATA'!BQ63/'Expenditure DATA'!G63)*100</f>
        <v>#DIV/0!</v>
      </c>
      <c r="AN61" s="205" t="e">
        <f>('Expenditure DATA'!BR63/'Expenditure DATA'!H63)*100</f>
        <v>#DIV/0!</v>
      </c>
      <c r="AO61" s="205" t="e">
        <f>('Expenditure DATA'!BS63/'Expenditure DATA'!I63)*100</f>
        <v>#DIV/0!</v>
      </c>
      <c r="AP61" s="205">
        <f>('Expenditure DATA'!BT63/'Expenditure DATA'!J63)*100</f>
        <v>26.678571253125565</v>
      </c>
      <c r="AQ61" s="205">
        <f>('Expenditure DATA'!BU63/'Expenditure DATA'!K63)*100</f>
        <v>27.037064411304971</v>
      </c>
      <c r="AR61" s="205">
        <f>('Expenditure DATA'!BV63/'Expenditure DATA'!L63)*100</f>
        <v>27.349659608681705</v>
      </c>
      <c r="AS61" s="205">
        <f>('Expenditure DATA'!BW63/'Expenditure DATA'!M63)*100</f>
        <v>24.257019438444924</v>
      </c>
      <c r="AT61" s="205">
        <f>('Expenditure DATA'!BX63/'Expenditure DATA'!N63)*100</f>
        <v>25.220873114850733</v>
      </c>
      <c r="AU61" s="205">
        <f>('Expenditure DATA'!BY63/'Expenditure DATA'!O63)*100</f>
        <v>24.615369922930736</v>
      </c>
      <c r="AV61" s="205">
        <f>('Expenditure DATA'!BZ63/'Expenditure DATA'!P63)*100</f>
        <v>25.061018286349597</v>
      </c>
      <c r="AW61" s="205">
        <f>('Expenditure DATA'!CA63/'Expenditure DATA'!Q63)*100</f>
        <v>26.178456293904322</v>
      </c>
      <c r="AX61" s="205">
        <f>('Expenditure DATA'!CB63/'Expenditure DATA'!R63)*100</f>
        <v>25.592822909626399</v>
      </c>
      <c r="AY61" s="205">
        <f>('Expenditure DATA'!CC63/'Expenditure DATA'!S63)*100</f>
        <v>27.039183737651769</v>
      </c>
      <c r="AZ61" s="205">
        <f>('Expenditure DATA'!CD63/'Expenditure DATA'!T63)*100</f>
        <v>25.507641826630937</v>
      </c>
      <c r="BA61" s="205">
        <f>('Expenditure DATA'!CE63/'Expenditure DATA'!U63)*100</f>
        <v>25.006866447628024</v>
      </c>
      <c r="BB61" s="205">
        <f>('Expenditure DATA'!CF63/'Expenditure DATA'!V63)*100</f>
        <v>24.55320385972519</v>
      </c>
      <c r="BC61" s="205">
        <f>('Expenditure DATA'!CG63/'Expenditure DATA'!W63)*100</f>
        <v>25.463951793674205</v>
      </c>
      <c r="BD61" s="205">
        <f>('Expenditure DATA'!CH63/'Expenditure DATA'!X63)*100</f>
        <v>26.253920116812829</v>
      </c>
      <c r="BE61" s="205">
        <f>('Expenditure DATA'!CI63/'Expenditure DATA'!Y63)*100</f>
        <v>25.45240826973264</v>
      </c>
      <c r="BF61" s="205">
        <f>('Expenditure DATA'!CJ63/'Expenditure DATA'!Z63)*100</f>
        <v>24.905398780960788</v>
      </c>
      <c r="BG61" s="205">
        <f>('Expenditure DATA'!CK63/'Expenditure DATA'!AA63)*100</f>
        <v>24.919570237061535</v>
      </c>
      <c r="BH61" s="205">
        <f>('Expenditure DATA'!CL63/'Expenditure DATA'!AB63)*100</f>
        <v>25.443745293053095</v>
      </c>
      <c r="BI61" s="205">
        <f>('Expenditure DATA'!CM63/'Expenditure DATA'!AC63)*100</f>
        <v>25.217629871272013</v>
      </c>
      <c r="BJ61" s="205">
        <f>('Expenditure DATA'!CN63/'Expenditure DATA'!AD63)*100</f>
        <v>25.026139706494511</v>
      </c>
      <c r="BK61" s="205">
        <f>('Expenditure DATA'!CO63/'Expenditure DATA'!AE63)*100</f>
        <v>23.832466231795767</v>
      </c>
      <c r="BL61" s="465">
        <f>('Expenditure DATA'!CP63/'Expenditure DATA'!AF63)*100</f>
        <v>23.68420841669872</v>
      </c>
      <c r="BM61" s="206" t="e">
        <f>('Expenditure DATA'!AG63/'Expenditure DATA'!B63)*100</f>
        <v>#DIV/0!</v>
      </c>
      <c r="BN61" s="205" t="e">
        <f>('Expenditure DATA'!AH63/'Expenditure DATA'!C63)*100</f>
        <v>#DIV/0!</v>
      </c>
      <c r="BO61" s="205" t="e">
        <f>('Expenditure DATA'!AI63/'Expenditure DATA'!D63)*100</f>
        <v>#DIV/0!</v>
      </c>
      <c r="BP61" s="205" t="e">
        <f>('Expenditure DATA'!AJ63/'Expenditure DATA'!E63)*100</f>
        <v>#DIV/0!</v>
      </c>
      <c r="BQ61" s="205" t="e">
        <f>('Expenditure DATA'!AK63/'Expenditure DATA'!F63)*100</f>
        <v>#DIV/0!</v>
      </c>
      <c r="BR61" s="205" t="e">
        <f>('Expenditure DATA'!AL63/'Expenditure DATA'!G63)*100</f>
        <v>#DIV/0!</v>
      </c>
      <c r="BS61" s="205" t="e">
        <f>('Expenditure DATA'!AM63/'Expenditure DATA'!H63)*100</f>
        <v>#DIV/0!</v>
      </c>
      <c r="BT61" s="205" t="e">
        <f>('Expenditure DATA'!AN63/'Expenditure DATA'!I63)*100</f>
        <v>#DIV/0!</v>
      </c>
      <c r="BU61" s="205">
        <f>('Expenditure DATA'!AO63/'Expenditure DATA'!J63)*100</f>
        <v>42.129856604589236</v>
      </c>
      <c r="BV61" s="205">
        <f>('Expenditure DATA'!AP63/'Expenditure DATA'!K63)*100</f>
        <v>41.866078250421211</v>
      </c>
      <c r="BW61" s="205">
        <f>('Expenditure DATA'!AQ63/'Expenditure DATA'!L63)*100</f>
        <v>41.636071499096815</v>
      </c>
      <c r="BX61" s="205">
        <f>('Expenditure DATA'!AR63/'Expenditure DATA'!M63)*100</f>
        <v>39.429188522061089</v>
      </c>
      <c r="BY61" s="205">
        <f>('Expenditure DATA'!AS63/'Expenditure DATA'!N63)*100</f>
        <v>39.312253542056816</v>
      </c>
      <c r="BZ61" s="205">
        <f>('Expenditure DATA'!AT63/'Expenditure DATA'!O63)*100</f>
        <v>39.505082242234977</v>
      </c>
      <c r="CA61" s="205">
        <f>('Expenditure DATA'!AU63/'Expenditure DATA'!P63)*100</f>
        <v>39.877179028277396</v>
      </c>
      <c r="CB61" s="205">
        <f>('Expenditure DATA'!AV63/'Expenditure DATA'!Q63)*100</f>
        <v>40.608183307232721</v>
      </c>
      <c r="CC61" s="205">
        <f>('Expenditure DATA'!AW63/'Expenditure DATA'!R63)*100</f>
        <v>39.110764807699496</v>
      </c>
      <c r="CD61" s="205">
        <f>('Expenditure DATA'!AX63/'Expenditure DATA'!S63)*100</f>
        <v>40.902234911624326</v>
      </c>
      <c r="CE61" s="205">
        <f>('Expenditure DATA'!AY63/'Expenditure DATA'!T63)*100</f>
        <v>38.808586855248009</v>
      </c>
      <c r="CF61" s="205">
        <f>('Expenditure DATA'!AZ63/'Expenditure DATA'!U63)*100</f>
        <v>38.723917642238618</v>
      </c>
      <c r="CG61" s="205">
        <f>('Expenditure DATA'!BA63/'Expenditure DATA'!V63)*100</f>
        <v>38.647214082319167</v>
      </c>
      <c r="CH61" s="205">
        <f>('Expenditure DATA'!BB63/'Expenditure DATA'!W63)*100</f>
        <v>39.568454029755166</v>
      </c>
      <c r="CI61" s="205">
        <f>('Expenditure DATA'!BC63/'Expenditure DATA'!X63)*100</f>
        <v>40.367522959100732</v>
      </c>
      <c r="CJ61" s="205">
        <f>('Expenditure DATA'!BD63/'Expenditure DATA'!Y63)*100</f>
        <v>40.599029951074655</v>
      </c>
      <c r="CK61" s="205">
        <f>('Expenditure DATA'!BE63/'Expenditure DATA'!Z63)*100</f>
        <v>41.150023259331888</v>
      </c>
      <c r="CL61" s="205">
        <f>('Expenditure DATA'!BF63/'Expenditure DATA'!AA63)*100</f>
        <v>41.173438092127498</v>
      </c>
      <c r="CM61" s="205">
        <f>('Expenditure DATA'!BG63/'Expenditure DATA'!AB63)*100</f>
        <v>41.059201481057983</v>
      </c>
      <c r="CN61" s="205">
        <f>('Expenditure DATA'!BH63/'Expenditure DATA'!AC63)*100</f>
        <v>40.493395135591207</v>
      </c>
      <c r="CO61" s="205">
        <f>('Expenditure DATA'!BI63/'Expenditure DATA'!AD63)*100</f>
        <v>40.166950915798715</v>
      </c>
      <c r="CP61" s="205">
        <f>('Expenditure DATA'!BJ63/'Expenditure DATA'!AE63)*100</f>
        <v>38.829616208154903</v>
      </c>
      <c r="CQ61" s="465">
        <f>('Expenditure DATA'!BK63/'Expenditure DATA'!AF63)*100</f>
        <v>38.406577029937466</v>
      </c>
      <c r="CR61" s="206" t="e">
        <f>('Expenditure DATA'!FA63/'Expenditure DATA'!B63)*100</f>
        <v>#DIV/0!</v>
      </c>
      <c r="CS61" s="205" t="e">
        <f>('Expenditure DATA'!FB63/'Expenditure DATA'!C63)*100</f>
        <v>#DIV/0!</v>
      </c>
      <c r="CT61" s="205" t="e">
        <f>('Expenditure DATA'!FC63/'Expenditure DATA'!D63)*100</f>
        <v>#DIV/0!</v>
      </c>
      <c r="CU61" s="205" t="e">
        <f>('Expenditure DATA'!FD63/'Expenditure DATA'!E63)*100</f>
        <v>#DIV/0!</v>
      </c>
      <c r="CV61" s="205" t="e">
        <f>('Expenditure DATA'!FE63/'Expenditure DATA'!F63)*100</f>
        <v>#DIV/0!</v>
      </c>
      <c r="CW61" s="205" t="e">
        <f>('Expenditure DATA'!FF63/'Expenditure DATA'!G63)*100</f>
        <v>#DIV/0!</v>
      </c>
      <c r="CX61" s="205" t="e">
        <f>('Expenditure DATA'!FG63/'Expenditure DATA'!H63)*100</f>
        <v>#DIV/0!</v>
      </c>
      <c r="CY61" s="205" t="e">
        <f>('Expenditure DATA'!FH63/'Expenditure DATA'!I63)*100</f>
        <v>#DIV/0!</v>
      </c>
      <c r="CZ61" s="205">
        <f>('Expenditure DATA'!FI63/'Expenditure DATA'!J63)*100</f>
        <v>17.284477041505578</v>
      </c>
      <c r="DA61" s="205">
        <f>('Expenditure DATA'!FJ63/'Expenditure DATA'!K63)*100</f>
        <v>18.281962468556568</v>
      </c>
      <c r="DB61" s="205">
        <f>('Expenditure DATA'!FK63/'Expenditure DATA'!L63)*100</f>
        <v>19.151739608887315</v>
      </c>
      <c r="DC61" s="205">
        <f>('Expenditure DATA'!FL63/'Expenditure DATA'!M63)*100</f>
        <v>20.496583946753645</v>
      </c>
      <c r="DD61" s="205">
        <f>('Expenditure DATA'!FM63/'Expenditure DATA'!N63)*100</f>
        <v>21.454187044902039</v>
      </c>
      <c r="DE61" s="205">
        <f>('Expenditure DATA'!FN63/'Expenditure DATA'!O63)*100</f>
        <v>22.725684662229057</v>
      </c>
      <c r="DF61" s="205">
        <f>('Expenditure DATA'!FO63/'Expenditure DATA'!P63)*100</f>
        <v>21.894736682552953</v>
      </c>
      <c r="DG61" s="205">
        <f>('Expenditure DATA'!FP63/'Expenditure DATA'!Q63)*100</f>
        <v>20.99809234763503</v>
      </c>
      <c r="DH61" s="205">
        <f>('Expenditure DATA'!FQ63/'Expenditure DATA'!R63)*100</f>
        <v>21.102604748411419</v>
      </c>
      <c r="DI61" s="205">
        <f>('Expenditure DATA'!FR63/'Expenditure DATA'!S63)*100</f>
        <v>20.381918983672321</v>
      </c>
      <c r="DJ61" s="205">
        <f>('Expenditure DATA'!FS63/'Expenditure DATA'!T63)*100</f>
        <v>22.68644494470454</v>
      </c>
      <c r="DK61" s="205">
        <f>('Expenditure DATA'!FT63/'Expenditure DATA'!U63)*100</f>
        <v>22.432536550337975</v>
      </c>
      <c r="DL61" s="205">
        <f>('Expenditure DATA'!FU63/'Expenditure DATA'!V63)*100</f>
        <v>22.202515778334487</v>
      </c>
      <c r="DM61" s="205">
        <f>('Expenditure DATA'!FV63/'Expenditure DATA'!W63)*100</f>
        <v>24.066842566020092</v>
      </c>
      <c r="DN61" s="205">
        <f>('Expenditure DATA'!FW63/'Expenditure DATA'!X63)*100</f>
        <v>25.683930073278589</v>
      </c>
      <c r="DO61" s="205">
        <f>('Expenditure DATA'!FX63/'Expenditure DATA'!Y63)*100</f>
        <v>27.054904735342589</v>
      </c>
      <c r="DP61" s="205">
        <f>('Expenditure DATA'!FY63/'Expenditure DATA'!Z63)*100</f>
        <v>26.465195736661141</v>
      </c>
      <c r="DQ61" s="205">
        <f>('Expenditure DATA'!FZ63/'Expenditure DATA'!AA63)*100</f>
        <v>26.461970501689773</v>
      </c>
      <c r="DR61" s="205">
        <f>('Expenditure DATA'!GA63/'Expenditure DATA'!AB63)*100</f>
        <v>26.975409272138151</v>
      </c>
      <c r="DS61" s="205">
        <f>('Expenditure DATA'!GB63/'Expenditure DATA'!AC63)*100</f>
        <v>27.785578385025051</v>
      </c>
      <c r="DT61" s="205">
        <f>('Expenditure DATA'!GC63/'Expenditure DATA'!AD63)*100</f>
        <v>27.452604473024532</v>
      </c>
      <c r="DU61" s="205">
        <f>('Expenditure DATA'!GD63/'Expenditure DATA'!AE63)*100</f>
        <v>27.225055328037804</v>
      </c>
      <c r="DV61" s="465">
        <f>('Expenditure DATA'!GE63/'Expenditure DATA'!AF63)*100</f>
        <v>27.631971969028562</v>
      </c>
      <c r="DW61" s="206" t="e">
        <f>('Expenditure DATA'!GF63/'Expenditure DATA'!B63)*100</f>
        <v>#DIV/0!</v>
      </c>
      <c r="DX61" s="205" t="e">
        <f>('Expenditure DATA'!GG63/'Expenditure DATA'!C63)*100</f>
        <v>#DIV/0!</v>
      </c>
      <c r="DY61" s="205" t="e">
        <f>('Expenditure DATA'!GH63/'Expenditure DATA'!D63)*100</f>
        <v>#DIV/0!</v>
      </c>
      <c r="DZ61" s="205" t="e">
        <f>('Expenditure DATA'!GI63/'Expenditure DATA'!E63)*100</f>
        <v>#DIV/0!</v>
      </c>
      <c r="EA61" s="205" t="e">
        <f>('Expenditure DATA'!GJ63/'Expenditure DATA'!F63)*100</f>
        <v>#DIV/0!</v>
      </c>
      <c r="EB61" s="205" t="e">
        <f>('Expenditure DATA'!GK63/'Expenditure DATA'!G63)*100</f>
        <v>#DIV/0!</v>
      </c>
      <c r="EC61" s="205" t="e">
        <f>('Expenditure DATA'!GL63/'Expenditure DATA'!H63)*100</f>
        <v>#DIV/0!</v>
      </c>
      <c r="ED61" s="205" t="e">
        <f>('Expenditure DATA'!GM63/'Expenditure DATA'!I63)*100</f>
        <v>#DIV/0!</v>
      </c>
      <c r="EE61" s="205">
        <f>('Expenditure DATA'!GN63/'Expenditure DATA'!J63)*100</f>
        <v>23.302761307310263</v>
      </c>
      <c r="EF61" s="205">
        <f>('Expenditure DATA'!GO63/'Expenditure DATA'!K63)*100</f>
        <v>23.06708535567094</v>
      </c>
      <c r="EG61" s="205">
        <f>('Expenditure DATA'!GP63/'Expenditure DATA'!L63)*100</f>
        <v>22.861583049870234</v>
      </c>
      <c r="EH61" s="205">
        <f>('Expenditure DATA'!GQ63/'Expenditure DATA'!M63)*100</f>
        <v>24.747123903557107</v>
      </c>
      <c r="EI61" s="205">
        <f>('Expenditure DATA'!GR63/'Expenditure DATA'!N63)*100</f>
        <v>24.092554476287901</v>
      </c>
      <c r="EJ61" s="205">
        <f>('Expenditure DATA'!GS63/'Expenditure DATA'!O63)*100</f>
        <v>22.418887859600868</v>
      </c>
      <c r="EK61" s="205">
        <f>('Expenditure DATA'!GT63/'Expenditure DATA'!P63)*100</f>
        <v>23.023892339528821</v>
      </c>
      <c r="EL61" s="205">
        <f>('Expenditure DATA'!GU63/'Expenditure DATA'!Q63)*100</f>
        <v>22.912181466105459</v>
      </c>
      <c r="EM61" s="205">
        <f>('Expenditure DATA'!GV63/'Expenditure DATA'!R63)*100</f>
        <v>22.835979894239109</v>
      </c>
      <c r="EN61" s="205">
        <f>('Expenditure DATA'!GW63/'Expenditure DATA'!S63)*100</f>
        <v>22.513008227167056</v>
      </c>
      <c r="EO61" s="205">
        <f>('Expenditure DATA'!GX63/'Expenditure DATA'!T63)*100</f>
        <v>22.787197842580106</v>
      </c>
      <c r="EP61" s="205">
        <f>('Expenditure DATA'!GY63/'Expenditure DATA'!U63)*100</f>
        <v>22.906070434830092</v>
      </c>
      <c r="EQ61" s="205">
        <f>('Expenditure DATA'!GZ63/'Expenditure DATA'!V63)*100</f>
        <v>23.013759530764116</v>
      </c>
      <c r="ER61" s="205">
        <f>('Expenditure DATA'!HA63/'Expenditure DATA'!W63)*100</f>
        <v>21.956829574468863</v>
      </c>
      <c r="ES61" s="205">
        <f>('Expenditure DATA'!HB63/'Expenditure DATA'!X63)*100</f>
        <v>21.040065282038096</v>
      </c>
      <c r="ET61" s="205">
        <f>('Expenditure DATA'!HC63/'Expenditure DATA'!Y63)*100</f>
        <v>21.762010265484182</v>
      </c>
      <c r="EU61" s="205">
        <f>('Expenditure DATA'!HD63/'Expenditure DATA'!Z63)*100</f>
        <v>21.380102977990646</v>
      </c>
      <c r="EV61" s="205">
        <f>('Expenditure DATA'!HE63/'Expenditure DATA'!AA63)*100</f>
        <v>21.34670965358206</v>
      </c>
      <c r="EW61" s="205">
        <f>('Expenditure DATA'!HF63/'Expenditure DATA'!AB63)*100</f>
        <v>20.822907687366381</v>
      </c>
      <c r="EX61" s="205">
        <f>('Expenditure DATA'!HG63/'Expenditure DATA'!AC63)*100</f>
        <v>20.902773518035371</v>
      </c>
      <c r="EY61" s="205">
        <f>('Expenditure DATA'!HH63/'Expenditure DATA'!AD63)*100</f>
        <v>21.980052609026444</v>
      </c>
      <c r="EZ61" s="205">
        <f>('Expenditure DATA'!HI63/'Expenditure DATA'!AE63)*100</f>
        <v>23.605549601020986</v>
      </c>
      <c r="FA61" s="465">
        <f>('Expenditure DATA'!HJ63/'Expenditure DATA'!AF63)*100</f>
        <v>23.926500468727379</v>
      </c>
      <c r="FB61" s="206" t="e">
        <f>('Expenditure DATA'!HK63/'Expenditure DATA'!B63)*100</f>
        <v>#DIV/0!</v>
      </c>
      <c r="FC61" s="205" t="e">
        <f>('Expenditure DATA'!HL63/'Expenditure DATA'!C63)*100</f>
        <v>#DIV/0!</v>
      </c>
      <c r="FD61" s="205" t="e">
        <f>('Expenditure DATA'!HM63/'Expenditure DATA'!D63)*100</f>
        <v>#DIV/0!</v>
      </c>
      <c r="FE61" s="205" t="e">
        <f>('Expenditure DATA'!HN63/'Expenditure DATA'!E63)*100</f>
        <v>#DIV/0!</v>
      </c>
      <c r="FF61" s="205" t="e">
        <f>('Expenditure DATA'!HO63/'Expenditure DATA'!F63)*100</f>
        <v>#DIV/0!</v>
      </c>
      <c r="FG61" s="205" t="e">
        <f>('Expenditure DATA'!HP63/'Expenditure DATA'!G63)*100</f>
        <v>#DIV/0!</v>
      </c>
      <c r="FH61" s="205" t="e">
        <f>('Expenditure DATA'!HQ63/'Expenditure DATA'!H63)*100</f>
        <v>#DIV/0!</v>
      </c>
      <c r="FI61" s="205" t="e">
        <f>('Expenditure DATA'!HR63/'Expenditure DATA'!I63)*100</f>
        <v>#DIV/0!</v>
      </c>
      <c r="FJ61" s="205">
        <f>('Expenditure DATA'!HS63/'Expenditure DATA'!J63)*100</f>
        <v>6.5191120193748366</v>
      </c>
      <c r="FK61" s="205">
        <f>('Expenditure DATA'!HT63/'Expenditure DATA'!K63)*100</f>
        <v>6.0266366203989863</v>
      </c>
      <c r="FL61" s="205">
        <f>('Expenditure DATA'!HU63/'Expenditure DATA'!L63)*100</f>
        <v>5.5972129590720838</v>
      </c>
      <c r="FM61" s="205">
        <f>('Expenditure DATA'!HV63/'Expenditure DATA'!M63)*100</f>
        <v>5.5939965619077006</v>
      </c>
      <c r="FN61" s="205">
        <f>('Expenditure DATA'!HW63/'Expenditure DATA'!N63)*100</f>
        <v>6.3560800553691399</v>
      </c>
      <c r="FO61" s="205">
        <f>('Expenditure DATA'!HX63/'Expenditure DATA'!O63)*100</f>
        <v>6.1797869055463774</v>
      </c>
      <c r="FP61" s="205">
        <f>('Expenditure DATA'!HY63/'Expenditure DATA'!P63)*100</f>
        <v>5.8710182749814983</v>
      </c>
      <c r="FQ61" s="205">
        <f>('Expenditure DATA'!HZ63/'Expenditure DATA'!Q63)*100</f>
        <v>5.8213423328017315</v>
      </c>
      <c r="FR61" s="205">
        <f>('Expenditure DATA'!IA63/'Expenditure DATA'!R63)*100</f>
        <v>6.3933710197689866</v>
      </c>
      <c r="FS61" s="205">
        <f>('Expenditure DATA'!IB63/'Expenditure DATA'!S63)*100</f>
        <v>6.3773785638364551</v>
      </c>
      <c r="FT61" s="205">
        <f>('Expenditure DATA'!IC63/'Expenditure DATA'!T63)*100</f>
        <v>5.4457780426970066</v>
      </c>
      <c r="FU61" s="205">
        <f>('Expenditure DATA'!ID63/'Expenditure DATA'!U63)*100</f>
        <v>6.0896897658503546</v>
      </c>
      <c r="FV61" s="205">
        <f>('Expenditure DATA'!IE63/'Expenditure DATA'!V63)*100</f>
        <v>6.6730224753943972</v>
      </c>
      <c r="FW61" s="205">
        <f>('Expenditure DATA'!IF63/'Expenditure DATA'!W63)*100</f>
        <v>5.5758349841654073</v>
      </c>
      <c r="FX61" s="205">
        <f>('Expenditure DATA'!IG63/'Expenditure DATA'!X63)*100</f>
        <v>4.6241519439891396</v>
      </c>
      <c r="FY61" s="205">
        <f>('Expenditure DATA'!IH63/'Expenditure DATA'!Y63)*100</f>
        <v>4.661165860266097</v>
      </c>
      <c r="FZ61" s="205">
        <f>('Expenditure DATA'!II63/'Expenditure DATA'!Z63)*100</f>
        <v>4.5783729538138296</v>
      </c>
      <c r="GA61" s="205">
        <f>('Expenditure DATA'!IJ63/'Expenditure DATA'!AA63)*100</f>
        <v>4.5833300141001034</v>
      </c>
      <c r="GB61" s="205">
        <f>('Expenditure DATA'!IK63/'Expenditure DATA'!AB63)*100</f>
        <v>4.5278667813073827</v>
      </c>
      <c r="GC61" s="205">
        <f>('Expenditure DATA'!IL63/'Expenditure DATA'!AC63)*100</f>
        <v>4.4765507735859158</v>
      </c>
      <c r="GD61" s="205">
        <f>('Expenditure DATA'!IM63/'Expenditure DATA'!AD63)*100</f>
        <v>3.7088650049391045</v>
      </c>
      <c r="GE61" s="205">
        <f>('Expenditure DATA'!IN63/'Expenditure DATA'!AE63)*100</f>
        <v>3.7780995404164774</v>
      </c>
      <c r="GF61" s="465">
        <f>('Expenditure DATA'!IO63/'Expenditure DATA'!AF63)*100</f>
        <v>3.7898055522910403</v>
      </c>
      <c r="GG61" s="206" t="e">
        <f>('Expenditure DATA'!IP63/'Expenditure DATA'!B63)*100</f>
        <v>#DIV/0!</v>
      </c>
      <c r="GH61" s="205" t="e">
        <f>('Expenditure DATA'!IQ63/'Expenditure DATA'!C63)*100</f>
        <v>#DIV/0!</v>
      </c>
      <c r="GI61" s="205" t="e">
        <f>('Expenditure DATA'!IR63/'Expenditure DATA'!D63)*100</f>
        <v>#DIV/0!</v>
      </c>
      <c r="GJ61" s="205" t="e">
        <f>('Expenditure DATA'!IS63/'Expenditure DATA'!E63)*100</f>
        <v>#DIV/0!</v>
      </c>
      <c r="GK61" s="205" t="e">
        <f>('Expenditure DATA'!IT63/'Expenditure DATA'!F63)*100</f>
        <v>#DIV/0!</v>
      </c>
      <c r="GL61" s="205" t="e">
        <f>('Expenditure DATA'!IU63/'Expenditure DATA'!G63)*100</f>
        <v>#DIV/0!</v>
      </c>
      <c r="GM61" s="205" t="e">
        <f>('Expenditure DATA'!IV63/'Expenditure DATA'!H63)*100</f>
        <v>#DIV/0!</v>
      </c>
      <c r="GN61" s="205" t="e">
        <f>('Expenditure DATA'!IW63/'Expenditure DATA'!I63)*100</f>
        <v>#DIV/0!</v>
      </c>
      <c r="GO61" s="205">
        <f>('Expenditure DATA'!IX63/'Expenditure DATA'!J63)*100</f>
        <v>10.763940401742948</v>
      </c>
      <c r="GP61" s="205">
        <f>('Expenditure DATA'!IY63/'Expenditure DATA'!K63)*100</f>
        <v>10.758305952497272</v>
      </c>
      <c r="GQ61" s="205">
        <f>('Expenditure DATA'!IZ63/'Expenditure DATA'!L63)*100</f>
        <v>10.753392883073559</v>
      </c>
      <c r="GR61" s="205">
        <f>('Expenditure DATA'!JA63/'Expenditure DATA'!M63)*100</f>
        <v>9.733107065720457</v>
      </c>
      <c r="GS61" s="205">
        <f>('Expenditure DATA'!JB63/'Expenditure DATA'!N63)*100</f>
        <v>8.7849248813840966</v>
      </c>
      <c r="GT61" s="205">
        <f>('Expenditure DATA'!JC63/'Expenditure DATA'!O63)*100</f>
        <v>9.1705583303887206</v>
      </c>
      <c r="GU61" s="205">
        <f>('Expenditure DATA'!JD63/'Expenditure DATA'!P63)*100</f>
        <v>9.3331736746593261</v>
      </c>
      <c r="GV61" s="205">
        <f>('Expenditure DATA'!JE63/'Expenditure DATA'!Q63)*100</f>
        <v>9.6602005462250595</v>
      </c>
      <c r="GW61" s="205">
        <f>('Expenditure DATA'!JF63/'Expenditure DATA'!R63)*100</f>
        <v>10.557279529880976</v>
      </c>
      <c r="GX61" s="205">
        <f>('Expenditure DATA'!JG63/'Expenditure DATA'!S63)*100</f>
        <v>9.8254593136998505</v>
      </c>
      <c r="GY61" s="205">
        <f>('Expenditure DATA'!JH63/'Expenditure DATA'!T63)*100</f>
        <v>10.27199231477034</v>
      </c>
      <c r="GZ61" s="205">
        <f>('Expenditure DATA'!JI63/'Expenditure DATA'!U63)*100</f>
        <v>9.8477856067429688</v>
      </c>
      <c r="HA61" s="205">
        <f>('Expenditure DATA'!JJ63/'Expenditure DATA'!V63)*100</f>
        <v>9.463488133187834</v>
      </c>
      <c r="HB61" s="205">
        <f>('Expenditure DATA'!JK63/'Expenditure DATA'!W63)*100</f>
        <v>8.8320388455904837</v>
      </c>
      <c r="HC61" s="205">
        <f>('Expenditure DATA'!JL63/'Expenditure DATA'!X63)*100</f>
        <v>8.2843297415934494</v>
      </c>
      <c r="HD61" s="205">
        <f>('Expenditure DATA'!JM63/'Expenditure DATA'!Y63)*100</f>
        <v>5.922889187832479</v>
      </c>
      <c r="HE61" s="205">
        <f>('Expenditure DATA'!JN63/'Expenditure DATA'!Z63)*100</f>
        <v>6.4263050722025028</v>
      </c>
      <c r="HF61" s="205">
        <f>('Expenditure DATA'!JO63/'Expenditure DATA'!AA63)*100</f>
        <v>6.4345517385005646</v>
      </c>
      <c r="HG61" s="205">
        <f>('Expenditure DATA'!JP63/'Expenditure DATA'!AB63)*100</f>
        <v>6.6146147781301128</v>
      </c>
      <c r="HH61" s="205">
        <f>('Expenditure DATA'!JQ63/'Expenditure DATA'!AC63)*100</f>
        <v>6.3416845104452628</v>
      </c>
      <c r="HI61" s="205">
        <f>('Expenditure DATA'!JR63/'Expenditure DATA'!AD63)*100</f>
        <v>6.6914760260578134</v>
      </c>
      <c r="HJ61" s="205">
        <f>('Expenditure DATA'!JS63/'Expenditure DATA'!AE63)*100</f>
        <v>6.5616793223698258</v>
      </c>
      <c r="HK61" s="465">
        <f>('Expenditure DATA'!JT63/'Expenditure DATA'!AF63)*100</f>
        <v>6.2451449800155556</v>
      </c>
      <c r="HL61" s="206" t="e">
        <f t="shared" si="1"/>
        <v>#DIV/0!</v>
      </c>
      <c r="HM61" s="207" t="e">
        <f t="shared" si="2"/>
        <v>#DIV/0!</v>
      </c>
      <c r="HN61" s="207" t="e">
        <f t="shared" si="3"/>
        <v>#DIV/0!</v>
      </c>
      <c r="HO61" s="207" t="e">
        <f t="shared" si="4"/>
        <v>#DIV/0!</v>
      </c>
      <c r="HP61" s="207" t="e">
        <f t="shared" si="5"/>
        <v>#DIV/0!</v>
      </c>
      <c r="HQ61" s="207" t="e">
        <f t="shared" si="6"/>
        <v>#DIV/0!</v>
      </c>
      <c r="HR61" s="207" t="e">
        <f t="shared" si="7"/>
        <v>#DIV/0!</v>
      </c>
      <c r="HS61" s="207" t="e">
        <f t="shared" si="8"/>
        <v>#DIV/0!</v>
      </c>
      <c r="HT61" s="207">
        <f t="shared" si="9"/>
        <v>100.00014737452285</v>
      </c>
      <c r="HU61" s="207">
        <f t="shared" si="10"/>
        <v>100.00006864754498</v>
      </c>
      <c r="HV61" s="207">
        <f t="shared" si="11"/>
        <v>100</v>
      </c>
      <c r="HW61" s="207">
        <f t="shared" si="12"/>
        <v>100</v>
      </c>
      <c r="HX61" s="207">
        <f t="shared" si="13"/>
        <v>99.999999999999986</v>
      </c>
      <c r="HY61" s="207">
        <f t="shared" si="14"/>
        <v>100</v>
      </c>
      <c r="HZ61" s="207">
        <f t="shared" si="15"/>
        <v>99.999999999999986</v>
      </c>
      <c r="IA61" s="207">
        <f t="shared" si="16"/>
        <v>100</v>
      </c>
      <c r="IB61" s="207">
        <f t="shared" si="17"/>
        <v>100</v>
      </c>
      <c r="IC61" s="207">
        <f t="shared" si="18"/>
        <v>100.00000000000001</v>
      </c>
      <c r="ID61" s="207">
        <f t="shared" si="19"/>
        <v>100</v>
      </c>
      <c r="IE61" s="207">
        <f t="shared" si="20"/>
        <v>100</v>
      </c>
      <c r="IF61" s="207">
        <f t="shared" si="21"/>
        <v>100</v>
      </c>
      <c r="IG61" s="207">
        <f t="shared" si="22"/>
        <v>100.00000000000001</v>
      </c>
      <c r="IH61" s="207">
        <f t="shared" si="23"/>
        <v>100.00000000000001</v>
      </c>
      <c r="II61" s="207">
        <f t="shared" si="24"/>
        <v>100</v>
      </c>
      <c r="IJ61" s="207">
        <f t="shared" si="25"/>
        <v>100</v>
      </c>
      <c r="IK61" s="207">
        <f t="shared" si="26"/>
        <v>100</v>
      </c>
      <c r="IL61" s="207">
        <f t="shared" si="42"/>
        <v>100.00000000000001</v>
      </c>
      <c r="IM61" s="207">
        <f t="shared" si="43"/>
        <v>99.999982322682811</v>
      </c>
      <c r="IN61" s="207">
        <f t="shared" si="44"/>
        <v>99.999949028846601</v>
      </c>
      <c r="IO61" s="207">
        <f t="shared" si="45"/>
        <v>99.999999999999986</v>
      </c>
      <c r="IP61" s="207">
        <f t="shared" si="46"/>
        <v>100.00000000000001</v>
      </c>
    </row>
    <row r="62" spans="1:250" s="164" customFormat="1">
      <c r="A62" s="162" t="s">
        <v>133</v>
      </c>
      <c r="B62" s="162"/>
      <c r="C62" s="205" t="e">
        <f>('Expenditure DATA'!CQ64/'Expenditure DATA'!B64)*100</f>
        <v>#DIV/0!</v>
      </c>
      <c r="D62" s="205" t="e">
        <f>('Expenditure DATA'!CR64/'Expenditure DATA'!C64)*100</f>
        <v>#DIV/0!</v>
      </c>
      <c r="E62" s="205" t="e">
        <f>('Expenditure DATA'!CS64/'Expenditure DATA'!D64)*100</f>
        <v>#DIV/0!</v>
      </c>
      <c r="F62" s="205" t="e">
        <f>('Expenditure DATA'!CT64/'Expenditure DATA'!E64)*100</f>
        <v>#DIV/0!</v>
      </c>
      <c r="G62" s="205" t="e">
        <f>('Expenditure DATA'!CU64/'Expenditure DATA'!F64)*100</f>
        <v>#DIV/0!</v>
      </c>
      <c r="H62" s="205" t="e">
        <f>('Expenditure DATA'!CV64/'Expenditure DATA'!G64)*100</f>
        <v>#DIV/0!</v>
      </c>
      <c r="I62" s="205" t="e">
        <f>('Expenditure DATA'!CW64/'Expenditure DATA'!H64)*100</f>
        <v>#DIV/0!</v>
      </c>
      <c r="J62" s="205" t="e">
        <f>('Expenditure DATA'!CX64/'Expenditure DATA'!I64)*100</f>
        <v>#DIV/0!</v>
      </c>
      <c r="K62" s="205">
        <f>('Expenditure DATA'!CY64/'Expenditure DATA'!J64)*100</f>
        <v>2.5059617186267822</v>
      </c>
      <c r="L62" s="205">
        <f>('Expenditure DATA'!CZ64/'Expenditure DATA'!K64)*100</f>
        <v>2.6042203961772046</v>
      </c>
      <c r="M62" s="205">
        <f>('Expenditure DATA'!DA64/'Expenditure DATA'!L64)*100</f>
        <v>2.6935155370606783</v>
      </c>
      <c r="N62" s="205">
        <f>('Expenditure DATA'!DB64/'Expenditure DATA'!M64)*100</f>
        <v>2.2322851081785084</v>
      </c>
      <c r="O62" s="205">
        <f>('Expenditure DATA'!DC64/'Expenditure DATA'!N64)*100</f>
        <v>2.2221590958753246</v>
      </c>
      <c r="P62" s="205">
        <f>('Expenditure DATA'!DD64/'Expenditure DATA'!O64)*100</f>
        <v>2.1335771052105077</v>
      </c>
      <c r="Q62" s="205">
        <f>('Expenditure DATA'!DE64/'Expenditure DATA'!P64)*100</f>
        <v>1.7267747127898456</v>
      </c>
      <c r="R62" s="205">
        <f>('Expenditure DATA'!DF64/'Expenditure DATA'!Q64)*100</f>
        <v>1.7318508425039545</v>
      </c>
      <c r="S62" s="205">
        <f>('Expenditure DATA'!DG64/'Expenditure DATA'!R64)*100</f>
        <v>1.4662633467618622</v>
      </c>
      <c r="T62" s="205">
        <f>('Expenditure DATA'!DH64/'Expenditure DATA'!S64)*100</f>
        <v>1.7804254289713324</v>
      </c>
      <c r="U62" s="205">
        <f>('Expenditure DATA'!DI64/'Expenditure DATA'!T64)*100</f>
        <v>1.5606845536755845</v>
      </c>
      <c r="V62" s="205">
        <f>('Expenditure DATA'!DJ64/'Expenditure DATA'!U64)*100</f>
        <v>1.4093176566769179</v>
      </c>
      <c r="W62" s="205">
        <f>('Expenditure DATA'!DK64/'Expenditure DATA'!V64)*100</f>
        <v>1.2831224220675306</v>
      </c>
      <c r="X62" s="205">
        <f>('Expenditure DATA'!DL64/'Expenditure DATA'!W64)*100</f>
        <v>1.401469681882046</v>
      </c>
      <c r="Y62" s="205">
        <f>('Expenditure DATA'!DM64/'Expenditure DATA'!X64)*100</f>
        <v>1.5102552206523174</v>
      </c>
      <c r="Z62" s="205">
        <f>('Expenditure DATA'!DN64/'Expenditure DATA'!Y64)*100</f>
        <v>1.4015285110165847</v>
      </c>
      <c r="AA62" s="205">
        <f>('Expenditure DATA'!DO64/'Expenditure DATA'!Z64)*100</f>
        <v>1.3943233451256365</v>
      </c>
      <c r="AB62" s="205">
        <f>('Expenditure DATA'!DP64/'Expenditure DATA'!AA64)*100</f>
        <v>1.4508453870585647</v>
      </c>
      <c r="AC62" s="205">
        <f>('Expenditure DATA'!DQ64/'Expenditure DATA'!AB64)*100</f>
        <v>1.205415763633537</v>
      </c>
      <c r="AD62" s="205">
        <f>('Expenditure DATA'!DR64/'Expenditure DATA'!AC64)*100</f>
        <v>1.3075941053654969</v>
      </c>
      <c r="AE62" s="205">
        <f>('Expenditure DATA'!DS64/'Expenditure DATA'!AD64)*100</f>
        <v>1.4466711332985365</v>
      </c>
      <c r="AF62" s="205">
        <f>('Expenditure DATA'!DT64/'Expenditure DATA'!AE64)*100</f>
        <v>1.6145407458789625</v>
      </c>
      <c r="AG62" s="465">
        <f>('Expenditure DATA'!DU64/'Expenditure DATA'!AF64)*100</f>
        <v>1.583671379480019</v>
      </c>
      <c r="AH62" s="206" t="e">
        <f>('Expenditure DATA'!BL64/'Expenditure DATA'!B64)*100</f>
        <v>#DIV/0!</v>
      </c>
      <c r="AI62" s="205" t="e">
        <f>('Expenditure DATA'!BM64/'Expenditure DATA'!C64)*100</f>
        <v>#DIV/0!</v>
      </c>
      <c r="AJ62" s="205" t="e">
        <f>('Expenditure DATA'!BN64/'Expenditure DATA'!D64)*100</f>
        <v>#DIV/0!</v>
      </c>
      <c r="AK62" s="205" t="e">
        <f>('Expenditure DATA'!BO64/'Expenditure DATA'!E64)*100</f>
        <v>#DIV/0!</v>
      </c>
      <c r="AL62" s="205" t="e">
        <f>('Expenditure DATA'!BP64/'Expenditure DATA'!F64)*100</f>
        <v>#DIV/0!</v>
      </c>
      <c r="AM62" s="205" t="e">
        <f>('Expenditure DATA'!BQ64/'Expenditure DATA'!G64)*100</f>
        <v>#DIV/0!</v>
      </c>
      <c r="AN62" s="205" t="e">
        <f>('Expenditure DATA'!BR64/'Expenditure DATA'!H64)*100</f>
        <v>#DIV/0!</v>
      </c>
      <c r="AO62" s="205" t="e">
        <f>('Expenditure DATA'!BS64/'Expenditure DATA'!I64)*100</f>
        <v>#DIV/0!</v>
      </c>
      <c r="AP62" s="205">
        <f>('Expenditure DATA'!BT64/'Expenditure DATA'!J64)*100</f>
        <v>14.258445788785254</v>
      </c>
      <c r="AQ62" s="205">
        <f>('Expenditure DATA'!BU64/'Expenditure DATA'!K64)*100</f>
        <v>14.176146057492112</v>
      </c>
      <c r="AR62" s="205">
        <f>('Expenditure DATA'!BV64/'Expenditure DATA'!L64)*100</f>
        <v>14.10135402605324</v>
      </c>
      <c r="AS62" s="205">
        <f>('Expenditure DATA'!BW64/'Expenditure DATA'!M64)*100</f>
        <v>13.874335071741481</v>
      </c>
      <c r="AT62" s="205">
        <f>('Expenditure DATA'!BX64/'Expenditure DATA'!N64)*100</f>
        <v>13.973048448985658</v>
      </c>
      <c r="AU62" s="205">
        <f>('Expenditure DATA'!BY64/'Expenditure DATA'!O64)*100</f>
        <v>14.280383048404813</v>
      </c>
      <c r="AV62" s="205">
        <f>('Expenditure DATA'!BZ64/'Expenditure DATA'!P64)*100</f>
        <v>14.265994059550783</v>
      </c>
      <c r="AW62" s="205">
        <f>('Expenditure DATA'!CA64/'Expenditure DATA'!Q64)*100</f>
        <v>13.792257238974614</v>
      </c>
      <c r="AX62" s="205">
        <f>('Expenditure DATA'!CB64/'Expenditure DATA'!R64)*100</f>
        <v>15.492033369093846</v>
      </c>
      <c r="AY62" s="205">
        <f>('Expenditure DATA'!CC64/'Expenditure DATA'!S64)*100</f>
        <v>14.997688825145584</v>
      </c>
      <c r="AZ62" s="205">
        <f>('Expenditure DATA'!CD64/'Expenditure DATA'!T64)*100</f>
        <v>17.254506528570623</v>
      </c>
      <c r="BA62" s="205">
        <f>('Expenditure DATA'!CE64/'Expenditure DATA'!U64)*100</f>
        <v>17.512081056989125</v>
      </c>
      <c r="BB62" s="205">
        <f>('Expenditure DATA'!CF64/'Expenditure DATA'!V64)*100</f>
        <v>17.726822051801626</v>
      </c>
      <c r="BC62" s="205">
        <f>('Expenditure DATA'!CG64/'Expenditure DATA'!W64)*100</f>
        <v>18.313243506006334</v>
      </c>
      <c r="BD62" s="205">
        <f>('Expenditure DATA'!CH64/'Expenditure DATA'!X64)*100</f>
        <v>18.852285761332642</v>
      </c>
      <c r="BE62" s="205">
        <f>('Expenditure DATA'!CI64/'Expenditure DATA'!Y64)*100</f>
        <v>17.044616426282435</v>
      </c>
      <c r="BF62" s="205">
        <f>('Expenditure DATA'!CJ64/'Expenditure DATA'!Z64)*100</f>
        <v>17.246575160643719</v>
      </c>
      <c r="BG62" s="205">
        <f>('Expenditure DATA'!CK64/'Expenditure DATA'!AA64)*100</f>
        <v>16.782676832025718</v>
      </c>
      <c r="BH62" s="205">
        <f>('Expenditure DATA'!CL64/'Expenditure DATA'!AB64)*100</f>
        <v>19.649226653978936</v>
      </c>
      <c r="BI62" s="205">
        <f>('Expenditure DATA'!CM64/'Expenditure DATA'!AC64)*100</f>
        <v>20.560513871788128</v>
      </c>
      <c r="BJ62" s="205">
        <f>('Expenditure DATA'!CN64/'Expenditure DATA'!AD64)*100</f>
        <v>20.629837762568055</v>
      </c>
      <c r="BK62" s="205">
        <f>('Expenditure DATA'!CO64/'Expenditure DATA'!AE64)*100</f>
        <v>20.939075394791121</v>
      </c>
      <c r="BL62" s="465">
        <f>('Expenditure DATA'!CP64/'Expenditure DATA'!AF64)*100</f>
        <v>20.447384865596057</v>
      </c>
      <c r="BM62" s="206" t="e">
        <f>('Expenditure DATA'!AG64/'Expenditure DATA'!B64)*100</f>
        <v>#DIV/0!</v>
      </c>
      <c r="BN62" s="205" t="e">
        <f>('Expenditure DATA'!AH64/'Expenditure DATA'!C64)*100</f>
        <v>#DIV/0!</v>
      </c>
      <c r="BO62" s="205" t="e">
        <f>('Expenditure DATA'!AI64/'Expenditure DATA'!D64)*100</f>
        <v>#DIV/0!</v>
      </c>
      <c r="BP62" s="205" t="e">
        <f>('Expenditure DATA'!AJ64/'Expenditure DATA'!E64)*100</f>
        <v>#DIV/0!</v>
      </c>
      <c r="BQ62" s="205" t="e">
        <f>('Expenditure DATA'!AK64/'Expenditure DATA'!F64)*100</f>
        <v>#DIV/0!</v>
      </c>
      <c r="BR62" s="205" t="e">
        <f>('Expenditure DATA'!AL64/'Expenditure DATA'!G64)*100</f>
        <v>#DIV/0!</v>
      </c>
      <c r="BS62" s="205" t="e">
        <f>('Expenditure DATA'!AM64/'Expenditure DATA'!H64)*100</f>
        <v>#DIV/0!</v>
      </c>
      <c r="BT62" s="205" t="e">
        <f>('Expenditure DATA'!AN64/'Expenditure DATA'!I64)*100</f>
        <v>#DIV/0!</v>
      </c>
      <c r="BU62" s="205">
        <f>('Expenditure DATA'!AO64/'Expenditure DATA'!J64)*100</f>
        <v>17.249902607434077</v>
      </c>
      <c r="BV62" s="205">
        <f>('Expenditure DATA'!AP64/'Expenditure DATA'!K64)*100</f>
        <v>17.270255228474806</v>
      </c>
      <c r="BW62" s="205">
        <f>('Expenditure DATA'!AQ64/'Expenditure DATA'!L64)*100</f>
        <v>17.288751204692758</v>
      </c>
      <c r="BX62" s="205">
        <f>('Expenditure DATA'!AR64/'Expenditure DATA'!M64)*100</f>
        <v>16.566381915963845</v>
      </c>
      <c r="BY62" s="205">
        <f>('Expenditure DATA'!AS64/'Expenditure DATA'!N64)*100</f>
        <v>16.682931412738512</v>
      </c>
      <c r="BZ62" s="205">
        <f>('Expenditure DATA'!AT64/'Expenditure DATA'!O64)*100</f>
        <v>16.899939281655275</v>
      </c>
      <c r="CA62" s="205">
        <f>('Expenditure DATA'!AU64/'Expenditure DATA'!P64)*100</f>
        <v>16.479989826753631</v>
      </c>
      <c r="CB62" s="205">
        <f>('Expenditure DATA'!AV64/'Expenditure DATA'!Q64)*100</f>
        <v>16.024711665712587</v>
      </c>
      <c r="CC62" s="205">
        <f>('Expenditure DATA'!AW64/'Expenditure DATA'!R64)*100</f>
        <v>17.439334737708091</v>
      </c>
      <c r="CD62" s="205">
        <f>('Expenditure DATA'!AX64/'Expenditure DATA'!S64)*100</f>
        <v>17.282403967444836</v>
      </c>
      <c r="CE62" s="205">
        <f>('Expenditure DATA'!AY64/'Expenditure DATA'!T64)*100</f>
        <v>19.302965661678929</v>
      </c>
      <c r="CF62" s="205">
        <f>('Expenditure DATA'!AZ64/'Expenditure DATA'!U64)*100</f>
        <v>19.378369288739268</v>
      </c>
      <c r="CG62" s="205">
        <f>('Expenditure DATA'!BA64/'Expenditure DATA'!V64)*100</f>
        <v>19.44123361770389</v>
      </c>
      <c r="CH62" s="205">
        <f>('Expenditure DATA'!BB64/'Expenditure DATA'!W64)*100</f>
        <v>20.138216317232533</v>
      </c>
      <c r="CI62" s="205">
        <f>('Expenditure DATA'!BC64/'Expenditure DATA'!X64)*100</f>
        <v>20.778887158286366</v>
      </c>
      <c r="CJ62" s="205">
        <f>('Expenditure DATA'!BD64/'Expenditure DATA'!Y64)*100</f>
        <v>18.832517405051277</v>
      </c>
      <c r="CK62" s="205">
        <f>('Expenditure DATA'!BE64/'Expenditure DATA'!Z64)*100</f>
        <v>19.087206519205608</v>
      </c>
      <c r="CL62" s="205">
        <f>('Expenditure DATA'!BF64/'Expenditure DATA'!AA64)*100</f>
        <v>18.767775473781711</v>
      </c>
      <c r="CM62" s="205">
        <f>('Expenditure DATA'!BG64/'Expenditure DATA'!AB64)*100</f>
        <v>21.418931195899965</v>
      </c>
      <c r="CN62" s="205">
        <f>('Expenditure DATA'!BH64/'Expenditure DATA'!AC64)*100</f>
        <v>22.574959857465643</v>
      </c>
      <c r="CO62" s="205">
        <f>('Expenditure DATA'!BI64/'Expenditure DATA'!AD64)*100</f>
        <v>23.062680363142178</v>
      </c>
      <c r="CP62" s="205">
        <f>('Expenditure DATA'!BJ64/'Expenditure DATA'!AE64)*100</f>
        <v>23.302006298786807</v>
      </c>
      <c r="CQ62" s="465">
        <f>('Expenditure DATA'!BK64/'Expenditure DATA'!AF64)*100</f>
        <v>22.639497507164151</v>
      </c>
      <c r="CR62" s="206" t="e">
        <f>('Expenditure DATA'!FA64/'Expenditure DATA'!B64)*100</f>
        <v>#DIV/0!</v>
      </c>
      <c r="CS62" s="205" t="e">
        <f>('Expenditure DATA'!FB64/'Expenditure DATA'!C64)*100</f>
        <v>#DIV/0!</v>
      </c>
      <c r="CT62" s="205" t="e">
        <f>('Expenditure DATA'!FC64/'Expenditure DATA'!D64)*100</f>
        <v>#DIV/0!</v>
      </c>
      <c r="CU62" s="205" t="e">
        <f>('Expenditure DATA'!FD64/'Expenditure DATA'!E64)*100</f>
        <v>#DIV/0!</v>
      </c>
      <c r="CV62" s="205" t="e">
        <f>('Expenditure DATA'!FE64/'Expenditure DATA'!F64)*100</f>
        <v>#DIV/0!</v>
      </c>
      <c r="CW62" s="205" t="e">
        <f>('Expenditure DATA'!FF64/'Expenditure DATA'!G64)*100</f>
        <v>#DIV/0!</v>
      </c>
      <c r="CX62" s="205" t="e">
        <f>('Expenditure DATA'!FG64/'Expenditure DATA'!H64)*100</f>
        <v>#DIV/0!</v>
      </c>
      <c r="CY62" s="205" t="e">
        <f>('Expenditure DATA'!FH64/'Expenditure DATA'!I64)*100</f>
        <v>#DIV/0!</v>
      </c>
      <c r="CZ62" s="205">
        <f>('Expenditure DATA'!FI64/'Expenditure DATA'!J64)*100</f>
        <v>28.023112512170968</v>
      </c>
      <c r="DA62" s="205">
        <f>('Expenditure DATA'!FJ64/'Expenditure DATA'!K64)*100</f>
        <v>30.179218847582913</v>
      </c>
      <c r="DB62" s="205">
        <f>('Expenditure DATA'!FK64/'Expenditure DATA'!L64)*100</f>
        <v>32.138636822464171</v>
      </c>
      <c r="DC62" s="205">
        <f>('Expenditure DATA'!FL64/'Expenditure DATA'!M64)*100</f>
        <v>33.911615105121776</v>
      </c>
      <c r="DD62" s="205">
        <f>('Expenditure DATA'!FM64/'Expenditure DATA'!N64)*100</f>
        <v>35.43403490984101</v>
      </c>
      <c r="DE62" s="205">
        <f>('Expenditure DATA'!FN64/'Expenditure DATA'!O64)*100</f>
        <v>36.630752296340837</v>
      </c>
      <c r="DF62" s="205">
        <f>('Expenditure DATA'!FO64/'Expenditure DATA'!P64)*100</f>
        <v>38.644711322182602</v>
      </c>
      <c r="DG62" s="205">
        <f>('Expenditure DATA'!FP64/'Expenditure DATA'!Q64)*100</f>
        <v>37.860807063849848</v>
      </c>
      <c r="DH62" s="205">
        <f>('Expenditure DATA'!FQ64/'Expenditure DATA'!R64)*100</f>
        <v>36.876580426799997</v>
      </c>
      <c r="DI62" s="205">
        <f>('Expenditure DATA'!FR64/'Expenditure DATA'!S64)*100</f>
        <v>38.053882773755419</v>
      </c>
      <c r="DJ62" s="205">
        <f>('Expenditure DATA'!FS64/'Expenditure DATA'!T64)*100</f>
        <v>36.724903289421327</v>
      </c>
      <c r="DK62" s="205">
        <f>('Expenditure DATA'!FT64/'Expenditure DATA'!U64)*100</f>
        <v>34.580040582149906</v>
      </c>
      <c r="DL62" s="205">
        <f>('Expenditure DATA'!FU64/'Expenditure DATA'!V64)*100</f>
        <v>32.791859296043299</v>
      </c>
      <c r="DM62" s="205">
        <f>('Expenditure DATA'!FV64/'Expenditure DATA'!W64)*100</f>
        <v>35.400341518280655</v>
      </c>
      <c r="DN62" s="205">
        <f>('Expenditure DATA'!FW64/'Expenditure DATA'!X64)*100</f>
        <v>37.798074633213005</v>
      </c>
      <c r="DO62" s="205">
        <f>('Expenditure DATA'!FX64/'Expenditure DATA'!Y64)*100</f>
        <v>33.297010548285861</v>
      </c>
      <c r="DP62" s="205">
        <f>('Expenditure DATA'!FY64/'Expenditure DATA'!Z64)*100</f>
        <v>31.199112122561228</v>
      </c>
      <c r="DQ62" s="205">
        <f>('Expenditure DATA'!FZ64/'Expenditure DATA'!AA64)*100</f>
        <v>31.846267320013659</v>
      </c>
      <c r="DR62" s="205">
        <f>('Expenditure DATA'!GA64/'Expenditure DATA'!AB64)*100</f>
        <v>30.132715430767881</v>
      </c>
      <c r="DS62" s="205">
        <f>('Expenditure DATA'!GB64/'Expenditure DATA'!AC64)*100</f>
        <v>32.352061518150308</v>
      </c>
      <c r="DT62" s="205">
        <f>('Expenditure DATA'!GC64/'Expenditure DATA'!AD64)*100</f>
        <v>31.047908754558268</v>
      </c>
      <c r="DU62" s="205">
        <f>('Expenditure DATA'!GD64/'Expenditure DATA'!AE64)*100</f>
        <v>33.666811355687337</v>
      </c>
      <c r="DV62" s="465">
        <f>('Expenditure DATA'!GE64/'Expenditure DATA'!AF64)*100</f>
        <v>33.341232352960027</v>
      </c>
      <c r="DW62" s="206" t="e">
        <f>('Expenditure DATA'!GF64/'Expenditure DATA'!B64)*100</f>
        <v>#DIV/0!</v>
      </c>
      <c r="DX62" s="205" t="e">
        <f>('Expenditure DATA'!GG64/'Expenditure DATA'!C64)*100</f>
        <v>#DIV/0!</v>
      </c>
      <c r="DY62" s="205" t="e">
        <f>('Expenditure DATA'!GH64/'Expenditure DATA'!D64)*100</f>
        <v>#DIV/0!</v>
      </c>
      <c r="DZ62" s="205" t="e">
        <f>('Expenditure DATA'!GI64/'Expenditure DATA'!E64)*100</f>
        <v>#DIV/0!</v>
      </c>
      <c r="EA62" s="205" t="e">
        <f>('Expenditure DATA'!GJ64/'Expenditure DATA'!F64)*100</f>
        <v>#DIV/0!</v>
      </c>
      <c r="EB62" s="205" t="e">
        <f>('Expenditure DATA'!GK64/'Expenditure DATA'!G64)*100</f>
        <v>#DIV/0!</v>
      </c>
      <c r="EC62" s="205" t="e">
        <f>('Expenditure DATA'!GL64/'Expenditure DATA'!H64)*100</f>
        <v>#DIV/0!</v>
      </c>
      <c r="ED62" s="205" t="e">
        <f>('Expenditure DATA'!GM64/'Expenditure DATA'!I64)*100</f>
        <v>#DIV/0!</v>
      </c>
      <c r="EE62" s="205">
        <f>('Expenditure DATA'!GN64/'Expenditure DATA'!J64)*100</f>
        <v>35.469924727860544</v>
      </c>
      <c r="EF62" s="205">
        <f>('Expenditure DATA'!GO64/'Expenditure DATA'!K64)*100</f>
        <v>32.347428522157813</v>
      </c>
      <c r="EG62" s="205">
        <f>('Expenditure DATA'!GP64/'Expenditure DATA'!L64)*100</f>
        <v>29.509778499306066</v>
      </c>
      <c r="EH62" s="205">
        <f>('Expenditure DATA'!GQ64/'Expenditure DATA'!M64)*100</f>
        <v>29.421620585769677</v>
      </c>
      <c r="EI62" s="205">
        <f>('Expenditure DATA'!GR64/'Expenditure DATA'!N64)*100</f>
        <v>29.429437369437721</v>
      </c>
      <c r="EJ62" s="205">
        <f>('Expenditure DATA'!GS64/'Expenditure DATA'!O64)*100</f>
        <v>27.443111697820161</v>
      </c>
      <c r="EK62" s="205">
        <f>('Expenditure DATA'!GT64/'Expenditure DATA'!P64)*100</f>
        <v>25.183135166971748</v>
      </c>
      <c r="EL62" s="205">
        <f>('Expenditure DATA'!GU64/'Expenditure DATA'!Q64)*100</f>
        <v>27.235741043220507</v>
      </c>
      <c r="EM62" s="205">
        <f>('Expenditure DATA'!GV64/'Expenditure DATA'!R64)*100</f>
        <v>27.611187277460413</v>
      </c>
      <c r="EN62" s="205">
        <f>('Expenditure DATA'!GW64/'Expenditure DATA'!S64)*100</f>
        <v>26.710658188038909</v>
      </c>
      <c r="EO62" s="205">
        <f>('Expenditure DATA'!GX64/'Expenditure DATA'!T64)*100</f>
        <v>27.41824971806901</v>
      </c>
      <c r="EP62" s="205">
        <f>('Expenditure DATA'!GY64/'Expenditure DATA'!U64)*100</f>
        <v>25.512825524906795</v>
      </c>
      <c r="EQ62" s="205">
        <f>('Expenditure DATA'!GZ64/'Expenditure DATA'!V64)*100</f>
        <v>23.924265160294016</v>
      </c>
      <c r="ER62" s="205">
        <f>('Expenditure DATA'!HA64/'Expenditure DATA'!W64)*100</f>
        <v>24.221066432374048</v>
      </c>
      <c r="ES62" s="205">
        <f>('Expenditure DATA'!HB64/'Expenditure DATA'!X64)*100</f>
        <v>24.493888011357221</v>
      </c>
      <c r="ET62" s="205">
        <f>('Expenditure DATA'!HC64/'Expenditure DATA'!Y64)*100</f>
        <v>22.769955157879192</v>
      </c>
      <c r="EU62" s="205">
        <f>('Expenditure DATA'!HD64/'Expenditure DATA'!Z64)*100</f>
        <v>30.59607096618695</v>
      </c>
      <c r="EV62" s="205">
        <f>('Expenditure DATA'!HE64/'Expenditure DATA'!AA64)*100</f>
        <v>28.937595771915003</v>
      </c>
      <c r="EW62" s="205">
        <f>('Expenditure DATA'!HF64/'Expenditure DATA'!AB64)*100</f>
        <v>31.420289257823843</v>
      </c>
      <c r="EX62" s="205">
        <f>('Expenditure DATA'!HG64/'Expenditure DATA'!AC64)*100</f>
        <v>27.738308751970138</v>
      </c>
      <c r="EY62" s="205">
        <f>('Expenditure DATA'!HH64/'Expenditure DATA'!AD64)*100</f>
        <v>29.40583252579313</v>
      </c>
      <c r="EZ62" s="205">
        <f>('Expenditure DATA'!HI64/'Expenditure DATA'!AE64)*100</f>
        <v>27.53089598451378</v>
      </c>
      <c r="FA62" s="465">
        <f>('Expenditure DATA'!HJ64/'Expenditure DATA'!AF64)*100</f>
        <v>28.25259782839818</v>
      </c>
      <c r="FB62" s="206" t="e">
        <f>('Expenditure DATA'!HK64/'Expenditure DATA'!B64)*100</f>
        <v>#DIV/0!</v>
      </c>
      <c r="FC62" s="205" t="e">
        <f>('Expenditure DATA'!HL64/'Expenditure DATA'!C64)*100</f>
        <v>#DIV/0!</v>
      </c>
      <c r="FD62" s="205" t="e">
        <f>('Expenditure DATA'!HM64/'Expenditure DATA'!D64)*100</f>
        <v>#DIV/0!</v>
      </c>
      <c r="FE62" s="205" t="e">
        <f>('Expenditure DATA'!HN64/'Expenditure DATA'!E64)*100</f>
        <v>#DIV/0!</v>
      </c>
      <c r="FF62" s="205" t="e">
        <f>('Expenditure DATA'!HO64/'Expenditure DATA'!F64)*100</f>
        <v>#DIV/0!</v>
      </c>
      <c r="FG62" s="205" t="e">
        <f>('Expenditure DATA'!HP64/'Expenditure DATA'!G64)*100</f>
        <v>#DIV/0!</v>
      </c>
      <c r="FH62" s="205" t="e">
        <f>('Expenditure DATA'!HQ64/'Expenditure DATA'!H64)*100</f>
        <v>#DIV/0!</v>
      </c>
      <c r="FI62" s="205" t="e">
        <f>('Expenditure DATA'!HR64/'Expenditure DATA'!I64)*100</f>
        <v>#DIV/0!</v>
      </c>
      <c r="FJ62" s="205">
        <f>('Expenditure DATA'!HS64/'Expenditure DATA'!J64)*100</f>
        <v>6.551049376911469</v>
      </c>
      <c r="FK62" s="205">
        <f>('Expenditure DATA'!HT64/'Expenditure DATA'!K64)*100</f>
        <v>6.2972417492494799</v>
      </c>
      <c r="FL62" s="205">
        <f>('Expenditure DATA'!HU64/'Expenditure DATA'!L64)*100</f>
        <v>6.0665874352043163</v>
      </c>
      <c r="FM62" s="205">
        <f>('Expenditure DATA'!HV64/'Expenditure DATA'!M64)*100</f>
        <v>6.2255330215185296</v>
      </c>
      <c r="FN62" s="205">
        <f>('Expenditure DATA'!HW64/'Expenditure DATA'!N64)*100</f>
        <v>6.4334973647178124</v>
      </c>
      <c r="FO62" s="205">
        <f>('Expenditure DATA'!HX64/'Expenditure DATA'!O64)*100</f>
        <v>6.4298937812378218</v>
      </c>
      <c r="FP62" s="205">
        <f>('Expenditure DATA'!HY64/'Expenditure DATA'!P64)*100</f>
        <v>7.3849020036227859</v>
      </c>
      <c r="FQ62" s="205">
        <f>('Expenditure DATA'!HZ64/'Expenditure DATA'!Q64)*100</f>
        <v>7.0288617974309506</v>
      </c>
      <c r="FR62" s="205">
        <f>('Expenditure DATA'!IA64/'Expenditure DATA'!R64)*100</f>
        <v>6.7440749291263753</v>
      </c>
      <c r="FS62" s="205">
        <f>('Expenditure DATA'!IB64/'Expenditure DATA'!S64)*100</f>
        <v>8.3823288002626519</v>
      </c>
      <c r="FT62" s="205">
        <f>('Expenditure DATA'!IC64/'Expenditure DATA'!T64)*100</f>
        <v>6.2097217181000666</v>
      </c>
      <c r="FU62" s="205">
        <f>('Expenditure DATA'!ID64/'Expenditure DATA'!U64)*100</f>
        <v>6.2018431140644692</v>
      </c>
      <c r="FV62" s="205">
        <f>('Expenditure DATA'!IE64/'Expenditure DATA'!V64)*100</f>
        <v>6.1952746879133036</v>
      </c>
      <c r="FW62" s="205">
        <f>('Expenditure DATA'!IF64/'Expenditure DATA'!W64)*100</f>
        <v>6.4190462785792146</v>
      </c>
      <c r="FX62" s="205">
        <f>('Expenditure DATA'!IG64/'Expenditure DATA'!X64)*100</f>
        <v>6.6247385192802195</v>
      </c>
      <c r="FY62" s="205">
        <f>('Expenditure DATA'!IH64/'Expenditure DATA'!Y64)*100</f>
        <v>5.7552380801194865</v>
      </c>
      <c r="FZ62" s="205">
        <f>('Expenditure DATA'!II64/'Expenditure DATA'!Z64)*100</f>
        <v>5.6408425606585793</v>
      </c>
      <c r="GA62" s="205">
        <f>('Expenditure DATA'!IJ64/'Expenditure DATA'!AA64)*100</f>
        <v>6.2282536214239013</v>
      </c>
      <c r="GB62" s="205">
        <f>('Expenditure DATA'!IK64/'Expenditure DATA'!AB64)*100</f>
        <v>4.7364235954361629</v>
      </c>
      <c r="GC62" s="205">
        <f>('Expenditure DATA'!IL64/'Expenditure DATA'!AC64)*100</f>
        <v>6.0056170941796427</v>
      </c>
      <c r="GD62" s="205">
        <f>('Expenditure DATA'!IM64/'Expenditure DATA'!AD64)*100</f>
        <v>5.7453513372670981</v>
      </c>
      <c r="GE62" s="205">
        <f>('Expenditure DATA'!IN64/'Expenditure DATA'!AE64)*100</f>
        <v>4.8278791221446227</v>
      </c>
      <c r="GF62" s="465">
        <f>('Expenditure DATA'!IO64/'Expenditure DATA'!AF64)*100</f>
        <v>4.0878959306176865</v>
      </c>
      <c r="GG62" s="206" t="e">
        <f>('Expenditure DATA'!IP64/'Expenditure DATA'!B64)*100</f>
        <v>#DIV/0!</v>
      </c>
      <c r="GH62" s="205" t="e">
        <f>('Expenditure DATA'!IQ64/'Expenditure DATA'!C64)*100</f>
        <v>#DIV/0!</v>
      </c>
      <c r="GI62" s="205" t="e">
        <f>('Expenditure DATA'!IR64/'Expenditure DATA'!D64)*100</f>
        <v>#DIV/0!</v>
      </c>
      <c r="GJ62" s="205" t="e">
        <f>('Expenditure DATA'!IS64/'Expenditure DATA'!E64)*100</f>
        <v>#DIV/0!</v>
      </c>
      <c r="GK62" s="205" t="e">
        <f>('Expenditure DATA'!IT64/'Expenditure DATA'!F64)*100</f>
        <v>#DIV/0!</v>
      </c>
      <c r="GL62" s="205" t="e">
        <f>('Expenditure DATA'!IU64/'Expenditure DATA'!G64)*100</f>
        <v>#DIV/0!</v>
      </c>
      <c r="GM62" s="205" t="e">
        <f>('Expenditure DATA'!IV64/'Expenditure DATA'!H64)*100</f>
        <v>#DIV/0!</v>
      </c>
      <c r="GN62" s="205" t="e">
        <f>('Expenditure DATA'!IW64/'Expenditure DATA'!I64)*100</f>
        <v>#DIV/0!</v>
      </c>
      <c r="GO62" s="205">
        <f>('Expenditure DATA'!IX64/'Expenditure DATA'!J64)*100</f>
        <v>12.706010775622953</v>
      </c>
      <c r="GP62" s="205">
        <f>('Expenditure DATA'!IY64/'Expenditure DATA'!K64)*100</f>
        <v>13.905855652534999</v>
      </c>
      <c r="GQ62" s="205">
        <f>('Expenditure DATA'!IZ64/'Expenditure DATA'!L64)*100</f>
        <v>14.996246038332684</v>
      </c>
      <c r="GR62" s="205">
        <f>('Expenditure DATA'!JA64/'Expenditure DATA'!M64)*100</f>
        <v>13.874849371626164</v>
      </c>
      <c r="GS62" s="205">
        <f>('Expenditure DATA'!JB64/'Expenditure DATA'!N64)*100</f>
        <v>12.020098943264953</v>
      </c>
      <c r="GT62" s="205">
        <f>('Expenditure DATA'!JC64/'Expenditure DATA'!O64)*100</f>
        <v>12.596302942945901</v>
      </c>
      <c r="GU62" s="205">
        <f>('Expenditure DATA'!JD64/'Expenditure DATA'!P64)*100</f>
        <v>12.307261680469232</v>
      </c>
      <c r="GV62" s="205">
        <f>('Expenditure DATA'!JE64/'Expenditure DATA'!Q64)*100</f>
        <v>11.849878429786111</v>
      </c>
      <c r="GW62" s="205">
        <f>('Expenditure DATA'!JF64/'Expenditure DATA'!R64)*100</f>
        <v>11.328822628905122</v>
      </c>
      <c r="GX62" s="205">
        <f>('Expenditure DATA'!JG64/'Expenditure DATA'!S64)*100</f>
        <v>9.5707262704981773</v>
      </c>
      <c r="GY62" s="205">
        <f>('Expenditure DATA'!JH64/'Expenditure DATA'!T64)*100</f>
        <v>10.344159612730664</v>
      </c>
      <c r="GZ62" s="205">
        <f>('Expenditure DATA'!JI64/'Expenditure DATA'!U64)*100</f>
        <v>14.326921490139553</v>
      </c>
      <c r="HA62" s="205">
        <f>('Expenditure DATA'!JJ64/'Expenditure DATA'!V64)*100</f>
        <v>17.64736723804549</v>
      </c>
      <c r="HB62" s="205">
        <f>('Expenditure DATA'!JK64/'Expenditure DATA'!W64)*100</f>
        <v>13.821329453533549</v>
      </c>
      <c r="HC62" s="205">
        <f>('Expenditure DATA'!JL64/'Expenditure DATA'!X64)*100</f>
        <v>10.30441167786319</v>
      </c>
      <c r="HD62" s="205">
        <f>('Expenditure DATA'!JM64/'Expenditure DATA'!Y64)*100</f>
        <v>19.345278808664183</v>
      </c>
      <c r="HE62" s="205">
        <f>('Expenditure DATA'!JN64/'Expenditure DATA'!Z64)*100</f>
        <v>13.476767831387637</v>
      </c>
      <c r="HF62" s="205">
        <f>('Expenditure DATA'!JO64/'Expenditure DATA'!AA64)*100</f>
        <v>14.220107812865731</v>
      </c>
      <c r="HG62" s="205">
        <f>('Expenditure DATA'!JP64/'Expenditure DATA'!AB64)*100</f>
        <v>12.291640520072155</v>
      </c>
      <c r="HH62" s="205">
        <f>('Expenditure DATA'!JQ64/'Expenditure DATA'!AC64)*100</f>
        <v>11.329052778234274</v>
      </c>
      <c r="HI62" s="205">
        <f>('Expenditure DATA'!JR64/'Expenditure DATA'!AD64)*100</f>
        <v>10.738227019239321</v>
      </c>
      <c r="HJ62" s="205">
        <f>('Expenditure DATA'!JS64/'Expenditure DATA'!AE64)*100</f>
        <v>10.672407238867452</v>
      </c>
      <c r="HK62" s="465">
        <f>('Expenditure DATA'!JT64/'Expenditure DATA'!AF64)*100</f>
        <v>11.678776380859949</v>
      </c>
      <c r="HL62" s="206" t="e">
        <f t="shared" si="1"/>
        <v>#DIV/0!</v>
      </c>
      <c r="HM62" s="207" t="e">
        <f t="shared" si="2"/>
        <v>#DIV/0!</v>
      </c>
      <c r="HN62" s="207" t="e">
        <f t="shared" si="3"/>
        <v>#DIV/0!</v>
      </c>
      <c r="HO62" s="207" t="e">
        <f t="shared" si="4"/>
        <v>#DIV/0!</v>
      </c>
      <c r="HP62" s="207" t="e">
        <f t="shared" si="5"/>
        <v>#DIV/0!</v>
      </c>
      <c r="HQ62" s="207" t="e">
        <f t="shared" si="6"/>
        <v>#DIV/0!</v>
      </c>
      <c r="HR62" s="207" t="e">
        <f t="shared" si="7"/>
        <v>#DIV/0!</v>
      </c>
      <c r="HS62" s="207" t="e">
        <f t="shared" si="8"/>
        <v>#DIV/0!</v>
      </c>
      <c r="HT62" s="207">
        <f t="shared" si="9"/>
        <v>100.00000000000001</v>
      </c>
      <c r="HU62" s="207">
        <f t="shared" si="10"/>
        <v>100</v>
      </c>
      <c r="HV62" s="207">
        <f t="shared" si="11"/>
        <v>99.999999999999986</v>
      </c>
      <c r="HW62" s="207">
        <f t="shared" si="12"/>
        <v>100</v>
      </c>
      <c r="HX62" s="207">
        <f t="shared" si="13"/>
        <v>100</v>
      </c>
      <c r="HY62" s="207">
        <f t="shared" si="14"/>
        <v>99.999999999999986</v>
      </c>
      <c r="HZ62" s="207">
        <f t="shared" si="15"/>
        <v>100</v>
      </c>
      <c r="IA62" s="207">
        <f t="shared" si="16"/>
        <v>100</v>
      </c>
      <c r="IB62" s="207">
        <f t="shared" si="17"/>
        <v>100</v>
      </c>
      <c r="IC62" s="207">
        <f t="shared" si="18"/>
        <v>100</v>
      </c>
      <c r="ID62" s="207">
        <f t="shared" si="19"/>
        <v>100</v>
      </c>
      <c r="IE62" s="207">
        <f t="shared" si="20"/>
        <v>99.999999999999986</v>
      </c>
      <c r="IF62" s="207">
        <f t="shared" si="21"/>
        <v>99.999999999999986</v>
      </c>
      <c r="IG62" s="207">
        <f t="shared" si="22"/>
        <v>100</v>
      </c>
      <c r="IH62" s="207">
        <f t="shared" si="23"/>
        <v>100</v>
      </c>
      <c r="II62" s="207">
        <f t="shared" si="24"/>
        <v>100</v>
      </c>
      <c r="IJ62" s="207">
        <f t="shared" si="25"/>
        <v>100.00000000000001</v>
      </c>
      <c r="IK62" s="207">
        <f t="shared" si="26"/>
        <v>100.00000000000001</v>
      </c>
      <c r="IL62" s="207">
        <f t="shared" si="42"/>
        <v>100</v>
      </c>
      <c r="IM62" s="207">
        <f t="shared" si="43"/>
        <v>100</v>
      </c>
      <c r="IN62" s="207">
        <f t="shared" si="44"/>
        <v>99.999999999999986</v>
      </c>
      <c r="IO62" s="207">
        <f t="shared" si="45"/>
        <v>100</v>
      </c>
      <c r="IP62" s="207">
        <f t="shared" si="46"/>
        <v>100</v>
      </c>
    </row>
  </sheetData>
  <phoneticPr fontId="8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</sheetPr>
  <dimension ref="A1:AT26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E16" sqref="AE16"/>
    </sheetView>
  </sheetViews>
  <sheetFormatPr defaultRowHeight="12.75"/>
  <cols>
    <col min="1" max="1" width="16.85546875" style="1" customWidth="1"/>
    <col min="2" max="3" width="12.28515625" style="26" customWidth="1"/>
    <col min="4" max="7" width="10.85546875" style="26" customWidth="1"/>
    <col min="8" max="8" width="12" style="26" customWidth="1"/>
    <col min="9" max="16" width="10.85546875" style="26" customWidth="1"/>
    <col min="17" max="23" width="9.140625" style="156"/>
    <col min="24" max="44" width="8.85546875" style="156" customWidth="1"/>
  </cols>
  <sheetData>
    <row r="1" spans="1:46">
      <c r="A1" s="3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AS1" s="156"/>
      <c r="AT1" s="156"/>
    </row>
    <row r="2" spans="1:46">
      <c r="A2" s="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405"/>
      <c r="N2" s="405"/>
      <c r="O2" s="24"/>
      <c r="P2" s="24"/>
      <c r="AS2" s="156"/>
      <c r="AT2" s="156"/>
    </row>
    <row r="3" spans="1:46">
      <c r="A3" s="64"/>
      <c r="B3" s="182" t="s">
        <v>101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99"/>
      <c r="N3" s="99"/>
      <c r="O3" s="183"/>
      <c r="P3" s="99"/>
      <c r="Q3" s="155" t="s">
        <v>92</v>
      </c>
      <c r="AF3" s="155" t="s">
        <v>106</v>
      </c>
      <c r="AS3" s="156"/>
      <c r="AT3" s="156"/>
    </row>
    <row r="4" spans="1:46" s="114" customFormat="1">
      <c r="A4" s="113"/>
      <c r="B4" s="110">
        <v>1997</v>
      </c>
      <c r="C4" s="110">
        <v>1998</v>
      </c>
      <c r="D4" s="110">
        <v>1999</v>
      </c>
      <c r="E4" s="110">
        <v>2000</v>
      </c>
      <c r="F4" s="110">
        <v>2001</v>
      </c>
      <c r="G4" s="110">
        <v>2002</v>
      </c>
      <c r="H4" s="110">
        <v>2003</v>
      </c>
      <c r="I4" s="110">
        <v>2004</v>
      </c>
      <c r="J4" s="110">
        <v>2005</v>
      </c>
      <c r="K4" s="110">
        <v>2006</v>
      </c>
      <c r="L4" s="110">
        <v>2007</v>
      </c>
      <c r="M4" s="110">
        <v>2008</v>
      </c>
      <c r="N4" s="110">
        <v>2009</v>
      </c>
      <c r="O4" s="110">
        <v>2010</v>
      </c>
      <c r="P4" s="454">
        <v>2011</v>
      </c>
      <c r="Q4" s="157" t="s">
        <v>81</v>
      </c>
      <c r="R4" s="157" t="s">
        <v>82</v>
      </c>
      <c r="S4" s="157" t="s">
        <v>84</v>
      </c>
      <c r="T4" s="157" t="s">
        <v>97</v>
      </c>
      <c r="U4" s="157" t="s">
        <v>95</v>
      </c>
      <c r="V4" s="157" t="s">
        <v>100</v>
      </c>
      <c r="W4" s="157" t="s">
        <v>99</v>
      </c>
      <c r="X4" s="157" t="s">
        <v>104</v>
      </c>
      <c r="Y4" s="157" t="s">
        <v>105</v>
      </c>
      <c r="Z4" s="157" t="s">
        <v>107</v>
      </c>
      <c r="AA4" s="157" t="s">
        <v>130</v>
      </c>
      <c r="AB4" s="157" t="s">
        <v>143</v>
      </c>
      <c r="AC4" s="157" t="s">
        <v>146</v>
      </c>
      <c r="AD4" s="157" t="s">
        <v>150</v>
      </c>
      <c r="AE4" s="454" t="s">
        <v>152</v>
      </c>
      <c r="AF4" s="291" t="s">
        <v>81</v>
      </c>
      <c r="AG4" s="157" t="s">
        <v>82</v>
      </c>
      <c r="AH4" s="157" t="s">
        <v>84</v>
      </c>
      <c r="AI4" s="157" t="s">
        <v>97</v>
      </c>
      <c r="AJ4" s="157" t="s">
        <v>95</v>
      </c>
      <c r="AK4" s="157" t="s">
        <v>100</v>
      </c>
      <c r="AL4" s="157" t="s">
        <v>99</v>
      </c>
      <c r="AM4" s="157" t="s">
        <v>104</v>
      </c>
      <c r="AN4" s="157" t="s">
        <v>105</v>
      </c>
      <c r="AO4" s="157" t="s">
        <v>107</v>
      </c>
      <c r="AP4" s="157" t="s">
        <v>130</v>
      </c>
      <c r="AQ4" s="157" t="s">
        <v>143</v>
      </c>
      <c r="AR4" s="157" t="s">
        <v>146</v>
      </c>
      <c r="AS4" s="157" t="s">
        <v>150</v>
      </c>
      <c r="AT4" s="454" t="s">
        <v>154</v>
      </c>
    </row>
    <row r="5" spans="1:46">
      <c r="A5" s="396" t="s">
        <v>145</v>
      </c>
      <c r="B5" s="266">
        <f>+'[1]Jul-1 ResPop-both sexes'!BQ3</f>
        <v>267783607</v>
      </c>
      <c r="C5" s="266">
        <f>+'[1]Jul-1 ResPop-both sexes'!BR3</f>
        <v>270248003</v>
      </c>
      <c r="D5" s="266">
        <f>+'[1]Jul-1 ResPop-both sexes'!BS3</f>
        <v>272690813</v>
      </c>
      <c r="E5" s="266">
        <f>+'[1]Jul-1 ResPop-both sexes'!BT3</f>
        <v>282162411</v>
      </c>
      <c r="F5" s="266">
        <f>+'[1]Jul-1 ResPop-both sexes'!BU3</f>
        <v>284968955</v>
      </c>
      <c r="G5" s="266">
        <f>+'[1]Jul-1 ResPop-both sexes'!BV3</f>
        <v>287625193</v>
      </c>
      <c r="H5" s="266">
        <f>+'[1]Jul-1 ResPop-both sexes'!BW3</f>
        <v>290107933</v>
      </c>
      <c r="I5" s="266">
        <f>+'[1]Jul-1 ResPop-both sexes'!BX3</f>
        <v>292805298</v>
      </c>
      <c r="J5" s="266">
        <f>+'[1]Jul-1 ResPop-both sexes'!BY3</f>
        <v>295516599</v>
      </c>
      <c r="K5" s="266">
        <f>+'[1]Jul-1 ResPop-both sexes'!BZ3</f>
        <v>298379912</v>
      </c>
      <c r="L5" s="266">
        <f>+'[1]Jul-1 ResPop-both sexes'!CA3</f>
        <v>301231207</v>
      </c>
      <c r="M5" s="266">
        <f>+'[1]Jul-1 ResPop-both sexes'!CB3</f>
        <v>304093966</v>
      </c>
      <c r="N5" s="266">
        <f>+'[1]Jul-1 ResPop-both sexes'!CC3</f>
        <v>306771529</v>
      </c>
      <c r="O5" s="266">
        <f>+'[1]Jul-1 ResPop-both sexes'!CD3</f>
        <v>309326225</v>
      </c>
      <c r="P5" s="455">
        <f>+'[1]Jul-1 ResPop-both sexes'!CE3</f>
        <v>311587816</v>
      </c>
      <c r="Q5" s="406">
        <f>('Expenditure DATA'!R5*1000000)/'Per-Capita Data'!B5</f>
        <v>4922.041758889296</v>
      </c>
      <c r="R5" s="406">
        <f>('Expenditure DATA'!S5*1000000)/'Per-Capita Data'!C5</f>
        <v>5189.1919401158348</v>
      </c>
      <c r="S5" s="406">
        <f>('Expenditure DATA'!T5*1000000)/'Per-Capita Data'!D5</f>
        <v>5525.6599128625576</v>
      </c>
      <c r="T5" s="406">
        <f>('Expenditure DATA'!U5*1000000)/'Per-Capita Data'!E5</f>
        <v>5744.9060144301084</v>
      </c>
      <c r="U5" s="406">
        <f>('Expenditure DATA'!V5*1000000)/'Per-Capita Data'!F5</f>
        <v>6089.0715972903081</v>
      </c>
      <c r="V5" s="406">
        <f>('Expenditure DATA'!W5*1000000)/'Per-Capita Data'!G5</f>
        <v>6333.0873975284912</v>
      </c>
      <c r="W5" s="406">
        <f>('Expenditure DATA'!X5*1000000)/'Per-Capita Data'!H5</f>
        <v>6576.5681767826736</v>
      </c>
      <c r="X5" s="406">
        <f>('Expenditure DATA'!Y5*1000000)/'Per-Capita Data'!I5</f>
        <v>6879.5116712676418</v>
      </c>
      <c r="Y5" s="406">
        <f>('Expenditure DATA'!Z5*1000000)/'Per-Capita Data'!J5</f>
        <v>7183.9162780835877</v>
      </c>
      <c r="Z5" s="406">
        <f>('Expenditure DATA'!AA5*1000000)/'Per-Capita Data'!K5</f>
        <v>7583.9543916749999</v>
      </c>
      <c r="AA5" s="406">
        <f>('Expenditure DATA'!AB5*1000000)/'Per-Capita Data'!L5</f>
        <v>7983.7861088542531</v>
      </c>
      <c r="AB5" s="406">
        <f>('Expenditure DATA'!AC5*1000000)/'Per-Capita Data'!M5</f>
        <v>8155.0296956566381</v>
      </c>
      <c r="AC5" s="406">
        <f>('Expenditure DATA'!AD5*1000000)/'Per-Capita Data'!N5</f>
        <v>8287.7744498903612</v>
      </c>
      <c r="AD5" s="406">
        <f>('Expenditure DATA'!AE5*1000000)/'Per-Capita Data'!O5</f>
        <v>8364.6210760177219</v>
      </c>
      <c r="AE5" s="461">
        <f>('Expenditure DATA'!AF5*1000000)/'Per-Capita Data'!P5</f>
        <v>8316.9977641230998</v>
      </c>
      <c r="AF5" s="407"/>
      <c r="AG5" s="407"/>
      <c r="AH5" s="407"/>
      <c r="AI5" s="407"/>
      <c r="AJ5" s="407"/>
      <c r="AK5" s="407"/>
      <c r="AL5" s="407"/>
      <c r="AM5" s="407"/>
      <c r="AN5" s="407"/>
      <c r="AO5" s="407"/>
      <c r="AP5" s="407"/>
      <c r="AQ5" s="407"/>
      <c r="AR5" s="407"/>
      <c r="AS5" s="407"/>
      <c r="AT5" s="458"/>
    </row>
    <row r="6" spans="1:46">
      <c r="A6" s="13" t="s">
        <v>41</v>
      </c>
      <c r="B6" s="73">
        <f>+'[1]Jul-1 ResPop-both sexes'!BQ4</f>
        <v>93648025</v>
      </c>
      <c r="C6" s="73">
        <f>+'[1]Jul-1 ResPop-both sexes'!BR4</f>
        <v>94827397</v>
      </c>
      <c r="D6" s="73">
        <f>+'[1]Jul-1 ResPop-both sexes'!BS4</f>
        <v>95949455</v>
      </c>
      <c r="E6" s="73">
        <f>+'[1]Jul-1 ResPop-both sexes'!BT4</f>
        <v>99993503</v>
      </c>
      <c r="F6" s="73">
        <f>+'[1]Jul-1 ResPop-both sexes'!BU4</f>
        <v>101275071</v>
      </c>
      <c r="G6" s="73">
        <f>+'[1]Jul-1 ResPop-both sexes'!BV4</f>
        <v>102577629</v>
      </c>
      <c r="H6" s="73">
        <f>+'[1]Jul-1 ResPop-both sexes'!BW4</f>
        <v>103811686</v>
      </c>
      <c r="I6" s="73">
        <f>+'[1]Jul-1 ResPop-both sexes'!BX4</f>
        <v>105316223</v>
      </c>
      <c r="J6" s="73">
        <f>+'[1]Jul-1 ResPop-both sexes'!BY4</f>
        <v>106912635</v>
      </c>
      <c r="K6" s="73">
        <f>+'[1]Jul-1 ResPop-both sexes'!BZ4</f>
        <v>108506252</v>
      </c>
      <c r="L6" s="73">
        <f>+'[1]Jul-1 ResPop-both sexes'!CA4</f>
        <v>110114338</v>
      </c>
      <c r="M6" s="73">
        <f>+'[1]Jul-1 ResPop-both sexes'!CB4</f>
        <v>111604694</v>
      </c>
      <c r="N6" s="73">
        <f>+'[1]Jul-1 ResPop-both sexes'!CC4</f>
        <v>112956387</v>
      </c>
      <c r="O6" s="73">
        <f>+'[1]Jul-1 ResPop-both sexes'!CD4</f>
        <v>114248811</v>
      </c>
      <c r="P6" s="456">
        <f>+'[1]Jul-1 ResPop-both sexes'!CE4</f>
        <v>115403210</v>
      </c>
      <c r="Q6" s="408">
        <f>('Expenditure DATA'!R6*1000000)/'Per-Capita Data'!B6</f>
        <v>4375.866175501299</v>
      </c>
      <c r="R6" s="408">
        <f>('Expenditure DATA'!S6*1000000)/'Per-Capita Data'!C6</f>
        <v>4644.1745838494335</v>
      </c>
      <c r="S6" s="408">
        <f>('Expenditure DATA'!T6*1000000)/'Per-Capita Data'!D6</f>
        <v>4927.9403410889618</v>
      </c>
      <c r="T6" s="408">
        <f>('Expenditure DATA'!U6*1000000)/'Per-Capita Data'!E6</f>
        <v>5086.4241899796234</v>
      </c>
      <c r="U6" s="408">
        <f>('Expenditure DATA'!V6*1000000)/'Per-Capita Data'!F6</f>
        <v>5375.3164488030843</v>
      </c>
      <c r="V6" s="408">
        <f>('Expenditure DATA'!W6*1000000)/'Per-Capita Data'!G6</f>
        <v>5589.3910796085947</v>
      </c>
      <c r="W6" s="408">
        <f>('Expenditure DATA'!X6*1000000)/'Per-Capita Data'!H6</f>
        <v>5801.9230513219873</v>
      </c>
      <c r="X6" s="408">
        <f>('Expenditure DATA'!Y6*1000000)/'Per-Capita Data'!I6</f>
        <v>6113.4228199581366</v>
      </c>
      <c r="Y6" s="408">
        <f>('Expenditure DATA'!Z6*1000000)/'Per-Capita Data'!J6</f>
        <v>6617.7315431426787</v>
      </c>
      <c r="Z6" s="408">
        <f>('Expenditure DATA'!AA6*1000000)/'Per-Capita Data'!K6</f>
        <v>6802.9269871011684</v>
      </c>
      <c r="AA6" s="408">
        <f>('Expenditure DATA'!AB6*1000000)/'Per-Capita Data'!L6</f>
        <v>7199.826147980838</v>
      </c>
      <c r="AB6" s="408">
        <f>('Expenditure DATA'!AC6*1000000)/'Per-Capita Data'!M6</f>
        <v>7284.07682386549</v>
      </c>
      <c r="AC6" s="408">
        <f>('Expenditure DATA'!AD6*1000000)/'Per-Capita Data'!N6</f>
        <v>7417.1266118842832</v>
      </c>
      <c r="AD6" s="408">
        <f>('Expenditure DATA'!AE6*1000000)/'Per-Capita Data'!O6</f>
        <v>7417.0752289054471</v>
      </c>
      <c r="AE6" s="462">
        <f>('Expenditure DATA'!AF6*1000000)/'Per-Capita Data'!P6</f>
        <v>7394.4362206215928</v>
      </c>
      <c r="AF6" s="409"/>
      <c r="AG6" s="409"/>
      <c r="AH6" s="409"/>
      <c r="AI6" s="409"/>
      <c r="AJ6" s="409"/>
      <c r="AK6" s="409"/>
      <c r="AL6" s="409"/>
      <c r="AM6" s="409"/>
      <c r="AN6" s="409"/>
      <c r="AO6" s="409"/>
      <c r="AP6" s="409"/>
      <c r="AQ6" s="409"/>
      <c r="AR6" s="409"/>
      <c r="AS6" s="409"/>
      <c r="AT6" s="459"/>
    </row>
    <row r="7" spans="1:46">
      <c r="A7" s="397" t="s">
        <v>135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456"/>
      <c r="Q7" s="408"/>
      <c r="R7" s="408"/>
      <c r="S7" s="408"/>
      <c r="T7" s="408"/>
      <c r="U7" s="408"/>
      <c r="V7" s="408"/>
      <c r="W7" s="408"/>
      <c r="X7" s="408"/>
      <c r="Y7" s="408"/>
      <c r="Z7" s="408"/>
      <c r="AA7" s="408"/>
      <c r="AB7" s="408"/>
      <c r="AC7" s="408"/>
      <c r="AD7" s="408"/>
      <c r="AE7" s="462"/>
      <c r="AF7" s="409"/>
      <c r="AG7" s="409"/>
      <c r="AH7" s="409"/>
      <c r="AI7" s="409"/>
      <c r="AJ7" s="409"/>
      <c r="AK7" s="409"/>
      <c r="AL7" s="409"/>
      <c r="AM7" s="409"/>
      <c r="AN7" s="409"/>
      <c r="AO7" s="409"/>
      <c r="AP7" s="409"/>
      <c r="AQ7" s="409"/>
      <c r="AR7" s="409"/>
      <c r="AS7" s="409"/>
      <c r="AT7" s="459"/>
    </row>
    <row r="8" spans="1:46">
      <c r="A8" s="397" t="s">
        <v>136</v>
      </c>
      <c r="B8" s="73">
        <f>+'[1]Jul-1 ResPop-both sexes'!BQ6</f>
        <v>59340027</v>
      </c>
      <c r="C8" s="73">
        <f>+'[1]Jul-1 ResPop-both sexes'!BR6</f>
        <v>60262972</v>
      </c>
      <c r="D8" s="73">
        <f>+'[1]Jul-1 ResPop-both sexes'!BS6</f>
        <v>61150112</v>
      </c>
      <c r="E8" s="73">
        <f>+'[1]Jul-1 ResPop-both sexes'!BT6</f>
        <v>63439136</v>
      </c>
      <c r="F8" s="73">
        <f>+'[1]Jul-1 ResPop-both sexes'!BU6</f>
        <v>64427327</v>
      </c>
      <c r="G8" s="73">
        <f>+'[1]Jul-1 ResPop-both sexes'!BV6</f>
        <v>65312198</v>
      </c>
      <c r="H8" s="73">
        <f>+'[1]Jul-1 ResPop-both sexes'!BW6</f>
        <v>66116338</v>
      </c>
      <c r="I8" s="73">
        <f>+'[1]Jul-1 ResPop-both sexes'!BX6</f>
        <v>66965483</v>
      </c>
      <c r="J8" s="73">
        <f>+'[1]Jul-1 ResPop-both sexes'!BY6</f>
        <v>67833726</v>
      </c>
      <c r="K8" s="73">
        <f>+'[1]Jul-1 ResPop-both sexes'!BZ6</f>
        <v>68751765</v>
      </c>
      <c r="L8" s="73">
        <f>+'[1]Jul-1 ResPop-both sexes'!CA6</f>
        <v>69595414</v>
      </c>
      <c r="M8" s="73">
        <f>+'[1]Jul-1 ResPop-both sexes'!CB6</f>
        <v>70509175</v>
      </c>
      <c r="N8" s="73">
        <f>+'[1]Jul-1 ResPop-both sexes'!CC6</f>
        <v>71341376</v>
      </c>
      <c r="O8" s="73">
        <f>+'[1]Jul-1 ResPop-both sexes'!CD6</f>
        <v>72123364</v>
      </c>
      <c r="P8" s="456">
        <f>+'[1]Jul-1 ResPop-both sexes'!CE6</f>
        <v>72822851</v>
      </c>
      <c r="Q8" s="408">
        <f>('Expenditure DATA'!R24*1000000)/'Per-Capita Data'!B8</f>
        <v>5188.1070933789779</v>
      </c>
      <c r="R8" s="408">
        <f>('Expenditure DATA'!S24*1000000)/'Per-Capita Data'!C8</f>
        <v>5485.6801121590879</v>
      </c>
      <c r="S8" s="408">
        <f>('Expenditure DATA'!T24*1000000)/'Per-Capita Data'!D8</f>
        <v>5843.1237378600399</v>
      </c>
      <c r="T8" s="408">
        <f>('Expenditure DATA'!U24*1000000)/'Per-Capita Data'!E8</f>
        <v>6134.5310960729348</v>
      </c>
      <c r="U8" s="408">
        <f>('Expenditure DATA'!V24*1000000)/'Per-Capita Data'!F8</f>
        <v>6534.9759737820577</v>
      </c>
      <c r="V8" s="408">
        <f>('Expenditure DATA'!W24*1000000)/'Per-Capita Data'!G8</f>
        <v>6765.5823801857041</v>
      </c>
      <c r="W8" s="408">
        <f>('Expenditure DATA'!X24*1000000)/'Per-Capita Data'!H8</f>
        <v>6998.5587828533407</v>
      </c>
      <c r="X8" s="408">
        <f>('Expenditure DATA'!Y24*1000000)/'Per-Capita Data'!I8</f>
        <v>7313.2886684323639</v>
      </c>
      <c r="Y8" s="408">
        <f>('Expenditure DATA'!Z24*1000000)/'Per-Capita Data'!J8</f>
        <v>7793.1000281482402</v>
      </c>
      <c r="Z8" s="408">
        <f>('Expenditure DATA'!AA24*1000000)/'Per-Capita Data'!K8</f>
        <v>8150.5787378694949</v>
      </c>
      <c r="AA8" s="408">
        <f>('Expenditure DATA'!AB24*1000000)/'Per-Capita Data'!L8</f>
        <v>8631.0956782296034</v>
      </c>
      <c r="AB8" s="408">
        <f>('Expenditure DATA'!AC24*1000000)/'Per-Capita Data'!M8</f>
        <v>8788.065865187049</v>
      </c>
      <c r="AC8" s="408">
        <f>('Expenditure DATA'!AD24*1000000)/'Per-Capita Data'!N8</f>
        <v>8724.7549584689841</v>
      </c>
      <c r="AD8" s="408">
        <f>('Expenditure DATA'!AE24*1000000)/'Per-Capita Data'!O8</f>
        <v>8870.7674256569644</v>
      </c>
      <c r="AE8" s="462">
        <f>('Expenditure DATA'!AF24*1000000)/'Per-Capita Data'!P8</f>
        <v>8679.9046909053304</v>
      </c>
      <c r="AF8" s="409"/>
      <c r="AG8" s="409"/>
      <c r="AH8" s="409"/>
      <c r="AI8" s="409"/>
      <c r="AJ8" s="409"/>
      <c r="AK8" s="409"/>
      <c r="AL8" s="409"/>
      <c r="AM8" s="409"/>
      <c r="AN8" s="409"/>
      <c r="AO8" s="409"/>
      <c r="AP8" s="409"/>
      <c r="AQ8" s="409"/>
      <c r="AR8" s="409"/>
      <c r="AS8" s="409"/>
      <c r="AT8" s="459"/>
    </row>
    <row r="9" spans="1:46">
      <c r="A9" s="397" t="s">
        <v>137</v>
      </c>
      <c r="B9" s="73">
        <f>+'[1]Jul-1 ResPop-both sexes'!BQ7</f>
        <v>62675478</v>
      </c>
      <c r="C9" s="73">
        <f>+'[1]Jul-1 ResPop-both sexes'!BR7</f>
        <v>62950532</v>
      </c>
      <c r="D9" s="73">
        <f>+'[1]Jul-1 ResPop-both sexes'!BS7</f>
        <v>63242284</v>
      </c>
      <c r="E9" s="73">
        <f>+'[1]Jul-1 ResPop-both sexes'!BT7</f>
        <v>64491431</v>
      </c>
      <c r="F9" s="73">
        <f>+'[1]Jul-1 ResPop-both sexes'!BU7</f>
        <v>64776531</v>
      </c>
      <c r="G9" s="73">
        <f>+'[1]Jul-1 ResPop-both sexes'!BV7</f>
        <v>65018293</v>
      </c>
      <c r="H9" s="73">
        <f>+'[1]Jul-1 ResPop-both sexes'!BW7</f>
        <v>65276954</v>
      </c>
      <c r="I9" s="73">
        <f>+'[1]Jul-1 ResPop-both sexes'!BX7</f>
        <v>65532305</v>
      </c>
      <c r="J9" s="73">
        <f>+'[1]Jul-1 ResPop-both sexes'!BY7</f>
        <v>65751872</v>
      </c>
      <c r="K9" s="73">
        <f>+'[1]Jul-1 ResPop-both sexes'!BZ7</f>
        <v>66028555</v>
      </c>
      <c r="L9" s="73">
        <f>+'[1]Jul-1 ResPop-both sexes'!CA7</f>
        <v>66293689</v>
      </c>
      <c r="M9" s="73">
        <f>+'[1]Jul-1 ResPop-both sexes'!CB7</f>
        <v>66523935</v>
      </c>
      <c r="N9" s="73">
        <f>+'[1]Jul-1 ResPop-both sexes'!CC7</f>
        <v>66748437</v>
      </c>
      <c r="O9" s="73">
        <f>+'[1]Jul-1 ResPop-both sexes'!CD7</f>
        <v>66972135</v>
      </c>
      <c r="P9" s="456">
        <f>+'[1]Jul-1 ResPop-both sexes'!CE7</f>
        <v>67145089</v>
      </c>
      <c r="Q9" s="408">
        <f>('Expenditure DATA'!R39*1000000)/'Per-Capita Data'!B9</f>
        <v>4687.1904511043376</v>
      </c>
      <c r="R9" s="408">
        <f>('Expenditure DATA'!S39*1000000)/'Per-Capita Data'!C9</f>
        <v>4950.9699298490432</v>
      </c>
      <c r="S9" s="408">
        <f>('Expenditure DATA'!T39*1000000)/'Per-Capita Data'!D9</f>
        <v>5320.4936115210512</v>
      </c>
      <c r="T9" s="408">
        <f>('Expenditure DATA'!U39*1000000)/'Per-Capita Data'!E9</f>
        <v>5570.9042105144172</v>
      </c>
      <c r="U9" s="408">
        <f>('Expenditure DATA'!V39*1000000)/'Per-Capita Data'!F9</f>
        <v>5898.2936428009698</v>
      </c>
      <c r="V9" s="408">
        <f>('Expenditure DATA'!W39*1000000)/'Per-Capita Data'!G9</f>
        <v>6132.458383673652</v>
      </c>
      <c r="W9" s="408">
        <f>('Expenditure DATA'!X39*1000000)/'Per-Capita Data'!H9</f>
        <v>6363.2404018116413</v>
      </c>
      <c r="X9" s="408">
        <f>('Expenditure DATA'!Y39*1000000)/'Per-Capita Data'!I9</f>
        <v>6560.7158026869347</v>
      </c>
      <c r="Y9" s="408">
        <f>('Expenditure DATA'!Z39*1000000)/'Per-Capita Data'!J9</f>
        <v>6871.0508044546632</v>
      </c>
      <c r="Z9" s="408">
        <f>('Expenditure DATA'!AA39*1000000)/'Per-Capita Data'!K9</f>
        <v>7106.3388105343211</v>
      </c>
      <c r="AA9" s="408">
        <f>('Expenditure DATA'!AB39*1000000)/'Per-Capita Data'!L9</f>
        <v>7439.1860287032741</v>
      </c>
      <c r="AB9" s="408">
        <f>('Expenditure DATA'!AC39*1000000)/'Per-Capita Data'!M9</f>
        <v>7694.6557956921833</v>
      </c>
      <c r="AC9" s="408">
        <f>('Expenditure DATA'!AD39*1000000)/'Per-Capita Data'!N9</f>
        <v>7837.7997824877903</v>
      </c>
      <c r="AD9" s="408">
        <f>('Expenditure DATA'!AE39*1000000)/'Per-Capita Data'!O9</f>
        <v>7933.1811207750816</v>
      </c>
      <c r="AE9" s="462">
        <f>('Expenditure DATA'!AF39*1000000)/'Per-Capita Data'!P9</f>
        <v>7919.7010223636762</v>
      </c>
      <c r="AF9" s="409"/>
      <c r="AG9" s="409"/>
      <c r="AH9" s="409"/>
      <c r="AI9" s="409"/>
      <c r="AJ9" s="409"/>
      <c r="AK9" s="409"/>
      <c r="AL9" s="409"/>
      <c r="AM9" s="409"/>
      <c r="AN9" s="409"/>
      <c r="AO9" s="409"/>
      <c r="AP9" s="409"/>
      <c r="AQ9" s="425"/>
      <c r="AS9" s="409"/>
      <c r="AT9" s="459"/>
    </row>
    <row r="10" spans="1:46">
      <c r="A10" s="397" t="s">
        <v>138</v>
      </c>
      <c r="B10" s="73">
        <f>+'[1]Jul-1 ResPop-both sexes'!BQ8</f>
        <v>51591325</v>
      </c>
      <c r="C10" s="73">
        <f>+'[1]Jul-1 ResPop-both sexes'!BR8</f>
        <v>51685676</v>
      </c>
      <c r="D10" s="73">
        <f>+'[1]Jul-1 ResPop-both sexes'!BS8</f>
        <v>51829962</v>
      </c>
      <c r="E10" s="73">
        <f>+'[1]Jul-1 ResPop-both sexes'!BT8</f>
        <v>53666295</v>
      </c>
      <c r="F10" s="73">
        <f>+'[1]Jul-1 ResPop-both sexes'!BU8</f>
        <v>53915522</v>
      </c>
      <c r="G10" s="73">
        <f>+'[1]Jul-1 ResPop-both sexes'!BV8</f>
        <v>54143915</v>
      </c>
      <c r="H10" s="73">
        <f>+'[1]Jul-1 ResPop-both sexes'!BW8</f>
        <v>54334453</v>
      </c>
      <c r="I10" s="73">
        <f>+'[1]Jul-1 ResPop-both sexes'!BX8</f>
        <v>54423533</v>
      </c>
      <c r="J10" s="73">
        <f>+'[1]Jul-1 ResPop-both sexes'!BY8</f>
        <v>54451230</v>
      </c>
      <c r="K10" s="73">
        <f>+'[1]Jul-1 ResPop-both sexes'!BZ8</f>
        <v>54522659</v>
      </c>
      <c r="L10" s="73">
        <f>+'[1]Jul-1 ResPop-both sexes'!CA8</f>
        <v>54653362</v>
      </c>
      <c r="M10" s="73">
        <f>+'[1]Jul-1 ResPop-both sexes'!CB8</f>
        <v>54875926</v>
      </c>
      <c r="N10" s="73">
        <f>+'[1]Jul-1 ResPop-both sexes'!CC8</f>
        <v>55133101</v>
      </c>
      <c r="O10" s="73">
        <f>+'[1]Jul-1 ResPop-both sexes'!CD8</f>
        <v>55376926</v>
      </c>
      <c r="P10" s="456">
        <f>+'[1]Jul-1 ResPop-both sexes'!CE8</f>
        <v>55597646</v>
      </c>
      <c r="Q10" s="408">
        <f>('Expenditure DATA'!R53*1000000)/'Per-Capita Data'!B10</f>
        <v>5856.8538799885446</v>
      </c>
      <c r="R10" s="408">
        <f>('Expenditure DATA'!S53*1000000)/'Per-Capita Data'!C10</f>
        <v>6096.360508083515</v>
      </c>
      <c r="S10" s="408">
        <f>('Expenditure DATA'!T53*1000000)/'Per-Capita Data'!D10</f>
        <v>6463.9000700019797</v>
      </c>
      <c r="T10" s="408">
        <f>('Expenditure DATA'!U53*1000000)/'Per-Capita Data'!E10</f>
        <v>6676.0045760565363</v>
      </c>
      <c r="U10" s="408">
        <f>('Expenditure DATA'!V53*1000000)/'Per-Capita Data'!F10</f>
        <v>7076.4253566904154</v>
      </c>
      <c r="V10" s="408">
        <f>('Expenditure DATA'!W53*1000000)/'Per-Capita Data'!G10</f>
        <v>7409.1571786044669</v>
      </c>
      <c r="W10" s="408">
        <f>('Expenditure DATA'!X53*1000000)/'Per-Capita Data'!H10</f>
        <v>7744.4855476873945</v>
      </c>
      <c r="X10" s="408">
        <f>('Expenditure DATA'!Y53*1000000)/'Per-Capita Data'!I10</f>
        <v>8150.7722403835851</v>
      </c>
      <c r="Y10" s="408">
        <f>('Expenditure DATA'!Z53*1000000)/'Per-Capita Data'!J10</f>
        <v>8899.6808152910417</v>
      </c>
      <c r="Z10" s="408">
        <f>('Expenditure DATA'!AA53*1000000)/'Per-Capita Data'!K10</f>
        <v>8926.0346235131346</v>
      </c>
      <c r="AA10" s="408">
        <f>('Expenditure DATA'!AB53*1000000)/'Per-Capita Data'!L10</f>
        <v>9288.1512760367787</v>
      </c>
      <c r="AB10" s="408">
        <f>('Expenditure DATA'!AC53*1000000)/'Per-Capita Data'!M10</f>
        <v>9572.5486983126248</v>
      </c>
      <c r="AC10" s="408">
        <f>('Expenditure DATA'!AD53*1000000)/'Per-Capita Data'!N10</f>
        <v>9944.3676857574173</v>
      </c>
      <c r="AD10" s="408">
        <f>('Expenditure DATA'!AE53*1000000)/'Per-Capita Data'!O10</f>
        <v>10085.92419882606</v>
      </c>
      <c r="AE10" s="462">
        <f>('Expenditure DATA'!AF53*1000000)/'Per-Capita Data'!P10</f>
        <v>10135.393286255321</v>
      </c>
      <c r="AF10" s="409"/>
      <c r="AG10" s="409"/>
      <c r="AH10" s="409"/>
      <c r="AI10" s="409"/>
      <c r="AJ10" s="409"/>
      <c r="AK10" s="409"/>
      <c r="AL10" s="409"/>
      <c r="AM10" s="409"/>
      <c r="AN10" s="409"/>
      <c r="AO10" s="409"/>
      <c r="AP10" s="409"/>
      <c r="AQ10" s="409"/>
      <c r="AR10" s="409"/>
      <c r="AS10" s="409"/>
      <c r="AT10" s="459"/>
    </row>
    <row r="11" spans="1:46">
      <c r="A11" s="1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456"/>
      <c r="Q11" s="408"/>
      <c r="R11" s="408"/>
      <c r="S11" s="408"/>
      <c r="T11" s="408"/>
      <c r="U11" s="408"/>
      <c r="V11" s="408"/>
      <c r="W11" s="408"/>
      <c r="X11" s="408"/>
      <c r="Y11" s="408"/>
      <c r="Z11" s="408"/>
      <c r="AA11" s="408"/>
      <c r="AB11" s="408"/>
      <c r="AC11" s="408"/>
      <c r="AD11" s="408"/>
      <c r="AE11" s="462"/>
      <c r="AF11" s="409"/>
      <c r="AG11" s="409"/>
      <c r="AH11" s="409"/>
      <c r="AI11" s="409"/>
      <c r="AJ11" s="409"/>
      <c r="AK11" s="409"/>
      <c r="AL11" s="409"/>
      <c r="AM11" s="409"/>
      <c r="AN11" s="409"/>
      <c r="AO11" s="409"/>
      <c r="AP11" s="409"/>
      <c r="AQ11" s="409"/>
      <c r="AR11" s="409"/>
      <c r="AS11" s="409"/>
      <c r="AT11" s="459"/>
    </row>
    <row r="12" spans="1:46">
      <c r="A12" s="398" t="s">
        <v>25</v>
      </c>
      <c r="B12" s="73">
        <f>+'[1]Jul-1 ResPop-both sexes'!BQ10</f>
        <v>4320281</v>
      </c>
      <c r="C12" s="73">
        <f>+'[1]Jul-1 ResPop-both sexes'!BR10</f>
        <v>4351037</v>
      </c>
      <c r="D12" s="73">
        <f>+'[1]Jul-1 ResPop-both sexes'!BS10</f>
        <v>4369862</v>
      </c>
      <c r="E12" s="73">
        <f>+'[1]Jul-1 ResPop-both sexes'!BT10</f>
        <v>4452173</v>
      </c>
      <c r="F12" s="73">
        <f>+'[1]Jul-1 ResPop-both sexes'!BU10</f>
        <v>4467634</v>
      </c>
      <c r="G12" s="73">
        <f>+'[1]Jul-1 ResPop-both sexes'!BV10</f>
        <v>4480089</v>
      </c>
      <c r="H12" s="73">
        <f>+'[1]Jul-1 ResPop-both sexes'!BW10</f>
        <v>4503491</v>
      </c>
      <c r="I12" s="73">
        <f>+'[1]Jul-1 ResPop-both sexes'!BX10</f>
        <v>4530729</v>
      </c>
      <c r="J12" s="73">
        <f>+'[1]Jul-1 ResPop-both sexes'!BY10</f>
        <v>4569805</v>
      </c>
      <c r="K12" s="73">
        <f>+'[1]Jul-1 ResPop-both sexes'!BZ10</f>
        <v>4628981</v>
      </c>
      <c r="L12" s="73">
        <f>+'[1]Jul-1 ResPop-both sexes'!CA10</f>
        <v>4672840</v>
      </c>
      <c r="M12" s="73">
        <f>+'[1]Jul-1 ResPop-both sexes'!CB10</f>
        <v>4718206</v>
      </c>
      <c r="N12" s="73">
        <f>+'[1]Jul-1 ResPop-both sexes'!CC10</f>
        <v>4757938</v>
      </c>
      <c r="O12" s="73">
        <f>+'[1]Jul-1 ResPop-both sexes'!CD10</f>
        <v>4784762</v>
      </c>
      <c r="P12" s="456">
        <f>+'[1]Jul-1 ResPop-both sexes'!CE10</f>
        <v>4803689</v>
      </c>
      <c r="Q12" s="408">
        <f>('Expenditure DATA'!R8*1000000)/'Per-Capita Data'!B12</f>
        <v>4301.3942843069699</v>
      </c>
      <c r="R12" s="408">
        <f>('Expenditure DATA'!S8*1000000)/'Per-Capita Data'!C12</f>
        <v>4623.9765370875957</v>
      </c>
      <c r="S12" s="408">
        <f>('Expenditure DATA'!T8*1000000)/'Per-Capita Data'!D12</f>
        <v>5048.7814031655917</v>
      </c>
      <c r="T12" s="408">
        <f>('Expenditure DATA'!U8*1000000)/'Per-Capita Data'!E12</f>
        <v>5240.9553716803011</v>
      </c>
      <c r="U12" s="408">
        <f>('Expenditure DATA'!V8*1000000)/'Per-Capita Data'!F12</f>
        <v>5507.3450510941584</v>
      </c>
      <c r="V12" s="408">
        <f>('Expenditure DATA'!W8*1000000)/'Per-Capita Data'!G12</f>
        <v>5769.2795835082743</v>
      </c>
      <c r="W12" s="408">
        <f>('Expenditure DATA'!X8*1000000)/'Per-Capita Data'!H12</f>
        <v>6015.1047265332609</v>
      </c>
      <c r="X12" s="408">
        <f>('Expenditure DATA'!Y8*1000000)/'Per-Capita Data'!I12</f>
        <v>6407.2366720675636</v>
      </c>
      <c r="Y12" s="408">
        <f>('Expenditure DATA'!Z8*1000000)/'Per-Capita Data'!J12</f>
        <v>6408.3460891657305</v>
      </c>
      <c r="Z12" s="408">
        <f>('Expenditure DATA'!AA8*1000000)/'Per-Capita Data'!K12</f>
        <v>6694.1735124857933</v>
      </c>
      <c r="AA12" s="408">
        <f>('Expenditure DATA'!AB8*1000000)/'Per-Capita Data'!L12</f>
        <v>6982.2632489021662</v>
      </c>
      <c r="AB12" s="408">
        <f>('Expenditure DATA'!AC8*1000000)/'Per-Capita Data'!M12</f>
        <v>7199.004876005838</v>
      </c>
      <c r="AC12" s="408">
        <f>('Expenditure DATA'!AD8*1000000)/'Per-Capita Data'!N12</f>
        <v>7421.0580297599508</v>
      </c>
      <c r="AD12" s="408">
        <f>('Expenditure DATA'!AE8*1000000)/'Per-Capita Data'!O12</f>
        <v>7395.392080107642</v>
      </c>
      <c r="AE12" s="462">
        <f>('Expenditure DATA'!AF8*1000000)/'Per-Capita Data'!P12</f>
        <v>7265.3518993423595</v>
      </c>
      <c r="AF12" s="409">
        <f>RANK(Q12,$Q$12:$Q$65)</f>
        <v>41</v>
      </c>
      <c r="AG12" s="409">
        <f>RANK(R12,$R$12:$R$65)</f>
        <v>38</v>
      </c>
      <c r="AH12" s="409">
        <f>RANK(S12,$S$12:$S$65)</f>
        <v>35</v>
      </c>
      <c r="AI12" s="409">
        <f>RANK(T12,$T$12:$T$65)</f>
        <v>33</v>
      </c>
      <c r="AJ12" s="409">
        <f>RANK(U12,$U$12:$U$65)</f>
        <v>32</v>
      </c>
      <c r="AK12" s="409">
        <f>RANK(V12,$V$12:$V$65)</f>
        <v>31</v>
      </c>
      <c r="AL12" s="409">
        <f>RANK(W12,$W$12:$W$65)</f>
        <v>33</v>
      </c>
      <c r="AM12" s="409">
        <f>RANK(X12,$X$12:$X$65)</f>
        <v>28</v>
      </c>
      <c r="AN12" s="409">
        <f>RANK(Y12,$Y$12:$Y$65)</f>
        <v>43</v>
      </c>
      <c r="AO12" s="409">
        <f>RANK(Z12,$Z$12:$Z$65)</f>
        <v>37</v>
      </c>
      <c r="AP12" s="409">
        <f>RANK(AA12,$AA$12:$AA$65)</f>
        <v>39</v>
      </c>
      <c r="AQ12" s="409">
        <f>RANK(AB12,$AB$12:$AB$65)</f>
        <v>36</v>
      </c>
      <c r="AR12" s="409">
        <f>RANK(AC12,$AC$12:$AC$65)</f>
        <v>37</v>
      </c>
      <c r="AS12" s="409">
        <f>RANK(AD12,$AD$12:$AD$65)</f>
        <v>38</v>
      </c>
      <c r="AT12" s="459">
        <f t="shared" ref="AT12:AT27" si="0">RANK(AE12,$AE$12:$AE$65)</f>
        <v>40</v>
      </c>
    </row>
    <row r="13" spans="1:46">
      <c r="A13" s="398" t="s">
        <v>26</v>
      </c>
      <c r="B13" s="73">
        <f>+'[1]Jul-1 ResPop-both sexes'!BQ11</f>
        <v>2524007</v>
      </c>
      <c r="C13" s="73">
        <f>+'[1]Jul-1 ResPop-both sexes'!BR11</f>
        <v>2538202</v>
      </c>
      <c r="D13" s="73">
        <f>+'[1]Jul-1 ResPop-both sexes'!BS11</f>
        <v>2551373</v>
      </c>
      <c r="E13" s="73">
        <f>+'[1]Jul-1 ResPop-both sexes'!BT11</f>
        <v>2678588</v>
      </c>
      <c r="F13" s="73">
        <f>+'[1]Jul-1 ResPop-both sexes'!BU11</f>
        <v>2691571</v>
      </c>
      <c r="G13" s="73">
        <f>+'[1]Jul-1 ResPop-both sexes'!BV11</f>
        <v>2705927</v>
      </c>
      <c r="H13" s="73">
        <f>+'[1]Jul-1 ResPop-both sexes'!BW11</f>
        <v>2724816</v>
      </c>
      <c r="I13" s="73">
        <f>+'[1]Jul-1 ResPop-both sexes'!BX11</f>
        <v>2749686</v>
      </c>
      <c r="J13" s="73">
        <f>+'[1]Jul-1 ResPop-both sexes'!BY11</f>
        <v>2781097</v>
      </c>
      <c r="K13" s="73">
        <f>+'[1]Jul-1 ResPop-both sexes'!BZ11</f>
        <v>2821761</v>
      </c>
      <c r="L13" s="73">
        <f>+'[1]Jul-1 ResPop-both sexes'!CA11</f>
        <v>2848650</v>
      </c>
      <c r="M13" s="73">
        <f>+'[1]Jul-1 ResPop-both sexes'!CB11</f>
        <v>2874554</v>
      </c>
      <c r="N13" s="73">
        <f>+'[1]Jul-1 ResPop-both sexes'!CC11</f>
        <v>2896843</v>
      </c>
      <c r="O13" s="73">
        <f>+'[1]Jul-1 ResPop-both sexes'!CD11</f>
        <v>2922750</v>
      </c>
      <c r="P13" s="456">
        <f>+'[1]Jul-1 ResPop-both sexes'!CE11</f>
        <v>2938582</v>
      </c>
      <c r="Q13" s="408">
        <f>('Expenditure DATA'!R9*1000000)/'Per-Capita Data'!B13</f>
        <v>4002.5495174934144</v>
      </c>
      <c r="R13" s="408">
        <f>('Expenditure DATA'!S9*1000000)/'Per-Capita Data'!C13</f>
        <v>4201.3984702557163</v>
      </c>
      <c r="S13" s="408">
        <f>('Expenditure DATA'!T9*1000000)/'Per-Capita Data'!D13</f>
        <v>4334.5136128664844</v>
      </c>
      <c r="T13" s="408">
        <f>('Expenditure DATA'!U9*1000000)/'Per-Capita Data'!E13</f>
        <v>4503.6745106003609</v>
      </c>
      <c r="U13" s="408">
        <f>('Expenditure DATA'!V9*1000000)/'Per-Capita Data'!F13</f>
        <v>4855.1630256084645</v>
      </c>
      <c r="V13" s="408">
        <f>('Expenditure DATA'!W9*1000000)/'Per-Capita Data'!G13</f>
        <v>5108.3039195070669</v>
      </c>
      <c r="W13" s="408">
        <f>('Expenditure DATA'!X9*1000000)/'Per-Capita Data'!H13</f>
        <v>5349.8581188601356</v>
      </c>
      <c r="X13" s="408">
        <f>('Expenditure DATA'!Y9*1000000)/'Per-Capita Data'!I13</f>
        <v>5638.7998484190557</v>
      </c>
      <c r="Y13" s="408">
        <f>('Expenditure DATA'!Z9*1000000)/'Per-Capita Data'!J13</f>
        <v>5752.8137278203531</v>
      </c>
      <c r="Z13" s="408">
        <f>('Expenditure DATA'!AA9*1000000)/'Per-Capita Data'!K13</f>
        <v>6043.4845474156036</v>
      </c>
      <c r="AA13" s="408">
        <f>('Expenditure DATA'!AB9*1000000)/'Per-Capita Data'!L13</f>
        <v>6280.1049619995438</v>
      </c>
      <c r="AB13" s="408">
        <f>('Expenditure DATA'!AC9*1000000)/'Per-Capita Data'!M13</f>
        <v>6266.6211871476407</v>
      </c>
      <c r="AC13" s="408">
        <f>('Expenditure DATA'!AD9*1000000)/'Per-Capita Data'!N13</f>
        <v>6758.9544894217597</v>
      </c>
      <c r="AD13" s="408">
        <f>('Expenditure DATA'!AE9*1000000)/'Per-Capita Data'!O13</f>
        <v>7111.2955264733555</v>
      </c>
      <c r="AE13" s="462">
        <f>('Expenditure DATA'!AF9*1000000)/'Per-Capita Data'!P13</f>
        <v>7255.4422507182035</v>
      </c>
      <c r="AF13" s="409">
        <f t="shared" ref="AF13:AF65" si="1">RANK(Q13,$Q$12:$Q$65)</f>
        <v>50</v>
      </c>
      <c r="AG13" s="409">
        <f t="shared" ref="AG13:AG65" si="2">RANK(R13,$R$12:$R$65)</f>
        <v>50</v>
      </c>
      <c r="AH13" s="409">
        <f t="shared" ref="AH13:AH65" si="3">RANK(S13,$S$12:$S$65)</f>
        <v>50</v>
      </c>
      <c r="AI13" s="409">
        <f t="shared" ref="AI13:AI65" si="4">RANK(T13,$T$12:$T$65)</f>
        <v>51</v>
      </c>
      <c r="AJ13" s="409">
        <f t="shared" ref="AJ13:AJ65" si="5">RANK(U13,$U$12:$U$65)</f>
        <v>50</v>
      </c>
      <c r="AK13" s="409">
        <f t="shared" ref="AK13:AK65" si="6">RANK(V13,$V$12:$V$65)</f>
        <v>51</v>
      </c>
      <c r="AL13" s="409">
        <f t="shared" ref="AL13:AL65" si="7">RANK(W13,$W$12:$W$65)</f>
        <v>50</v>
      </c>
      <c r="AM13" s="409">
        <f t="shared" ref="AM13:AM65" si="8">RANK(X13,$X$12:$X$65)</f>
        <v>50</v>
      </c>
      <c r="AN13" s="409">
        <f t="shared" ref="AN13:AN65" si="9">RANK(Y13,$Y$12:$Y$65)</f>
        <v>51</v>
      </c>
      <c r="AO13" s="409">
        <f t="shared" ref="AO13:AO65" si="10">RANK(Z13,$Z$12:$Z$65)</f>
        <v>50</v>
      </c>
      <c r="AP13" s="409">
        <f t="shared" ref="AP13:AP65" si="11">RANK(AA13,$AA$12:$AA$65)</f>
        <v>50</v>
      </c>
      <c r="AQ13" s="409">
        <f t="shared" ref="AQ13:AQ65" si="12">RANK(AB13,$AB$12:$AB$65)</f>
        <v>51</v>
      </c>
      <c r="AR13" s="409">
        <f t="shared" ref="AR13:AR54" si="13">RANK(AC13,$AC$12:$AC$65)</f>
        <v>47</v>
      </c>
      <c r="AS13" s="409">
        <f t="shared" ref="AS13:AS65" si="14">RANK(AD13,$AD$12:$AD$65)</f>
        <v>42</v>
      </c>
      <c r="AT13" s="459">
        <f t="shared" si="0"/>
        <v>41</v>
      </c>
    </row>
    <row r="14" spans="1:46">
      <c r="A14" s="398" t="s">
        <v>40</v>
      </c>
      <c r="B14" s="73">
        <f>+'[1]Jul-1 ResPop-both sexes'!BQ12</f>
        <v>735024</v>
      </c>
      <c r="C14" s="73">
        <f>+'[1]Jul-1 ResPop-both sexes'!BR12</f>
        <v>744066</v>
      </c>
      <c r="D14" s="73">
        <f>+'[1]Jul-1 ResPop-both sexes'!BS12</f>
        <v>753538</v>
      </c>
      <c r="E14" s="73">
        <f>+'[1]Jul-1 ResPop-both sexes'!BT12</f>
        <v>786373</v>
      </c>
      <c r="F14" s="73">
        <f>+'[1]Jul-1 ResPop-both sexes'!BU12</f>
        <v>795699</v>
      </c>
      <c r="G14" s="73">
        <f>+'[1]Jul-1 ResPop-both sexes'!BV12</f>
        <v>806169</v>
      </c>
      <c r="H14" s="73">
        <f>+'[1]Jul-1 ResPop-both sexes'!BW12</f>
        <v>818003</v>
      </c>
      <c r="I14" s="73">
        <f>+'[1]Jul-1 ResPop-both sexes'!BX12</f>
        <v>830803</v>
      </c>
      <c r="J14" s="73">
        <f>+'[1]Jul-1 ResPop-both sexes'!BY12</f>
        <v>845150</v>
      </c>
      <c r="K14" s="73">
        <f>+'[1]Jul-1 ResPop-both sexes'!BZ12</f>
        <v>859268</v>
      </c>
      <c r="L14" s="73">
        <f>+'[1]Jul-1 ResPop-both sexes'!CA12</f>
        <v>871749</v>
      </c>
      <c r="M14" s="73">
        <f>+'[1]Jul-1 ResPop-both sexes'!CB12</f>
        <v>883874</v>
      </c>
      <c r="N14" s="73">
        <f>+'[1]Jul-1 ResPop-both sexes'!CC12</f>
        <v>891730</v>
      </c>
      <c r="O14" s="73">
        <f>+'[1]Jul-1 ResPop-both sexes'!CD12</f>
        <v>899824</v>
      </c>
      <c r="P14" s="456">
        <f>+'[1]Jul-1 ResPop-both sexes'!CE12</f>
        <v>908137</v>
      </c>
      <c r="Q14" s="408">
        <f>('Expenditure DATA'!R10*1000000)/'Per-Capita Data'!B14</f>
        <v>5515.4756851476959</v>
      </c>
      <c r="R14" s="408">
        <f>('Expenditure DATA'!S10*1000000)/'Per-Capita Data'!C14</f>
        <v>6026.6763969862886</v>
      </c>
      <c r="S14" s="408">
        <f>('Expenditure DATA'!T10*1000000)/'Per-Capita Data'!D14</f>
        <v>6226.1319269897467</v>
      </c>
      <c r="T14" s="408">
        <f>('Expenditure DATA'!U10*1000000)/'Per-Capita Data'!E14</f>
        <v>6389.7209085255981</v>
      </c>
      <c r="U14" s="408">
        <f>('Expenditure DATA'!V10*1000000)/'Per-Capita Data'!F14</f>
        <v>6733.4268360271908</v>
      </c>
      <c r="V14" s="408">
        <f>('Expenditure DATA'!W10*1000000)/'Per-Capita Data'!G14</f>
        <v>7163.3168727648917</v>
      </c>
      <c r="W14" s="408">
        <f>('Expenditure DATA'!X10*1000000)/'Per-Capita Data'!H14</f>
        <v>7569.5406985059954</v>
      </c>
      <c r="X14" s="408">
        <f>('Expenditure DATA'!Y10*1000000)/'Per-Capita Data'!I14</f>
        <v>8213.0890235109891</v>
      </c>
      <c r="Y14" s="408">
        <f>('Expenditure DATA'!Z10*1000000)/'Per-Capita Data'!J14</f>
        <v>8841.9440336035022</v>
      </c>
      <c r="Z14" s="408">
        <f>('Expenditure DATA'!AA10*1000000)/'Per-Capita Data'!K14</f>
        <v>9020.2975090425807</v>
      </c>
      <c r="AA14" s="408">
        <f>('Expenditure DATA'!AB10*1000000)/'Per-Capita Data'!L14</f>
        <v>9264.4488264397205</v>
      </c>
      <c r="AB14" s="408">
        <f>('Expenditure DATA'!AC10*1000000)/'Per-Capita Data'!M14</f>
        <v>9256.6259444219431</v>
      </c>
      <c r="AC14" s="408">
        <f>('Expenditure DATA'!AD10*1000000)/'Per-Capita Data'!N14</f>
        <v>9394.6822468684459</v>
      </c>
      <c r="AD14" s="408">
        <f>('Expenditure DATA'!AE10*1000000)/'Per-Capita Data'!O14</f>
        <v>9543.1995590248771</v>
      </c>
      <c r="AE14" s="462">
        <f>('Expenditure DATA'!AF10*1000000)/'Per-Capita Data'!P14</f>
        <v>9958.2573994892846</v>
      </c>
      <c r="AF14" s="409">
        <f t="shared" si="1"/>
        <v>10</v>
      </c>
      <c r="AG14" s="409">
        <f t="shared" si="2"/>
        <v>5</v>
      </c>
      <c r="AH14" s="409">
        <f t="shared" si="3"/>
        <v>7</v>
      </c>
      <c r="AI14" s="409">
        <f t="shared" si="4"/>
        <v>9</v>
      </c>
      <c r="AJ14" s="409">
        <f t="shared" si="5"/>
        <v>9</v>
      </c>
      <c r="AK14" s="409">
        <f t="shared" si="6"/>
        <v>6</v>
      </c>
      <c r="AL14" s="409">
        <f t="shared" si="7"/>
        <v>6</v>
      </c>
      <c r="AM14" s="409">
        <f t="shared" si="8"/>
        <v>5</v>
      </c>
      <c r="AN14" s="409">
        <f t="shared" si="9"/>
        <v>5</v>
      </c>
      <c r="AO14" s="409">
        <f t="shared" si="10"/>
        <v>5</v>
      </c>
      <c r="AP14" s="409">
        <f t="shared" si="11"/>
        <v>7</v>
      </c>
      <c r="AQ14" s="409">
        <f t="shared" si="12"/>
        <v>9</v>
      </c>
      <c r="AR14" s="409">
        <f t="shared" si="13"/>
        <v>9</v>
      </c>
      <c r="AS14" s="409">
        <f t="shared" si="14"/>
        <v>7</v>
      </c>
      <c r="AT14" s="459">
        <f t="shared" si="0"/>
        <v>6</v>
      </c>
    </row>
    <row r="15" spans="1:46">
      <c r="A15" s="398" t="s">
        <v>27</v>
      </c>
      <c r="B15" s="73">
        <f>+'[1]Jul-1 ResPop-both sexes'!BQ13</f>
        <v>14683350</v>
      </c>
      <c r="C15" s="73">
        <f>+'[1]Jul-1 ResPop-both sexes'!BR13</f>
        <v>14908230</v>
      </c>
      <c r="D15" s="73">
        <f>+'[1]Jul-1 ResPop-both sexes'!BS13</f>
        <v>15111244</v>
      </c>
      <c r="E15" s="73">
        <f>+'[1]Jul-1 ResPop-both sexes'!BT13</f>
        <v>16047515</v>
      </c>
      <c r="F15" s="73">
        <f>+'[1]Jul-1 ResPop-both sexes'!BU13</f>
        <v>16356966</v>
      </c>
      <c r="G15" s="73">
        <f>+'[1]Jul-1 ResPop-both sexes'!BV13</f>
        <v>16689370</v>
      </c>
      <c r="H15" s="73">
        <f>+'[1]Jul-1 ResPop-both sexes'!BW13</f>
        <v>17004085</v>
      </c>
      <c r="I15" s="73">
        <f>+'[1]Jul-1 ResPop-both sexes'!BX13</f>
        <v>17415318</v>
      </c>
      <c r="J15" s="73">
        <f>+'[1]Jul-1 ResPop-both sexes'!BY13</f>
        <v>17842038</v>
      </c>
      <c r="K15" s="73">
        <f>+'[1]Jul-1 ResPop-both sexes'!BZ13</f>
        <v>18166990</v>
      </c>
      <c r="L15" s="73">
        <f>+'[1]Jul-1 ResPop-both sexes'!CA13</f>
        <v>18367842</v>
      </c>
      <c r="M15" s="73">
        <f>+'[1]Jul-1 ResPop-both sexes'!CB13</f>
        <v>18527305</v>
      </c>
      <c r="N15" s="73">
        <f>+'[1]Jul-1 ResPop-both sexes'!CC13</f>
        <v>18652644</v>
      </c>
      <c r="O15" s="73">
        <f>+'[1]Jul-1 ResPop-both sexes'!CD13</f>
        <v>18845967</v>
      </c>
      <c r="P15" s="456">
        <f>+'[1]Jul-1 ResPop-both sexes'!CE13</f>
        <v>19082262</v>
      </c>
      <c r="Q15" s="408">
        <f>('Expenditure DATA'!R11*1000000)/'Per-Capita Data'!B15</f>
        <v>4528.3354275420807</v>
      </c>
      <c r="R15" s="408">
        <f>('Expenditure DATA'!S11*1000000)/'Per-Capita Data'!C15</f>
        <v>4804.7885630956862</v>
      </c>
      <c r="S15" s="408">
        <f>('Expenditure DATA'!T11*1000000)/'Per-Capita Data'!D15</f>
        <v>4982.4101179227864</v>
      </c>
      <c r="T15" s="408">
        <f>('Expenditure DATA'!U11*1000000)/'Per-Capita Data'!E15</f>
        <v>5059.1121429081077</v>
      </c>
      <c r="U15" s="408">
        <f>('Expenditure DATA'!V11*1000000)/'Per-Capita Data'!F15</f>
        <v>5323.8443486402066</v>
      </c>
      <c r="V15" s="408">
        <f>('Expenditure DATA'!W11*1000000)/'Per-Capita Data'!G15</f>
        <v>5627.9265184965052</v>
      </c>
      <c r="W15" s="408">
        <f>('Expenditure DATA'!X11*1000000)/'Per-Capita Data'!H15</f>
        <v>5926.2909471459361</v>
      </c>
      <c r="X15" s="408">
        <f>('Expenditure DATA'!Y11*1000000)/'Per-Capita Data'!I15</f>
        <v>6467.7096335536335</v>
      </c>
      <c r="Y15" s="408">
        <f>('Expenditure DATA'!Z11*1000000)/'Per-Capita Data'!J15</f>
        <v>6882.5990057862227</v>
      </c>
      <c r="Z15" s="408">
        <f>('Expenditure DATA'!AA11*1000000)/'Per-Capita Data'!K15</f>
        <v>7190.527214469761</v>
      </c>
      <c r="AA15" s="408">
        <f>('Expenditure DATA'!AB11*1000000)/'Per-Capita Data'!L15</f>
        <v>7539.552278378701</v>
      </c>
      <c r="AB15" s="408">
        <f>('Expenditure DATA'!AC11*1000000)/'Per-Capita Data'!M15</f>
        <v>7442.5368935201313</v>
      </c>
      <c r="AC15" s="408">
        <f>('Expenditure DATA'!AD11*1000000)/'Per-Capita Data'!N15</f>
        <v>7325.6210218776487</v>
      </c>
      <c r="AD15" s="408">
        <f>('Expenditure DATA'!AE11*1000000)/'Per-Capita Data'!O15</f>
        <v>7321.1609146933133</v>
      </c>
      <c r="AE15" s="462">
        <f>('Expenditure DATA'!AF11*1000000)/'Per-Capita Data'!P15</f>
        <v>7056.4254384516898</v>
      </c>
      <c r="AF15" s="409">
        <f t="shared" si="1"/>
        <v>31</v>
      </c>
      <c r="AG15" s="409">
        <f t="shared" si="2"/>
        <v>31</v>
      </c>
      <c r="AH15" s="409">
        <f t="shared" si="3"/>
        <v>37</v>
      </c>
      <c r="AI15" s="409">
        <f t="shared" si="4"/>
        <v>39</v>
      </c>
      <c r="AJ15" s="409">
        <f t="shared" si="5"/>
        <v>41</v>
      </c>
      <c r="AK15" s="409">
        <f t="shared" si="6"/>
        <v>38</v>
      </c>
      <c r="AL15" s="409">
        <f t="shared" si="7"/>
        <v>35</v>
      </c>
      <c r="AM15" s="409">
        <f t="shared" si="8"/>
        <v>27</v>
      </c>
      <c r="AN15" s="409">
        <f t="shared" si="9"/>
        <v>29</v>
      </c>
      <c r="AO15" s="409">
        <f t="shared" si="10"/>
        <v>26</v>
      </c>
      <c r="AP15" s="409">
        <f t="shared" si="11"/>
        <v>28</v>
      </c>
      <c r="AQ15" s="409">
        <f t="shared" si="12"/>
        <v>32</v>
      </c>
      <c r="AR15" s="409">
        <f t="shared" si="13"/>
        <v>40</v>
      </c>
      <c r="AS15" s="409">
        <f t="shared" si="14"/>
        <v>41</v>
      </c>
      <c r="AT15" s="459">
        <f t="shared" si="0"/>
        <v>44</v>
      </c>
    </row>
    <row r="16" spans="1:46">
      <c r="A16" s="398" t="s">
        <v>28</v>
      </c>
      <c r="B16" s="73">
        <f>+'[1]Jul-1 ResPop-both sexes'!BQ14</f>
        <v>7486094</v>
      </c>
      <c r="C16" s="73">
        <f>+'[1]Jul-1 ResPop-both sexes'!BR14</f>
        <v>7636522</v>
      </c>
      <c r="D16" s="73">
        <f>+'[1]Jul-1 ResPop-both sexes'!BS14</f>
        <v>7788240</v>
      </c>
      <c r="E16" s="73">
        <f>+'[1]Jul-1 ResPop-both sexes'!BT14</f>
        <v>8227303</v>
      </c>
      <c r="F16" s="73">
        <f>+'[1]Jul-1 ResPop-both sexes'!BU14</f>
        <v>8377038</v>
      </c>
      <c r="G16" s="73">
        <f>+'[1]Jul-1 ResPop-both sexes'!BV14</f>
        <v>8508256</v>
      </c>
      <c r="H16" s="73">
        <f>+'[1]Jul-1 ResPop-both sexes'!BW14</f>
        <v>8622793</v>
      </c>
      <c r="I16" s="73">
        <f>+'[1]Jul-1 ResPop-both sexes'!BX14</f>
        <v>8769252</v>
      </c>
      <c r="J16" s="73">
        <f>+'[1]Jul-1 ResPop-both sexes'!BY14</f>
        <v>8925922</v>
      </c>
      <c r="K16" s="73">
        <f>+'[1]Jul-1 ResPop-both sexes'!BZ14</f>
        <v>9155813</v>
      </c>
      <c r="L16" s="73">
        <f>+'[1]Jul-1 ResPop-both sexes'!CA14</f>
        <v>9349988</v>
      </c>
      <c r="M16" s="73">
        <f>+'[1]Jul-1 ResPop-both sexes'!CB14</f>
        <v>9504843</v>
      </c>
      <c r="N16" s="73">
        <f>+'[1]Jul-1 ResPop-both sexes'!CC14</f>
        <v>9620846</v>
      </c>
      <c r="O16" s="73">
        <f>+'[1]Jul-1 ResPop-both sexes'!CD14</f>
        <v>9714748</v>
      </c>
      <c r="P16" s="456">
        <f>+'[1]Jul-1 ResPop-both sexes'!CE14</f>
        <v>9812460</v>
      </c>
      <c r="Q16" s="408">
        <f>('Expenditure DATA'!R12*1000000)/'Per-Capita Data'!B16</f>
        <v>4443.2151132486451</v>
      </c>
      <c r="R16" s="408">
        <f>('Expenditure DATA'!S12*1000000)/'Per-Capita Data'!C16</f>
        <v>4692.1140278257562</v>
      </c>
      <c r="S16" s="408">
        <f>('Expenditure DATA'!T12*1000000)/'Per-Capita Data'!D16</f>
        <v>4889.1316908569843</v>
      </c>
      <c r="T16" s="408">
        <f>('Expenditure DATA'!U12*1000000)/'Per-Capita Data'!E16</f>
        <v>5045.9202122493843</v>
      </c>
      <c r="U16" s="408">
        <f>('Expenditure DATA'!V12*1000000)/'Per-Capita Data'!F16</f>
        <v>5365.9656312887682</v>
      </c>
      <c r="V16" s="408">
        <f>('Expenditure DATA'!W12*1000000)/'Per-Capita Data'!G16</f>
        <v>5592.3406629983865</v>
      </c>
      <c r="W16" s="408">
        <f>('Expenditure DATA'!X12*1000000)/'Per-Capita Data'!H16</f>
        <v>5823.0823817758355</v>
      </c>
      <c r="X16" s="408">
        <f>('Expenditure DATA'!Y12*1000000)/'Per-Capita Data'!I16</f>
        <v>5781.6616514156512</v>
      </c>
      <c r="Y16" s="408">
        <f>('Expenditure DATA'!Z12*1000000)/'Per-Capita Data'!J16</f>
        <v>6196.7800077123684</v>
      </c>
      <c r="Z16" s="408">
        <f>('Expenditure DATA'!AA12*1000000)/'Per-Capita Data'!K16</f>
        <v>6958.8680983327204</v>
      </c>
      <c r="AA16" s="408">
        <f>('Expenditure DATA'!AB12*1000000)/'Per-Capita Data'!L16</f>
        <v>6982.8907801806808</v>
      </c>
      <c r="AB16" s="408">
        <f>('Expenditure DATA'!AC12*1000000)/'Per-Capita Data'!M16</f>
        <v>6767.1384998153044</v>
      </c>
      <c r="AC16" s="408">
        <f>('Expenditure DATA'!AD12*1000000)/'Per-Capita Data'!N16</f>
        <v>6671.2379555810376</v>
      </c>
      <c r="AD16" s="408">
        <f>('Expenditure DATA'!AE12*1000000)/'Per-Capita Data'!O16</f>
        <v>6591.820292199036</v>
      </c>
      <c r="AE16" s="462">
        <f>('Expenditure DATA'!AF12*1000000)/'Per-Capita Data'!P16</f>
        <v>6582.8636244122272</v>
      </c>
      <c r="AF16" s="409">
        <f t="shared" si="1"/>
        <v>36</v>
      </c>
      <c r="AG16" s="409">
        <f t="shared" si="2"/>
        <v>36</v>
      </c>
      <c r="AH16" s="409">
        <f t="shared" si="3"/>
        <v>38</v>
      </c>
      <c r="AI16" s="409">
        <f t="shared" si="4"/>
        <v>41</v>
      </c>
      <c r="AJ16" s="409">
        <f t="shared" si="5"/>
        <v>39</v>
      </c>
      <c r="AK16" s="409">
        <f t="shared" si="6"/>
        <v>39</v>
      </c>
      <c r="AL16" s="409">
        <f t="shared" si="7"/>
        <v>40</v>
      </c>
      <c r="AM16" s="409">
        <f t="shared" si="8"/>
        <v>45</v>
      </c>
      <c r="AN16" s="409">
        <f t="shared" si="9"/>
        <v>46</v>
      </c>
      <c r="AO16" s="409">
        <f t="shared" si="10"/>
        <v>34</v>
      </c>
      <c r="AP16" s="409">
        <f t="shared" si="11"/>
        <v>38</v>
      </c>
      <c r="AQ16" s="409">
        <f t="shared" si="12"/>
        <v>48</v>
      </c>
      <c r="AR16" s="409">
        <f t="shared" si="13"/>
        <v>48</v>
      </c>
      <c r="AS16" s="409">
        <f t="shared" si="14"/>
        <v>51</v>
      </c>
      <c r="AT16" s="459">
        <f t="shared" si="0"/>
        <v>49</v>
      </c>
    </row>
    <row r="17" spans="1:46">
      <c r="A17" s="398" t="s">
        <v>29</v>
      </c>
      <c r="B17" s="73">
        <f>+'[1]Jul-1 ResPop-both sexes'!BQ15</f>
        <v>3907816</v>
      </c>
      <c r="C17" s="73">
        <f>+'[1]Jul-1 ResPop-both sexes'!BR15</f>
        <v>3934310</v>
      </c>
      <c r="D17" s="73">
        <f>+'[1]Jul-1 ResPop-both sexes'!BS15</f>
        <v>3960825</v>
      </c>
      <c r="E17" s="73">
        <f>+'[1]Jul-1 ResPop-both sexes'!BT15</f>
        <v>4049021</v>
      </c>
      <c r="F17" s="73">
        <f>+'[1]Jul-1 ResPop-both sexes'!BU15</f>
        <v>4068132</v>
      </c>
      <c r="G17" s="73">
        <f>+'[1]Jul-1 ResPop-both sexes'!BV15</f>
        <v>4089875</v>
      </c>
      <c r="H17" s="73">
        <f>+'[1]Jul-1 ResPop-both sexes'!BW15</f>
        <v>4117170</v>
      </c>
      <c r="I17" s="73">
        <f>+'[1]Jul-1 ResPop-both sexes'!BX15</f>
        <v>4146101</v>
      </c>
      <c r="J17" s="73">
        <f>+'[1]Jul-1 ResPop-both sexes'!BY15</f>
        <v>4182742</v>
      </c>
      <c r="K17" s="73">
        <f>+'[1]Jul-1 ResPop-both sexes'!BZ15</f>
        <v>4219239</v>
      </c>
      <c r="L17" s="73">
        <f>+'[1]Jul-1 ResPop-both sexes'!CA15</f>
        <v>4256672</v>
      </c>
      <c r="M17" s="73">
        <f>+'[1]Jul-1 ResPop-both sexes'!CB15</f>
        <v>4289878</v>
      </c>
      <c r="N17" s="73">
        <f>+'[1]Jul-1 ResPop-both sexes'!CC15</f>
        <v>4317074</v>
      </c>
      <c r="O17" s="73">
        <f>+'[1]Jul-1 ResPop-both sexes'!CD15</f>
        <v>4346655</v>
      </c>
      <c r="P17" s="456">
        <f>+'[1]Jul-1 ResPop-both sexes'!CE15</f>
        <v>4366814</v>
      </c>
      <c r="Q17" s="408">
        <f>('Expenditure DATA'!R13*1000000)/'Per-Capita Data'!B17</f>
        <v>4250.2809753581023</v>
      </c>
      <c r="R17" s="408">
        <f>('Expenditure DATA'!S13*1000000)/'Per-Capita Data'!C17</f>
        <v>4590.8743845807776</v>
      </c>
      <c r="S17" s="408">
        <f>('Expenditure DATA'!T13*1000000)/'Per-Capita Data'!D17</f>
        <v>4802.1086516066725</v>
      </c>
      <c r="T17" s="408">
        <f>('Expenditure DATA'!U13*1000000)/'Per-Capita Data'!E17</f>
        <v>5015.0384500352056</v>
      </c>
      <c r="U17" s="408">
        <f>('Expenditure DATA'!V13*1000000)/'Per-Capita Data'!F17</f>
        <v>5307.5170618849143</v>
      </c>
      <c r="V17" s="408">
        <f>('Expenditure DATA'!W13*1000000)/'Per-Capita Data'!G17</f>
        <v>5493.7844066138932</v>
      </c>
      <c r="W17" s="408">
        <f>('Expenditure DATA'!X13*1000000)/'Per-Capita Data'!H17</f>
        <v>5670.4248306482368</v>
      </c>
      <c r="X17" s="408">
        <f>('Expenditure DATA'!Y13*1000000)/'Per-Capita Data'!I17</f>
        <v>5654.3014750484854</v>
      </c>
      <c r="Y17" s="408">
        <f>('Expenditure DATA'!Z13*1000000)/'Per-Capita Data'!J17</f>
        <v>6155.13722816277</v>
      </c>
      <c r="Z17" s="408">
        <f>('Expenditure DATA'!AA13*1000000)/'Per-Capita Data'!K17</f>
        <v>6425.2627073270796</v>
      </c>
      <c r="AA17" s="408">
        <f>('Expenditure DATA'!AB13*1000000)/'Per-Capita Data'!L17</f>
        <v>6923.9229614121077</v>
      </c>
      <c r="AB17" s="408">
        <f>('Expenditure DATA'!AC13*1000000)/'Per-Capita Data'!M17</f>
        <v>7066.3482737737531</v>
      </c>
      <c r="AC17" s="408">
        <f>('Expenditure DATA'!AD13*1000000)/'Per-Capita Data'!N17</f>
        <v>7376.0301537569194</v>
      </c>
      <c r="AD17" s="408">
        <f>('Expenditure DATA'!AE13*1000000)/'Per-Capita Data'!O17</f>
        <v>7437.8047026966715</v>
      </c>
      <c r="AE17" s="462">
        <f>('Expenditure DATA'!AF13*1000000)/'Per-Capita Data'!P17</f>
        <v>7497.9419778355568</v>
      </c>
      <c r="AF17" s="409">
        <f t="shared" si="1"/>
        <v>44</v>
      </c>
      <c r="AG17" s="409">
        <f t="shared" si="2"/>
        <v>39</v>
      </c>
      <c r="AH17" s="409">
        <f t="shared" si="3"/>
        <v>43</v>
      </c>
      <c r="AI17" s="409">
        <f t="shared" si="4"/>
        <v>42</v>
      </c>
      <c r="AJ17" s="409">
        <f t="shared" si="5"/>
        <v>42</v>
      </c>
      <c r="AK17" s="409">
        <f t="shared" si="6"/>
        <v>42</v>
      </c>
      <c r="AL17" s="409">
        <f t="shared" si="7"/>
        <v>43</v>
      </c>
      <c r="AM17" s="409">
        <f t="shared" si="8"/>
        <v>49</v>
      </c>
      <c r="AN17" s="409">
        <f t="shared" si="9"/>
        <v>47</v>
      </c>
      <c r="AO17" s="409">
        <f t="shared" si="10"/>
        <v>44</v>
      </c>
      <c r="AP17" s="409">
        <f t="shared" si="11"/>
        <v>42</v>
      </c>
      <c r="AQ17" s="409">
        <f t="shared" si="12"/>
        <v>43</v>
      </c>
      <c r="AR17" s="409">
        <f t="shared" si="13"/>
        <v>39</v>
      </c>
      <c r="AS17" s="409">
        <f t="shared" si="14"/>
        <v>37</v>
      </c>
      <c r="AT17" s="459">
        <f t="shared" si="0"/>
        <v>35</v>
      </c>
    </row>
    <row r="18" spans="1:46">
      <c r="A18" s="398" t="s">
        <v>30</v>
      </c>
      <c r="B18" s="73">
        <f>+'[1]Jul-1 ResPop-both sexes'!BQ16</f>
        <v>4351390</v>
      </c>
      <c r="C18" s="73">
        <f>+'[1]Jul-1 ResPop-both sexes'!BR16</f>
        <v>4362758</v>
      </c>
      <c r="D18" s="73">
        <f>+'[1]Jul-1 ResPop-both sexes'!BS16</f>
        <v>4372035</v>
      </c>
      <c r="E18" s="73">
        <f>+'[1]Jul-1 ResPop-both sexes'!BT16</f>
        <v>4471885</v>
      </c>
      <c r="F18" s="73">
        <f>+'[1]Jul-1 ResPop-both sexes'!BU16</f>
        <v>4477875</v>
      </c>
      <c r="G18" s="73">
        <f>+'[1]Jul-1 ResPop-both sexes'!BV16</f>
        <v>4497267</v>
      </c>
      <c r="H18" s="73">
        <f>+'[1]Jul-1 ResPop-both sexes'!BW16</f>
        <v>4521042</v>
      </c>
      <c r="I18" s="73">
        <f>+'[1]Jul-1 ResPop-both sexes'!BX16</f>
        <v>4552238</v>
      </c>
      <c r="J18" s="73">
        <f>+'[1]Jul-1 ResPop-both sexes'!BY16</f>
        <v>4576628</v>
      </c>
      <c r="K18" s="73">
        <f>+'[1]Jul-1 ResPop-both sexes'!BZ16</f>
        <v>4302665</v>
      </c>
      <c r="L18" s="73">
        <f>+'[1]Jul-1 ResPop-both sexes'!CA16</f>
        <v>4375581</v>
      </c>
      <c r="M18" s="73">
        <f>+'[1]Jul-1 ResPop-both sexes'!CB16</f>
        <v>4435586</v>
      </c>
      <c r="N18" s="73">
        <f>+'[1]Jul-1 ResPop-both sexes'!CC16</f>
        <v>4491648</v>
      </c>
      <c r="O18" s="73">
        <f>+'[1]Jul-1 ResPop-both sexes'!CD16</f>
        <v>4544125</v>
      </c>
      <c r="P18" s="456">
        <f>+'[1]Jul-1 ResPop-both sexes'!CE16</f>
        <v>4574766</v>
      </c>
      <c r="Q18" s="408">
        <f>('Expenditure DATA'!R14*1000000)/'Per-Capita Data'!B18</f>
        <v>4564.9102930328008</v>
      </c>
      <c r="R18" s="408">
        <f>('Expenditure DATA'!S14*1000000)/'Per-Capita Data'!C18</f>
        <v>4840.4573437261479</v>
      </c>
      <c r="S18" s="408">
        <f>('Expenditure DATA'!T14*1000000)/'Per-Capita Data'!D18</f>
        <v>5095.3404993326903</v>
      </c>
      <c r="T18" s="408">
        <f>('Expenditure DATA'!U14*1000000)/'Per-Capita Data'!E18</f>
        <v>5210.0575037148765</v>
      </c>
      <c r="U18" s="408">
        <f>('Expenditure DATA'!V14*1000000)/'Per-Capita Data'!F18</f>
        <v>5431.2701895430309</v>
      </c>
      <c r="V18" s="408">
        <f>('Expenditure DATA'!W14*1000000)/'Per-Capita Data'!G18</f>
        <v>5733.6171056777375</v>
      </c>
      <c r="W18" s="408">
        <f>('Expenditure DATA'!X14*1000000)/'Per-Capita Data'!H18</f>
        <v>6027.5186560974216</v>
      </c>
      <c r="X18" s="408">
        <f>('Expenditure DATA'!Y14*1000000)/'Per-Capita Data'!I18</f>
        <v>6266.7826242828251</v>
      </c>
      <c r="Y18" s="408">
        <f>('Expenditure DATA'!Z14*1000000)/'Per-Capita Data'!J18</f>
        <v>6665.3549294371314</v>
      </c>
      <c r="Z18" s="408">
        <f>('Expenditure DATA'!AA14*1000000)/'Per-Capita Data'!K18</f>
        <v>8052.25133725261</v>
      </c>
      <c r="AA18" s="408">
        <f>('Expenditure DATA'!AB14*1000000)/'Per-Capita Data'!L18</f>
        <v>9452.8822572362387</v>
      </c>
      <c r="AB18" s="408">
        <f>('Expenditure DATA'!AC14*1000000)/'Per-Capita Data'!M18</f>
        <v>9295.6159569445845</v>
      </c>
      <c r="AC18" s="408">
        <f>('Expenditure DATA'!AD14*1000000)/'Per-Capita Data'!N18</f>
        <v>9549.3386837080725</v>
      </c>
      <c r="AD18" s="408">
        <f>('Expenditure DATA'!AE14*1000000)/'Per-Capita Data'!O18</f>
        <v>9424.7220311941237</v>
      </c>
      <c r="AE18" s="462">
        <f>('Expenditure DATA'!AF14*1000000)/'Per-Capita Data'!P18</f>
        <v>9295.825185375601</v>
      </c>
      <c r="AF18" s="409">
        <f t="shared" si="1"/>
        <v>28</v>
      </c>
      <c r="AG18" s="409">
        <f t="shared" si="2"/>
        <v>30</v>
      </c>
      <c r="AH18" s="409">
        <f t="shared" si="3"/>
        <v>32</v>
      </c>
      <c r="AI18" s="409">
        <f t="shared" si="4"/>
        <v>34</v>
      </c>
      <c r="AJ18" s="409">
        <f t="shared" si="5"/>
        <v>36</v>
      </c>
      <c r="AK18" s="409">
        <f t="shared" si="6"/>
        <v>34</v>
      </c>
      <c r="AL18" s="409">
        <f t="shared" si="7"/>
        <v>31</v>
      </c>
      <c r="AM18" s="409">
        <f t="shared" si="8"/>
        <v>32</v>
      </c>
      <c r="AN18" s="409">
        <f t="shared" si="9"/>
        <v>33</v>
      </c>
      <c r="AO18" s="409">
        <f t="shared" si="10"/>
        <v>14</v>
      </c>
      <c r="AP18" s="409">
        <f t="shared" si="11"/>
        <v>5</v>
      </c>
      <c r="AQ18" s="409">
        <f t="shared" si="12"/>
        <v>7</v>
      </c>
      <c r="AR18" s="409">
        <f t="shared" si="13"/>
        <v>6</v>
      </c>
      <c r="AS18" s="409">
        <f t="shared" si="14"/>
        <v>9</v>
      </c>
      <c r="AT18" s="459">
        <f t="shared" si="0"/>
        <v>12</v>
      </c>
    </row>
    <row r="19" spans="1:46">
      <c r="A19" s="398" t="s">
        <v>31</v>
      </c>
      <c r="B19" s="73">
        <f>+'[1]Jul-1 ResPop-both sexes'!BQ17</f>
        <v>5092914</v>
      </c>
      <c r="C19" s="73">
        <f>+'[1]Jul-1 ResPop-both sexes'!BR17</f>
        <v>5130072</v>
      </c>
      <c r="D19" s="73">
        <f>+'[1]Jul-1 ResPop-both sexes'!BS17</f>
        <v>5171634</v>
      </c>
      <c r="E19" s="73">
        <f>+'[1]Jul-1 ResPop-both sexes'!BT17</f>
        <v>5311034</v>
      </c>
      <c r="F19" s="73">
        <f>+'[1]Jul-1 ResPop-both sexes'!BU17</f>
        <v>5374691</v>
      </c>
      <c r="G19" s="73">
        <f>+'[1]Jul-1 ResPop-both sexes'!BV17</f>
        <v>5440389</v>
      </c>
      <c r="H19" s="73">
        <f>+'[1]Jul-1 ResPop-both sexes'!BW17</f>
        <v>5496269</v>
      </c>
      <c r="I19" s="73">
        <f>+'[1]Jul-1 ResPop-both sexes'!BX17</f>
        <v>5546935</v>
      </c>
      <c r="J19" s="73">
        <f>+'[1]Jul-1 ResPop-both sexes'!BY17</f>
        <v>5592379</v>
      </c>
      <c r="K19" s="73">
        <f>+'[1]Jul-1 ResPop-both sexes'!BZ17</f>
        <v>5627367</v>
      </c>
      <c r="L19" s="73">
        <f>+'[1]Jul-1 ResPop-both sexes'!CA17</f>
        <v>5653408</v>
      </c>
      <c r="M19" s="73">
        <f>+'[1]Jul-1 ResPop-both sexes'!CB17</f>
        <v>5684965</v>
      </c>
      <c r="N19" s="73">
        <f>+'[1]Jul-1 ResPop-both sexes'!CC17</f>
        <v>5730388</v>
      </c>
      <c r="O19" s="73">
        <f>+'[1]Jul-1 ResPop-both sexes'!CD17</f>
        <v>5787998</v>
      </c>
      <c r="P19" s="456">
        <f>+'[1]Jul-1 ResPop-both sexes'!CE17</f>
        <v>5839572</v>
      </c>
      <c r="Q19" s="408">
        <f>('Expenditure DATA'!R15*1000000)/'Per-Capita Data'!B19</f>
        <v>4603.9779976649907</v>
      </c>
      <c r="R19" s="408">
        <f>('Expenditure DATA'!S15*1000000)/'Per-Capita Data'!C19</f>
        <v>4849.0251208949894</v>
      </c>
      <c r="S19" s="408">
        <f>('Expenditure DATA'!T15*1000000)/'Per-Capita Data'!D19</f>
        <v>5307.1182144753475</v>
      </c>
      <c r="T19" s="408">
        <f>('Expenditure DATA'!U15*1000000)/'Per-Capita Data'!E19</f>
        <v>5577.3373885386536</v>
      </c>
      <c r="U19" s="408">
        <f>('Expenditure DATA'!V15*1000000)/'Per-Capita Data'!F19</f>
        <v>5915.946423710684</v>
      </c>
      <c r="V19" s="408">
        <f>('Expenditure DATA'!W15*1000000)/'Per-Capita Data'!G19</f>
        <v>6057.205835832694</v>
      </c>
      <c r="W19" s="408">
        <f>('Expenditure DATA'!X15*1000000)/'Per-Capita Data'!H19</f>
        <v>6206.1605791128495</v>
      </c>
      <c r="X19" s="408">
        <f>('Expenditure DATA'!Y15*1000000)/'Per-Capita Data'!I19</f>
        <v>6608.0723859212339</v>
      </c>
      <c r="Y19" s="408">
        <f>('Expenditure DATA'!Z15*1000000)/'Per-Capita Data'!J19</f>
        <v>7048.1583955593851</v>
      </c>
      <c r="Z19" s="408">
        <f>('Expenditure DATA'!AA15*1000000)/'Per-Capita Data'!K19</f>
        <v>7598.4974855913961</v>
      </c>
      <c r="AA19" s="408">
        <f>('Expenditure DATA'!AB15*1000000)/'Per-Capita Data'!L19</f>
        <v>8090.6184375866733</v>
      </c>
      <c r="AB19" s="408">
        <f>('Expenditure DATA'!AC15*1000000)/'Per-Capita Data'!M19</f>
        <v>8444.1075714626204</v>
      </c>
      <c r="AC19" s="408">
        <f>('Expenditure DATA'!AD15*1000000)/'Per-Capita Data'!N19</f>
        <v>8679.1215533747454</v>
      </c>
      <c r="AD19" s="408">
        <f>('Expenditure DATA'!AE15*1000000)/'Per-Capita Data'!O19</f>
        <v>8611.3573294254766</v>
      </c>
      <c r="AE19" s="462">
        <f>('Expenditure DATA'!AF15*1000000)/'Per-Capita Data'!P19</f>
        <v>9221.1530228585252</v>
      </c>
      <c r="AF19" s="409">
        <f t="shared" si="1"/>
        <v>27</v>
      </c>
      <c r="AG19" s="409">
        <f t="shared" si="2"/>
        <v>29</v>
      </c>
      <c r="AH19" s="409">
        <f t="shared" si="3"/>
        <v>26</v>
      </c>
      <c r="AI19" s="409">
        <f t="shared" si="4"/>
        <v>24</v>
      </c>
      <c r="AJ19" s="409">
        <f t="shared" si="5"/>
        <v>23</v>
      </c>
      <c r="AK19" s="409">
        <f t="shared" si="6"/>
        <v>26</v>
      </c>
      <c r="AL19" s="409">
        <f t="shared" si="7"/>
        <v>27</v>
      </c>
      <c r="AM19" s="409">
        <f t="shared" si="8"/>
        <v>24</v>
      </c>
      <c r="AN19" s="409">
        <f t="shared" si="9"/>
        <v>26</v>
      </c>
      <c r="AO19" s="409">
        <f t="shared" si="10"/>
        <v>19</v>
      </c>
      <c r="AP19" s="409">
        <f t="shared" si="11"/>
        <v>17</v>
      </c>
      <c r="AQ19" s="409">
        <f t="shared" si="12"/>
        <v>17</v>
      </c>
      <c r="AR19" s="409">
        <f t="shared" si="13"/>
        <v>17</v>
      </c>
      <c r="AS19" s="409">
        <f t="shared" si="14"/>
        <v>18</v>
      </c>
      <c r="AT19" s="459">
        <f t="shared" si="0"/>
        <v>13</v>
      </c>
    </row>
    <row r="20" spans="1:46">
      <c r="A20" s="398" t="s">
        <v>32</v>
      </c>
      <c r="B20" s="73">
        <f>+'[1]Jul-1 ResPop-both sexes'!BQ18</f>
        <v>2731826</v>
      </c>
      <c r="C20" s="73">
        <f>+'[1]Jul-1 ResPop-both sexes'!BR18</f>
        <v>2751335</v>
      </c>
      <c r="D20" s="73">
        <f>+'[1]Jul-1 ResPop-both sexes'!BS18</f>
        <v>2768619</v>
      </c>
      <c r="E20" s="73">
        <f>+'[1]Jul-1 ResPop-both sexes'!BT18</f>
        <v>2848353</v>
      </c>
      <c r="F20" s="73">
        <f>+'[1]Jul-1 ResPop-both sexes'!BU18</f>
        <v>2852994</v>
      </c>
      <c r="G20" s="73">
        <f>+'[1]Jul-1 ResPop-both sexes'!BV18</f>
        <v>2858681</v>
      </c>
      <c r="H20" s="73">
        <f>+'[1]Jul-1 ResPop-both sexes'!BW18</f>
        <v>2868312</v>
      </c>
      <c r="I20" s="73">
        <f>+'[1]Jul-1 ResPop-both sexes'!BX18</f>
        <v>2889010</v>
      </c>
      <c r="J20" s="73">
        <f>+'[1]Jul-1 ResPop-both sexes'!BY18</f>
        <v>2905943</v>
      </c>
      <c r="K20" s="73">
        <f>+'[1]Jul-1 ResPop-both sexes'!BZ18</f>
        <v>2904978</v>
      </c>
      <c r="L20" s="73">
        <f>+'[1]Jul-1 ResPop-both sexes'!CA18</f>
        <v>2928350</v>
      </c>
      <c r="M20" s="73">
        <f>+'[1]Jul-1 ResPop-both sexes'!CB18</f>
        <v>2947806</v>
      </c>
      <c r="N20" s="73">
        <f>+'[1]Jul-1 ResPop-both sexes'!CC18</f>
        <v>2958774</v>
      </c>
      <c r="O20" s="73">
        <f>+'[1]Jul-1 ResPop-both sexes'!CD18</f>
        <v>2969137</v>
      </c>
      <c r="P20" s="456">
        <f>+'[1]Jul-1 ResPop-both sexes'!CE18</f>
        <v>2977457</v>
      </c>
      <c r="Q20" s="408">
        <f>('Expenditure DATA'!R16*1000000)/'Per-Capita Data'!B20</f>
        <v>4351.0783629704092</v>
      </c>
      <c r="R20" s="408">
        <f>('Expenditure DATA'!S16*1000000)/'Per-Capita Data'!C20</f>
        <v>4703.097587171319</v>
      </c>
      <c r="S20" s="408">
        <f>('Expenditure DATA'!T16*1000000)/'Per-Capita Data'!D20</f>
        <v>5032.2424284453728</v>
      </c>
      <c r="T20" s="408">
        <f>('Expenditure DATA'!U16*1000000)/'Per-Capita Data'!E20</f>
        <v>5146.2245023703172</v>
      </c>
      <c r="U20" s="408">
        <f>('Expenditure DATA'!V16*1000000)/'Per-Capita Data'!F20</f>
        <v>5392.288241755854</v>
      </c>
      <c r="V20" s="408">
        <f>('Expenditure DATA'!W16*1000000)/'Per-Capita Data'!G20</f>
        <v>5713.4164322636907</v>
      </c>
      <c r="W20" s="408">
        <f>('Expenditure DATA'!X16*1000000)/'Per-Capita Data'!H20</f>
        <v>6024.9735733072275</v>
      </c>
      <c r="X20" s="408">
        <f>('Expenditure DATA'!Y16*1000000)/'Per-Capita Data'!I20</f>
        <v>6177.377717626453</v>
      </c>
      <c r="Y20" s="408">
        <f>('Expenditure DATA'!Z16*1000000)/'Per-Capita Data'!J20</f>
        <v>6627.7339232049635</v>
      </c>
      <c r="Z20" s="408">
        <f>('Expenditure DATA'!AA16*1000000)/'Per-Capita Data'!K20</f>
        <v>7628.6188742221111</v>
      </c>
      <c r="AA20" s="408">
        <f>('Expenditure DATA'!AB16*1000000)/'Per-Capita Data'!L20</f>
        <v>7667.7412194580565</v>
      </c>
      <c r="AB20" s="408">
        <f>('Expenditure DATA'!AC16*1000000)/'Per-Capita Data'!M20</f>
        <v>7807.0263104152718</v>
      </c>
      <c r="AC20" s="408">
        <f>('Expenditure DATA'!AD16*1000000)/'Per-Capita Data'!N20</f>
        <v>7994.2317324675696</v>
      </c>
      <c r="AD20" s="408">
        <f>('Expenditure DATA'!AE16*1000000)/'Per-Capita Data'!O20</f>
        <v>8026.2581349395468</v>
      </c>
      <c r="AE20" s="462">
        <f>('Expenditure DATA'!AF16*1000000)/'Per-Capita Data'!P20</f>
        <v>8106.1802068006355</v>
      </c>
      <c r="AF20" s="409">
        <f t="shared" si="1"/>
        <v>38</v>
      </c>
      <c r="AG20" s="409">
        <f t="shared" si="2"/>
        <v>35</v>
      </c>
      <c r="AH20" s="409">
        <f t="shared" si="3"/>
        <v>36</v>
      </c>
      <c r="AI20" s="409">
        <f t="shared" si="4"/>
        <v>37</v>
      </c>
      <c r="AJ20" s="409">
        <f t="shared" si="5"/>
        <v>38</v>
      </c>
      <c r="AK20" s="409">
        <f t="shared" si="6"/>
        <v>35</v>
      </c>
      <c r="AL20" s="409">
        <f t="shared" si="7"/>
        <v>32</v>
      </c>
      <c r="AM20" s="409">
        <f t="shared" si="8"/>
        <v>35</v>
      </c>
      <c r="AN20" s="409">
        <f t="shared" si="9"/>
        <v>35</v>
      </c>
      <c r="AO20" s="409">
        <f t="shared" si="10"/>
        <v>17</v>
      </c>
      <c r="AP20" s="409">
        <f t="shared" si="11"/>
        <v>22</v>
      </c>
      <c r="AQ20" s="409">
        <f t="shared" si="12"/>
        <v>25</v>
      </c>
      <c r="AR20" s="409">
        <f t="shared" si="13"/>
        <v>29</v>
      </c>
      <c r="AS20" s="409">
        <f t="shared" si="14"/>
        <v>29</v>
      </c>
      <c r="AT20" s="459">
        <f t="shared" si="0"/>
        <v>25</v>
      </c>
    </row>
    <row r="21" spans="1:46">
      <c r="A21" s="398" t="s">
        <v>33</v>
      </c>
      <c r="B21" s="73">
        <f>+'[1]Jul-1 ResPop-both sexes'!BQ19</f>
        <v>7428672</v>
      </c>
      <c r="C21" s="73">
        <f>+'[1]Jul-1 ResPop-both sexes'!BR19</f>
        <v>7545828</v>
      </c>
      <c r="D21" s="73">
        <f>+'[1]Jul-1 ResPop-both sexes'!BS19</f>
        <v>7650789</v>
      </c>
      <c r="E21" s="73">
        <f>+'[1]Jul-1 ResPop-both sexes'!BT19</f>
        <v>8081614</v>
      </c>
      <c r="F21" s="73">
        <f>+'[1]Jul-1 ResPop-both sexes'!BU19</f>
        <v>8210122</v>
      </c>
      <c r="G21" s="73">
        <f>+'[1]Jul-1 ResPop-both sexes'!BV19</f>
        <v>8326201</v>
      </c>
      <c r="H21" s="73">
        <f>+'[1]Jul-1 ResPop-both sexes'!BW19</f>
        <v>8422501</v>
      </c>
      <c r="I21" s="73">
        <f>+'[1]Jul-1 ResPop-both sexes'!BX19</f>
        <v>8553152</v>
      </c>
      <c r="J21" s="73">
        <f>+'[1]Jul-1 ResPop-both sexes'!BY19</f>
        <v>8705407</v>
      </c>
      <c r="K21" s="73">
        <f>+'[1]Jul-1 ResPop-both sexes'!BZ19</f>
        <v>8917270</v>
      </c>
      <c r="L21" s="73">
        <f>+'[1]Jul-1 ResPop-both sexes'!CA19</f>
        <v>9118037</v>
      </c>
      <c r="M21" s="73">
        <f>+'[1]Jul-1 ResPop-both sexes'!CB19</f>
        <v>9309449</v>
      </c>
      <c r="N21" s="73">
        <f>+'[1]Jul-1 ResPop-both sexes'!CC19</f>
        <v>9449566</v>
      </c>
      <c r="O21" s="73">
        <f>+'[1]Jul-1 ResPop-both sexes'!CD19</f>
        <v>9559048</v>
      </c>
      <c r="P21" s="456">
        <f>+'[1]Jul-1 ResPop-both sexes'!CE19</f>
        <v>9651103</v>
      </c>
      <c r="Q21" s="408">
        <f>('Expenditure DATA'!R17*1000000)/'Per-Capita Data'!B21</f>
        <v>4553.387065682803</v>
      </c>
      <c r="R21" s="408">
        <f>('Expenditure DATA'!S17*1000000)/'Per-Capita Data'!C21</f>
        <v>4872.8005727138225</v>
      </c>
      <c r="S21" s="408">
        <f>('Expenditure DATA'!T17*1000000)/'Per-Capita Data'!D21</f>
        <v>5285.0028931656589</v>
      </c>
      <c r="T21" s="408">
        <f>('Expenditure DATA'!U17*1000000)/'Per-Capita Data'!E21</f>
        <v>5257.2668652573611</v>
      </c>
      <c r="U21" s="408">
        <f>('Expenditure DATA'!V17*1000000)/'Per-Capita Data'!F21</f>
        <v>5425.0059865127459</v>
      </c>
      <c r="V21" s="408">
        <f>('Expenditure DATA'!W17*1000000)/'Per-Capita Data'!G21</f>
        <v>5586.5897904698677</v>
      </c>
      <c r="W21" s="408">
        <f>('Expenditure DATA'!X17*1000000)/'Per-Capita Data'!H21</f>
        <v>5757.2184319123262</v>
      </c>
      <c r="X21" s="408">
        <f>('Expenditure DATA'!Y17*1000000)/'Per-Capita Data'!I21</f>
        <v>6149.3560502607697</v>
      </c>
      <c r="Y21" s="408">
        <f>('Expenditure DATA'!Z17*1000000)/'Per-Capita Data'!J21</f>
        <v>6814.2804810849166</v>
      </c>
      <c r="Z21" s="408">
        <f>('Expenditure DATA'!AA17*1000000)/'Per-Capita Data'!K21</f>
        <v>6642.8937331716998</v>
      </c>
      <c r="AA21" s="408">
        <f>('Expenditure DATA'!AB17*1000000)/'Per-Capita Data'!L21</f>
        <v>6949.4531553227962</v>
      </c>
      <c r="AB21" s="408">
        <f>('Expenditure DATA'!AC17*1000000)/'Per-Capita Data'!M21</f>
        <v>7015.7020034160987</v>
      </c>
      <c r="AC21" s="408">
        <f>('Expenditure DATA'!AD17*1000000)/'Per-Capita Data'!N21</f>
        <v>6998.0914467394578</v>
      </c>
      <c r="AD21" s="408">
        <f>('Expenditure DATA'!AE17*1000000)/'Per-Capita Data'!O21</f>
        <v>7041.419710414677</v>
      </c>
      <c r="AE21" s="462">
        <f>('Expenditure DATA'!AF17*1000000)/'Per-Capita Data'!P21</f>
        <v>7280.3720984016027</v>
      </c>
      <c r="AF21" s="409">
        <f t="shared" si="1"/>
        <v>30</v>
      </c>
      <c r="AG21" s="409">
        <f t="shared" si="2"/>
        <v>28</v>
      </c>
      <c r="AH21" s="409">
        <f t="shared" si="3"/>
        <v>27</v>
      </c>
      <c r="AI21" s="409">
        <f t="shared" si="4"/>
        <v>32</v>
      </c>
      <c r="AJ21" s="409">
        <f t="shared" si="5"/>
        <v>37</v>
      </c>
      <c r="AK21" s="409">
        <f t="shared" si="6"/>
        <v>40</v>
      </c>
      <c r="AL21" s="409">
        <f t="shared" si="7"/>
        <v>41</v>
      </c>
      <c r="AM21" s="409">
        <f t="shared" si="8"/>
        <v>36</v>
      </c>
      <c r="AN21" s="409">
        <f t="shared" si="9"/>
        <v>31</v>
      </c>
      <c r="AO21" s="409">
        <f t="shared" si="10"/>
        <v>39</v>
      </c>
      <c r="AP21" s="409">
        <f t="shared" si="11"/>
        <v>41</v>
      </c>
      <c r="AQ21" s="409">
        <f t="shared" si="12"/>
        <v>44</v>
      </c>
      <c r="AR21" s="409">
        <f t="shared" si="13"/>
        <v>44</v>
      </c>
      <c r="AS21" s="409">
        <f t="shared" si="14"/>
        <v>44</v>
      </c>
      <c r="AT21" s="459">
        <f t="shared" si="0"/>
        <v>39</v>
      </c>
    </row>
    <row r="22" spans="1:46">
      <c r="A22" s="398" t="s">
        <v>34</v>
      </c>
      <c r="B22" s="73">
        <f>+'[1]Jul-1 ResPop-both sexes'!BQ20</f>
        <v>3314259</v>
      </c>
      <c r="C22" s="73">
        <f>+'[1]Jul-1 ResPop-both sexes'!BR20</f>
        <v>3339478</v>
      </c>
      <c r="D22" s="73">
        <f>+'[1]Jul-1 ResPop-both sexes'!BS20</f>
        <v>3358044</v>
      </c>
      <c r="E22" s="73">
        <f>+'[1]Jul-1 ResPop-both sexes'!BT20</f>
        <v>3454365</v>
      </c>
      <c r="F22" s="73">
        <f>+'[1]Jul-1 ResPop-both sexes'!BU20</f>
        <v>3467100</v>
      </c>
      <c r="G22" s="73">
        <f>+'[1]Jul-1 ResPop-both sexes'!BV20</f>
        <v>3489080</v>
      </c>
      <c r="H22" s="73">
        <f>+'[1]Jul-1 ResPop-both sexes'!BW20</f>
        <v>3504892</v>
      </c>
      <c r="I22" s="73">
        <f>+'[1]Jul-1 ResPop-both sexes'!BX20</f>
        <v>3525233</v>
      </c>
      <c r="J22" s="73">
        <f>+'[1]Jul-1 ResPop-both sexes'!BY20</f>
        <v>3548597</v>
      </c>
      <c r="K22" s="73">
        <f>+'[1]Jul-1 ResPop-both sexes'!BZ20</f>
        <v>3594090</v>
      </c>
      <c r="L22" s="73">
        <f>+'[1]Jul-1 ResPop-both sexes'!CA20</f>
        <v>3634349</v>
      </c>
      <c r="M22" s="73">
        <f>+'[1]Jul-1 ResPop-both sexes'!CB20</f>
        <v>3668976</v>
      </c>
      <c r="N22" s="73">
        <f>+'[1]Jul-1 ResPop-both sexes'!CC20</f>
        <v>3717572</v>
      </c>
      <c r="O22" s="73">
        <f>+'[1]Jul-1 ResPop-both sexes'!CD20</f>
        <v>3759482</v>
      </c>
      <c r="P22" s="456">
        <f>+'[1]Jul-1 ResPop-both sexes'!CE20</f>
        <v>3784163</v>
      </c>
      <c r="Q22" s="408">
        <f>('Expenditure DATA'!R18*1000000)/'Per-Capita Data'!B22</f>
        <v>3852.2019552485185</v>
      </c>
      <c r="R22" s="408">
        <f>('Expenditure DATA'!S18*1000000)/'Per-Capita Data'!C22</f>
        <v>4071.3488754829345</v>
      </c>
      <c r="S22" s="408">
        <f>('Expenditure DATA'!T18*1000000)/'Per-Capita Data'!D22</f>
        <v>4112.0327786056405</v>
      </c>
      <c r="T22" s="408">
        <f>('Expenditure DATA'!U18*1000000)/'Per-Capita Data'!E22</f>
        <v>4632.4440237207127</v>
      </c>
      <c r="U22" s="408">
        <f>('Expenditure DATA'!V18*1000000)/'Per-Capita Data'!F22</f>
        <v>5248.1664791901012</v>
      </c>
      <c r="V22" s="408">
        <f>('Expenditure DATA'!W18*1000000)/'Per-Capita Data'!G22</f>
        <v>5214.1484288121801</v>
      </c>
      <c r="W22" s="408">
        <f>('Expenditure DATA'!X18*1000000)/'Per-Capita Data'!H22</f>
        <v>5189.6731768054478</v>
      </c>
      <c r="X22" s="408">
        <f>('Expenditure DATA'!Y18*1000000)/'Per-Capita Data'!I22</f>
        <v>5424.3742186686668</v>
      </c>
      <c r="Y22" s="408">
        <f>('Expenditure DATA'!Z18*1000000)/'Per-Capita Data'!J22</f>
        <v>6413.0872003780651</v>
      </c>
      <c r="Z22" s="408">
        <f>('Expenditure DATA'!AA18*1000000)/'Per-Capita Data'!K22</f>
        <v>6327.9890041707358</v>
      </c>
      <c r="AA22" s="408">
        <f>('Expenditure DATA'!AB18*1000000)/'Per-Capita Data'!L22</f>
        <v>6616.9668900812776</v>
      </c>
      <c r="AB22" s="408">
        <f>('Expenditure DATA'!AC18*1000000)/'Per-Capita Data'!M22</f>
        <v>6905.2591240716756</v>
      </c>
      <c r="AC22" s="408">
        <f>('Expenditure DATA'!AD18*1000000)/'Per-Capita Data'!N22</f>
        <v>7174.2712716794722</v>
      </c>
      <c r="AD22" s="408">
        <f>('Expenditure DATA'!AE18*1000000)/'Per-Capita Data'!O22</f>
        <v>6867.0907321806571</v>
      </c>
      <c r="AE22" s="462">
        <f>('Expenditure DATA'!AF18*1000000)/'Per-Capita Data'!P22</f>
        <v>7041.4131209464285</v>
      </c>
      <c r="AF22" s="409">
        <f t="shared" si="1"/>
        <v>51</v>
      </c>
      <c r="AG22" s="409">
        <f t="shared" si="2"/>
        <v>51</v>
      </c>
      <c r="AH22" s="409">
        <f t="shared" si="3"/>
        <v>51</v>
      </c>
      <c r="AI22" s="409">
        <f t="shared" si="4"/>
        <v>50</v>
      </c>
      <c r="AJ22" s="409">
        <f t="shared" si="5"/>
        <v>43</v>
      </c>
      <c r="AK22" s="409">
        <f t="shared" si="6"/>
        <v>49</v>
      </c>
      <c r="AL22" s="409">
        <f t="shared" si="7"/>
        <v>51</v>
      </c>
      <c r="AM22" s="409">
        <f t="shared" si="8"/>
        <v>51</v>
      </c>
      <c r="AN22" s="409">
        <f t="shared" si="9"/>
        <v>42</v>
      </c>
      <c r="AO22" s="409">
        <f t="shared" si="10"/>
        <v>46</v>
      </c>
      <c r="AP22" s="409">
        <f t="shared" si="11"/>
        <v>47</v>
      </c>
      <c r="AQ22" s="409">
        <f t="shared" si="12"/>
        <v>46</v>
      </c>
      <c r="AR22" s="409">
        <f t="shared" si="13"/>
        <v>42</v>
      </c>
      <c r="AS22" s="409">
        <f t="shared" si="14"/>
        <v>47</v>
      </c>
      <c r="AT22" s="459">
        <f t="shared" si="0"/>
        <v>45</v>
      </c>
    </row>
    <row r="23" spans="1:46">
      <c r="A23" s="401" t="s">
        <v>35</v>
      </c>
      <c r="B23" s="73">
        <f>+'[1]Jul-1 ResPop-both sexes'!BQ21</f>
        <v>3790066</v>
      </c>
      <c r="C23" s="73">
        <f>+'[1]Jul-1 ResPop-both sexes'!BR21</f>
        <v>3839578</v>
      </c>
      <c r="D23" s="73">
        <f>+'[1]Jul-1 ResPop-both sexes'!BS21</f>
        <v>3885736</v>
      </c>
      <c r="E23" s="73">
        <f>+'[1]Jul-1 ResPop-both sexes'!BT21</f>
        <v>4024223</v>
      </c>
      <c r="F23" s="73">
        <f>+'[1]Jul-1 ResPop-both sexes'!BU21</f>
        <v>4064995</v>
      </c>
      <c r="G23" s="73">
        <f>+'[1]Jul-1 ResPop-both sexes'!BV21</f>
        <v>4107795</v>
      </c>
      <c r="H23" s="73">
        <f>+'[1]Jul-1 ResPop-both sexes'!BW21</f>
        <v>4150297</v>
      </c>
      <c r="I23" s="73">
        <f>+'[1]Jul-1 ResPop-both sexes'!BX21</f>
        <v>4210921</v>
      </c>
      <c r="J23" s="73">
        <f>+'[1]Jul-1 ResPop-both sexes'!BY21</f>
        <v>4270150</v>
      </c>
      <c r="K23" s="73">
        <f>+'[1]Jul-1 ResPop-both sexes'!BZ21</f>
        <v>4357847</v>
      </c>
      <c r="L23" s="73">
        <f>+'[1]Jul-1 ResPop-both sexes'!CA21</f>
        <v>4444110</v>
      </c>
      <c r="M23" s="73">
        <f>+'[1]Jul-1 ResPop-both sexes'!CB21</f>
        <v>4528996</v>
      </c>
      <c r="N23" s="73">
        <f>+'[1]Jul-1 ResPop-both sexes'!CC21</f>
        <v>4589872</v>
      </c>
      <c r="O23" s="73">
        <f>+'[1]Jul-1 ResPop-both sexes'!CD21</f>
        <v>4635835</v>
      </c>
      <c r="P23" s="456">
        <f>+'[1]Jul-1 ResPop-both sexes'!CE21</f>
        <v>4673348</v>
      </c>
      <c r="Q23" s="408">
        <f>('Expenditure DATA'!R19*1000000)/'Per-Capita Data'!B23</f>
        <v>4504.009165011902</v>
      </c>
      <c r="R23" s="408">
        <f>('Expenditure DATA'!S19*1000000)/'Per-Capita Data'!C23</f>
        <v>4748.501007141931</v>
      </c>
      <c r="S23" s="408">
        <f>('Expenditure DATA'!T19*1000000)/'Per-Capita Data'!D23</f>
        <v>5213.8832900639673</v>
      </c>
      <c r="T23" s="408">
        <f>('Expenditure DATA'!U19*1000000)/'Per-Capita Data'!E23</f>
        <v>5476.7992479542017</v>
      </c>
      <c r="U23" s="408">
        <f>('Expenditure DATA'!V19*1000000)/'Per-Capita Data'!F23</f>
        <v>5859.7732592537013</v>
      </c>
      <c r="V23" s="408">
        <f>('Expenditure DATA'!W19*1000000)/'Per-Capita Data'!G23</f>
        <v>6014.2469378340447</v>
      </c>
      <c r="W23" s="408">
        <f>('Expenditure DATA'!X19*1000000)/'Per-Capita Data'!H23</f>
        <v>6165.9775191992285</v>
      </c>
      <c r="X23" s="408">
        <f>('Expenditure DATA'!Y19*1000000)/'Per-Capita Data'!I23</f>
        <v>6649.7433696808848</v>
      </c>
      <c r="Y23" s="408">
        <f>('Expenditure DATA'!Z19*1000000)/'Per-Capita Data'!J23</f>
        <v>7298.7152676135502</v>
      </c>
      <c r="Z23" s="408">
        <f>('Expenditure DATA'!AA19*1000000)/'Per-Capita Data'!K23</f>
        <v>7144.4536717328538</v>
      </c>
      <c r="AA23" s="408">
        <f>('Expenditure DATA'!AB19*1000000)/'Per-Capita Data'!L23</f>
        <v>7572.4966303714355</v>
      </c>
      <c r="AB23" s="408">
        <f>('Expenditure DATA'!AC19*1000000)/'Per-Capita Data'!M23</f>
        <v>7574.0219245060043</v>
      </c>
      <c r="AC23" s="408">
        <f>('Expenditure DATA'!AD19*1000000)/'Per-Capita Data'!N23</f>
        <v>7627.6303565763928</v>
      </c>
      <c r="AD23" s="408">
        <f>('Expenditure DATA'!AE19*1000000)/'Per-Capita Data'!O23</f>
        <v>7674.8907154805984</v>
      </c>
      <c r="AE23" s="462">
        <f>('Expenditure DATA'!AF19*1000000)/'Per-Capita Data'!P23</f>
        <v>7379.4611486240701</v>
      </c>
      <c r="AF23" s="409">
        <f t="shared" si="1"/>
        <v>33</v>
      </c>
      <c r="AG23" s="409">
        <f t="shared" si="2"/>
        <v>33</v>
      </c>
      <c r="AH23" s="409">
        <f t="shared" si="3"/>
        <v>28</v>
      </c>
      <c r="AI23" s="409">
        <f t="shared" si="4"/>
        <v>27</v>
      </c>
      <c r="AJ23" s="409">
        <f t="shared" si="5"/>
        <v>27</v>
      </c>
      <c r="AK23" s="409">
        <f t="shared" si="6"/>
        <v>27</v>
      </c>
      <c r="AL23" s="409">
        <f t="shared" si="7"/>
        <v>28</v>
      </c>
      <c r="AM23" s="409">
        <f t="shared" si="8"/>
        <v>22</v>
      </c>
      <c r="AN23" s="409">
        <f t="shared" si="9"/>
        <v>20</v>
      </c>
      <c r="AO23" s="409">
        <f t="shared" si="10"/>
        <v>28</v>
      </c>
      <c r="AP23" s="409">
        <f t="shared" si="11"/>
        <v>24</v>
      </c>
      <c r="AQ23" s="409">
        <f t="shared" si="12"/>
        <v>30</v>
      </c>
      <c r="AR23" s="409">
        <f t="shared" si="13"/>
        <v>31</v>
      </c>
      <c r="AS23" s="409">
        <f t="shared" si="14"/>
        <v>33</v>
      </c>
      <c r="AT23" s="459">
        <f t="shared" si="0"/>
        <v>38</v>
      </c>
    </row>
    <row r="24" spans="1:46">
      <c r="A24" s="398" t="s">
        <v>36</v>
      </c>
      <c r="B24" s="73">
        <f>+'[1]Jul-1 ResPop-both sexes'!BQ22</f>
        <v>5378433</v>
      </c>
      <c r="C24" s="73">
        <f>+'[1]Jul-1 ResPop-both sexes'!BR22</f>
        <v>5432679</v>
      </c>
      <c r="D24" s="73">
        <f>+'[1]Jul-1 ResPop-both sexes'!BS22</f>
        <v>5483535</v>
      </c>
      <c r="E24" s="73">
        <f>+'[1]Jul-1 ResPop-both sexes'!BT22</f>
        <v>5703719</v>
      </c>
      <c r="F24" s="73">
        <f>+'[1]Jul-1 ResPop-both sexes'!BU22</f>
        <v>5750789</v>
      </c>
      <c r="G24" s="73">
        <f>+'[1]Jul-1 ResPop-both sexes'!BV22</f>
        <v>5795918</v>
      </c>
      <c r="H24" s="73">
        <f>+'[1]Jul-1 ResPop-both sexes'!BW22</f>
        <v>5847812</v>
      </c>
      <c r="I24" s="73">
        <f>+'[1]Jul-1 ResPop-both sexes'!BX22</f>
        <v>5910809</v>
      </c>
      <c r="J24" s="73">
        <f>+'[1]Jul-1 ResPop-both sexes'!BY22</f>
        <v>5991057</v>
      </c>
      <c r="K24" s="73">
        <f>+'[1]Jul-1 ResPop-both sexes'!BZ22</f>
        <v>6088766</v>
      </c>
      <c r="L24" s="73">
        <f>+'[1]Jul-1 ResPop-both sexes'!CA22</f>
        <v>6175727</v>
      </c>
      <c r="M24" s="73">
        <f>+'[1]Jul-1 ResPop-both sexes'!CB22</f>
        <v>6247411</v>
      </c>
      <c r="N24" s="73">
        <f>+'[1]Jul-1 ResPop-both sexes'!CC22</f>
        <v>6306019</v>
      </c>
      <c r="O24" s="73">
        <f>+'[1]Jul-1 ResPop-both sexes'!CD22</f>
        <v>6356673</v>
      </c>
      <c r="P24" s="456">
        <f>+'[1]Jul-1 ResPop-both sexes'!CE22</f>
        <v>6399787</v>
      </c>
      <c r="Q24" s="408">
        <f>('Expenditure DATA'!R20*1000000)/'Per-Capita Data'!B24</f>
        <v>4172.4725398643059</v>
      </c>
      <c r="R24" s="408">
        <f>('Expenditure DATA'!S20*1000000)/'Per-Capita Data'!C24</f>
        <v>4449.3797627284812</v>
      </c>
      <c r="S24" s="408">
        <f>('Expenditure DATA'!T20*1000000)/'Per-Capita Data'!D24</f>
        <v>4608.7711667747171</v>
      </c>
      <c r="T24" s="408">
        <f>('Expenditure DATA'!U20*1000000)/'Per-Capita Data'!E24</f>
        <v>4753.4612066267637</v>
      </c>
      <c r="U24" s="408">
        <f>('Expenditure DATA'!V20*1000000)/'Per-Capita Data'!F24</f>
        <v>5034.5189155783664</v>
      </c>
      <c r="V24" s="408">
        <f>('Expenditure DATA'!W20*1000000)/'Per-Capita Data'!G24</f>
        <v>5222.071119708733</v>
      </c>
      <c r="W24" s="408">
        <f>('Expenditure DATA'!X20*1000000)/'Per-Capita Data'!H24</f>
        <v>5400.4704665608269</v>
      </c>
      <c r="X24" s="408">
        <f>('Expenditure DATA'!Y20*1000000)/'Per-Capita Data'!I24</f>
        <v>5734.0293012344</v>
      </c>
      <c r="Y24" s="408">
        <f>('Expenditure DATA'!Z20*1000000)/'Per-Capita Data'!J24</f>
        <v>6008.3511140020864</v>
      </c>
      <c r="Z24" s="408">
        <f>('Expenditure DATA'!AA20*1000000)/'Per-Capita Data'!K24</f>
        <v>5911.3061661426964</v>
      </c>
      <c r="AA24" s="408">
        <f>('Expenditure DATA'!AB20*1000000)/'Per-Capita Data'!L24</f>
        <v>6123.5391396025116</v>
      </c>
      <c r="AB24" s="408">
        <f>('Expenditure DATA'!AC20*1000000)/'Per-Capita Data'!M24</f>
        <v>6374.3797230564787</v>
      </c>
      <c r="AC24" s="408">
        <f>('Expenditure DATA'!AD20*1000000)/'Per-Capita Data'!N24</f>
        <v>6480.6771118196757</v>
      </c>
      <c r="AD24" s="408">
        <f>('Expenditure DATA'!AE20*1000000)/'Per-Capita Data'!O24</f>
        <v>6617.3687084422936</v>
      </c>
      <c r="AE24" s="462">
        <f>('Expenditure DATA'!AF20*1000000)/'Per-Capita Data'!P24</f>
        <v>6697.775254082675</v>
      </c>
      <c r="AF24" s="409">
        <f t="shared" si="1"/>
        <v>47</v>
      </c>
      <c r="AG24" s="409">
        <f t="shared" si="2"/>
        <v>45</v>
      </c>
      <c r="AH24" s="409">
        <f t="shared" si="3"/>
        <v>48</v>
      </c>
      <c r="AI24" s="409">
        <f t="shared" si="4"/>
        <v>48</v>
      </c>
      <c r="AJ24" s="409">
        <f t="shared" si="5"/>
        <v>49</v>
      </c>
      <c r="AK24" s="409">
        <f t="shared" si="6"/>
        <v>48</v>
      </c>
      <c r="AL24" s="409">
        <f t="shared" si="7"/>
        <v>49</v>
      </c>
      <c r="AM24" s="409">
        <f t="shared" si="8"/>
        <v>47</v>
      </c>
      <c r="AN24" s="409">
        <f t="shared" si="9"/>
        <v>49</v>
      </c>
      <c r="AO24" s="409">
        <f t="shared" si="10"/>
        <v>51</v>
      </c>
      <c r="AP24" s="409">
        <f t="shared" si="11"/>
        <v>51</v>
      </c>
      <c r="AQ24" s="409">
        <f t="shared" si="12"/>
        <v>50</v>
      </c>
      <c r="AR24" s="409">
        <f t="shared" si="13"/>
        <v>51</v>
      </c>
      <c r="AS24" s="409">
        <f t="shared" si="14"/>
        <v>50</v>
      </c>
      <c r="AT24" s="459">
        <f t="shared" si="0"/>
        <v>48</v>
      </c>
    </row>
    <row r="25" spans="1:46">
      <c r="A25" s="398" t="s">
        <v>37</v>
      </c>
      <c r="B25" s="73">
        <f>+'[1]Jul-1 ResPop-both sexes'!BQ23</f>
        <v>19355427</v>
      </c>
      <c r="C25" s="73">
        <f>+'[1]Jul-1 ResPop-both sexes'!BR23</f>
        <v>19712389</v>
      </c>
      <c r="D25" s="73">
        <f>+'[1]Jul-1 ResPop-both sexes'!BS23</f>
        <v>20044141</v>
      </c>
      <c r="E25" s="73">
        <f>+'[1]Jul-1 ResPop-both sexes'!BT23</f>
        <v>20944499</v>
      </c>
      <c r="F25" s="73">
        <f>+'[1]Jul-1 ResPop-both sexes'!BU23</f>
        <v>21319622</v>
      </c>
      <c r="G25" s="73">
        <f>+'[1]Jul-1 ResPop-both sexes'!BV23</f>
        <v>21690325</v>
      </c>
      <c r="H25" s="73">
        <f>+'[1]Jul-1 ResPop-both sexes'!BW23</f>
        <v>22030931</v>
      </c>
      <c r="I25" s="73">
        <f>+'[1]Jul-1 ResPop-both sexes'!BX23</f>
        <v>22394023</v>
      </c>
      <c r="J25" s="73">
        <f>+'[1]Jul-1 ResPop-both sexes'!BY23</f>
        <v>22778123</v>
      </c>
      <c r="K25" s="73">
        <f>+'[1]Jul-1 ResPop-both sexes'!BZ23</f>
        <v>23359580</v>
      </c>
      <c r="L25" s="73">
        <f>+'[1]Jul-1 ResPop-both sexes'!CA23</f>
        <v>23831983</v>
      </c>
      <c r="M25" s="73">
        <f>+'[1]Jul-1 ResPop-both sexes'!CB23</f>
        <v>24309039</v>
      </c>
      <c r="N25" s="73">
        <f>+'[1]Jul-1 ResPop-both sexes'!CC23</f>
        <v>24801761</v>
      </c>
      <c r="O25" s="73">
        <f>+'[1]Jul-1 ResPop-both sexes'!CD23</f>
        <v>25242683</v>
      </c>
      <c r="P25" s="456">
        <f>+'[1]Jul-1 ResPop-both sexes'!CE23</f>
        <v>25631778</v>
      </c>
      <c r="Q25" s="408">
        <f>('Expenditure DATA'!R21*1000000)/'Per-Capita Data'!B25</f>
        <v>4200.9732464181752</v>
      </c>
      <c r="R25" s="408">
        <f>('Expenditure DATA'!S21*1000000)/'Per-Capita Data'!C25</f>
        <v>4432.4663032978906</v>
      </c>
      <c r="S25" s="408">
        <f>('Expenditure DATA'!T21*1000000)/'Per-Capita Data'!D25</f>
        <v>4777.5543985646482</v>
      </c>
      <c r="T25" s="408">
        <f>('Expenditure DATA'!U21*1000000)/'Per-Capita Data'!E25</f>
        <v>4950.3651292876484</v>
      </c>
      <c r="U25" s="408">
        <f>('Expenditure DATA'!V21*1000000)/'Per-Capita Data'!F25</f>
        <v>5234.7954855860016</v>
      </c>
      <c r="V25" s="408">
        <f>('Expenditure DATA'!W21*1000000)/'Per-Capita Data'!G25</f>
        <v>5432.3928986771753</v>
      </c>
      <c r="W25" s="408">
        <f>('Expenditure DATA'!X21*1000000)/'Per-Capita Data'!H25</f>
        <v>5631.0318433660386</v>
      </c>
      <c r="X25" s="408">
        <f>('Expenditure DATA'!Y21*1000000)/'Per-Capita Data'!I25</f>
        <v>5864.7873140078491</v>
      </c>
      <c r="Y25" s="408">
        <f>('Expenditure DATA'!Z21*1000000)/'Per-Capita Data'!J25</f>
        <v>6474.0524932629432</v>
      </c>
      <c r="Z25" s="408">
        <f>('Expenditure DATA'!AA21*1000000)/'Per-Capita Data'!K25</f>
        <v>6305.8830681031077</v>
      </c>
      <c r="AA25" s="408">
        <f>('Expenditure DATA'!AB21*1000000)/'Per-Capita Data'!L25</f>
        <v>6840.0530077585236</v>
      </c>
      <c r="AB25" s="408">
        <f>('Expenditure DATA'!AC21*1000000)/'Per-Capita Data'!M25</f>
        <v>7090.2488987738261</v>
      </c>
      <c r="AC25" s="408">
        <f>('Expenditure DATA'!AD21*1000000)/'Per-Capita Data'!N25</f>
        <v>7379.683563598569</v>
      </c>
      <c r="AD25" s="408">
        <f>('Expenditure DATA'!AE21*1000000)/'Per-Capita Data'!O25</f>
        <v>7354.3626483761655</v>
      </c>
      <c r="AE25" s="462">
        <f>('Expenditure DATA'!AF21*1000000)/'Per-Capita Data'!P25</f>
        <v>7177.3457931790763</v>
      </c>
      <c r="AF25" s="409">
        <f t="shared" si="1"/>
        <v>45</v>
      </c>
      <c r="AG25" s="409">
        <f t="shared" si="2"/>
        <v>47</v>
      </c>
      <c r="AH25" s="409">
        <f t="shared" si="3"/>
        <v>44</v>
      </c>
      <c r="AI25" s="409">
        <f t="shared" si="4"/>
        <v>43</v>
      </c>
      <c r="AJ25" s="409">
        <f t="shared" si="5"/>
        <v>44</v>
      </c>
      <c r="AK25" s="409">
        <f t="shared" si="6"/>
        <v>44</v>
      </c>
      <c r="AL25" s="409">
        <f t="shared" si="7"/>
        <v>44</v>
      </c>
      <c r="AM25" s="409">
        <f t="shared" si="8"/>
        <v>42</v>
      </c>
      <c r="AN25" s="409">
        <f t="shared" si="9"/>
        <v>40</v>
      </c>
      <c r="AO25" s="409">
        <f t="shared" si="10"/>
        <v>47</v>
      </c>
      <c r="AP25" s="409">
        <f t="shared" si="11"/>
        <v>43</v>
      </c>
      <c r="AQ25" s="409">
        <f t="shared" si="12"/>
        <v>40</v>
      </c>
      <c r="AR25" s="409">
        <f t="shared" si="13"/>
        <v>38</v>
      </c>
      <c r="AS25" s="409">
        <f t="shared" si="14"/>
        <v>39</v>
      </c>
      <c r="AT25" s="459">
        <f t="shared" si="0"/>
        <v>42</v>
      </c>
    </row>
    <row r="26" spans="1:46">
      <c r="A26" s="398" t="s">
        <v>38</v>
      </c>
      <c r="B26" s="73">
        <f>+'[1]Jul-1 ResPop-both sexes'!BQ24</f>
        <v>6732878</v>
      </c>
      <c r="C26" s="73">
        <f>+'[1]Jul-1 ResPop-both sexes'!BR24</f>
        <v>6789225</v>
      </c>
      <c r="D26" s="73">
        <f>+'[1]Jul-1 ResPop-both sexes'!BS24</f>
        <v>6872912</v>
      </c>
      <c r="E26" s="73">
        <f>+'[1]Jul-1 ResPop-both sexes'!BT24</f>
        <v>7105817</v>
      </c>
      <c r="F26" s="73">
        <f>+'[1]Jul-1 ResPop-both sexes'!BU24</f>
        <v>7198362</v>
      </c>
      <c r="G26" s="73">
        <f>+'[1]Jul-1 ResPop-both sexes'!BV24</f>
        <v>7286873</v>
      </c>
      <c r="H26" s="73">
        <f>+'[1]Jul-1 ResPop-both sexes'!BW24</f>
        <v>7366977</v>
      </c>
      <c r="I26" s="73">
        <f>+'[1]Jul-1 ResPop-both sexes'!BX24</f>
        <v>7475575</v>
      </c>
      <c r="J26" s="73">
        <f>+'[1]Jul-1 ResPop-both sexes'!BY24</f>
        <v>7577105</v>
      </c>
      <c r="K26" s="73">
        <f>+'[1]Jul-1 ResPop-both sexes'!BZ24</f>
        <v>7673725</v>
      </c>
      <c r="L26" s="73">
        <f>+'[1]Jul-1 ResPop-both sexes'!CA24</f>
        <v>7751000</v>
      </c>
      <c r="M26" s="73">
        <f>+'[1]Jul-1 ResPop-both sexes'!CB24</f>
        <v>7833496</v>
      </c>
      <c r="N26" s="73">
        <f>+'[1]Jul-1 ResPop-both sexes'!CC24</f>
        <v>7925937</v>
      </c>
      <c r="O26" s="73">
        <f>+'[1]Jul-1 ResPop-both sexes'!CD24</f>
        <v>8025105</v>
      </c>
      <c r="P26" s="456">
        <f>+'[1]Jul-1 ResPop-both sexes'!CE24</f>
        <v>8104384</v>
      </c>
      <c r="Q26" s="408">
        <f>('Expenditure DATA'!R22*1000000)/'Per-Capita Data'!B26</f>
        <v>4466.9435566781394</v>
      </c>
      <c r="R26" s="408">
        <f>('Expenditure DATA'!S22*1000000)/'Per-Capita Data'!C26</f>
        <v>4757.3712758083584</v>
      </c>
      <c r="S26" s="408">
        <f>('Expenditure DATA'!T22*1000000)/'Per-Capita Data'!D26</f>
        <v>5052.8094932686463</v>
      </c>
      <c r="T26" s="408">
        <f>('Expenditure DATA'!U22*1000000)/'Per-Capita Data'!E26</f>
        <v>5206.7617277506588</v>
      </c>
      <c r="U26" s="408">
        <f>('Expenditure DATA'!V22*1000000)/'Per-Capita Data'!F26</f>
        <v>5455.279548319465</v>
      </c>
      <c r="V26" s="408">
        <f>('Expenditure DATA'!W22*1000000)/'Per-Capita Data'!G26</f>
        <v>5642.0254614016194</v>
      </c>
      <c r="W26" s="408">
        <f>('Expenditure DATA'!X22*1000000)/'Per-Capita Data'!H26</f>
        <v>5830.9356741577994</v>
      </c>
      <c r="X26" s="408">
        <f>('Expenditure DATA'!Y22*1000000)/'Per-Capita Data'!I26</f>
        <v>6234.378626393287</v>
      </c>
      <c r="Y26" s="408">
        <f>('Expenditure DATA'!Z22*1000000)/'Per-Capita Data'!J26</f>
        <v>7016.3722160376556</v>
      </c>
      <c r="Z26" s="408">
        <f>('Expenditure DATA'!AA22*1000000)/'Per-Capita Data'!K26</f>
        <v>6923.9712134589136</v>
      </c>
      <c r="AA26" s="408">
        <f>('Expenditure DATA'!AB22*1000000)/'Per-Capita Data'!L26</f>
        <v>7365.6693329892914</v>
      </c>
      <c r="AB26" s="408">
        <f>('Expenditure DATA'!AC22*1000000)/'Per-Capita Data'!M26</f>
        <v>7378.73639049538</v>
      </c>
      <c r="AC26" s="408">
        <f>('Expenditure DATA'!AD22*1000000)/'Per-Capita Data'!N26</f>
        <v>7591.9163879299067</v>
      </c>
      <c r="AD26" s="408">
        <f>('Expenditure DATA'!AE22*1000000)/'Per-Capita Data'!O26</f>
        <v>7590.2707815037938</v>
      </c>
      <c r="AE26" s="462">
        <f>('Expenditure DATA'!AF22*1000000)/'Per-Capita Data'!P26</f>
        <v>7746.7758191122239</v>
      </c>
      <c r="AF26" s="409">
        <f t="shared" si="1"/>
        <v>35</v>
      </c>
      <c r="AG26" s="409">
        <f t="shared" si="2"/>
        <v>32</v>
      </c>
      <c r="AH26" s="409">
        <f t="shared" si="3"/>
        <v>33</v>
      </c>
      <c r="AI26" s="409">
        <f t="shared" si="4"/>
        <v>35</v>
      </c>
      <c r="AJ26" s="409">
        <f t="shared" si="5"/>
        <v>35</v>
      </c>
      <c r="AK26" s="409">
        <f t="shared" si="6"/>
        <v>37</v>
      </c>
      <c r="AL26" s="409">
        <f t="shared" si="7"/>
        <v>39</v>
      </c>
      <c r="AM26" s="409">
        <f t="shared" si="8"/>
        <v>33</v>
      </c>
      <c r="AN26" s="409">
        <f t="shared" si="9"/>
        <v>27</v>
      </c>
      <c r="AO26" s="409">
        <f t="shared" si="10"/>
        <v>35</v>
      </c>
      <c r="AP26" s="409">
        <f t="shared" si="11"/>
        <v>33</v>
      </c>
      <c r="AQ26" s="409">
        <f t="shared" si="12"/>
        <v>34</v>
      </c>
      <c r="AR26" s="409">
        <f t="shared" si="13"/>
        <v>32</v>
      </c>
      <c r="AS26" s="409">
        <f t="shared" si="14"/>
        <v>34</v>
      </c>
      <c r="AT26" s="459">
        <f t="shared" si="0"/>
        <v>32</v>
      </c>
    </row>
    <row r="27" spans="1:46">
      <c r="A27" s="399" t="s">
        <v>39</v>
      </c>
      <c r="B27" s="112">
        <f>+'[1]Jul-1 ResPop-both sexes'!BQ25</f>
        <v>1815588</v>
      </c>
      <c r="C27" s="112">
        <f>+'[1]Jul-1 ResPop-both sexes'!BR25</f>
        <v>1811688</v>
      </c>
      <c r="D27" s="112">
        <f>+'[1]Jul-1 ResPop-both sexes'!BS25</f>
        <v>1806928</v>
      </c>
      <c r="E27" s="112">
        <f>+'[1]Jul-1 ResPop-both sexes'!BT25</f>
        <v>1807021</v>
      </c>
      <c r="F27" s="112">
        <f>+'[1]Jul-1 ResPop-both sexes'!BU25</f>
        <v>1801481</v>
      </c>
      <c r="G27" s="112">
        <f>+'[1]Jul-1 ResPop-both sexes'!BV25</f>
        <v>1805414</v>
      </c>
      <c r="H27" s="112">
        <f>+'[1]Jul-1 ResPop-both sexes'!BW25</f>
        <v>1812295</v>
      </c>
      <c r="I27" s="112">
        <f>+'[1]Jul-1 ResPop-both sexes'!BX25</f>
        <v>1816438</v>
      </c>
      <c r="J27" s="112">
        <f>+'[1]Jul-1 ResPop-both sexes'!BY25</f>
        <v>1820492</v>
      </c>
      <c r="K27" s="112">
        <f>+'[1]Jul-1 ResPop-both sexes'!BZ25</f>
        <v>1827912</v>
      </c>
      <c r="L27" s="112">
        <f>+'[1]Jul-1 ResPop-both sexes'!CA25</f>
        <v>1834052</v>
      </c>
      <c r="M27" s="112">
        <f>+'[1]Jul-1 ResPop-both sexes'!CB25</f>
        <v>1840310</v>
      </c>
      <c r="N27" s="112">
        <f>+'[1]Jul-1 ResPop-both sexes'!CC25</f>
        <v>1847775</v>
      </c>
      <c r="O27" s="112">
        <f>+'[1]Jul-1 ResPop-both sexes'!CD25</f>
        <v>1854019</v>
      </c>
      <c r="P27" s="457">
        <f>+'[1]Jul-1 ResPop-both sexes'!CE25</f>
        <v>1854908</v>
      </c>
      <c r="Q27" s="410">
        <f>('Expenditure DATA'!R23*1000000)/'Per-Capita Data'!B27</f>
        <v>4405.9015591643038</v>
      </c>
      <c r="R27" s="410">
        <f>('Expenditure DATA'!S23*1000000)/'Per-Capita Data'!C27</f>
        <v>4540.9932615328908</v>
      </c>
      <c r="S27" s="410">
        <f>('Expenditure DATA'!T23*1000000)/'Per-Capita Data'!D27</f>
        <v>4821.0963580175858</v>
      </c>
      <c r="T27" s="410">
        <f>('Expenditure DATA'!U23*1000000)/'Per-Capita Data'!E27</f>
        <v>5135.3830420343747</v>
      </c>
      <c r="U27" s="410">
        <f>('Expenditure DATA'!V23*1000000)/'Per-Capita Data'!F27</f>
        <v>5466.6776946301406</v>
      </c>
      <c r="V27" s="410">
        <f>('Expenditure DATA'!W23*1000000)/'Per-Capita Data'!G27</f>
        <v>5666.7462421361524</v>
      </c>
      <c r="W27" s="410">
        <f>('Expenditure DATA'!X23*1000000)/'Per-Capita Data'!H27</f>
        <v>5856.4030690367736</v>
      </c>
      <c r="X27" s="410">
        <f>('Expenditure DATA'!Y23*1000000)/'Per-Capita Data'!I27</f>
        <v>6121.7856045733461</v>
      </c>
      <c r="Y27" s="410">
        <f>('Expenditure DATA'!Z23*1000000)/'Per-Capita Data'!J27</f>
        <v>6510.702051972763</v>
      </c>
      <c r="Z27" s="410">
        <f>('Expenditure DATA'!AA23*1000000)/'Per-Capita Data'!K27</f>
        <v>6458.6402408868698</v>
      </c>
      <c r="AA27" s="410">
        <f>('Expenditure DATA'!AB23*1000000)/'Per-Capita Data'!L27</f>
        <v>6772.0250025626319</v>
      </c>
      <c r="AB27" s="410">
        <f>('Expenditure DATA'!AC23*1000000)/'Per-Capita Data'!M27</f>
        <v>7101.629616749352</v>
      </c>
      <c r="AC27" s="410">
        <f>('Expenditure DATA'!AD23*1000000)/'Per-Capita Data'!N27</f>
        <v>7424.3211429963067</v>
      </c>
      <c r="AD27" s="410">
        <f>('Expenditure DATA'!AE23*1000000)/'Per-Capita Data'!O27</f>
        <v>7802.555960861243</v>
      </c>
      <c r="AE27" s="463">
        <f>('Expenditure DATA'!AF23*1000000)/'Per-Capita Data'!P27</f>
        <v>7853.2477082421337</v>
      </c>
      <c r="AF27" s="411">
        <f t="shared" si="1"/>
        <v>37</v>
      </c>
      <c r="AG27" s="411">
        <f t="shared" si="2"/>
        <v>42</v>
      </c>
      <c r="AH27" s="411">
        <f t="shared" si="3"/>
        <v>42</v>
      </c>
      <c r="AI27" s="411">
        <f t="shared" si="4"/>
        <v>38</v>
      </c>
      <c r="AJ27" s="411">
        <f t="shared" si="5"/>
        <v>34</v>
      </c>
      <c r="AK27" s="411">
        <f t="shared" si="6"/>
        <v>36</v>
      </c>
      <c r="AL27" s="411">
        <f t="shared" si="7"/>
        <v>38</v>
      </c>
      <c r="AM27" s="411">
        <f t="shared" si="8"/>
        <v>39</v>
      </c>
      <c r="AN27" s="411">
        <f t="shared" si="9"/>
        <v>39</v>
      </c>
      <c r="AO27" s="411">
        <f t="shared" si="10"/>
        <v>43</v>
      </c>
      <c r="AP27" s="411">
        <f t="shared" si="11"/>
        <v>45</v>
      </c>
      <c r="AQ27" s="411">
        <f t="shared" si="12"/>
        <v>39</v>
      </c>
      <c r="AR27" s="411">
        <f t="shared" si="13"/>
        <v>36</v>
      </c>
      <c r="AS27" s="411">
        <f t="shared" si="14"/>
        <v>31</v>
      </c>
      <c r="AT27" s="460">
        <f t="shared" si="0"/>
        <v>30</v>
      </c>
    </row>
    <row r="28" spans="1:46">
      <c r="A28" s="1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456"/>
      <c r="Q28" s="408"/>
      <c r="R28" s="408"/>
      <c r="S28" s="408"/>
      <c r="T28" s="408"/>
      <c r="U28" s="408"/>
      <c r="V28" s="408"/>
      <c r="W28" s="408"/>
      <c r="X28" s="408"/>
      <c r="Y28" s="408"/>
      <c r="Z28" s="408"/>
      <c r="AA28" s="408"/>
      <c r="AB28" s="408"/>
      <c r="AC28" s="408"/>
      <c r="AD28" s="408"/>
      <c r="AE28" s="462"/>
      <c r="AF28" s="409"/>
      <c r="AG28" s="409"/>
      <c r="AH28" s="409"/>
      <c r="AI28" s="409"/>
      <c r="AJ28" s="409"/>
      <c r="AK28" s="409"/>
      <c r="AL28" s="409"/>
      <c r="AM28" s="409"/>
      <c r="AN28" s="409"/>
      <c r="AO28" s="409"/>
      <c r="AP28" s="409"/>
      <c r="AQ28" s="409"/>
      <c r="AR28" s="409"/>
      <c r="AS28" s="409"/>
      <c r="AT28" s="459"/>
    </row>
    <row r="29" spans="1:46">
      <c r="A29" s="400" t="s">
        <v>47</v>
      </c>
      <c r="B29" s="73">
        <f>+'[1]Jul-1 ResPop-both sexes'!BQ27</f>
        <v>608846</v>
      </c>
      <c r="C29" s="73">
        <f>+'[1]Jul-1 ResPop-both sexes'!BR27</f>
        <v>615205</v>
      </c>
      <c r="D29" s="73">
        <f>+'[1]Jul-1 ResPop-both sexes'!BS27</f>
        <v>619500</v>
      </c>
      <c r="E29" s="73">
        <f>+'[1]Jul-1 ResPop-both sexes'!BT27</f>
        <v>627963</v>
      </c>
      <c r="F29" s="73">
        <f>+'[1]Jul-1 ResPop-both sexes'!BU27</f>
        <v>633714</v>
      </c>
      <c r="G29" s="73">
        <f>+'[1]Jul-1 ResPop-both sexes'!BV27</f>
        <v>642337</v>
      </c>
      <c r="H29" s="73">
        <f>+'[1]Jul-1 ResPop-both sexes'!BW27</f>
        <v>648414</v>
      </c>
      <c r="I29" s="73">
        <f>+'[1]Jul-1 ResPop-both sexes'!BX27</f>
        <v>659286</v>
      </c>
      <c r="J29" s="73">
        <f>+'[1]Jul-1 ResPop-both sexes'!BY27</f>
        <v>666946</v>
      </c>
      <c r="K29" s="73">
        <f>+'[1]Jul-1 ResPop-both sexes'!BZ27</f>
        <v>675302</v>
      </c>
      <c r="L29" s="73">
        <f>+'[1]Jul-1 ResPop-both sexes'!CA27</f>
        <v>680300</v>
      </c>
      <c r="M29" s="73">
        <f>+'[1]Jul-1 ResPop-both sexes'!CB27</f>
        <v>687455</v>
      </c>
      <c r="N29" s="73">
        <f>+'[1]Jul-1 ResPop-both sexes'!CC27</f>
        <v>698895</v>
      </c>
      <c r="O29" s="73">
        <f>+'[1]Jul-1 ResPop-both sexes'!CD27</f>
        <v>714046</v>
      </c>
      <c r="P29" s="456">
        <f>+'[1]Jul-1 ResPop-both sexes'!CE27</f>
        <v>723860</v>
      </c>
      <c r="Q29" s="408">
        <f>('Expenditure DATA'!R26*1000000)/'Per-Capita Data'!B29</f>
        <v>11278.35610318537</v>
      </c>
      <c r="R29" s="408">
        <f>('Expenditure DATA'!S26*1000000)/'Per-Capita Data'!C29</f>
        <v>11765.609837371283</v>
      </c>
      <c r="S29" s="408">
        <f>('Expenditure DATA'!T26*1000000)/'Per-Capita Data'!D29</f>
        <v>12449.460855528652</v>
      </c>
      <c r="T29" s="408">
        <f>('Expenditure DATA'!U26*1000000)/'Per-Capita Data'!E29</f>
        <v>12863.559636475398</v>
      </c>
      <c r="U29" s="408">
        <f>('Expenditure DATA'!V26*1000000)/'Per-Capita Data'!F29</f>
        <v>13323.42034419312</v>
      </c>
      <c r="V29" s="408">
        <f>('Expenditure DATA'!W26*1000000)/'Per-Capita Data'!G29</f>
        <v>13185.654103687006</v>
      </c>
      <c r="W29" s="408">
        <f>('Expenditure DATA'!X26*1000000)/'Per-Capita Data'!H29</f>
        <v>13102.784640677099</v>
      </c>
      <c r="X29" s="408">
        <f>('Expenditure DATA'!Y26*1000000)/'Per-Capita Data'!I29</f>
        <v>13340.871791604857</v>
      </c>
      <c r="Y29" s="408">
        <f>('Expenditure DATA'!Z26*1000000)/'Per-Capita Data'!J29</f>
        <v>14040.814398766917</v>
      </c>
      <c r="Z29" s="408">
        <f>('Expenditure DATA'!AA26*1000000)/'Per-Capita Data'!K29</f>
        <v>15311.971532736465</v>
      </c>
      <c r="AA29" s="408">
        <f>('Expenditure DATA'!AB26*1000000)/'Per-Capita Data'!L29</f>
        <v>16938.187564309865</v>
      </c>
      <c r="AB29" s="408">
        <f>('Expenditure DATA'!AC26*1000000)/'Per-Capita Data'!M29</f>
        <v>18087.422449469421</v>
      </c>
      <c r="AC29" s="408">
        <f>('Expenditure DATA'!AD26*1000000)/'Per-Capita Data'!N29</f>
        <v>18213.532791048729</v>
      </c>
      <c r="AD29" s="408">
        <f>('Expenditure DATA'!AE26*1000000)/'Per-Capita Data'!O29</f>
        <v>17912.67929517146</v>
      </c>
      <c r="AE29" s="462">
        <f>('Expenditure DATA'!AF26*1000000)/'Per-Capita Data'!P29</f>
        <v>17473.338767164922</v>
      </c>
      <c r="AF29" s="409">
        <f t="shared" si="1"/>
        <v>1</v>
      </c>
      <c r="AG29" s="409">
        <f t="shared" si="2"/>
        <v>1</v>
      </c>
      <c r="AH29" s="409">
        <f t="shared" si="3"/>
        <v>1</v>
      </c>
      <c r="AI29" s="409">
        <f t="shared" si="4"/>
        <v>1</v>
      </c>
      <c r="AJ29" s="409">
        <f t="shared" si="5"/>
        <v>1</v>
      </c>
      <c r="AK29" s="409">
        <f t="shared" si="6"/>
        <v>1</v>
      </c>
      <c r="AL29" s="409">
        <f t="shared" si="7"/>
        <v>1</v>
      </c>
      <c r="AM29" s="409">
        <f t="shared" si="8"/>
        <v>1</v>
      </c>
      <c r="AN29" s="409">
        <f t="shared" si="9"/>
        <v>2</v>
      </c>
      <c r="AO29" s="409">
        <f t="shared" si="10"/>
        <v>1</v>
      </c>
      <c r="AP29" s="409">
        <f t="shared" si="11"/>
        <v>2</v>
      </c>
      <c r="AQ29" s="409">
        <f t="shared" si="12"/>
        <v>1</v>
      </c>
      <c r="AR29" s="409">
        <f t="shared" si="13"/>
        <v>1</v>
      </c>
      <c r="AS29" s="409">
        <f t="shared" si="14"/>
        <v>1</v>
      </c>
      <c r="AT29" s="459">
        <f t="shared" ref="AT29:AT41" si="15">RANK(AE29,$AE$12:$AE$65)</f>
        <v>1</v>
      </c>
    </row>
    <row r="30" spans="1:46">
      <c r="A30" s="400" t="s">
        <v>48</v>
      </c>
      <c r="B30" s="73">
        <f>+'[1]Jul-1 ResPop-both sexes'!BQ28</f>
        <v>4552207</v>
      </c>
      <c r="C30" s="73">
        <f>+'[1]Jul-1 ResPop-both sexes'!BR28</f>
        <v>4667277</v>
      </c>
      <c r="D30" s="73">
        <f>+'[1]Jul-1 ResPop-both sexes'!BS28</f>
        <v>4778332</v>
      </c>
      <c r="E30" s="73">
        <f>+'[1]Jul-1 ResPop-both sexes'!BT28</f>
        <v>5160586</v>
      </c>
      <c r="F30" s="73">
        <f>+'[1]Jul-1 ResPop-both sexes'!BU28</f>
        <v>5273477</v>
      </c>
      <c r="G30" s="73">
        <f>+'[1]Jul-1 ResPop-both sexes'!BV28</f>
        <v>5396255</v>
      </c>
      <c r="H30" s="73">
        <f>+'[1]Jul-1 ResPop-both sexes'!BW28</f>
        <v>5510364</v>
      </c>
      <c r="I30" s="73">
        <f>+'[1]Jul-1 ResPop-both sexes'!BX28</f>
        <v>5652404</v>
      </c>
      <c r="J30" s="73">
        <f>+'[1]Jul-1 ResPop-both sexes'!BY28</f>
        <v>5839077</v>
      </c>
      <c r="K30" s="73">
        <f>+'[1]Jul-1 ResPop-both sexes'!BZ28</f>
        <v>6029141</v>
      </c>
      <c r="L30" s="73">
        <f>+'[1]Jul-1 ResPop-both sexes'!CA28</f>
        <v>6167681</v>
      </c>
      <c r="M30" s="73">
        <f>+'[1]Jul-1 ResPop-both sexes'!CB28</f>
        <v>6280362</v>
      </c>
      <c r="N30" s="73">
        <f>+'[1]Jul-1 ResPop-both sexes'!CC28</f>
        <v>6343154</v>
      </c>
      <c r="O30" s="73">
        <f>+'[1]Jul-1 ResPop-both sexes'!CD28</f>
        <v>6410810</v>
      </c>
      <c r="P30" s="456">
        <f>+'[1]Jul-1 ResPop-both sexes'!CE28</f>
        <v>6467315</v>
      </c>
      <c r="Q30" s="408">
        <f>('Expenditure DATA'!R27*1000000)/'Per-Capita Data'!B30</f>
        <v>4095.2190882356622</v>
      </c>
      <c r="R30" s="408">
        <f>('Expenditure DATA'!S27*1000000)/'Per-Capita Data'!C30</f>
        <v>4349.8609574704906</v>
      </c>
      <c r="S30" s="408">
        <f>('Expenditure DATA'!T27*1000000)/'Per-Capita Data'!D30</f>
        <v>4868.2519339384535</v>
      </c>
      <c r="T30" s="408">
        <f>('Expenditure DATA'!U27*1000000)/'Per-Capita Data'!E30</f>
        <v>4700.4928316280357</v>
      </c>
      <c r="U30" s="408">
        <f>('Expenditure DATA'!V27*1000000)/'Per-Capita Data'!F30</f>
        <v>4788.5808547188126</v>
      </c>
      <c r="V30" s="408">
        <f>('Expenditure DATA'!W27*1000000)/'Per-Capita Data'!G30</f>
        <v>5126.503380585239</v>
      </c>
      <c r="W30" s="408">
        <f>('Expenditure DATA'!X27*1000000)/'Per-Capita Data'!H30</f>
        <v>5457.9639384984366</v>
      </c>
      <c r="X30" s="408">
        <f>('Expenditure DATA'!Y27*1000000)/'Per-Capita Data'!I30</f>
        <v>5825.619329403914</v>
      </c>
      <c r="Y30" s="408">
        <f>('Expenditure DATA'!Z27*1000000)/'Per-Capita Data'!J30</f>
        <v>6132.4913166926899</v>
      </c>
      <c r="Z30" s="408">
        <f>('Expenditure DATA'!AA27*1000000)/'Per-Capita Data'!K30</f>
        <v>6516.4014243488418</v>
      </c>
      <c r="AA30" s="408">
        <f>('Expenditure DATA'!AB27*1000000)/'Per-Capita Data'!L30</f>
        <v>7008.2000025617408</v>
      </c>
      <c r="AB30" s="408">
        <f>('Expenditure DATA'!AC27*1000000)/'Per-Capita Data'!M30</f>
        <v>6996.2924111699294</v>
      </c>
      <c r="AC30" s="408">
        <f>('Expenditure DATA'!AD27*1000000)/'Per-Capita Data'!N30</f>
        <v>6803.683782547294</v>
      </c>
      <c r="AD30" s="408">
        <f>('Expenditure DATA'!AE27*1000000)/'Per-Capita Data'!O30</f>
        <v>6658.245369929853</v>
      </c>
      <c r="AE30" s="462">
        <f>('Expenditure DATA'!AF27*1000000)/'Per-Capita Data'!P30</f>
        <v>6427.2870580758781</v>
      </c>
      <c r="AF30" s="409">
        <f t="shared" si="1"/>
        <v>48</v>
      </c>
      <c r="AG30" s="409">
        <f t="shared" si="2"/>
        <v>49</v>
      </c>
      <c r="AH30" s="409">
        <f t="shared" si="3"/>
        <v>39</v>
      </c>
      <c r="AI30" s="409">
        <f t="shared" si="4"/>
        <v>49</v>
      </c>
      <c r="AJ30" s="409">
        <f t="shared" si="5"/>
        <v>51</v>
      </c>
      <c r="AK30" s="409">
        <f t="shared" si="6"/>
        <v>50</v>
      </c>
      <c r="AL30" s="409">
        <f t="shared" si="7"/>
        <v>46</v>
      </c>
      <c r="AM30" s="409">
        <f t="shared" si="8"/>
        <v>43</v>
      </c>
      <c r="AN30" s="409">
        <f t="shared" si="9"/>
        <v>48</v>
      </c>
      <c r="AO30" s="409">
        <f t="shared" si="10"/>
        <v>41</v>
      </c>
      <c r="AP30" s="409">
        <f t="shared" si="11"/>
        <v>37</v>
      </c>
      <c r="AQ30" s="409">
        <f t="shared" si="12"/>
        <v>45</v>
      </c>
      <c r="AR30" s="409">
        <f t="shared" si="13"/>
        <v>46</v>
      </c>
      <c r="AS30" s="409">
        <f t="shared" si="14"/>
        <v>49</v>
      </c>
      <c r="AT30" s="459">
        <f t="shared" si="15"/>
        <v>50</v>
      </c>
    </row>
    <row r="31" spans="1:46">
      <c r="A31" s="400" t="s">
        <v>49</v>
      </c>
      <c r="B31" s="73">
        <f>+'[1]Jul-1 ResPop-both sexes'!BQ29</f>
        <v>32217708</v>
      </c>
      <c r="C31" s="73">
        <f>+'[1]Jul-1 ResPop-both sexes'!BR29</f>
        <v>32682794</v>
      </c>
      <c r="D31" s="73">
        <f>+'[1]Jul-1 ResPop-both sexes'!BS29</f>
        <v>33145121</v>
      </c>
      <c r="E31" s="73">
        <f>+'[1]Jul-1 ResPop-both sexes'!BT29</f>
        <v>33987977</v>
      </c>
      <c r="F31" s="73">
        <f>+'[1]Jul-1 ResPop-both sexes'!BU29</f>
        <v>34479458</v>
      </c>
      <c r="G31" s="73">
        <f>+'[1]Jul-1 ResPop-both sexes'!BV29</f>
        <v>34871843</v>
      </c>
      <c r="H31" s="73">
        <f>+'[1]Jul-1 ResPop-both sexes'!BW29</f>
        <v>35253159</v>
      </c>
      <c r="I31" s="73">
        <f>+'[1]Jul-1 ResPop-both sexes'!BX29</f>
        <v>35574576</v>
      </c>
      <c r="J31" s="73">
        <f>+'[1]Jul-1 ResPop-both sexes'!BY29</f>
        <v>35827943</v>
      </c>
      <c r="K31" s="73">
        <f>+'[1]Jul-1 ResPop-both sexes'!BZ29</f>
        <v>36021202</v>
      </c>
      <c r="L31" s="73">
        <f>+'[1]Jul-1 ResPop-both sexes'!CA29</f>
        <v>36250311</v>
      </c>
      <c r="M31" s="73">
        <f>+'[1]Jul-1 ResPop-both sexes'!CB29</f>
        <v>36604337</v>
      </c>
      <c r="N31" s="73">
        <f>+'[1]Jul-1 ResPop-both sexes'!CC29</f>
        <v>36961229</v>
      </c>
      <c r="O31" s="73">
        <f>+'[1]Jul-1 ResPop-both sexes'!CD29</f>
        <v>37334410</v>
      </c>
      <c r="P31" s="456">
        <f>+'[1]Jul-1 ResPop-both sexes'!CE29</f>
        <v>37683933</v>
      </c>
      <c r="Q31" s="408">
        <f>('Expenditure DATA'!R28*1000000)/'Per-Capita Data'!B31</f>
        <v>5278.2991266790305</v>
      </c>
      <c r="R31" s="408">
        <f>('Expenditure DATA'!S28*1000000)/'Per-Capita Data'!C31</f>
        <v>5604.3269434063686</v>
      </c>
      <c r="S31" s="408">
        <f>('Expenditure DATA'!T28*1000000)/'Per-Capita Data'!D31</f>
        <v>5982.6739808854518</v>
      </c>
      <c r="T31" s="408">
        <f>('Expenditure DATA'!U28*1000000)/'Per-Capita Data'!E31</f>
        <v>6425.7900374594228</v>
      </c>
      <c r="U31" s="408">
        <f>('Expenditure DATA'!V28*1000000)/'Per-Capita Data'!F31</f>
        <v>6917.2419995697146</v>
      </c>
      <c r="V31" s="408">
        <f>('Expenditure DATA'!W28*1000000)/'Per-Capita Data'!G31</f>
        <v>7210.4798848744531</v>
      </c>
      <c r="W31" s="408">
        <f>('Expenditure DATA'!X28*1000000)/'Per-Capita Data'!H31</f>
        <v>7499.5460690487344</v>
      </c>
      <c r="X31" s="408">
        <f>('Expenditure DATA'!Y28*1000000)/'Per-Capita Data'!I31</f>
        <v>7847.2594304426848</v>
      </c>
      <c r="Y31" s="408">
        <f>('Expenditure DATA'!Z28*1000000)/'Per-Capita Data'!J31</f>
        <v>8240.4687592586597</v>
      </c>
      <c r="Z31" s="408">
        <f>('Expenditure DATA'!AA28*1000000)/'Per-Capita Data'!K31</f>
        <v>8837.5976459641734</v>
      </c>
      <c r="AA31" s="408">
        <f>('Expenditure DATA'!AB28*1000000)/'Per-Capita Data'!L31</f>
        <v>9349.4996773958719</v>
      </c>
      <c r="AB31" s="408">
        <f>('Expenditure DATA'!AC28*1000000)/'Per-Capita Data'!M31</f>
        <v>9429.5515036920351</v>
      </c>
      <c r="AC31" s="408">
        <f>('Expenditure DATA'!AD28*1000000)/'Per-Capita Data'!N31</f>
        <v>9283.0546300286715</v>
      </c>
      <c r="AD31" s="408">
        <f>('Expenditure DATA'!AE28*1000000)/'Per-Capita Data'!O31</f>
        <v>9550.3070223956929</v>
      </c>
      <c r="AE31" s="462">
        <f>('Expenditure DATA'!AF28*1000000)/'Per-Capita Data'!P31</f>
        <v>9328.8538115169667</v>
      </c>
      <c r="AF31" s="409">
        <f t="shared" si="1"/>
        <v>12</v>
      </c>
      <c r="AG31" s="409">
        <f t="shared" si="2"/>
        <v>11</v>
      </c>
      <c r="AH31" s="409">
        <f t="shared" si="3"/>
        <v>11</v>
      </c>
      <c r="AI31" s="409">
        <f t="shared" si="4"/>
        <v>8</v>
      </c>
      <c r="AJ31" s="409">
        <f t="shared" si="5"/>
        <v>7</v>
      </c>
      <c r="AK31" s="409">
        <f t="shared" si="6"/>
        <v>5</v>
      </c>
      <c r="AL31" s="409">
        <f t="shared" si="7"/>
        <v>7</v>
      </c>
      <c r="AM31" s="409">
        <f t="shared" si="8"/>
        <v>6</v>
      </c>
      <c r="AN31" s="409">
        <f t="shared" si="9"/>
        <v>9</v>
      </c>
      <c r="AO31" s="409">
        <f t="shared" si="10"/>
        <v>6</v>
      </c>
      <c r="AP31" s="409">
        <f t="shared" si="11"/>
        <v>6</v>
      </c>
      <c r="AQ31" s="409">
        <f t="shared" si="12"/>
        <v>6</v>
      </c>
      <c r="AR31" s="409">
        <f t="shared" si="13"/>
        <v>10</v>
      </c>
      <c r="AS31" s="409">
        <f t="shared" si="14"/>
        <v>6</v>
      </c>
      <c r="AT31" s="459">
        <f t="shared" si="15"/>
        <v>11</v>
      </c>
    </row>
    <row r="32" spans="1:46">
      <c r="A32" s="400" t="s">
        <v>50</v>
      </c>
      <c r="B32" s="73">
        <f>+'[1]Jul-1 ResPop-both sexes'!BQ30</f>
        <v>3891293</v>
      </c>
      <c r="C32" s="73">
        <f>+'[1]Jul-1 ResPop-both sexes'!BR30</f>
        <v>3968967</v>
      </c>
      <c r="D32" s="73">
        <f>+'[1]Jul-1 ResPop-both sexes'!BS30</f>
        <v>4056133</v>
      </c>
      <c r="E32" s="73">
        <f>+'[1]Jul-1 ResPop-both sexes'!BT30</f>
        <v>4326921</v>
      </c>
      <c r="F32" s="73">
        <f>+'[1]Jul-1 ResPop-both sexes'!BU30</f>
        <v>4425687</v>
      </c>
      <c r="G32" s="73">
        <f>+'[1]Jul-1 ResPop-both sexes'!BV30</f>
        <v>4490406</v>
      </c>
      <c r="H32" s="73">
        <f>+'[1]Jul-1 ResPop-both sexes'!BW30</f>
        <v>4528732</v>
      </c>
      <c r="I32" s="73">
        <f>+'[1]Jul-1 ResPop-both sexes'!BX30</f>
        <v>4575013</v>
      </c>
      <c r="J32" s="73">
        <f>+'[1]Jul-1 ResPop-both sexes'!BY30</f>
        <v>4631888</v>
      </c>
      <c r="K32" s="73">
        <f>+'[1]Jul-1 ResPop-both sexes'!BZ30</f>
        <v>4720423</v>
      </c>
      <c r="L32" s="73">
        <f>+'[1]Jul-1 ResPop-both sexes'!CA30</f>
        <v>4803868</v>
      </c>
      <c r="M32" s="73">
        <f>+'[1]Jul-1 ResPop-both sexes'!CB30</f>
        <v>4889730</v>
      </c>
      <c r="N32" s="73">
        <f>+'[1]Jul-1 ResPop-both sexes'!CC30</f>
        <v>4972195</v>
      </c>
      <c r="O32" s="73">
        <f>+'[1]Jul-1 ResPop-both sexes'!CD30</f>
        <v>5048472</v>
      </c>
      <c r="P32" s="456">
        <f>+'[1]Jul-1 ResPop-both sexes'!CE30</f>
        <v>5116302</v>
      </c>
      <c r="Q32" s="408">
        <f>('Expenditure DATA'!R29*1000000)/'Per-Capita Data'!B32</f>
        <v>4748.5586410481037</v>
      </c>
      <c r="R32" s="408">
        <f>('Expenditure DATA'!S29*1000000)/'Per-Capita Data'!C32</f>
        <v>5057.2224460420057</v>
      </c>
      <c r="S32" s="408">
        <f>('Expenditure DATA'!T29*1000000)/'Per-Capita Data'!D32</f>
        <v>5554.7340286918597</v>
      </c>
      <c r="T32" s="408">
        <f>('Expenditure DATA'!U29*1000000)/'Per-Capita Data'!E32</f>
        <v>5735.3642463081715</v>
      </c>
      <c r="U32" s="408">
        <f>('Expenditure DATA'!V29*1000000)/'Per-Capita Data'!F32</f>
        <v>6123.8393044966806</v>
      </c>
      <c r="V32" s="408">
        <f>('Expenditure DATA'!W29*1000000)/'Per-Capita Data'!G32</f>
        <v>6183.0491496759969</v>
      </c>
      <c r="W32" s="408">
        <f>('Expenditure DATA'!X29*1000000)/'Per-Capita Data'!H32</f>
        <v>6276.9459530835566</v>
      </c>
      <c r="X32" s="408">
        <f>('Expenditure DATA'!Y29*1000000)/'Per-Capita Data'!I32</f>
        <v>6337.9247228368531</v>
      </c>
      <c r="Y32" s="408">
        <f>('Expenditure DATA'!Z29*1000000)/'Per-Capita Data'!J32</f>
        <v>6650.4269965076874</v>
      </c>
      <c r="Z32" s="408">
        <f>('Expenditure DATA'!AA29*1000000)/'Per-Capita Data'!K32</f>
        <v>7107.5187541455507</v>
      </c>
      <c r="AA32" s="408">
        <f>('Expenditure DATA'!AB29*1000000)/'Per-Capita Data'!L32</f>
        <v>7409.6438536612577</v>
      </c>
      <c r="AB32" s="408">
        <f>('Expenditure DATA'!AC29*1000000)/'Per-Capita Data'!M32</f>
        <v>7465.8216302331621</v>
      </c>
      <c r="AC32" s="408">
        <f>('Expenditure DATA'!AD29*1000000)/'Per-Capita Data'!N32</f>
        <v>8116.001283135517</v>
      </c>
      <c r="AD32" s="408">
        <f>('Expenditure DATA'!AE29*1000000)/'Per-Capita Data'!O32</f>
        <v>8178.372584813781</v>
      </c>
      <c r="AE32" s="462">
        <f>('Expenditure DATA'!AF29*1000000)/'Per-Capita Data'!P32</f>
        <v>7768.9850990031473</v>
      </c>
      <c r="AF32" s="409">
        <f t="shared" si="1"/>
        <v>25</v>
      </c>
      <c r="AG32" s="409">
        <f t="shared" si="2"/>
        <v>24</v>
      </c>
      <c r="AH32" s="409">
        <f t="shared" si="3"/>
        <v>21</v>
      </c>
      <c r="AI32" s="409">
        <f t="shared" si="4"/>
        <v>21</v>
      </c>
      <c r="AJ32" s="409">
        <f t="shared" si="5"/>
        <v>19</v>
      </c>
      <c r="AK32" s="409">
        <f t="shared" si="6"/>
        <v>23</v>
      </c>
      <c r="AL32" s="409">
        <f t="shared" si="7"/>
        <v>24</v>
      </c>
      <c r="AM32" s="409">
        <f t="shared" si="8"/>
        <v>30</v>
      </c>
      <c r="AN32" s="409">
        <f t="shared" si="9"/>
        <v>34</v>
      </c>
      <c r="AO32" s="409">
        <f t="shared" si="10"/>
        <v>29</v>
      </c>
      <c r="AP32" s="409">
        <f t="shared" si="11"/>
        <v>32</v>
      </c>
      <c r="AQ32" s="409">
        <f t="shared" si="12"/>
        <v>31</v>
      </c>
      <c r="AR32" s="409">
        <f t="shared" si="13"/>
        <v>25</v>
      </c>
      <c r="AS32" s="409">
        <f t="shared" si="14"/>
        <v>25</v>
      </c>
      <c r="AT32" s="459">
        <f t="shared" si="15"/>
        <v>31</v>
      </c>
    </row>
    <row r="33" spans="1:46">
      <c r="A33" s="400" t="s">
        <v>52</v>
      </c>
      <c r="B33" s="73">
        <f>+'[1]Jul-1 ResPop-both sexes'!BQ31</f>
        <v>1189322</v>
      </c>
      <c r="C33" s="73">
        <f>+'[1]Jul-1 ResPop-both sexes'!BR31</f>
        <v>1190472</v>
      </c>
      <c r="D33" s="73">
        <f>+'[1]Jul-1 ResPop-both sexes'!BS31</f>
        <v>1185497</v>
      </c>
      <c r="E33" s="73">
        <f>+'[1]Jul-1 ResPop-both sexes'!BT31</f>
        <v>1213519</v>
      </c>
      <c r="F33" s="73">
        <f>+'[1]Jul-1 ResPop-both sexes'!BU31</f>
        <v>1225948</v>
      </c>
      <c r="G33" s="73">
        <f>+'[1]Jul-1 ResPop-both sexes'!BV31</f>
        <v>1239613</v>
      </c>
      <c r="H33" s="73">
        <f>+'[1]Jul-1 ResPop-both sexes'!BW31</f>
        <v>1251154</v>
      </c>
      <c r="I33" s="73">
        <f>+'[1]Jul-1 ResPop-both sexes'!BX31</f>
        <v>1273569</v>
      </c>
      <c r="J33" s="73">
        <f>+'[1]Jul-1 ResPop-both sexes'!BY31</f>
        <v>1292729</v>
      </c>
      <c r="K33" s="73">
        <f>+'[1]Jul-1 ResPop-both sexes'!BZ31</f>
        <v>1309731</v>
      </c>
      <c r="L33" s="73">
        <f>+'[1]Jul-1 ResPop-both sexes'!CA31</f>
        <v>1315675</v>
      </c>
      <c r="M33" s="73">
        <f>+'[1]Jul-1 ResPop-both sexes'!CB31</f>
        <v>1332213</v>
      </c>
      <c r="N33" s="73">
        <f>+'[1]Jul-1 ResPop-both sexes'!CC31</f>
        <v>1346717</v>
      </c>
      <c r="O33" s="73">
        <f>+'[1]Jul-1 ResPop-both sexes'!CD31</f>
        <v>1364274</v>
      </c>
      <c r="P33" s="456">
        <f>+'[1]Jul-1 ResPop-both sexes'!CE31</f>
        <v>1378129</v>
      </c>
      <c r="Q33" s="408">
        <f>('Expenditure DATA'!R30*1000000)/'Per-Capita Data'!B33</f>
        <v>5555.1019824740479</v>
      </c>
      <c r="R33" s="408">
        <f>('Expenditure DATA'!S30*1000000)/'Per-Capita Data'!C33</f>
        <v>5798.2195297327444</v>
      </c>
      <c r="S33" s="408">
        <f>('Expenditure DATA'!T30*1000000)/'Per-Capita Data'!D33</f>
        <v>6162.9021414647186</v>
      </c>
      <c r="T33" s="408">
        <f>('Expenditure DATA'!U30*1000000)/'Per-Capita Data'!E33</f>
        <v>6431.6220017980777</v>
      </c>
      <c r="U33" s="408">
        <f>('Expenditure DATA'!V30*1000000)/'Per-Capita Data'!F33</f>
        <v>6773.2799433581195</v>
      </c>
      <c r="V33" s="408">
        <f>('Expenditure DATA'!W30*1000000)/'Per-Capita Data'!G33</f>
        <v>6847.7141656307258</v>
      </c>
      <c r="W33" s="408">
        <f>('Expenditure DATA'!X30*1000000)/'Per-Capita Data'!H33</f>
        <v>6932.2737248971753</v>
      </c>
      <c r="X33" s="408">
        <f>('Expenditure DATA'!Y30*1000000)/'Per-Capita Data'!I33</f>
        <v>7325.1704462027574</v>
      </c>
      <c r="Y33" s="408">
        <f>('Expenditure DATA'!Z30*1000000)/'Per-Capita Data'!J33</f>
        <v>7619.4399599606722</v>
      </c>
      <c r="Z33" s="408">
        <f>('Expenditure DATA'!AA30*1000000)/'Per-Capita Data'!K33</f>
        <v>8395.0963976572293</v>
      </c>
      <c r="AA33" s="408">
        <f>('Expenditure DATA'!AB30*1000000)/'Per-Capita Data'!L33</f>
        <v>8896.2669352233643</v>
      </c>
      <c r="AB33" s="408">
        <f>('Expenditure DATA'!AC30*1000000)/'Per-Capita Data'!M33</f>
        <v>9487.0790181449956</v>
      </c>
      <c r="AC33" s="408">
        <f>('Expenditure DATA'!AD30*1000000)/'Per-Capita Data'!N33</f>
        <v>9075.4635160913549</v>
      </c>
      <c r="AD33" s="408">
        <f>('Expenditure DATA'!AE30*1000000)/'Per-Capita Data'!O33</f>
        <v>8946.9109577694799</v>
      </c>
      <c r="AE33" s="462">
        <f>('Expenditure DATA'!AF30*1000000)/'Per-Capita Data'!P33</f>
        <v>8936.0930653081105</v>
      </c>
      <c r="AF33" s="409">
        <f t="shared" si="1"/>
        <v>8</v>
      </c>
      <c r="AG33" s="409">
        <f t="shared" si="2"/>
        <v>8</v>
      </c>
      <c r="AH33" s="409">
        <f t="shared" si="3"/>
        <v>8</v>
      </c>
      <c r="AI33" s="409">
        <f t="shared" si="4"/>
        <v>7</v>
      </c>
      <c r="AJ33" s="409">
        <f t="shared" si="5"/>
        <v>8</v>
      </c>
      <c r="AK33" s="409">
        <f t="shared" si="6"/>
        <v>10</v>
      </c>
      <c r="AL33" s="409">
        <f t="shared" si="7"/>
        <v>15</v>
      </c>
      <c r="AM33" s="409">
        <f t="shared" si="8"/>
        <v>14</v>
      </c>
      <c r="AN33" s="409">
        <f t="shared" si="9"/>
        <v>14</v>
      </c>
      <c r="AO33" s="409">
        <f t="shared" si="10"/>
        <v>10</v>
      </c>
      <c r="AP33" s="409">
        <f t="shared" si="11"/>
        <v>9</v>
      </c>
      <c r="AQ33" s="409">
        <f t="shared" si="12"/>
        <v>5</v>
      </c>
      <c r="AR33" s="409">
        <f t="shared" si="13"/>
        <v>12</v>
      </c>
      <c r="AS33" s="409">
        <f t="shared" si="14"/>
        <v>14</v>
      </c>
      <c r="AT33" s="459">
        <f t="shared" si="15"/>
        <v>16</v>
      </c>
    </row>
    <row r="34" spans="1:46">
      <c r="A34" s="400" t="s">
        <v>53</v>
      </c>
      <c r="B34" s="73">
        <f>+'[1]Jul-1 ResPop-both sexes'!BQ32</f>
        <v>1210638</v>
      </c>
      <c r="C34" s="73">
        <f>+'[1]Jul-1 ResPop-both sexes'!BR32</f>
        <v>1230923</v>
      </c>
      <c r="D34" s="73">
        <f>+'[1]Jul-1 ResPop-both sexes'!BS32</f>
        <v>1251700</v>
      </c>
      <c r="E34" s="73">
        <f>+'[1]Jul-1 ResPop-both sexes'!BT32</f>
        <v>1299430</v>
      </c>
      <c r="F34" s="73">
        <f>+'[1]Jul-1 ResPop-both sexes'!BU32</f>
        <v>1319962</v>
      </c>
      <c r="G34" s="73">
        <f>+'[1]Jul-1 ResPop-both sexes'!BV32</f>
        <v>1340372</v>
      </c>
      <c r="H34" s="73">
        <f>+'[1]Jul-1 ResPop-both sexes'!BW32</f>
        <v>1363380</v>
      </c>
      <c r="I34" s="73">
        <f>+'[1]Jul-1 ResPop-both sexes'!BX32</f>
        <v>1391802</v>
      </c>
      <c r="J34" s="73">
        <f>+'[1]Jul-1 ResPop-both sexes'!BY32</f>
        <v>1428241</v>
      </c>
      <c r="K34" s="73">
        <f>+'[1]Jul-1 ResPop-both sexes'!BZ32</f>
        <v>1468669</v>
      </c>
      <c r="L34" s="73">
        <f>+'[1]Jul-1 ResPop-both sexes'!CA32</f>
        <v>1505105</v>
      </c>
      <c r="M34" s="73">
        <f>+'[1]Jul-1 ResPop-both sexes'!CB32</f>
        <v>1534320</v>
      </c>
      <c r="N34" s="73">
        <f>+'[1]Jul-1 ResPop-both sexes'!CC32</f>
        <v>1554439</v>
      </c>
      <c r="O34" s="73">
        <f>+'[1]Jul-1 ResPop-both sexes'!CD32</f>
        <v>1570784</v>
      </c>
      <c r="P34" s="456">
        <f>+'[1]Jul-1 ResPop-both sexes'!CE32</f>
        <v>1583744</v>
      </c>
      <c r="Q34" s="408">
        <f>('Expenditure DATA'!R31*1000000)/'Per-Capita Data'!B34</f>
        <v>4282.7170467142114</v>
      </c>
      <c r="R34" s="408">
        <f>('Expenditure DATA'!S31*1000000)/'Per-Capita Data'!C34</f>
        <v>4558.8862991430005</v>
      </c>
      <c r="S34" s="408">
        <f>('Expenditure DATA'!T31*1000000)/'Per-Capita Data'!D34</f>
        <v>4655.9391227930018</v>
      </c>
      <c r="T34" s="408">
        <f>('Expenditure DATA'!U31*1000000)/'Per-Capita Data'!E34</f>
        <v>4860.424955557437</v>
      </c>
      <c r="U34" s="408">
        <f>('Expenditure DATA'!V31*1000000)/'Per-Capita Data'!F34</f>
        <v>5154.4855079161371</v>
      </c>
      <c r="V34" s="408">
        <f>('Expenditure DATA'!W31*1000000)/'Per-Capita Data'!G34</f>
        <v>5350.6328840053357</v>
      </c>
      <c r="W34" s="408">
        <f>('Expenditure DATA'!X31*1000000)/'Per-Capita Data'!H34</f>
        <v>5530.3378368466601</v>
      </c>
      <c r="X34" s="408">
        <f>('Expenditure DATA'!Y31*1000000)/'Per-Capita Data'!I34</f>
        <v>5792.665192319022</v>
      </c>
      <c r="Y34" s="408">
        <f>('Expenditure DATA'!Z31*1000000)/'Per-Capita Data'!J34</f>
        <v>5904.3662799205458</v>
      </c>
      <c r="Z34" s="408">
        <f>('Expenditure DATA'!AA31*1000000)/'Per-Capita Data'!K34</f>
        <v>6121.0259084926556</v>
      </c>
      <c r="AA34" s="408">
        <f>('Expenditure DATA'!AB31*1000000)/'Per-Capita Data'!L34</f>
        <v>6442.6535025795547</v>
      </c>
      <c r="AB34" s="408">
        <f>('Expenditure DATA'!AC31*1000000)/'Per-Capita Data'!M34</f>
        <v>6634.5977371082954</v>
      </c>
      <c r="AC34" s="408">
        <f>('Expenditure DATA'!AD31*1000000)/'Per-Capita Data'!N34</f>
        <v>6649.0643891461805</v>
      </c>
      <c r="AD34" s="408">
        <f>('Expenditure DATA'!AE31*1000000)/'Per-Capita Data'!O34</f>
        <v>6677.2127803695475</v>
      </c>
      <c r="AE34" s="462">
        <f>('Expenditure DATA'!AF31*1000000)/'Per-Capita Data'!P34</f>
        <v>6298.2950527357953</v>
      </c>
      <c r="AF34" s="409">
        <f t="shared" si="1"/>
        <v>43</v>
      </c>
      <c r="AG34" s="409">
        <f t="shared" si="2"/>
        <v>41</v>
      </c>
      <c r="AH34" s="409">
        <f t="shared" si="3"/>
        <v>47</v>
      </c>
      <c r="AI34" s="409">
        <f t="shared" si="4"/>
        <v>44</v>
      </c>
      <c r="AJ34" s="409">
        <f t="shared" si="5"/>
        <v>45</v>
      </c>
      <c r="AK34" s="409">
        <f t="shared" si="6"/>
        <v>45</v>
      </c>
      <c r="AL34" s="409">
        <f t="shared" si="7"/>
        <v>45</v>
      </c>
      <c r="AM34" s="409">
        <f t="shared" si="8"/>
        <v>44</v>
      </c>
      <c r="AN34" s="409">
        <f t="shared" si="9"/>
        <v>50</v>
      </c>
      <c r="AO34" s="409">
        <f t="shared" si="10"/>
        <v>49</v>
      </c>
      <c r="AP34" s="409">
        <f t="shared" si="11"/>
        <v>49</v>
      </c>
      <c r="AQ34" s="409">
        <f t="shared" si="12"/>
        <v>49</v>
      </c>
      <c r="AR34" s="409">
        <f t="shared" si="13"/>
        <v>49</v>
      </c>
      <c r="AS34" s="409">
        <f t="shared" si="14"/>
        <v>48</v>
      </c>
      <c r="AT34" s="459">
        <f t="shared" si="15"/>
        <v>51</v>
      </c>
    </row>
    <row r="35" spans="1:46">
      <c r="A35" s="400" t="s">
        <v>63</v>
      </c>
      <c r="B35" s="73">
        <f>+'[1]Jul-1 ResPop-both sexes'!BQ33</f>
        <v>878706</v>
      </c>
      <c r="C35" s="73">
        <f>+'[1]Jul-1 ResPop-both sexes'!BR33</f>
        <v>879533</v>
      </c>
      <c r="D35" s="73">
        <f>+'[1]Jul-1 ResPop-both sexes'!BS33</f>
        <v>882779</v>
      </c>
      <c r="E35" s="73">
        <f>+'[1]Jul-1 ResPop-both sexes'!BT33</f>
        <v>903773</v>
      </c>
      <c r="F35" s="73">
        <f>+'[1]Jul-1 ResPop-both sexes'!BU33</f>
        <v>906961</v>
      </c>
      <c r="G35" s="73">
        <f>+'[1]Jul-1 ResPop-both sexes'!BV33</f>
        <v>911667</v>
      </c>
      <c r="H35" s="73">
        <f>+'[1]Jul-1 ResPop-both sexes'!BW33</f>
        <v>919630</v>
      </c>
      <c r="I35" s="73">
        <f>+'[1]Jul-1 ResPop-both sexes'!BX33</f>
        <v>930009</v>
      </c>
      <c r="J35" s="73">
        <f>+'[1]Jul-1 ResPop-both sexes'!BY33</f>
        <v>940102</v>
      </c>
      <c r="K35" s="73">
        <f>+'[1]Jul-1 ResPop-both sexes'!BZ33</f>
        <v>952692</v>
      </c>
      <c r="L35" s="73">
        <f>+'[1]Jul-1 ResPop-both sexes'!CA33</f>
        <v>964706</v>
      </c>
      <c r="M35" s="73">
        <f>+'[1]Jul-1 ResPop-both sexes'!CB33</f>
        <v>976415</v>
      </c>
      <c r="N35" s="73">
        <f>+'[1]Jul-1 ResPop-both sexes'!CC33</f>
        <v>983982</v>
      </c>
      <c r="O35" s="73">
        <f>+'[1]Jul-1 ResPop-both sexes'!CD33</f>
        <v>990735</v>
      </c>
      <c r="P35" s="456">
        <f>+'[1]Jul-1 ResPop-both sexes'!CE33</f>
        <v>997667</v>
      </c>
      <c r="Q35" s="408">
        <f>('Expenditure DATA'!R32*1000000)/'Per-Capita Data'!B35</f>
        <v>4557.5277737946481</v>
      </c>
      <c r="R35" s="408">
        <f>('Expenditure DATA'!S32*1000000)/'Per-Capita Data'!C35</f>
        <v>4880.5525204853029</v>
      </c>
      <c r="S35" s="408">
        <f>('Expenditure DATA'!T32*1000000)/'Per-Capita Data'!D35</f>
        <v>5123.5598037560931</v>
      </c>
      <c r="T35" s="408">
        <f>('Expenditure DATA'!U32*1000000)/'Per-Capita Data'!E35</f>
        <v>5297.1708603819761</v>
      </c>
      <c r="U35" s="408">
        <f>('Expenditure DATA'!V32*1000000)/'Per-Capita Data'!F35</f>
        <v>5570.1502049150959</v>
      </c>
      <c r="V35" s="408">
        <f>('Expenditure DATA'!W32*1000000)/'Per-Capita Data'!G35</f>
        <v>5812.7145108904897</v>
      </c>
      <c r="W35" s="408">
        <f>('Expenditure DATA'!X32*1000000)/'Per-Capita Data'!H35</f>
        <v>6031.3506518926088</v>
      </c>
      <c r="X35" s="408">
        <f>('Expenditure DATA'!Y32*1000000)/'Per-Capita Data'!I35</f>
        <v>6179.0240739605742</v>
      </c>
      <c r="Y35" s="408">
        <f>('Expenditure DATA'!Z32*1000000)/'Per-Capita Data'!J35</f>
        <v>7074.5716954117743</v>
      </c>
      <c r="Z35" s="408">
        <f>('Expenditure DATA'!AA32*1000000)/'Per-Capita Data'!K35</f>
        <v>6978.147187128684</v>
      </c>
      <c r="AA35" s="408">
        <f>('Expenditure DATA'!AB32*1000000)/'Per-Capita Data'!L35</f>
        <v>7523.4309727523205</v>
      </c>
      <c r="AB35" s="408">
        <f>('Expenditure DATA'!AC32*1000000)/'Per-Capita Data'!M35</f>
        <v>7626.482591930685</v>
      </c>
      <c r="AC35" s="408">
        <f>('Expenditure DATA'!AD32*1000000)/'Per-Capita Data'!N35</f>
        <v>8163.9552349534852</v>
      </c>
      <c r="AD35" s="408">
        <f>('Expenditure DATA'!AE32*1000000)/'Per-Capita Data'!O35</f>
        <v>8188.4631107208288</v>
      </c>
      <c r="AE35" s="462">
        <f>('Expenditure DATA'!AF32*1000000)/'Per-Capita Data'!P35</f>
        <v>8218.873632183886</v>
      </c>
      <c r="AF35" s="409">
        <f t="shared" si="1"/>
        <v>29</v>
      </c>
      <c r="AG35" s="409">
        <f t="shared" si="2"/>
        <v>27</v>
      </c>
      <c r="AH35" s="409">
        <f t="shared" si="3"/>
        <v>30</v>
      </c>
      <c r="AI35" s="409">
        <f t="shared" si="4"/>
        <v>31</v>
      </c>
      <c r="AJ35" s="409">
        <f t="shared" si="5"/>
        <v>31</v>
      </c>
      <c r="AK35" s="409">
        <f t="shared" si="6"/>
        <v>30</v>
      </c>
      <c r="AL35" s="409">
        <f t="shared" si="7"/>
        <v>30</v>
      </c>
      <c r="AM35" s="409">
        <f t="shared" si="8"/>
        <v>34</v>
      </c>
      <c r="AN35" s="409">
        <f t="shared" si="9"/>
        <v>25</v>
      </c>
      <c r="AO35" s="409">
        <f t="shared" si="10"/>
        <v>32</v>
      </c>
      <c r="AP35" s="409">
        <f t="shared" si="11"/>
        <v>29</v>
      </c>
      <c r="AQ35" s="409">
        <f t="shared" si="12"/>
        <v>29</v>
      </c>
      <c r="AR35" s="409">
        <f t="shared" si="13"/>
        <v>23</v>
      </c>
      <c r="AS35" s="409">
        <f t="shared" si="14"/>
        <v>24</v>
      </c>
      <c r="AT35" s="459">
        <f t="shared" si="15"/>
        <v>24</v>
      </c>
    </row>
    <row r="36" spans="1:46">
      <c r="A36" s="400" t="s">
        <v>65</v>
      </c>
      <c r="B36" s="73">
        <f>+'[1]Jul-1 ResPop-both sexes'!BQ34</f>
        <v>1675581</v>
      </c>
      <c r="C36" s="73">
        <f>+'[1]Jul-1 ResPop-both sexes'!BR34</f>
        <v>1743772</v>
      </c>
      <c r="D36" s="73">
        <f>+'[1]Jul-1 ResPop-both sexes'!BS34</f>
        <v>1809253</v>
      </c>
      <c r="E36" s="73">
        <f>+'[1]Jul-1 ResPop-both sexes'!BT34</f>
        <v>2018741</v>
      </c>
      <c r="F36" s="73">
        <f>+'[1]Jul-1 ResPop-both sexes'!BU34</f>
        <v>2098399</v>
      </c>
      <c r="G36" s="73">
        <f>+'[1]Jul-1 ResPop-both sexes'!BV34</f>
        <v>2173791</v>
      </c>
      <c r="H36" s="73">
        <f>+'[1]Jul-1 ResPop-both sexes'!BW34</f>
        <v>2248850</v>
      </c>
      <c r="I36" s="73">
        <f>+'[1]Jul-1 ResPop-both sexes'!BX34</f>
        <v>2346222</v>
      </c>
      <c r="J36" s="73">
        <f>+'[1]Jul-1 ResPop-both sexes'!BY34</f>
        <v>2432143</v>
      </c>
      <c r="K36" s="73">
        <f>+'[1]Jul-1 ResPop-both sexes'!BZ34</f>
        <v>2522658</v>
      </c>
      <c r="L36" s="73">
        <f>+'[1]Jul-1 ResPop-both sexes'!CA34</f>
        <v>2601072</v>
      </c>
      <c r="M36" s="73">
        <f>+'[1]Jul-1 ResPop-both sexes'!CB34</f>
        <v>2653630</v>
      </c>
      <c r="N36" s="73">
        <f>+'[1]Jul-1 ResPop-both sexes'!CC34</f>
        <v>2684665</v>
      </c>
      <c r="O36" s="73">
        <f>+'[1]Jul-1 ResPop-both sexes'!CD34</f>
        <v>2703758</v>
      </c>
      <c r="P36" s="456">
        <f>+'[1]Jul-1 ResPop-both sexes'!CE34</f>
        <v>2720028</v>
      </c>
      <c r="Q36" s="408">
        <f>('Expenditure DATA'!R33*1000000)/'Per-Capita Data'!B36</f>
        <v>5126.578183925456</v>
      </c>
      <c r="R36" s="408">
        <f>('Expenditure DATA'!S33*1000000)/'Per-Capita Data'!C36</f>
        <v>5334.5207974437026</v>
      </c>
      <c r="S36" s="408">
        <f>('Expenditure DATA'!T33*1000000)/'Per-Capita Data'!D36</f>
        <v>5395.3974375059761</v>
      </c>
      <c r="T36" s="408">
        <f>('Expenditure DATA'!U33*1000000)/'Per-Capita Data'!E36</f>
        <v>5333.8553583644461</v>
      </c>
      <c r="U36" s="408">
        <f>('Expenditure DATA'!V33*1000000)/'Per-Capita Data'!F36</f>
        <v>5610.8042369444511</v>
      </c>
      <c r="V36" s="408">
        <f>('Expenditure DATA'!W33*1000000)/'Per-Capita Data'!G36</f>
        <v>5841.0127744571582</v>
      </c>
      <c r="W36" s="408">
        <f>('Expenditure DATA'!X33*1000000)/'Per-Capita Data'!H36</f>
        <v>6056.6849723191854</v>
      </c>
      <c r="X36" s="408">
        <f>('Expenditure DATA'!Y33*1000000)/'Per-Capita Data'!I36</f>
        <v>6365.4330238144557</v>
      </c>
      <c r="Y36" s="408">
        <f>('Expenditure DATA'!Z33*1000000)/'Per-Capita Data'!J36</f>
        <v>7084.7396719683011</v>
      </c>
      <c r="Z36" s="408">
        <f>('Expenditure DATA'!AA33*1000000)/'Per-Capita Data'!K36</f>
        <v>6830.5335087039148</v>
      </c>
      <c r="AA36" s="408">
        <f>('Expenditure DATA'!AB33*1000000)/'Per-Capita Data'!L36</f>
        <v>7009.7940387655553</v>
      </c>
      <c r="AB36" s="408">
        <f>('Expenditure DATA'!AC33*1000000)/'Per-Capita Data'!M36</f>
        <v>7086.6119240436683</v>
      </c>
      <c r="AC36" s="408">
        <f>('Expenditure DATA'!AD33*1000000)/'Per-Capita Data'!N36</f>
        <v>6621.6462761648099</v>
      </c>
      <c r="AD36" s="408">
        <f>('Expenditure DATA'!AE33*1000000)/'Per-Capita Data'!O36</f>
        <v>6914.8207790786009</v>
      </c>
      <c r="AE36" s="462">
        <f>('Expenditure DATA'!AF33*1000000)/'Per-Capita Data'!P36</f>
        <v>6815.6125598707076</v>
      </c>
      <c r="AF36" s="409">
        <f t="shared" si="1"/>
        <v>15</v>
      </c>
      <c r="AG36" s="409">
        <f t="shared" si="2"/>
        <v>18</v>
      </c>
      <c r="AH36" s="409">
        <f t="shared" si="3"/>
        <v>24</v>
      </c>
      <c r="AI36" s="409">
        <f t="shared" si="4"/>
        <v>28</v>
      </c>
      <c r="AJ36" s="409">
        <f t="shared" si="5"/>
        <v>30</v>
      </c>
      <c r="AK36" s="409">
        <f t="shared" si="6"/>
        <v>29</v>
      </c>
      <c r="AL36" s="409">
        <f t="shared" si="7"/>
        <v>29</v>
      </c>
      <c r="AM36" s="409">
        <f t="shared" si="8"/>
        <v>29</v>
      </c>
      <c r="AN36" s="409">
        <f t="shared" si="9"/>
        <v>24</v>
      </c>
      <c r="AO36" s="409">
        <f t="shared" si="10"/>
        <v>36</v>
      </c>
      <c r="AP36" s="409">
        <f t="shared" si="11"/>
        <v>36</v>
      </c>
      <c r="AQ36" s="409">
        <f t="shared" si="12"/>
        <v>41</v>
      </c>
      <c r="AR36" s="409">
        <f t="shared" si="13"/>
        <v>50</v>
      </c>
      <c r="AS36" s="409">
        <f t="shared" si="14"/>
        <v>46</v>
      </c>
      <c r="AT36" s="459">
        <f t="shared" si="15"/>
        <v>47</v>
      </c>
    </row>
    <row r="37" spans="1:46">
      <c r="A37" s="400" t="s">
        <v>68</v>
      </c>
      <c r="B37" s="73">
        <f>+'[1]Jul-1 ResPop-both sexes'!BQ35</f>
        <v>1722939</v>
      </c>
      <c r="C37" s="73">
        <f>+'[1]Jul-1 ResPop-both sexes'!BR35</f>
        <v>1733535</v>
      </c>
      <c r="D37" s="73">
        <f>+'[1]Jul-1 ResPop-both sexes'!BS35</f>
        <v>1739844</v>
      </c>
      <c r="E37" s="73">
        <f>+'[1]Jul-1 ResPop-both sexes'!BT35</f>
        <v>1821204</v>
      </c>
      <c r="F37" s="73">
        <f>+'[1]Jul-1 ResPop-both sexes'!BU35</f>
        <v>1831690</v>
      </c>
      <c r="G37" s="73">
        <f>+'[1]Jul-1 ResPop-both sexes'!BV35</f>
        <v>1855309</v>
      </c>
      <c r="H37" s="73">
        <f>+'[1]Jul-1 ResPop-both sexes'!BW35</f>
        <v>1877574</v>
      </c>
      <c r="I37" s="73">
        <f>+'[1]Jul-1 ResPop-both sexes'!BX35</f>
        <v>1903808</v>
      </c>
      <c r="J37" s="73">
        <f>+'[1]Jul-1 ResPop-both sexes'!BY35</f>
        <v>1932274</v>
      </c>
      <c r="K37" s="73">
        <f>+'[1]Jul-1 ResPop-both sexes'!BZ35</f>
        <v>1962137</v>
      </c>
      <c r="L37" s="73">
        <f>+'[1]Jul-1 ResPop-both sexes'!CA35</f>
        <v>1990070</v>
      </c>
      <c r="M37" s="73">
        <f>+'[1]Jul-1 ResPop-both sexes'!CB35</f>
        <v>2010662</v>
      </c>
      <c r="N37" s="73">
        <f>+'[1]Jul-1 ResPop-both sexes'!CC35</f>
        <v>2036802</v>
      </c>
      <c r="O37" s="73">
        <f>+'[1]Jul-1 ResPop-both sexes'!CD35</f>
        <v>2064767</v>
      </c>
      <c r="P37" s="456">
        <f>+'[1]Jul-1 ResPop-both sexes'!CE35</f>
        <v>2078674</v>
      </c>
      <c r="Q37" s="408">
        <f>('Expenditure DATA'!R34*1000000)/'Per-Capita Data'!B37</f>
        <v>5094.4310854882269</v>
      </c>
      <c r="R37" s="408">
        <f>('Expenditure DATA'!S34*1000000)/'Per-Capita Data'!C37</f>
        <v>5460.309137110009</v>
      </c>
      <c r="S37" s="408">
        <f>('Expenditure DATA'!T34*1000000)/'Per-Capita Data'!D37</f>
        <v>5804.3991300369462</v>
      </c>
      <c r="T37" s="408">
        <f>('Expenditure DATA'!U34*1000000)/'Per-Capita Data'!E37</f>
        <v>5912.2267467016327</v>
      </c>
      <c r="U37" s="408">
        <f>('Expenditure DATA'!V34*1000000)/'Per-Capita Data'!F37</f>
        <v>6243.4107299816014</v>
      </c>
      <c r="V37" s="408">
        <f>('Expenditure DATA'!W34*1000000)/'Per-Capita Data'!G37</f>
        <v>6482.0377629817995</v>
      </c>
      <c r="W37" s="408">
        <f>('Expenditure DATA'!X34*1000000)/'Per-Capita Data'!H37</f>
        <v>6719.507726459783</v>
      </c>
      <c r="X37" s="408">
        <f>('Expenditure DATA'!Y34*1000000)/'Per-Capita Data'!I37</f>
        <v>7402.3998218307725</v>
      </c>
      <c r="Y37" s="408">
        <f>('Expenditure DATA'!Z34*1000000)/'Per-Capita Data'!J37</f>
        <v>8394.1361318322342</v>
      </c>
      <c r="Z37" s="408">
        <f>('Expenditure DATA'!AA34*1000000)/'Per-Capita Data'!K37</f>
        <v>8263.8730119252632</v>
      </c>
      <c r="AA37" s="408">
        <f>('Expenditure DATA'!AB34*1000000)/'Per-Capita Data'!L37</f>
        <v>8679.7579984623662</v>
      </c>
      <c r="AB37" s="408">
        <f>('Expenditure DATA'!AC34*1000000)/'Per-Capita Data'!M37</f>
        <v>9177.0212994526173</v>
      </c>
      <c r="AC37" s="408">
        <f>('Expenditure DATA'!AD34*1000000)/'Per-Capita Data'!N37</f>
        <v>9554.7343335287369</v>
      </c>
      <c r="AD37" s="408">
        <f>('Expenditure DATA'!AE34*1000000)/'Per-Capita Data'!O37</f>
        <v>9415.1422412310931</v>
      </c>
      <c r="AE37" s="462">
        <f>('Expenditure DATA'!AF34*1000000)/'Per-Capita Data'!P37</f>
        <v>8726.6002268754019</v>
      </c>
      <c r="AF37" s="409">
        <f t="shared" si="1"/>
        <v>17</v>
      </c>
      <c r="AG37" s="409">
        <f t="shared" si="2"/>
        <v>15</v>
      </c>
      <c r="AH37" s="409">
        <f t="shared" si="3"/>
        <v>16</v>
      </c>
      <c r="AI37" s="409">
        <f t="shared" si="4"/>
        <v>16</v>
      </c>
      <c r="AJ37" s="409">
        <f t="shared" si="5"/>
        <v>16</v>
      </c>
      <c r="AK37" s="409">
        <f t="shared" si="6"/>
        <v>17</v>
      </c>
      <c r="AL37" s="409">
        <f t="shared" si="7"/>
        <v>17</v>
      </c>
      <c r="AM37" s="409">
        <f t="shared" si="8"/>
        <v>13</v>
      </c>
      <c r="AN37" s="409">
        <f t="shared" si="9"/>
        <v>8</v>
      </c>
      <c r="AO37" s="409">
        <f t="shared" si="10"/>
        <v>11</v>
      </c>
      <c r="AP37" s="409">
        <f t="shared" si="11"/>
        <v>12</v>
      </c>
      <c r="AQ37" s="409">
        <f t="shared" si="12"/>
        <v>10</v>
      </c>
      <c r="AR37" s="409">
        <f t="shared" si="13"/>
        <v>5</v>
      </c>
      <c r="AS37" s="409">
        <f t="shared" si="14"/>
        <v>10</v>
      </c>
      <c r="AT37" s="459">
        <f t="shared" si="15"/>
        <v>18</v>
      </c>
    </row>
    <row r="38" spans="1:46">
      <c r="A38" s="400" t="s">
        <v>72</v>
      </c>
      <c r="B38" s="73">
        <f>+'[1]Jul-1 ResPop-both sexes'!BQ36</f>
        <v>3243254</v>
      </c>
      <c r="C38" s="73">
        <f>+'[1]Jul-1 ResPop-both sexes'!BR36</f>
        <v>3282055</v>
      </c>
      <c r="D38" s="73">
        <f>+'[1]Jul-1 ResPop-both sexes'!BS36</f>
        <v>3316154</v>
      </c>
      <c r="E38" s="73">
        <f>+'[1]Jul-1 ResPop-both sexes'!BT36</f>
        <v>3429708</v>
      </c>
      <c r="F38" s="73">
        <f>+'[1]Jul-1 ResPop-both sexes'!BU36</f>
        <v>3467937</v>
      </c>
      <c r="G38" s="73">
        <f>+'[1]Jul-1 ResPop-both sexes'!BV36</f>
        <v>3513424</v>
      </c>
      <c r="H38" s="73">
        <f>+'[1]Jul-1 ResPop-both sexes'!BW36</f>
        <v>3547376</v>
      </c>
      <c r="I38" s="73">
        <f>+'[1]Jul-1 ResPop-both sexes'!BX36</f>
        <v>3569463</v>
      </c>
      <c r="J38" s="73">
        <f>+'[1]Jul-1 ResPop-both sexes'!BY36</f>
        <v>3613202</v>
      </c>
      <c r="K38" s="73">
        <f>+'[1]Jul-1 ResPop-both sexes'!BZ36</f>
        <v>3670883</v>
      </c>
      <c r="L38" s="73">
        <f>+'[1]Jul-1 ResPop-both sexes'!CA36</f>
        <v>3722417</v>
      </c>
      <c r="M38" s="73">
        <f>+'[1]Jul-1 ResPop-both sexes'!CB36</f>
        <v>3768748</v>
      </c>
      <c r="N38" s="73">
        <f>+'[1]Jul-1 ResPop-both sexes'!CC36</f>
        <v>3808600</v>
      </c>
      <c r="O38" s="73">
        <f>+'[1]Jul-1 ResPop-both sexes'!CD36</f>
        <v>3838212</v>
      </c>
      <c r="P38" s="456">
        <f>+'[1]Jul-1 ResPop-both sexes'!CE36</f>
        <v>3868229</v>
      </c>
      <c r="Q38" s="408">
        <f>('Expenditure DATA'!R35*1000000)/'Per-Capita Data'!B38</f>
        <v>5248.2528349614313</v>
      </c>
      <c r="R38" s="408">
        <f>('Expenditure DATA'!S35*1000000)/'Per-Capita Data'!C38</f>
        <v>5576.0058865558312</v>
      </c>
      <c r="S38" s="408">
        <f>('Expenditure DATA'!T35*1000000)/'Per-Capita Data'!D38</f>
        <v>6079.673923466763</v>
      </c>
      <c r="T38" s="408">
        <f>('Expenditure DATA'!U35*1000000)/'Per-Capita Data'!E38</f>
        <v>6290.755656166647</v>
      </c>
      <c r="U38" s="408">
        <f>('Expenditure DATA'!V35*1000000)/'Per-Capita Data'!F38</f>
        <v>6629.2366326147221</v>
      </c>
      <c r="V38" s="408">
        <f>('Expenditure DATA'!W35*1000000)/'Per-Capita Data'!G38</f>
        <v>6446.5722042087718</v>
      </c>
      <c r="W38" s="408">
        <f>('Expenditure DATA'!X35*1000000)/'Per-Capita Data'!H38</f>
        <v>6288.9606289268459</v>
      </c>
      <c r="X38" s="408">
        <f>('Expenditure DATA'!Y35*1000000)/'Per-Capita Data'!I38</f>
        <v>6647.0228154767256</v>
      </c>
      <c r="Y38" s="408">
        <f>('Expenditure DATA'!Z35*1000000)/'Per-Capita Data'!J38</f>
        <v>7281.2021027332539</v>
      </c>
      <c r="Z38" s="408">
        <f>('Expenditure DATA'!AA35*1000000)/'Per-Capita Data'!K38</f>
        <v>7174.0003699382414</v>
      </c>
      <c r="AA38" s="408">
        <f>('Expenditure DATA'!AB35*1000000)/'Per-Capita Data'!L38</f>
        <v>7560.0844827433357</v>
      </c>
      <c r="AB38" s="408">
        <f>('Expenditure DATA'!AC35*1000000)/'Per-Capita Data'!M38</f>
        <v>8065.0852750037948</v>
      </c>
      <c r="AC38" s="408">
        <f>('Expenditure DATA'!AD35*1000000)/'Per-Capita Data'!N38</f>
        <v>8183.9030089796779</v>
      </c>
      <c r="AD38" s="408">
        <f>('Expenditure DATA'!AE35*1000000)/'Per-Capita Data'!O38</f>
        <v>8284.4610980321049</v>
      </c>
      <c r="AE38" s="462">
        <f>('Expenditure DATA'!AF35*1000000)/'Per-Capita Data'!P38</f>
        <v>8289.0467446472267</v>
      </c>
      <c r="AF38" s="409">
        <f t="shared" si="1"/>
        <v>13</v>
      </c>
      <c r="AG38" s="409">
        <f t="shared" si="2"/>
        <v>12</v>
      </c>
      <c r="AH38" s="409">
        <f t="shared" si="3"/>
        <v>10</v>
      </c>
      <c r="AI38" s="409">
        <f t="shared" si="4"/>
        <v>11</v>
      </c>
      <c r="AJ38" s="409">
        <f t="shared" si="5"/>
        <v>11</v>
      </c>
      <c r="AK38" s="409">
        <f t="shared" si="6"/>
        <v>18</v>
      </c>
      <c r="AL38" s="409">
        <f t="shared" si="7"/>
        <v>23</v>
      </c>
      <c r="AM38" s="409">
        <f t="shared" si="8"/>
        <v>23</v>
      </c>
      <c r="AN38" s="409">
        <f t="shared" si="9"/>
        <v>22</v>
      </c>
      <c r="AO38" s="409">
        <f t="shared" si="10"/>
        <v>27</v>
      </c>
      <c r="AP38" s="409">
        <f t="shared" si="11"/>
        <v>26</v>
      </c>
      <c r="AQ38" s="409">
        <f t="shared" si="12"/>
        <v>21</v>
      </c>
      <c r="AR38" s="409">
        <f t="shared" si="13"/>
        <v>22</v>
      </c>
      <c r="AS38" s="409">
        <f t="shared" si="14"/>
        <v>23</v>
      </c>
      <c r="AT38" s="459">
        <f t="shared" si="15"/>
        <v>22</v>
      </c>
    </row>
    <row r="39" spans="1:46">
      <c r="A39" s="400" t="s">
        <v>76</v>
      </c>
      <c r="B39" s="73">
        <f>+'[1]Jul-1 ResPop-both sexes'!BQ37</f>
        <v>2065397</v>
      </c>
      <c r="C39" s="73">
        <f>+'[1]Jul-1 ResPop-both sexes'!BR37</f>
        <v>2100562</v>
      </c>
      <c r="D39" s="73">
        <f>+'[1]Jul-1 ResPop-both sexes'!BS37</f>
        <v>2129836</v>
      </c>
      <c r="E39" s="73">
        <f>+'[1]Jul-1 ResPop-both sexes'!BT37</f>
        <v>2244502</v>
      </c>
      <c r="F39" s="73">
        <f>+'[1]Jul-1 ResPop-both sexes'!BU37</f>
        <v>2283715</v>
      </c>
      <c r="G39" s="73">
        <f>+'[1]Jul-1 ResPop-both sexes'!BV37</f>
        <v>2324815</v>
      </c>
      <c r="H39" s="73">
        <f>+'[1]Jul-1 ResPop-both sexes'!BW37</f>
        <v>2360137</v>
      </c>
      <c r="I39" s="73">
        <f>+'[1]Jul-1 ResPop-both sexes'!BX37</f>
        <v>2401580</v>
      </c>
      <c r="J39" s="73">
        <f>+'[1]Jul-1 ResPop-both sexes'!BY37</f>
        <v>2457719</v>
      </c>
      <c r="K39" s="73">
        <f>+'[1]Jul-1 ResPop-both sexes'!BZ37</f>
        <v>2525507</v>
      </c>
      <c r="L39" s="73">
        <f>+'[1]Jul-1 ResPop-both sexes'!CA37</f>
        <v>2597746</v>
      </c>
      <c r="M39" s="73">
        <f>+'[1]Jul-1 ResPop-both sexes'!CB37</f>
        <v>2663029</v>
      </c>
      <c r="N39" s="73">
        <f>+'[1]Jul-1 ResPop-both sexes'!CC37</f>
        <v>2723421</v>
      </c>
      <c r="O39" s="73">
        <f>+'[1]Jul-1 ResPop-both sexes'!CD37</f>
        <v>2775093</v>
      </c>
      <c r="P39" s="456">
        <f>+'[1]Jul-1 ResPop-both sexes'!CE37</f>
        <v>2814347</v>
      </c>
      <c r="Q39" s="408">
        <f>('Expenditure DATA'!R36*1000000)/'Per-Capita Data'!B39</f>
        <v>4775.2107706169809</v>
      </c>
      <c r="R39" s="408">
        <f>('Expenditure DATA'!S36*1000000)/'Per-Capita Data'!C39</f>
        <v>4970.1789330664842</v>
      </c>
      <c r="S39" s="408">
        <f>('Expenditure DATA'!T36*1000000)/'Per-Capita Data'!D39</f>
        <v>5170.8868664066149</v>
      </c>
      <c r="T39" s="408">
        <f>('Expenditure DATA'!U36*1000000)/'Per-Capita Data'!E39</f>
        <v>5318.3552520781905</v>
      </c>
      <c r="U39" s="408">
        <f>('Expenditure DATA'!V36*1000000)/'Per-Capita Data'!F39</f>
        <v>5631.6033305381798</v>
      </c>
      <c r="V39" s="408">
        <f>('Expenditure DATA'!W36*1000000)/'Per-Capita Data'!G39</f>
        <v>5757.0013097816382</v>
      </c>
      <c r="W39" s="408">
        <f>('Expenditure DATA'!X36*1000000)/'Per-Capita Data'!H39</f>
        <v>5892.4329392742875</v>
      </c>
      <c r="X39" s="408">
        <f>('Expenditure DATA'!Y36*1000000)/'Per-Capita Data'!I39</f>
        <v>6046.6975907527549</v>
      </c>
      <c r="Y39" s="408">
        <f>('Expenditure DATA'!Z36*1000000)/'Per-Capita Data'!J39</f>
        <v>6819.2299445135914</v>
      </c>
      <c r="Z39" s="408">
        <f>('Expenditure DATA'!AA36*1000000)/'Per-Capita Data'!K39</f>
        <v>6637.0542627678324</v>
      </c>
      <c r="AA39" s="408">
        <f>('Expenditure DATA'!AB36*1000000)/'Per-Capita Data'!L39</f>
        <v>7204.8398881183921</v>
      </c>
      <c r="AB39" s="408">
        <f>('Expenditure DATA'!AC36*1000000)/'Per-Capita Data'!M39</f>
        <v>7401.3625086320881</v>
      </c>
      <c r="AC39" s="408">
        <f>('Expenditure DATA'!AD36*1000000)/'Per-Capita Data'!N39</f>
        <v>7218.3544152740251</v>
      </c>
      <c r="AD39" s="408">
        <f>('Expenditure DATA'!AE36*1000000)/'Per-Capita Data'!O39</f>
        <v>7340.2300391374274</v>
      </c>
      <c r="AE39" s="462">
        <f>('Expenditure DATA'!AF36*1000000)/'Per-Capita Data'!P39</f>
        <v>7552.6877105062031</v>
      </c>
      <c r="AF39" s="409">
        <f t="shared" si="1"/>
        <v>23</v>
      </c>
      <c r="AG39" s="409">
        <f t="shared" si="2"/>
        <v>25</v>
      </c>
      <c r="AH39" s="409">
        <f t="shared" si="3"/>
        <v>29</v>
      </c>
      <c r="AI39" s="409">
        <f t="shared" si="4"/>
        <v>29</v>
      </c>
      <c r="AJ39" s="409">
        <f t="shared" si="5"/>
        <v>29</v>
      </c>
      <c r="AK39" s="409">
        <f t="shared" si="6"/>
        <v>32</v>
      </c>
      <c r="AL39" s="409">
        <f t="shared" si="7"/>
        <v>37</v>
      </c>
      <c r="AM39" s="409">
        <f t="shared" si="8"/>
        <v>41</v>
      </c>
      <c r="AN39" s="409">
        <f t="shared" si="9"/>
        <v>30</v>
      </c>
      <c r="AO39" s="409">
        <f t="shared" si="10"/>
        <v>40</v>
      </c>
      <c r="AP39" s="409">
        <f t="shared" si="11"/>
        <v>35</v>
      </c>
      <c r="AQ39" s="409">
        <f t="shared" si="12"/>
        <v>33</v>
      </c>
      <c r="AR39" s="409">
        <f t="shared" si="13"/>
        <v>41</v>
      </c>
      <c r="AS39" s="409">
        <f t="shared" si="14"/>
        <v>40</v>
      </c>
      <c r="AT39" s="459">
        <f t="shared" si="15"/>
        <v>34</v>
      </c>
    </row>
    <row r="40" spans="1:46">
      <c r="A40" s="400" t="s">
        <v>78</v>
      </c>
      <c r="B40" s="73">
        <f>+'[1]Jul-1 ResPop-both sexes'!BQ38</f>
        <v>5604105</v>
      </c>
      <c r="C40" s="73">
        <f>+'[1]Jul-1 ResPop-both sexes'!BR38</f>
        <v>5687832</v>
      </c>
      <c r="D40" s="73">
        <f>+'[1]Jul-1 ResPop-both sexes'!BS38</f>
        <v>5756361</v>
      </c>
      <c r="E40" s="73">
        <f>+'[1]Jul-1 ResPop-both sexes'!BT38</f>
        <v>5910512</v>
      </c>
      <c r="F40" s="73">
        <f>+'[1]Jul-1 ResPop-both sexes'!BU38</f>
        <v>5985722</v>
      </c>
      <c r="G40" s="73">
        <f>+'[1]Jul-1 ResPop-both sexes'!BV38</f>
        <v>6052349</v>
      </c>
      <c r="H40" s="73">
        <f>+'[1]Jul-1 ResPop-both sexes'!BW38</f>
        <v>6104115</v>
      </c>
      <c r="I40" s="73">
        <f>+'[1]Jul-1 ResPop-both sexes'!BX38</f>
        <v>6178645</v>
      </c>
      <c r="J40" s="73">
        <f>+'[1]Jul-1 ResPop-both sexes'!BY38</f>
        <v>6257305</v>
      </c>
      <c r="K40" s="73">
        <f>+'[1]Jul-1 ResPop-both sexes'!BZ38</f>
        <v>6370753</v>
      </c>
      <c r="L40" s="73">
        <f>+'[1]Jul-1 ResPop-both sexes'!CA38</f>
        <v>6461587</v>
      </c>
      <c r="M40" s="73">
        <f>+'[1]Jul-1 ResPop-both sexes'!CB38</f>
        <v>6562231</v>
      </c>
      <c r="N40" s="73">
        <f>+'[1]Jul-1 ResPop-both sexes'!CC38</f>
        <v>6667426</v>
      </c>
      <c r="O40" s="73">
        <f>+'[1]Jul-1 ResPop-both sexes'!CD38</f>
        <v>6743636</v>
      </c>
      <c r="P40" s="456">
        <f>+'[1]Jul-1 ResPop-both sexes'!CE38</f>
        <v>6823267</v>
      </c>
      <c r="Q40" s="408">
        <f>('Expenditure DATA'!R37*1000000)/'Per-Capita Data'!B40</f>
        <v>5505.4657255708089</v>
      </c>
      <c r="R40" s="408">
        <f>('Expenditure DATA'!S37*1000000)/'Per-Capita Data'!C40</f>
        <v>5685.3590260753126</v>
      </c>
      <c r="S40" s="408">
        <f>('Expenditure DATA'!T37*1000000)/'Per-Capita Data'!D40</f>
        <v>5816.7510689479004</v>
      </c>
      <c r="T40" s="408">
        <f>('Expenditure DATA'!U37*1000000)/'Per-Capita Data'!E40</f>
        <v>6102.7251953807063</v>
      </c>
      <c r="U40" s="408">
        <f>('Expenditure DATA'!V37*1000000)/'Per-Capita Data'!F40</f>
        <v>6458.2254237667566</v>
      </c>
      <c r="V40" s="408">
        <f>('Expenditure DATA'!W37*1000000)/'Per-Capita Data'!G40</f>
        <v>6712.0965760566678</v>
      </c>
      <c r="W40" s="408">
        <f>('Expenditure DATA'!X37*1000000)/'Per-Capita Data'!H40</f>
        <v>6977.384928036251</v>
      </c>
      <c r="X40" s="408">
        <f>('Expenditure DATA'!Y37*1000000)/'Per-Capita Data'!I40</f>
        <v>7180.2273799514296</v>
      </c>
      <c r="Y40" s="408">
        <f>('Expenditure DATA'!Z37*1000000)/'Per-Capita Data'!J40</f>
        <v>7978.6994560757385</v>
      </c>
      <c r="Z40" s="408">
        <f>('Expenditure DATA'!AA37*1000000)/'Per-Capita Data'!K40</f>
        <v>7790.0606097897689</v>
      </c>
      <c r="AA40" s="408">
        <f>('Expenditure DATA'!AB37*1000000)/'Per-Capita Data'!L40</f>
        <v>8294.3402294204188</v>
      </c>
      <c r="AB40" s="408">
        <f>('Expenditure DATA'!AC37*1000000)/'Per-Capita Data'!M40</f>
        <v>8611.2075298781765</v>
      </c>
      <c r="AC40" s="408">
        <f>('Expenditure DATA'!AD37*1000000)/'Per-Capita Data'!N40</f>
        <v>8518.7664624999215</v>
      </c>
      <c r="AD40" s="408">
        <f>('Expenditure DATA'!AE37*1000000)/'Per-Capita Data'!O40</f>
        <v>8568.3555577436273</v>
      </c>
      <c r="AE40" s="462">
        <f>('Expenditure DATA'!AF37*1000000)/'Per-Capita Data'!P40</f>
        <v>8554.3035323108415</v>
      </c>
      <c r="AF40" s="409">
        <f t="shared" si="1"/>
        <v>11</v>
      </c>
      <c r="AG40" s="409">
        <f t="shared" si="2"/>
        <v>10</v>
      </c>
      <c r="AH40" s="409">
        <f t="shared" si="3"/>
        <v>14</v>
      </c>
      <c r="AI40" s="409">
        <f t="shared" si="4"/>
        <v>12</v>
      </c>
      <c r="AJ40" s="409">
        <f t="shared" si="5"/>
        <v>12</v>
      </c>
      <c r="AK40" s="409">
        <f t="shared" si="6"/>
        <v>13</v>
      </c>
      <c r="AL40" s="409">
        <f t="shared" si="7"/>
        <v>14</v>
      </c>
      <c r="AM40" s="409">
        <f t="shared" si="8"/>
        <v>16</v>
      </c>
      <c r="AN40" s="409">
        <f t="shared" si="9"/>
        <v>12</v>
      </c>
      <c r="AO40" s="409">
        <f t="shared" si="10"/>
        <v>16</v>
      </c>
      <c r="AP40" s="409">
        <f t="shared" si="11"/>
        <v>16</v>
      </c>
      <c r="AQ40" s="409">
        <f t="shared" si="12"/>
        <v>15</v>
      </c>
      <c r="AR40" s="409">
        <f t="shared" si="13"/>
        <v>18</v>
      </c>
      <c r="AS40" s="409">
        <f t="shared" si="14"/>
        <v>19</v>
      </c>
      <c r="AT40" s="459">
        <f t="shared" si="15"/>
        <v>19</v>
      </c>
    </row>
    <row r="41" spans="1:46">
      <c r="A41" s="399" t="s">
        <v>80</v>
      </c>
      <c r="B41" s="112">
        <f>+'[1]Jul-1 ResPop-both sexes'!BQ39</f>
        <v>480031</v>
      </c>
      <c r="C41" s="112">
        <f>+'[1]Jul-1 ResPop-both sexes'!BR39</f>
        <v>480045</v>
      </c>
      <c r="D41" s="112">
        <f>+'[1]Jul-1 ResPop-both sexes'!BS39</f>
        <v>479602</v>
      </c>
      <c r="E41" s="112">
        <f>+'[1]Jul-1 ResPop-both sexes'!BT39</f>
        <v>494300</v>
      </c>
      <c r="F41" s="112">
        <f>+'[1]Jul-1 ResPop-both sexes'!BU39</f>
        <v>494657</v>
      </c>
      <c r="G41" s="112">
        <f>+'[1]Jul-1 ResPop-both sexes'!BV39</f>
        <v>500017</v>
      </c>
      <c r="H41" s="112">
        <f>+'[1]Jul-1 ResPop-both sexes'!BW39</f>
        <v>503453</v>
      </c>
      <c r="I41" s="112">
        <f>+'[1]Jul-1 ResPop-both sexes'!BX39</f>
        <v>509106</v>
      </c>
      <c r="J41" s="112">
        <f>+'[1]Jul-1 ResPop-both sexes'!BY39</f>
        <v>514157</v>
      </c>
      <c r="K41" s="112">
        <f>+'[1]Jul-1 ResPop-both sexes'!BZ39</f>
        <v>522667</v>
      </c>
      <c r="L41" s="112">
        <f>+'[1]Jul-1 ResPop-both sexes'!CA39</f>
        <v>534876</v>
      </c>
      <c r="M41" s="112">
        <f>+'[1]Jul-1 ResPop-both sexes'!CB39</f>
        <v>546043</v>
      </c>
      <c r="N41" s="112">
        <f>+'[1]Jul-1 ResPop-both sexes'!CC39</f>
        <v>559851</v>
      </c>
      <c r="O41" s="112">
        <f>+'[1]Jul-1 ResPop-both sexes'!CD39</f>
        <v>564367</v>
      </c>
      <c r="P41" s="457">
        <f>+'[1]Jul-1 ResPop-both sexes'!CE39</f>
        <v>567356</v>
      </c>
      <c r="Q41" s="410">
        <f>('Expenditure DATA'!R38*1000000)/'Per-Capita Data'!B41</f>
        <v>6081.9842885147</v>
      </c>
      <c r="R41" s="410">
        <f>('Expenditure DATA'!S38*1000000)/'Per-Capita Data'!C41</f>
        <v>6568.3946296701351</v>
      </c>
      <c r="S41" s="410">
        <f>('Expenditure DATA'!T38*1000000)/'Per-Capita Data'!D41</f>
        <v>6945.3797106767697</v>
      </c>
      <c r="T41" s="410">
        <f>('Expenditure DATA'!U38*1000000)/'Per-Capita Data'!E41</f>
        <v>7267.32348776047</v>
      </c>
      <c r="U41" s="410">
        <f>('Expenditure DATA'!V38*1000000)/'Per-Capita Data'!F41</f>
        <v>7790.1616675797577</v>
      </c>
      <c r="V41" s="410">
        <f>('Expenditure DATA'!W38*1000000)/'Per-Capita Data'!G41</f>
        <v>8387.6868186481661</v>
      </c>
      <c r="W41" s="410">
        <f>('Expenditure DATA'!X38*1000000)/'Per-Capita Data'!H41</f>
        <v>9006.8268537480162</v>
      </c>
      <c r="X41" s="410">
        <f>('Expenditure DATA'!Y38*1000000)/'Per-Capita Data'!I41</f>
        <v>9973.0016931640948</v>
      </c>
      <c r="Y41" s="410">
        <f>('Expenditure DATA'!Z38*1000000)/'Per-Capita Data'!J41</f>
        <v>11750.49644369327</v>
      </c>
      <c r="Z41" s="410">
        <f>('Expenditure DATA'!AA38*1000000)/'Per-Capita Data'!K41</f>
        <v>11560.57489759254</v>
      </c>
      <c r="AA41" s="410">
        <f>('Expenditure DATA'!AB38*1000000)/'Per-Capita Data'!L41</f>
        <v>12716.334253172698</v>
      </c>
      <c r="AB41" s="410">
        <f>('Expenditure DATA'!AC38*1000000)/'Per-Capita Data'!M41</f>
        <v>13664.127184122863</v>
      </c>
      <c r="AC41" s="410">
        <f>('Expenditure DATA'!AD38*1000000)/'Per-Capita Data'!N41</f>
        <v>13624.166072758644</v>
      </c>
      <c r="AD41" s="410">
        <f>('Expenditure DATA'!AE38*1000000)/'Per-Capita Data'!O41</f>
        <v>13428.53320622928</v>
      </c>
      <c r="AE41" s="463">
        <f>('Expenditure DATA'!AF38*1000000)/'Per-Capita Data'!P41</f>
        <v>13619.82247477774</v>
      </c>
      <c r="AF41" s="411">
        <f t="shared" si="1"/>
        <v>4</v>
      </c>
      <c r="AG41" s="411">
        <f t="shared" si="2"/>
        <v>4</v>
      </c>
      <c r="AH41" s="411">
        <f t="shared" si="3"/>
        <v>4</v>
      </c>
      <c r="AI41" s="411">
        <f t="shared" si="4"/>
        <v>4</v>
      </c>
      <c r="AJ41" s="411">
        <f t="shared" si="5"/>
        <v>4</v>
      </c>
      <c r="AK41" s="411">
        <f t="shared" si="6"/>
        <v>4</v>
      </c>
      <c r="AL41" s="411">
        <f t="shared" si="7"/>
        <v>4</v>
      </c>
      <c r="AM41" s="411">
        <f t="shared" si="8"/>
        <v>3</v>
      </c>
      <c r="AN41" s="411">
        <f t="shared" si="9"/>
        <v>3</v>
      </c>
      <c r="AO41" s="411">
        <f t="shared" si="10"/>
        <v>3</v>
      </c>
      <c r="AP41" s="411">
        <f t="shared" si="11"/>
        <v>3</v>
      </c>
      <c r="AQ41" s="411">
        <f t="shared" si="12"/>
        <v>3</v>
      </c>
      <c r="AR41" s="411">
        <f t="shared" si="13"/>
        <v>3</v>
      </c>
      <c r="AS41" s="411">
        <f t="shared" si="14"/>
        <v>3</v>
      </c>
      <c r="AT41" s="460">
        <f t="shared" si="15"/>
        <v>3</v>
      </c>
    </row>
    <row r="42" spans="1:46">
      <c r="A42" s="1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456"/>
      <c r="Q42" s="408"/>
      <c r="R42" s="408"/>
      <c r="S42" s="408"/>
      <c r="T42" s="408"/>
      <c r="U42" s="408"/>
      <c r="V42" s="408"/>
      <c r="W42" s="408"/>
      <c r="X42" s="408"/>
      <c r="Y42" s="408"/>
      <c r="Z42" s="408"/>
      <c r="AA42" s="408"/>
      <c r="AB42" s="408"/>
      <c r="AC42" s="408"/>
      <c r="AD42" s="408"/>
      <c r="AE42" s="462"/>
      <c r="AF42" s="409"/>
      <c r="AG42" s="409"/>
      <c r="AH42" s="409"/>
      <c r="AI42" s="409"/>
      <c r="AJ42" s="409"/>
      <c r="AK42" s="409"/>
      <c r="AL42" s="409"/>
      <c r="AM42" s="409"/>
      <c r="AN42" s="409"/>
      <c r="AO42" s="409"/>
      <c r="AP42" s="409"/>
      <c r="AQ42" s="409"/>
      <c r="AR42" s="409"/>
      <c r="AS42" s="409"/>
      <c r="AT42" s="459"/>
    </row>
    <row r="43" spans="1:46">
      <c r="A43" s="398" t="s">
        <v>54</v>
      </c>
      <c r="B43" s="73">
        <f>+'[1]Jul-1 ResPop-both sexes'!BQ41</f>
        <v>12011509</v>
      </c>
      <c r="C43" s="73">
        <f>+'[1]Jul-1 ResPop-both sexes'!BR41</f>
        <v>12069774</v>
      </c>
      <c r="D43" s="73">
        <f>+'[1]Jul-1 ResPop-both sexes'!BS41</f>
        <v>12128370</v>
      </c>
      <c r="E43" s="73">
        <f>+'[1]Jul-1 ResPop-both sexes'!BT41</f>
        <v>12434161</v>
      </c>
      <c r="F43" s="73">
        <f>+'[1]Jul-1 ResPop-both sexes'!BU41</f>
        <v>12488445</v>
      </c>
      <c r="G43" s="73">
        <f>+'[1]Jul-1 ResPop-both sexes'!BV41</f>
        <v>12525556</v>
      </c>
      <c r="H43" s="73">
        <f>+'[1]Jul-1 ResPop-both sexes'!BW41</f>
        <v>12556006</v>
      </c>
      <c r="I43" s="73">
        <f>+'[1]Jul-1 ResPop-both sexes'!BX41</f>
        <v>12589773</v>
      </c>
      <c r="J43" s="73">
        <f>+'[1]Jul-1 ResPop-both sexes'!BY41</f>
        <v>12609903</v>
      </c>
      <c r="K43" s="73">
        <f>+'[1]Jul-1 ResPop-both sexes'!BZ41</f>
        <v>12643955</v>
      </c>
      <c r="L43" s="73">
        <f>+'[1]Jul-1 ResPop-both sexes'!CA41</f>
        <v>12695866</v>
      </c>
      <c r="M43" s="73">
        <f>+'[1]Jul-1 ResPop-both sexes'!CB41</f>
        <v>12747038</v>
      </c>
      <c r="N43" s="73">
        <f>+'[1]Jul-1 ResPop-both sexes'!CC41</f>
        <v>12796778</v>
      </c>
      <c r="O43" s="73">
        <f>+'[1]Jul-1 ResPop-both sexes'!CD41</f>
        <v>12840459</v>
      </c>
      <c r="P43" s="456">
        <f>+'[1]Jul-1 ResPop-both sexes'!CE41</f>
        <v>12859752</v>
      </c>
      <c r="Q43" s="408">
        <f>('Expenditure DATA'!R41*1000000)/'Per-Capita Data'!B43</f>
        <v>4647.7999558590018</v>
      </c>
      <c r="R43" s="408">
        <f>('Expenditure DATA'!S41*1000000)/'Per-Capita Data'!C43</f>
        <v>4948.6787407949805</v>
      </c>
      <c r="S43" s="408">
        <f>('Expenditure DATA'!T41*1000000)/'Per-Capita Data'!D43</f>
        <v>5310.3537408571801</v>
      </c>
      <c r="T43" s="408">
        <f>('Expenditure DATA'!U41*1000000)/'Per-Capita Data'!E43</f>
        <v>5558.387453725265</v>
      </c>
      <c r="U43" s="408">
        <f>('Expenditure DATA'!V41*1000000)/'Per-Capita Data'!F43</f>
        <v>5911.2110434886008</v>
      </c>
      <c r="V43" s="408">
        <f>('Expenditure DATA'!W41*1000000)/'Per-Capita Data'!G43</f>
        <v>6120.2399717824892</v>
      </c>
      <c r="W43" s="408">
        <f>('Expenditure DATA'!X41*1000000)/'Per-Capita Data'!H43</f>
        <v>6331.3909693894702</v>
      </c>
      <c r="X43" s="408">
        <f>('Expenditure DATA'!Y41*1000000)/'Per-Capita Data'!I43</f>
        <v>6533.7471930590009</v>
      </c>
      <c r="Y43" s="408">
        <f>('Expenditure DATA'!Z41*1000000)/'Per-Capita Data'!J43</f>
        <v>6698.4290838716206</v>
      </c>
      <c r="Z43" s="408">
        <f>('Expenditure DATA'!AA41*1000000)/'Per-Capita Data'!K43</f>
        <v>7206.9530459417165</v>
      </c>
      <c r="AA43" s="408">
        <f>('Expenditure DATA'!AB41*1000000)/'Per-Capita Data'!L43</f>
        <v>7578.7465778230489</v>
      </c>
      <c r="AB43" s="408">
        <f>('Expenditure DATA'!AC41*1000000)/'Per-Capita Data'!M43</f>
        <v>7912.7382376988289</v>
      </c>
      <c r="AC43" s="408">
        <f>('Expenditure DATA'!AD41*1000000)/'Per-Capita Data'!N43</f>
        <v>8087.8170270672817</v>
      </c>
      <c r="AD43" s="408">
        <f>('Expenditure DATA'!AE41*1000000)/'Per-Capita Data'!O43</f>
        <v>8123.2073557495105</v>
      </c>
      <c r="AE43" s="462">
        <f>('Expenditure DATA'!AF41*1000000)/'Per-Capita Data'!P43</f>
        <v>7988.3383443164375</v>
      </c>
      <c r="AF43" s="409">
        <f t="shared" si="1"/>
        <v>26</v>
      </c>
      <c r="AG43" s="409">
        <f t="shared" si="2"/>
        <v>26</v>
      </c>
      <c r="AH43" s="409">
        <f t="shared" si="3"/>
        <v>25</v>
      </c>
      <c r="AI43" s="409">
        <f t="shared" si="4"/>
        <v>25</v>
      </c>
      <c r="AJ43" s="409">
        <f t="shared" si="5"/>
        <v>24</v>
      </c>
      <c r="AK43" s="409">
        <f t="shared" si="6"/>
        <v>24</v>
      </c>
      <c r="AL43" s="409">
        <f t="shared" si="7"/>
        <v>22</v>
      </c>
      <c r="AM43" s="409">
        <f t="shared" si="8"/>
        <v>26</v>
      </c>
      <c r="AN43" s="409">
        <f t="shared" si="9"/>
        <v>32</v>
      </c>
      <c r="AO43" s="409">
        <f t="shared" si="10"/>
        <v>25</v>
      </c>
      <c r="AP43" s="409">
        <f t="shared" si="11"/>
        <v>23</v>
      </c>
      <c r="AQ43" s="409">
        <f t="shared" si="12"/>
        <v>24</v>
      </c>
      <c r="AR43" s="409">
        <f t="shared" si="13"/>
        <v>27</v>
      </c>
      <c r="AS43" s="409">
        <f t="shared" si="14"/>
        <v>27</v>
      </c>
      <c r="AT43" s="459">
        <f t="shared" ref="AT43:AT54" si="16">RANK(AE43,$AE$12:$AE$65)</f>
        <v>28</v>
      </c>
    </row>
    <row r="44" spans="1:46">
      <c r="A44" s="398" t="s">
        <v>55</v>
      </c>
      <c r="B44" s="73">
        <f>+'[1]Jul-1 ResPop-both sexes'!BQ42</f>
        <v>5872370</v>
      </c>
      <c r="C44" s="73">
        <f>+'[1]Jul-1 ResPop-both sexes'!BR42</f>
        <v>5907617</v>
      </c>
      <c r="D44" s="73">
        <f>+'[1]Jul-1 ResPop-both sexes'!BS42</f>
        <v>5942901</v>
      </c>
      <c r="E44" s="73">
        <f>+'[1]Jul-1 ResPop-both sexes'!BT42</f>
        <v>6091866</v>
      </c>
      <c r="F44" s="73">
        <f>+'[1]Jul-1 ResPop-both sexes'!BU42</f>
        <v>6127760</v>
      </c>
      <c r="G44" s="73">
        <f>+'[1]Jul-1 ResPop-both sexes'!BV42</f>
        <v>6155967</v>
      </c>
      <c r="H44" s="73">
        <f>+'[1]Jul-1 ResPop-both sexes'!BW42</f>
        <v>6196638</v>
      </c>
      <c r="I44" s="73">
        <f>+'[1]Jul-1 ResPop-both sexes'!BX42</f>
        <v>6233007</v>
      </c>
      <c r="J44" s="73">
        <f>+'[1]Jul-1 ResPop-both sexes'!BY42</f>
        <v>6278616</v>
      </c>
      <c r="K44" s="73">
        <f>+'[1]Jul-1 ResPop-both sexes'!BZ42</f>
        <v>6332669</v>
      </c>
      <c r="L44" s="73">
        <f>+'[1]Jul-1 ResPop-both sexes'!CA42</f>
        <v>6379599</v>
      </c>
      <c r="M44" s="73">
        <f>+'[1]Jul-1 ResPop-both sexes'!CB42</f>
        <v>6424806</v>
      </c>
      <c r="N44" s="73">
        <f>+'[1]Jul-1 ResPop-both sexes'!CC42</f>
        <v>6459325</v>
      </c>
      <c r="O44" s="73">
        <f>+'[1]Jul-1 ResPop-both sexes'!CD42</f>
        <v>6489856</v>
      </c>
      <c r="P44" s="456">
        <f>+'[1]Jul-1 ResPop-both sexes'!CE42</f>
        <v>6516353</v>
      </c>
      <c r="Q44" s="408">
        <f>('Expenditure DATA'!R42*1000000)/'Per-Capita Data'!B44</f>
        <v>4185.8239518286482</v>
      </c>
      <c r="R44" s="408">
        <f>('Expenditure DATA'!S42*1000000)/'Per-Capita Data'!C44</f>
        <v>4513.3178064861013</v>
      </c>
      <c r="S44" s="408">
        <f>('Expenditure DATA'!T42*1000000)/'Per-Capita Data'!D44</f>
        <v>4836.6972628351032</v>
      </c>
      <c r="T44" s="408">
        <f>('Expenditure DATA'!U42*1000000)/'Per-Capita Data'!E44</f>
        <v>5051.0385487796348</v>
      </c>
      <c r="U44" s="408">
        <f>('Expenditure DATA'!V42*1000000)/'Per-Capita Data'!F44</f>
        <v>5352.1167604475368</v>
      </c>
      <c r="V44" s="408">
        <f>('Expenditure DATA'!W42*1000000)/'Per-Capita Data'!G44</f>
        <v>5550.4368363248204</v>
      </c>
      <c r="W44" s="408">
        <f>('Expenditure DATA'!X42*1000000)/'Per-Capita Data'!H44</f>
        <v>5735.3882863578601</v>
      </c>
      <c r="X44" s="408">
        <f>('Expenditure DATA'!Y42*1000000)/'Per-Capita Data'!I44</f>
        <v>6128.184678759385</v>
      </c>
      <c r="Y44" s="408">
        <f>('Expenditure DATA'!Z42*1000000)/'Per-Capita Data'!J44</f>
        <v>6376.9059932953378</v>
      </c>
      <c r="Z44" s="408">
        <f>('Expenditure DATA'!AA42*1000000)/'Per-Capita Data'!K44</f>
        <v>6653.1374054131047</v>
      </c>
      <c r="AA44" s="408">
        <f>('Expenditure DATA'!AB42*1000000)/'Per-Capita Data'!L44</f>
        <v>6966.3347179031161</v>
      </c>
      <c r="AB44" s="408">
        <f>('Expenditure DATA'!AC42*1000000)/'Per-Capita Data'!M44</f>
        <v>7075.0542506653119</v>
      </c>
      <c r="AC44" s="408">
        <f>('Expenditure DATA'!AD42*1000000)/'Per-Capita Data'!N44</f>
        <v>6975.5259256965701</v>
      </c>
      <c r="AD44" s="408">
        <f>('Expenditure DATA'!AE42*1000000)/'Per-Capita Data'!O44</f>
        <v>7067.7263101061098</v>
      </c>
      <c r="AE44" s="462">
        <f>('Expenditure DATA'!AF42*1000000)/'Per-Capita Data'!P44</f>
        <v>7037.6724526740645</v>
      </c>
      <c r="AF44" s="409">
        <f t="shared" si="1"/>
        <v>46</v>
      </c>
      <c r="AG44" s="409">
        <f t="shared" si="2"/>
        <v>43</v>
      </c>
      <c r="AH44" s="409">
        <f t="shared" si="3"/>
        <v>41</v>
      </c>
      <c r="AI44" s="409">
        <f t="shared" si="4"/>
        <v>40</v>
      </c>
      <c r="AJ44" s="409">
        <f t="shared" si="5"/>
        <v>40</v>
      </c>
      <c r="AK44" s="409">
        <f t="shared" si="6"/>
        <v>41</v>
      </c>
      <c r="AL44" s="409">
        <f t="shared" si="7"/>
        <v>42</v>
      </c>
      <c r="AM44" s="409">
        <f t="shared" si="8"/>
        <v>38</v>
      </c>
      <c r="AN44" s="409">
        <f t="shared" si="9"/>
        <v>44</v>
      </c>
      <c r="AO44" s="409">
        <f t="shared" si="10"/>
        <v>38</v>
      </c>
      <c r="AP44" s="409">
        <f t="shared" si="11"/>
        <v>40</v>
      </c>
      <c r="AQ44" s="409">
        <f t="shared" si="12"/>
        <v>42</v>
      </c>
      <c r="AR44" s="409">
        <f t="shared" si="13"/>
        <v>45</v>
      </c>
      <c r="AS44" s="409">
        <f t="shared" si="14"/>
        <v>43</v>
      </c>
      <c r="AT44" s="459">
        <f t="shared" si="16"/>
        <v>46</v>
      </c>
    </row>
    <row r="45" spans="1:46">
      <c r="A45" s="398" t="s">
        <v>56</v>
      </c>
      <c r="B45" s="73">
        <f>+'[1]Jul-1 ResPop-both sexes'!BQ43</f>
        <v>2854396</v>
      </c>
      <c r="C45" s="73">
        <f>+'[1]Jul-1 ResPop-both sexes'!BR43</f>
        <v>2861025</v>
      </c>
      <c r="D45" s="73">
        <f>+'[1]Jul-1 ResPop-both sexes'!BS43</f>
        <v>2869413</v>
      </c>
      <c r="E45" s="73">
        <f>+'[1]Jul-1 ResPop-both sexes'!BT43</f>
        <v>2929067</v>
      </c>
      <c r="F45" s="73">
        <f>+'[1]Jul-1 ResPop-both sexes'!BU43</f>
        <v>2931997</v>
      </c>
      <c r="G45" s="73">
        <f>+'[1]Jul-1 ResPop-both sexes'!BV43</f>
        <v>2934234</v>
      </c>
      <c r="H45" s="73">
        <f>+'[1]Jul-1 ResPop-both sexes'!BW43</f>
        <v>2941999</v>
      </c>
      <c r="I45" s="73">
        <f>+'[1]Jul-1 ResPop-both sexes'!BX43</f>
        <v>2953635</v>
      </c>
      <c r="J45" s="73">
        <f>+'[1]Jul-1 ResPop-both sexes'!BY43</f>
        <v>2964454</v>
      </c>
      <c r="K45" s="73">
        <f>+'[1]Jul-1 ResPop-both sexes'!BZ43</f>
        <v>2982644</v>
      </c>
      <c r="L45" s="73">
        <f>+'[1]Jul-1 ResPop-both sexes'!CA43</f>
        <v>2999212</v>
      </c>
      <c r="M45" s="73">
        <f>+'[1]Jul-1 ResPop-both sexes'!CB43</f>
        <v>3016734</v>
      </c>
      <c r="N45" s="73">
        <f>+'[1]Jul-1 ResPop-both sexes'!CC43</f>
        <v>3032870</v>
      </c>
      <c r="O45" s="73">
        <f>+'[1]Jul-1 ResPop-both sexes'!CD43</f>
        <v>3050321</v>
      </c>
      <c r="P45" s="456">
        <f>+'[1]Jul-1 ResPop-both sexes'!CE43</f>
        <v>3064097</v>
      </c>
      <c r="Q45" s="408">
        <f>('Expenditure DATA'!R43*1000000)/'Per-Capita Data'!B45</f>
        <v>4858.3395576507255</v>
      </c>
      <c r="R45" s="408">
        <f>('Expenditure DATA'!S43*1000000)/'Per-Capita Data'!C45</f>
        <v>5145.7669891035557</v>
      </c>
      <c r="S45" s="408">
        <f>('Expenditure DATA'!T43*1000000)/'Per-Capita Data'!D45</f>
        <v>5436.2240639461797</v>
      </c>
      <c r="T45" s="408">
        <f>('Expenditure DATA'!U43*1000000)/'Per-Capita Data'!E45</f>
        <v>5603.7458344244105</v>
      </c>
      <c r="U45" s="408">
        <f>('Expenditure DATA'!V43*1000000)/'Per-Capita Data'!F45</f>
        <v>5876.1049209804787</v>
      </c>
      <c r="V45" s="408">
        <f>('Expenditure DATA'!W43*1000000)/'Per-Capita Data'!G45</f>
        <v>6078.7936476777259</v>
      </c>
      <c r="W45" s="408">
        <f>('Expenditure DATA'!X43*1000000)/'Per-Capita Data'!H45</f>
        <v>6269.3712676312944</v>
      </c>
      <c r="X45" s="408">
        <f>('Expenditure DATA'!Y43*1000000)/'Per-Capita Data'!I45</f>
        <v>6606.6050815351255</v>
      </c>
      <c r="Y45" s="408">
        <f>('Expenditure DATA'!Z43*1000000)/'Per-Capita Data'!J45</f>
        <v>6990.3398737170492</v>
      </c>
      <c r="Z45" s="408">
        <f>('Expenditure DATA'!AA43*1000000)/'Per-Capita Data'!K45</f>
        <v>7253.3986623948413</v>
      </c>
      <c r="AA45" s="408">
        <f>('Expenditure DATA'!AB43*1000000)/'Per-Capita Data'!L45</f>
        <v>7678.9376676273632</v>
      </c>
      <c r="AB45" s="408">
        <f>('Expenditure DATA'!AC43*1000000)/'Per-Capita Data'!M45</f>
        <v>8232.5955818444709</v>
      </c>
      <c r="AC45" s="408">
        <f>('Expenditure DATA'!AD43*1000000)/'Per-Capita Data'!N45</f>
        <v>8437.6646542713661</v>
      </c>
      <c r="AD45" s="408">
        <f>('Expenditure DATA'!AE43*1000000)/'Per-Capita Data'!O45</f>
        <v>8673.5664869369484</v>
      </c>
      <c r="AE45" s="462">
        <f>('Expenditure DATA'!AF43*1000000)/'Per-Capita Data'!P45</f>
        <v>9115.2297071535268</v>
      </c>
      <c r="AF45" s="409">
        <f t="shared" si="1"/>
        <v>22</v>
      </c>
      <c r="AG45" s="409">
        <f t="shared" si="2"/>
        <v>21</v>
      </c>
      <c r="AH45" s="409">
        <f t="shared" si="3"/>
        <v>23</v>
      </c>
      <c r="AI45" s="409">
        <f t="shared" si="4"/>
        <v>23</v>
      </c>
      <c r="AJ45" s="409">
        <f t="shared" si="5"/>
        <v>26</v>
      </c>
      <c r="AK45" s="409">
        <f t="shared" si="6"/>
        <v>25</v>
      </c>
      <c r="AL45" s="409">
        <f t="shared" si="7"/>
        <v>25</v>
      </c>
      <c r="AM45" s="409">
        <f t="shared" si="8"/>
        <v>25</v>
      </c>
      <c r="AN45" s="409">
        <f t="shared" si="9"/>
        <v>28</v>
      </c>
      <c r="AO45" s="409">
        <f t="shared" si="10"/>
        <v>24</v>
      </c>
      <c r="AP45" s="409">
        <f t="shared" si="11"/>
        <v>21</v>
      </c>
      <c r="AQ45" s="409">
        <f t="shared" si="12"/>
        <v>18</v>
      </c>
      <c r="AR45" s="409">
        <f t="shared" si="13"/>
        <v>19</v>
      </c>
      <c r="AS45" s="409">
        <f t="shared" si="14"/>
        <v>17</v>
      </c>
      <c r="AT45" s="459">
        <f t="shared" si="16"/>
        <v>14</v>
      </c>
    </row>
    <row r="46" spans="1:46">
      <c r="A46" s="398" t="s">
        <v>57</v>
      </c>
      <c r="B46" s="73">
        <f>+'[1]Jul-1 ResPop-both sexes'!BQ44</f>
        <v>2616339</v>
      </c>
      <c r="C46" s="73">
        <f>+'[1]Jul-1 ResPop-both sexes'!BR44</f>
        <v>2638667</v>
      </c>
      <c r="D46" s="73">
        <f>+'[1]Jul-1 ResPop-both sexes'!BS44</f>
        <v>2654052</v>
      </c>
      <c r="E46" s="73">
        <f>+'[1]Jul-1 ResPop-both sexes'!BT44</f>
        <v>2693681</v>
      </c>
      <c r="F46" s="73">
        <f>+'[1]Jul-1 ResPop-both sexes'!BU44</f>
        <v>2702162</v>
      </c>
      <c r="G46" s="73">
        <f>+'[1]Jul-1 ResPop-both sexes'!BV44</f>
        <v>2713535</v>
      </c>
      <c r="H46" s="73">
        <f>+'[1]Jul-1 ResPop-both sexes'!BW44</f>
        <v>2723004</v>
      </c>
      <c r="I46" s="73">
        <f>+'[1]Jul-1 ResPop-both sexes'!BX44</f>
        <v>2734373</v>
      </c>
      <c r="J46" s="73">
        <f>+'[1]Jul-1 ResPop-both sexes'!BY44</f>
        <v>2745299</v>
      </c>
      <c r="K46" s="73">
        <f>+'[1]Jul-1 ResPop-both sexes'!BZ44</f>
        <v>2762931</v>
      </c>
      <c r="L46" s="73">
        <f>+'[1]Jul-1 ResPop-both sexes'!CA44</f>
        <v>2783785</v>
      </c>
      <c r="M46" s="73">
        <f>+'[1]Jul-1 ResPop-both sexes'!CB44</f>
        <v>2808076</v>
      </c>
      <c r="N46" s="73">
        <f>+'[1]Jul-1 ResPop-both sexes'!CC44</f>
        <v>2832704</v>
      </c>
      <c r="O46" s="73">
        <f>+'[1]Jul-1 ResPop-both sexes'!CD44</f>
        <v>2858837</v>
      </c>
      <c r="P46" s="456">
        <f>+'[1]Jul-1 ResPop-both sexes'!CE44</f>
        <v>2870386</v>
      </c>
      <c r="Q46" s="408">
        <f>('Expenditure DATA'!R44*1000000)/'Per-Capita Data'!B46</f>
        <v>4331.4623984124382</v>
      </c>
      <c r="R46" s="408">
        <f>('Expenditure DATA'!S44*1000000)/'Per-Capita Data'!C46</f>
        <v>4572.5978306470652</v>
      </c>
      <c r="S46" s="408">
        <f>('Expenditure DATA'!T44*1000000)/'Per-Capita Data'!D46</f>
        <v>4854.6641135893342</v>
      </c>
      <c r="T46" s="408">
        <f>('Expenditure DATA'!U44*1000000)/'Per-Capita Data'!E46</f>
        <v>5152.9312490974244</v>
      </c>
      <c r="U46" s="408">
        <f>('Expenditure DATA'!V44*1000000)/'Per-Capita Data'!F46</f>
        <v>5505.2861375446773</v>
      </c>
      <c r="V46" s="408">
        <f>('Expenditure DATA'!W44*1000000)/'Per-Capita Data'!G46</f>
        <v>5741.9154350321633</v>
      </c>
      <c r="W46" s="408">
        <f>('Expenditure DATA'!X44*1000000)/'Per-Capita Data'!H46</f>
        <v>5980.7484675013329</v>
      </c>
      <c r="X46" s="408">
        <f>('Expenditure DATA'!Y44*1000000)/'Per-Capita Data'!I46</f>
        <v>6142.6414757606226</v>
      </c>
      <c r="Y46" s="408">
        <f>('Expenditure DATA'!Z44*1000000)/'Per-Capita Data'!J46</f>
        <v>6551.2929557035495</v>
      </c>
      <c r="Z46" s="408">
        <f>('Expenditure DATA'!AA44*1000000)/'Per-Capita Data'!K46</f>
        <v>7013.3698597612465</v>
      </c>
      <c r="AA46" s="408">
        <f>('Expenditure DATA'!AB44*1000000)/'Per-Capita Data'!L46</f>
        <v>7505.3551190196085</v>
      </c>
      <c r="AB46" s="408">
        <f>('Expenditure DATA'!AC44*1000000)/'Per-Capita Data'!M46</f>
        <v>7964.6665546089207</v>
      </c>
      <c r="AC46" s="408">
        <f>('Expenditure DATA'!AD44*1000000)/'Per-Capita Data'!N46</f>
        <v>8094.9499135808046</v>
      </c>
      <c r="AD46" s="408">
        <f>('Expenditure DATA'!AE44*1000000)/'Per-Capita Data'!O46</f>
        <v>8035.2167682172858</v>
      </c>
      <c r="AE46" s="462">
        <f>('Expenditure DATA'!AF44*1000000)/'Per-Capita Data'!P46</f>
        <v>7996.7662885758218</v>
      </c>
      <c r="AF46" s="409">
        <f t="shared" si="1"/>
        <v>40</v>
      </c>
      <c r="AG46" s="409">
        <f t="shared" si="2"/>
        <v>40</v>
      </c>
      <c r="AH46" s="409">
        <f t="shared" si="3"/>
        <v>40</v>
      </c>
      <c r="AI46" s="409">
        <f t="shared" si="4"/>
        <v>36</v>
      </c>
      <c r="AJ46" s="409">
        <f t="shared" si="5"/>
        <v>33</v>
      </c>
      <c r="AK46" s="409">
        <f t="shared" si="6"/>
        <v>33</v>
      </c>
      <c r="AL46" s="409">
        <f t="shared" si="7"/>
        <v>34</v>
      </c>
      <c r="AM46" s="409">
        <f t="shared" si="8"/>
        <v>37</v>
      </c>
      <c r="AN46" s="409">
        <f t="shared" si="9"/>
        <v>37</v>
      </c>
      <c r="AO46" s="409">
        <f t="shared" si="10"/>
        <v>31</v>
      </c>
      <c r="AP46" s="409">
        <f t="shared" si="11"/>
        <v>31</v>
      </c>
      <c r="AQ46" s="409">
        <f t="shared" si="12"/>
        <v>23</v>
      </c>
      <c r="AR46" s="409">
        <f t="shared" si="13"/>
        <v>26</v>
      </c>
      <c r="AS46" s="409">
        <f t="shared" si="14"/>
        <v>28</v>
      </c>
      <c r="AT46" s="459">
        <f t="shared" si="16"/>
        <v>27</v>
      </c>
    </row>
    <row r="47" spans="1:46">
      <c r="A47" s="398" t="s">
        <v>60</v>
      </c>
      <c r="B47" s="73">
        <f>+'[1]Jul-1 ResPop-both sexes'!BQ45</f>
        <v>9785450</v>
      </c>
      <c r="C47" s="73">
        <f>+'[1]Jul-1 ResPop-both sexes'!BR45</f>
        <v>9820231</v>
      </c>
      <c r="D47" s="73">
        <f>+'[1]Jul-1 ResPop-both sexes'!BS45</f>
        <v>9863775</v>
      </c>
      <c r="E47" s="73">
        <f>+'[1]Jul-1 ResPop-both sexes'!BT45</f>
        <v>9952450</v>
      </c>
      <c r="F47" s="73">
        <f>+'[1]Jul-1 ResPop-both sexes'!BU45</f>
        <v>9991120</v>
      </c>
      <c r="G47" s="73">
        <f>+'[1]Jul-1 ResPop-both sexes'!BV45</f>
        <v>10015710</v>
      </c>
      <c r="H47" s="73">
        <f>+'[1]Jul-1 ResPop-both sexes'!BW45</f>
        <v>10041152</v>
      </c>
      <c r="I47" s="73">
        <f>+'[1]Jul-1 ResPop-both sexes'!BX45</f>
        <v>10055315</v>
      </c>
      <c r="J47" s="73">
        <f>+'[1]Jul-1 ResPop-both sexes'!BY45</f>
        <v>10051137</v>
      </c>
      <c r="K47" s="73">
        <f>+'[1]Jul-1 ResPop-both sexes'!BZ45</f>
        <v>10036081</v>
      </c>
      <c r="L47" s="73">
        <f>+'[1]Jul-1 ResPop-both sexes'!CA45</f>
        <v>10001284</v>
      </c>
      <c r="M47" s="73">
        <f>+'[1]Jul-1 ResPop-both sexes'!CB45</f>
        <v>9946889</v>
      </c>
      <c r="N47" s="73">
        <f>+'[1]Jul-1 ResPop-both sexes'!CC45</f>
        <v>9901591</v>
      </c>
      <c r="O47" s="73">
        <f>+'[1]Jul-1 ResPop-both sexes'!CD45</f>
        <v>9877670</v>
      </c>
      <c r="P47" s="456">
        <f>+'[1]Jul-1 ResPop-both sexes'!CE45</f>
        <v>9876801</v>
      </c>
      <c r="Q47" s="408">
        <f>('Expenditure DATA'!R45*1000000)/'Per-Capita Data'!B47</f>
        <v>4961.6547016233289</v>
      </c>
      <c r="R47" s="408">
        <f>('Expenditure DATA'!S45*1000000)/'Per-Capita Data'!C47</f>
        <v>5154.2718292471936</v>
      </c>
      <c r="S47" s="408">
        <f>('Expenditure DATA'!T45*1000000)/'Per-Capita Data'!D47</f>
        <v>5556.914670093347</v>
      </c>
      <c r="T47" s="408">
        <f>('Expenditure DATA'!U45*1000000)/'Per-Capita Data'!E47</f>
        <v>5807.3488939909266</v>
      </c>
      <c r="U47" s="408">
        <f>('Expenditure DATA'!V45*1000000)/'Per-Capita Data'!F47</f>
        <v>6083.6565870492996</v>
      </c>
      <c r="V47" s="408">
        <f>('Expenditure DATA'!W45*1000000)/'Per-Capita Data'!G47</f>
        <v>6414.1190689426912</v>
      </c>
      <c r="W47" s="408">
        <f>('Expenditure DATA'!X45*1000000)/'Per-Capita Data'!H47</f>
        <v>6742.3907137348378</v>
      </c>
      <c r="X47" s="408">
        <f>('Expenditure DATA'!Y45*1000000)/'Per-Capita Data'!I47</f>
        <v>6673.8681980624169</v>
      </c>
      <c r="Y47" s="408">
        <f>('Expenditure DATA'!Z45*1000000)/'Per-Capita Data'!J47</f>
        <v>6559.5098345590159</v>
      </c>
      <c r="Z47" s="408">
        <f>('Expenditure DATA'!AA45*1000000)/'Per-Capita Data'!K47</f>
        <v>6968.5142039009052</v>
      </c>
      <c r="AA47" s="408">
        <f>('Expenditure DATA'!AB45*1000000)/'Per-Capita Data'!L47</f>
        <v>7227.4781918001727</v>
      </c>
      <c r="AB47" s="408">
        <f>('Expenditure DATA'!AC45*1000000)/'Per-Capita Data'!M47</f>
        <v>7319.4115265587061</v>
      </c>
      <c r="AC47" s="408">
        <f>('Expenditure DATA'!AD45*1000000)/'Per-Capita Data'!N47</f>
        <v>7461.9685866645068</v>
      </c>
      <c r="AD47" s="408">
        <f>('Expenditure DATA'!AE45*1000000)/'Per-Capita Data'!O47</f>
        <v>7463.6173308077714</v>
      </c>
      <c r="AE47" s="462">
        <f>('Expenditure DATA'!AF45*1000000)/'Per-Capita Data'!P47</f>
        <v>7472.8053141902928</v>
      </c>
      <c r="AF47" s="409">
        <f t="shared" si="1"/>
        <v>20</v>
      </c>
      <c r="AG47" s="409">
        <f t="shared" si="2"/>
        <v>19</v>
      </c>
      <c r="AH47" s="409">
        <f t="shared" si="3"/>
        <v>20</v>
      </c>
      <c r="AI47" s="409">
        <f t="shared" si="4"/>
        <v>20</v>
      </c>
      <c r="AJ47" s="409">
        <f t="shared" si="5"/>
        <v>20</v>
      </c>
      <c r="AK47" s="409">
        <f t="shared" si="6"/>
        <v>19</v>
      </c>
      <c r="AL47" s="409">
        <f t="shared" si="7"/>
        <v>16</v>
      </c>
      <c r="AM47" s="409">
        <f t="shared" si="8"/>
        <v>21</v>
      </c>
      <c r="AN47" s="409">
        <f t="shared" si="9"/>
        <v>36</v>
      </c>
      <c r="AO47" s="409">
        <f t="shared" si="10"/>
        <v>33</v>
      </c>
      <c r="AP47" s="409">
        <f t="shared" si="11"/>
        <v>34</v>
      </c>
      <c r="AQ47" s="409">
        <f t="shared" si="12"/>
        <v>35</v>
      </c>
      <c r="AR47" s="409">
        <f t="shared" si="13"/>
        <v>35</v>
      </c>
      <c r="AS47" s="409">
        <f t="shared" si="14"/>
        <v>36</v>
      </c>
      <c r="AT47" s="459">
        <f t="shared" si="16"/>
        <v>36</v>
      </c>
    </row>
    <row r="48" spans="1:46">
      <c r="A48" s="398" t="s">
        <v>61</v>
      </c>
      <c r="B48" s="73">
        <f>+'[1]Jul-1 ResPop-both sexes'!BQ46</f>
        <v>4687726</v>
      </c>
      <c r="C48" s="73">
        <f>+'[1]Jul-1 ResPop-both sexes'!BR46</f>
        <v>4726411</v>
      </c>
      <c r="D48" s="73">
        <f>+'[1]Jul-1 ResPop-both sexes'!BS46</f>
        <v>4775508</v>
      </c>
      <c r="E48" s="73">
        <f>+'[1]Jul-1 ResPop-both sexes'!BT46</f>
        <v>4933692</v>
      </c>
      <c r="F48" s="73">
        <f>+'[1]Jul-1 ResPop-both sexes'!BU46</f>
        <v>4982796</v>
      </c>
      <c r="G48" s="73">
        <f>+'[1]Jul-1 ResPop-both sexes'!BV46</f>
        <v>5018935</v>
      </c>
      <c r="H48" s="73">
        <f>+'[1]Jul-1 ResPop-both sexes'!BW46</f>
        <v>5053572</v>
      </c>
      <c r="I48" s="73">
        <f>+'[1]Jul-1 ResPop-both sexes'!BX46</f>
        <v>5087713</v>
      </c>
      <c r="J48" s="73">
        <f>+'[1]Jul-1 ResPop-both sexes'!BY46</f>
        <v>5119598</v>
      </c>
      <c r="K48" s="73">
        <f>+'[1]Jul-1 ResPop-both sexes'!BZ46</f>
        <v>5163555</v>
      </c>
      <c r="L48" s="73">
        <f>+'[1]Jul-1 ResPop-both sexes'!CA46</f>
        <v>5207203</v>
      </c>
      <c r="M48" s="73">
        <f>+'[1]Jul-1 ResPop-both sexes'!CB46</f>
        <v>5247018</v>
      </c>
      <c r="N48" s="73">
        <f>+'[1]Jul-1 ResPop-both sexes'!CC46</f>
        <v>5281203</v>
      </c>
      <c r="O48" s="73">
        <f>+'[1]Jul-1 ResPop-both sexes'!CD46</f>
        <v>5310737</v>
      </c>
      <c r="P48" s="456">
        <f>+'[1]Jul-1 ResPop-both sexes'!CE46</f>
        <v>5347299</v>
      </c>
      <c r="Q48" s="408">
        <f>('Expenditure DATA'!R46*1000000)/'Per-Capita Data'!B48</f>
        <v>5763.8313331453246</v>
      </c>
      <c r="R48" s="408">
        <f>('Expenditure DATA'!S46*1000000)/'Per-Capita Data'!C48</f>
        <v>5958.0286183321759</v>
      </c>
      <c r="S48" s="408">
        <f>('Expenditure DATA'!T46*1000000)/'Per-Capita Data'!D48</f>
        <v>6526.2862087132926</v>
      </c>
      <c r="T48" s="408">
        <f>('Expenditure DATA'!U46*1000000)/'Per-Capita Data'!E48</f>
        <v>6698.7754809177386</v>
      </c>
      <c r="U48" s="408">
        <f>('Expenditure DATA'!V46*1000000)/'Per-Capita Data'!F48</f>
        <v>7010.7341340082958</v>
      </c>
      <c r="V48" s="408">
        <f>('Expenditure DATA'!W46*1000000)/'Per-Capita Data'!G48</f>
        <v>7130.0475100793283</v>
      </c>
      <c r="W48" s="408">
        <f>('Expenditure DATA'!X46*1000000)/'Per-Capita Data'!H48</f>
        <v>7249.809045957988</v>
      </c>
      <c r="X48" s="408">
        <f>('Expenditure DATA'!Y46*1000000)/'Per-Capita Data'!I48</f>
        <v>7470.698720623589</v>
      </c>
      <c r="Y48" s="408">
        <f>('Expenditure DATA'!Z46*1000000)/'Per-Capita Data'!J48</f>
        <v>7522.3712877456392</v>
      </c>
      <c r="Z48" s="408">
        <f>('Expenditure DATA'!AA46*1000000)/'Per-Capita Data'!K48</f>
        <v>7927.0411567224519</v>
      </c>
      <c r="AA48" s="408">
        <f>('Expenditure DATA'!AB46*1000000)/'Per-Capita Data'!L48</f>
        <v>8462.1072003530498</v>
      </c>
      <c r="AB48" s="408">
        <f>('Expenditure DATA'!AC46*1000000)/'Per-Capita Data'!M48</f>
        <v>8843.2526818089809</v>
      </c>
      <c r="AC48" s="408">
        <f>('Expenditure DATA'!AD46*1000000)/'Per-Capita Data'!N48</f>
        <v>8897.3862583960508</v>
      </c>
      <c r="AD48" s="408">
        <f>('Expenditure DATA'!AE46*1000000)/'Per-Capita Data'!O48</f>
        <v>8895.3943680509874</v>
      </c>
      <c r="AE48" s="462">
        <f>('Expenditure DATA'!AF46*1000000)/'Per-Capita Data'!P48</f>
        <v>9101.1101118527313</v>
      </c>
      <c r="AF48" s="409">
        <f t="shared" si="1"/>
        <v>5</v>
      </c>
      <c r="AG48" s="409">
        <f t="shared" si="2"/>
        <v>7</v>
      </c>
      <c r="AH48" s="409">
        <f t="shared" si="3"/>
        <v>6</v>
      </c>
      <c r="AI48" s="409">
        <f t="shared" si="4"/>
        <v>5</v>
      </c>
      <c r="AJ48" s="409">
        <f t="shared" si="5"/>
        <v>6</v>
      </c>
      <c r="AK48" s="409">
        <f t="shared" si="6"/>
        <v>7</v>
      </c>
      <c r="AL48" s="409">
        <f t="shared" si="7"/>
        <v>8</v>
      </c>
      <c r="AM48" s="409">
        <f t="shared" si="8"/>
        <v>12</v>
      </c>
      <c r="AN48" s="409">
        <f t="shared" si="9"/>
        <v>17</v>
      </c>
      <c r="AO48" s="409">
        <f t="shared" si="10"/>
        <v>15</v>
      </c>
      <c r="AP48" s="409">
        <f t="shared" si="11"/>
        <v>15</v>
      </c>
      <c r="AQ48" s="409">
        <f t="shared" si="12"/>
        <v>14</v>
      </c>
      <c r="AR48" s="409">
        <f t="shared" si="13"/>
        <v>15</v>
      </c>
      <c r="AS48" s="409">
        <f t="shared" si="14"/>
        <v>15</v>
      </c>
      <c r="AT48" s="459">
        <f t="shared" si="16"/>
        <v>15</v>
      </c>
    </row>
    <row r="49" spans="1:46">
      <c r="A49" s="398" t="s">
        <v>62</v>
      </c>
      <c r="B49" s="73">
        <f>+'[1]Jul-1 ResPop-both sexes'!BQ47</f>
        <v>5407113</v>
      </c>
      <c r="C49" s="73">
        <f>+'[1]Jul-1 ResPop-both sexes'!BR47</f>
        <v>5437562</v>
      </c>
      <c r="D49" s="73">
        <f>+'[1]Jul-1 ResPop-both sexes'!BS47</f>
        <v>5468338</v>
      </c>
      <c r="E49" s="73">
        <f>+'[1]Jul-1 ResPop-both sexes'!BT47</f>
        <v>5607285</v>
      </c>
      <c r="F49" s="73">
        <f>+'[1]Jul-1 ResPop-both sexes'!BU47</f>
        <v>5641142</v>
      </c>
      <c r="G49" s="73">
        <f>+'[1]Jul-1 ResPop-both sexes'!BV47</f>
        <v>5674825</v>
      </c>
      <c r="H49" s="73">
        <f>+'[1]Jul-1 ResPop-both sexes'!BW47</f>
        <v>5709403</v>
      </c>
      <c r="I49" s="73">
        <f>+'[1]Jul-1 ResPop-both sexes'!BX47</f>
        <v>5747741</v>
      </c>
      <c r="J49" s="73">
        <f>+'[1]Jul-1 ResPop-both sexes'!BY47</f>
        <v>5790300</v>
      </c>
      <c r="K49" s="73">
        <f>+'[1]Jul-1 ResPop-both sexes'!BZ47</f>
        <v>5842704</v>
      </c>
      <c r="L49" s="73">
        <f>+'[1]Jul-1 ResPop-both sexes'!CA47</f>
        <v>5887612</v>
      </c>
      <c r="M49" s="73">
        <f>+'[1]Jul-1 ResPop-both sexes'!CB47</f>
        <v>5923916</v>
      </c>
      <c r="N49" s="73">
        <f>+'[1]Jul-1 ResPop-both sexes'!CC47</f>
        <v>5961088</v>
      </c>
      <c r="O49" s="73">
        <f>+'[1]Jul-1 ResPop-both sexes'!CD47</f>
        <v>5996092</v>
      </c>
      <c r="P49" s="456">
        <f>+'[1]Jul-1 ResPop-both sexes'!CE47</f>
        <v>6008984</v>
      </c>
      <c r="Q49" s="408">
        <f>('Expenditure DATA'!R47*1000000)/'Per-Capita Data'!B49</f>
        <v>4053.5805336415201</v>
      </c>
      <c r="R49" s="408">
        <f>('Expenditure DATA'!S47*1000000)/'Per-Capita Data'!C49</f>
        <v>4391.7777857061674</v>
      </c>
      <c r="S49" s="408">
        <f>('Expenditure DATA'!T47*1000000)/'Per-Capita Data'!D49</f>
        <v>4538.9557119548936</v>
      </c>
      <c r="T49" s="408">
        <f>('Expenditure DATA'!U47*1000000)/'Per-Capita Data'!E49</f>
        <v>4803.4672751607959</v>
      </c>
      <c r="U49" s="408">
        <f>('Expenditure DATA'!V47*1000000)/'Per-Capita Data'!F49</f>
        <v>5149.3608918194222</v>
      </c>
      <c r="V49" s="408">
        <f>('Expenditure DATA'!W47*1000000)/'Per-Capita Data'!G49</f>
        <v>5292.8797804337582</v>
      </c>
      <c r="W49" s="408">
        <f>('Expenditure DATA'!X47*1000000)/'Per-Capita Data'!H49</f>
        <v>5433.853066599082</v>
      </c>
      <c r="X49" s="408">
        <f>('Expenditure DATA'!Y47*1000000)/'Per-Capita Data'!I49</f>
        <v>5675.0003175160464</v>
      </c>
      <c r="Y49" s="408">
        <f>('Expenditure DATA'!Z47*1000000)/'Per-Capita Data'!J49</f>
        <v>6329.1110995976032</v>
      </c>
      <c r="Z49" s="408">
        <f>('Expenditure DATA'!AA47*1000000)/'Per-Capita Data'!K49</f>
        <v>6271.951651153302</v>
      </c>
      <c r="AA49" s="408">
        <f>('Expenditure DATA'!AB47*1000000)/'Per-Capita Data'!L49</f>
        <v>6668.3120423017008</v>
      </c>
      <c r="AB49" s="408">
        <f>('Expenditure DATA'!AC47*1000000)/'Per-Capita Data'!M49</f>
        <v>6868.5156913095998</v>
      </c>
      <c r="AC49" s="408">
        <f>('Expenditure DATA'!AD47*1000000)/'Per-Capita Data'!N49</f>
        <v>7031.0424875458975</v>
      </c>
      <c r="AD49" s="408">
        <f>('Expenditure DATA'!AE47*1000000)/'Per-Capita Data'!O49</f>
        <v>6932.0844309927197</v>
      </c>
      <c r="AE49" s="462">
        <f>('Expenditure DATA'!AF47*1000000)/'Per-Capita Data'!P49</f>
        <v>7139.5715149183288</v>
      </c>
      <c r="AF49" s="409">
        <f t="shared" si="1"/>
        <v>49</v>
      </c>
      <c r="AG49" s="409">
        <f t="shared" si="2"/>
        <v>48</v>
      </c>
      <c r="AH49" s="409">
        <f t="shared" si="3"/>
        <v>49</v>
      </c>
      <c r="AI49" s="409">
        <f t="shared" si="4"/>
        <v>47</v>
      </c>
      <c r="AJ49" s="409">
        <f t="shared" si="5"/>
        <v>46</v>
      </c>
      <c r="AK49" s="409">
        <f t="shared" si="6"/>
        <v>46</v>
      </c>
      <c r="AL49" s="409">
        <f t="shared" si="7"/>
        <v>47</v>
      </c>
      <c r="AM49" s="409">
        <f t="shared" si="8"/>
        <v>48</v>
      </c>
      <c r="AN49" s="409">
        <f t="shared" si="9"/>
        <v>45</v>
      </c>
      <c r="AO49" s="409">
        <f t="shared" si="10"/>
        <v>48</v>
      </c>
      <c r="AP49" s="409">
        <f t="shared" si="11"/>
        <v>46</v>
      </c>
      <c r="AQ49" s="409">
        <f t="shared" si="12"/>
        <v>47</v>
      </c>
      <c r="AR49" s="409">
        <f t="shared" si="13"/>
        <v>43</v>
      </c>
      <c r="AS49" s="409">
        <f t="shared" si="14"/>
        <v>45</v>
      </c>
      <c r="AT49" s="459">
        <f t="shared" si="16"/>
        <v>43</v>
      </c>
    </row>
    <row r="50" spans="1:46">
      <c r="A50" s="398" t="s">
        <v>64</v>
      </c>
      <c r="B50" s="73">
        <f>+'[1]Jul-1 ResPop-both sexes'!BQ48</f>
        <v>1656042</v>
      </c>
      <c r="C50" s="73">
        <f>+'[1]Jul-1 ResPop-both sexes'!BR48</f>
        <v>1660772</v>
      </c>
      <c r="D50" s="73">
        <f>+'[1]Jul-1 ResPop-both sexes'!BS48</f>
        <v>1666028</v>
      </c>
      <c r="E50" s="73">
        <f>+'[1]Jul-1 ResPop-both sexes'!BT48</f>
        <v>1713820</v>
      </c>
      <c r="F50" s="73">
        <f>+'[1]Jul-1 ResPop-both sexes'!BU48</f>
        <v>1719836</v>
      </c>
      <c r="G50" s="73">
        <f>+'[1]Jul-1 ResPop-both sexes'!BV48</f>
        <v>1728292</v>
      </c>
      <c r="H50" s="73">
        <f>+'[1]Jul-1 ResPop-both sexes'!BW48</f>
        <v>1738643</v>
      </c>
      <c r="I50" s="73">
        <f>+'[1]Jul-1 ResPop-both sexes'!BX48</f>
        <v>1749370</v>
      </c>
      <c r="J50" s="73">
        <f>+'[1]Jul-1 ResPop-both sexes'!BY48</f>
        <v>1761497</v>
      </c>
      <c r="K50" s="73">
        <f>+'[1]Jul-1 ResPop-both sexes'!BZ48</f>
        <v>1772693</v>
      </c>
      <c r="L50" s="73">
        <f>+'[1]Jul-1 ResPop-both sexes'!CA48</f>
        <v>1783440</v>
      </c>
      <c r="M50" s="73">
        <f>+'[1]Jul-1 ResPop-both sexes'!CB48</f>
        <v>1796378</v>
      </c>
      <c r="N50" s="73">
        <f>+'[1]Jul-1 ResPop-both sexes'!CC48</f>
        <v>1812683</v>
      </c>
      <c r="O50" s="73">
        <f>+'[1]Jul-1 ResPop-both sexes'!CD48</f>
        <v>1829696</v>
      </c>
      <c r="P50" s="456">
        <f>+'[1]Jul-1 ResPop-both sexes'!CE48</f>
        <v>1842234</v>
      </c>
      <c r="Q50" s="408">
        <f>('Expenditure DATA'!R48*1000000)/'Per-Capita Data'!B50</f>
        <v>4480.013188071317</v>
      </c>
      <c r="R50" s="408">
        <f>('Expenditure DATA'!S48*1000000)/'Per-Capita Data'!C50</f>
        <v>4651.8444434275143</v>
      </c>
      <c r="S50" s="408">
        <f>('Expenditure DATA'!T48*1000000)/'Per-Capita Data'!D50</f>
        <v>5052.3034426792346</v>
      </c>
      <c r="T50" s="408">
        <f>('Expenditure DATA'!U48*1000000)/'Per-Capita Data'!E50</f>
        <v>5302.9810598545937</v>
      </c>
      <c r="U50" s="408">
        <f>('Expenditure DATA'!V48*1000000)/'Per-Capita Data'!F50</f>
        <v>5674.6288599610662</v>
      </c>
      <c r="V50" s="408">
        <f>('Expenditure DATA'!W48*1000000)/'Per-Capita Data'!G50</f>
        <v>5946.0753738372914</v>
      </c>
      <c r="W50" s="408">
        <f>('Expenditure DATA'!X48*1000000)/'Per-Capita Data'!H50</f>
        <v>6208.1048265802701</v>
      </c>
      <c r="X50" s="408">
        <f>('Expenditure DATA'!Y48*1000000)/'Per-Capita Data'!I50</f>
        <v>6279.9682171295954</v>
      </c>
      <c r="Y50" s="408">
        <f>('Expenditure DATA'!Z48*1000000)/'Per-Capita Data'!J50</f>
        <v>7125.2627736521836</v>
      </c>
      <c r="Z50" s="408">
        <f>('Expenditure DATA'!AA48*1000000)/'Per-Capita Data'!K50</f>
        <v>7072.4818115714343</v>
      </c>
      <c r="AA50" s="408">
        <f>('Expenditure DATA'!AB48*1000000)/'Per-Capita Data'!L50</f>
        <v>7707.893172744808</v>
      </c>
      <c r="AB50" s="408">
        <f>('Expenditure DATA'!AC48*1000000)/'Per-Capita Data'!M50</f>
        <v>7732.3141343303023</v>
      </c>
      <c r="AC50" s="408">
        <f>('Expenditure DATA'!AD48*1000000)/'Per-Capita Data'!N50</f>
        <v>8087.693214974709</v>
      </c>
      <c r="AD50" s="408">
        <f>('Expenditure DATA'!AE48*1000000)/'Per-Capita Data'!O50</f>
        <v>7963.4709809717024</v>
      </c>
      <c r="AE50" s="462">
        <f>('Expenditure DATA'!AF48*1000000)/'Per-Capita Data'!P50</f>
        <v>8093.7562763470869</v>
      </c>
      <c r="AF50" s="409">
        <f t="shared" si="1"/>
        <v>34</v>
      </c>
      <c r="AG50" s="409">
        <f t="shared" si="2"/>
        <v>37</v>
      </c>
      <c r="AH50" s="409">
        <f t="shared" si="3"/>
        <v>34</v>
      </c>
      <c r="AI50" s="409">
        <f t="shared" si="4"/>
        <v>30</v>
      </c>
      <c r="AJ50" s="409">
        <f t="shared" si="5"/>
        <v>28</v>
      </c>
      <c r="AK50" s="409">
        <f t="shared" si="6"/>
        <v>28</v>
      </c>
      <c r="AL50" s="409">
        <f t="shared" si="7"/>
        <v>26</v>
      </c>
      <c r="AM50" s="409">
        <f t="shared" si="8"/>
        <v>31</v>
      </c>
      <c r="AN50" s="409">
        <f t="shared" si="9"/>
        <v>23</v>
      </c>
      <c r="AO50" s="409">
        <f t="shared" si="10"/>
        <v>30</v>
      </c>
      <c r="AP50" s="409">
        <f t="shared" si="11"/>
        <v>20</v>
      </c>
      <c r="AQ50" s="409">
        <f t="shared" si="12"/>
        <v>27</v>
      </c>
      <c r="AR50" s="409">
        <f t="shared" si="13"/>
        <v>28</v>
      </c>
      <c r="AS50" s="409">
        <f t="shared" si="14"/>
        <v>30</v>
      </c>
      <c r="AT50" s="459">
        <f t="shared" si="16"/>
        <v>26</v>
      </c>
    </row>
    <row r="51" spans="1:46">
      <c r="A51" s="398" t="s">
        <v>70</v>
      </c>
      <c r="B51" s="73">
        <f>+'[1]Jul-1 ResPop-both sexes'!BQ49</f>
        <v>640945</v>
      </c>
      <c r="C51" s="73">
        <f>+'[1]Jul-1 ResPop-both sexes'!BR49</f>
        <v>637808</v>
      </c>
      <c r="D51" s="73">
        <f>+'[1]Jul-1 ResPop-both sexes'!BS49</f>
        <v>633666</v>
      </c>
      <c r="E51" s="73">
        <f>+'[1]Jul-1 ResPop-both sexes'!BT49</f>
        <v>642023</v>
      </c>
      <c r="F51" s="73">
        <f>+'[1]Jul-1 ResPop-both sexes'!BU49</f>
        <v>639062</v>
      </c>
      <c r="G51" s="73">
        <f>+'[1]Jul-1 ResPop-both sexes'!BV49</f>
        <v>638168</v>
      </c>
      <c r="H51" s="73">
        <f>+'[1]Jul-1 ResPop-both sexes'!BW49</f>
        <v>638817</v>
      </c>
      <c r="I51" s="73">
        <f>+'[1]Jul-1 ResPop-both sexes'!BX49</f>
        <v>644705</v>
      </c>
      <c r="J51" s="73">
        <f>+'[1]Jul-1 ResPop-both sexes'!BY49</f>
        <v>646089</v>
      </c>
      <c r="K51" s="73">
        <f>+'[1]Jul-1 ResPop-both sexes'!BZ49</f>
        <v>649422</v>
      </c>
      <c r="L51" s="73">
        <f>+'[1]Jul-1 ResPop-both sexes'!CA49</f>
        <v>652822</v>
      </c>
      <c r="M51" s="73">
        <f>+'[1]Jul-1 ResPop-both sexes'!CB49</f>
        <v>657569</v>
      </c>
      <c r="N51" s="73">
        <f>+'[1]Jul-1 ResPop-both sexes'!CC49</f>
        <v>664968</v>
      </c>
      <c r="O51" s="73">
        <f>+'[1]Jul-1 ResPop-both sexes'!CD49</f>
        <v>674363</v>
      </c>
      <c r="P51" s="456">
        <f>+'[1]Jul-1 ResPop-both sexes'!CE49</f>
        <v>684740</v>
      </c>
      <c r="Q51" s="408">
        <f>('Expenditure DATA'!R49*1000000)/'Per-Capita Data'!B51</f>
        <v>5096.1580166784979</v>
      </c>
      <c r="R51" s="408">
        <f>('Expenditure DATA'!S49*1000000)/'Per-Capita Data'!C51</f>
        <v>5466.921079697966</v>
      </c>
      <c r="S51" s="408">
        <f>('Expenditure DATA'!T49*1000000)/'Per-Capita Data'!D51</f>
        <v>5797.5068884869943</v>
      </c>
      <c r="T51" s="408">
        <f>('Expenditure DATA'!U49*1000000)/'Per-Capita Data'!E51</f>
        <v>5887.5133756890327</v>
      </c>
      <c r="U51" s="408">
        <f>('Expenditure DATA'!V49*1000000)/'Per-Capita Data'!F51</f>
        <v>6081.0296966491514</v>
      </c>
      <c r="V51" s="408">
        <f>('Expenditure DATA'!W49*1000000)/'Per-Capita Data'!G51</f>
        <v>6301.9659400032588</v>
      </c>
      <c r="W51" s="408">
        <f>('Expenditure DATA'!X49*1000000)/'Per-Capita Data'!H51</f>
        <v>6507.7651346160164</v>
      </c>
      <c r="X51" s="408">
        <f>('Expenditure DATA'!Y49*1000000)/'Per-Capita Data'!I51</f>
        <v>6746.4111492853317</v>
      </c>
      <c r="Y51" s="408">
        <f>('Expenditure DATA'!Z49*1000000)/'Per-Capita Data'!J51</f>
        <v>7334.3966543309052</v>
      </c>
      <c r="Z51" s="408">
        <f>('Expenditure DATA'!AA49*1000000)/'Per-Capita Data'!K51</f>
        <v>7294.7852090012348</v>
      </c>
      <c r="AA51" s="408">
        <f>('Expenditure DATA'!AB49*1000000)/'Per-Capita Data'!L51</f>
        <v>7841.4284445070789</v>
      </c>
      <c r="AB51" s="408">
        <f>('Expenditure DATA'!AC49*1000000)/'Per-Capita Data'!M51</f>
        <v>8222.7994324549963</v>
      </c>
      <c r="AC51" s="408">
        <f>('Expenditure DATA'!AD49*1000000)/'Per-Capita Data'!N51</f>
        <v>9029.2269703203765</v>
      </c>
      <c r="AD51" s="408">
        <f>('Expenditure DATA'!AE49*1000000)/'Per-Capita Data'!O51</f>
        <v>9529.4759647252304</v>
      </c>
      <c r="AE51" s="462">
        <f>('Expenditure DATA'!AF49*1000000)/'Per-Capita Data'!P51</f>
        <v>10529.227151911675</v>
      </c>
      <c r="AF51" s="409">
        <f t="shared" si="1"/>
        <v>16</v>
      </c>
      <c r="AG51" s="409">
        <f t="shared" si="2"/>
        <v>14</v>
      </c>
      <c r="AH51" s="409">
        <f t="shared" si="3"/>
        <v>17</v>
      </c>
      <c r="AI51" s="409">
        <f t="shared" si="4"/>
        <v>18</v>
      </c>
      <c r="AJ51" s="409">
        <f t="shared" si="5"/>
        <v>21</v>
      </c>
      <c r="AK51" s="409">
        <f t="shared" si="6"/>
        <v>20</v>
      </c>
      <c r="AL51" s="409">
        <f t="shared" si="7"/>
        <v>20</v>
      </c>
      <c r="AM51" s="409">
        <f t="shared" si="8"/>
        <v>20</v>
      </c>
      <c r="AN51" s="409">
        <f t="shared" si="9"/>
        <v>19</v>
      </c>
      <c r="AO51" s="409">
        <f t="shared" si="10"/>
        <v>22</v>
      </c>
      <c r="AP51" s="409">
        <f t="shared" si="11"/>
        <v>18</v>
      </c>
      <c r="AQ51" s="409">
        <f t="shared" si="12"/>
        <v>19</v>
      </c>
      <c r="AR51" s="409">
        <f t="shared" si="13"/>
        <v>13</v>
      </c>
      <c r="AS51" s="409">
        <f t="shared" si="14"/>
        <v>8</v>
      </c>
      <c r="AT51" s="459">
        <f t="shared" si="16"/>
        <v>5</v>
      </c>
    </row>
    <row r="52" spans="1:46">
      <c r="A52" s="398" t="s">
        <v>71</v>
      </c>
      <c r="B52" s="73">
        <f>+'[1]Jul-1 ResPop-both sexes'!BQ50</f>
        <v>11212498</v>
      </c>
      <c r="C52" s="73">
        <f>+'[1]Jul-1 ResPop-both sexes'!BR50</f>
        <v>11237752</v>
      </c>
      <c r="D52" s="73">
        <f>+'[1]Jul-1 ResPop-both sexes'!BS50</f>
        <v>11256654</v>
      </c>
      <c r="E52" s="73">
        <f>+'[1]Jul-1 ResPop-both sexes'!BT50</f>
        <v>11363543</v>
      </c>
      <c r="F52" s="73">
        <f>+'[1]Jul-1 ResPop-both sexes'!BU50</f>
        <v>11387404</v>
      </c>
      <c r="G52" s="73">
        <f>+'[1]Jul-1 ResPop-both sexes'!BV50</f>
        <v>11407889</v>
      </c>
      <c r="H52" s="73">
        <f>+'[1]Jul-1 ResPop-both sexes'!BW50</f>
        <v>11434788</v>
      </c>
      <c r="I52" s="73">
        <f>+'[1]Jul-1 ResPop-both sexes'!BX50</f>
        <v>11452251</v>
      </c>
      <c r="J52" s="73">
        <f>+'[1]Jul-1 ResPop-both sexes'!BY50</f>
        <v>11463320</v>
      </c>
      <c r="K52" s="73">
        <f>+'[1]Jul-1 ResPop-both sexes'!BZ50</f>
        <v>11481213</v>
      </c>
      <c r="L52" s="73">
        <f>+'[1]Jul-1 ResPop-both sexes'!CA50</f>
        <v>11500468</v>
      </c>
      <c r="M52" s="73">
        <f>+'[1]Jul-1 ResPop-both sexes'!CB50</f>
        <v>11515391</v>
      </c>
      <c r="N52" s="73">
        <f>+'[1]Jul-1 ResPop-both sexes'!CC50</f>
        <v>11528896</v>
      </c>
      <c r="O52" s="73">
        <f>+'[1]Jul-1 ResPop-both sexes'!CD50</f>
        <v>11538290</v>
      </c>
      <c r="P52" s="456">
        <f>+'[1]Jul-1 ResPop-both sexes'!CE50</f>
        <v>11541007</v>
      </c>
      <c r="Q52" s="408">
        <f>('Expenditure DATA'!R50*1000000)/'Per-Capita Data'!B52</f>
        <v>4510.7068915419204</v>
      </c>
      <c r="R52" s="408">
        <f>('Expenditure DATA'!S50*1000000)/'Per-Capita Data'!C52</f>
        <v>4730.0634504125028</v>
      </c>
      <c r="S52" s="408">
        <f>('Expenditure DATA'!T50*1000000)/'Per-Capita Data'!D52</f>
        <v>5121.4032162665744</v>
      </c>
      <c r="T52" s="408">
        <f>('Expenditure DATA'!U50*1000000)/'Per-Capita Data'!E52</f>
        <v>5486.8496999571353</v>
      </c>
      <c r="U52" s="408">
        <f>('Expenditure DATA'!V50*1000000)/'Per-Capita Data'!F52</f>
        <v>5888.1059282695151</v>
      </c>
      <c r="V52" s="408">
        <f>('Expenditure DATA'!W50*1000000)/'Per-Capita Data'!G52</f>
        <v>6201.6749987662033</v>
      </c>
      <c r="W52" s="408">
        <f>('Expenditure DATA'!X50*1000000)/'Per-Capita Data'!H52</f>
        <v>6510.4660444950969</v>
      </c>
      <c r="X52" s="408">
        <f>('Expenditure DATA'!Y50*1000000)/'Per-Capita Data'!I52</f>
        <v>6805.0781457723897</v>
      </c>
      <c r="Y52" s="408">
        <f>('Expenditure DATA'!Z50*1000000)/'Per-Capita Data'!J52</f>
        <v>7396.9972922329653</v>
      </c>
      <c r="Z52" s="408">
        <f>('Expenditure DATA'!AA50*1000000)/'Per-Capita Data'!K52</f>
        <v>7378.8414168433246</v>
      </c>
      <c r="AA52" s="408">
        <f>('Expenditure DATA'!AB50*1000000)/'Per-Capita Data'!L52</f>
        <v>7517.0155684099118</v>
      </c>
      <c r="AB52" s="408">
        <f>('Expenditure DATA'!AC50*1000000)/'Per-Capita Data'!M52</f>
        <v>7679.5053680765159</v>
      </c>
      <c r="AC52" s="408">
        <f>('Expenditure DATA'!AD50*1000000)/'Per-Capita Data'!N52</f>
        <v>7854.7926878688122</v>
      </c>
      <c r="AD52" s="408">
        <f>('Expenditure DATA'!AE50*1000000)/'Per-Capita Data'!O52</f>
        <v>8172.232193851949</v>
      </c>
      <c r="AE52" s="462">
        <f>('Expenditure DATA'!AF50*1000000)/'Per-Capita Data'!P52</f>
        <v>7922.6713925396634</v>
      </c>
      <c r="AF52" s="409">
        <f t="shared" si="1"/>
        <v>32</v>
      </c>
      <c r="AG52" s="409">
        <f t="shared" si="2"/>
        <v>34</v>
      </c>
      <c r="AH52" s="409">
        <f t="shared" si="3"/>
        <v>31</v>
      </c>
      <c r="AI52" s="409">
        <f t="shared" si="4"/>
        <v>26</v>
      </c>
      <c r="AJ52" s="409">
        <f t="shared" si="5"/>
        <v>25</v>
      </c>
      <c r="AK52" s="409">
        <f t="shared" si="6"/>
        <v>22</v>
      </c>
      <c r="AL52" s="409">
        <f t="shared" si="7"/>
        <v>19</v>
      </c>
      <c r="AM52" s="409">
        <f t="shared" si="8"/>
        <v>19</v>
      </c>
      <c r="AN52" s="409">
        <f t="shared" si="9"/>
        <v>18</v>
      </c>
      <c r="AO52" s="409">
        <f t="shared" si="10"/>
        <v>20</v>
      </c>
      <c r="AP52" s="409">
        <f t="shared" si="11"/>
        <v>30</v>
      </c>
      <c r="AQ52" s="409">
        <f t="shared" si="12"/>
        <v>28</v>
      </c>
      <c r="AR52" s="409">
        <f t="shared" si="13"/>
        <v>30</v>
      </c>
      <c r="AS52" s="409">
        <f t="shared" si="14"/>
        <v>26</v>
      </c>
      <c r="AT52" s="459">
        <f t="shared" si="16"/>
        <v>29</v>
      </c>
    </row>
    <row r="53" spans="1:46">
      <c r="A53" s="398" t="s">
        <v>75</v>
      </c>
      <c r="B53" s="73">
        <f>+'[1]Jul-1 ResPop-both sexes'!BQ51</f>
        <v>730855</v>
      </c>
      <c r="C53" s="73">
        <f>+'[1]Jul-1 ResPop-both sexes'!BR51</f>
        <v>730789</v>
      </c>
      <c r="D53" s="73">
        <f>+'[1]Jul-1 ResPop-both sexes'!BS51</f>
        <v>733133</v>
      </c>
      <c r="E53" s="73">
        <f>+'[1]Jul-1 ResPop-both sexes'!BT51</f>
        <v>755844</v>
      </c>
      <c r="F53" s="73">
        <f>+'[1]Jul-1 ResPop-both sexes'!BU51</f>
        <v>757972</v>
      </c>
      <c r="G53" s="73">
        <f>+'[1]Jul-1 ResPop-both sexes'!BV51</f>
        <v>760020</v>
      </c>
      <c r="H53" s="73">
        <f>+'[1]Jul-1 ResPop-both sexes'!BW51</f>
        <v>763729</v>
      </c>
      <c r="I53" s="73">
        <f>+'[1]Jul-1 ResPop-both sexes'!BX51</f>
        <v>770396</v>
      </c>
      <c r="J53" s="73">
        <f>+'[1]Jul-1 ResPop-both sexes'!BY51</f>
        <v>775493</v>
      </c>
      <c r="K53" s="73">
        <f>+'[1]Jul-1 ResPop-both sexes'!BZ51</f>
        <v>783033</v>
      </c>
      <c r="L53" s="73">
        <f>+'[1]Jul-1 ResPop-both sexes'!CA51</f>
        <v>791623</v>
      </c>
      <c r="M53" s="73">
        <f>+'[1]Jul-1 ResPop-both sexes'!CB51</f>
        <v>799124</v>
      </c>
      <c r="N53" s="73">
        <f>+'[1]Jul-1 ResPop-both sexes'!CC51</f>
        <v>807067</v>
      </c>
      <c r="O53" s="73">
        <f>+'[1]Jul-1 ResPop-both sexes'!CD51</f>
        <v>816223</v>
      </c>
      <c r="P53" s="456">
        <f>+'[1]Jul-1 ResPop-both sexes'!CE51</f>
        <v>823593</v>
      </c>
      <c r="Q53" s="408">
        <f>('Expenditure DATA'!R51*1000000)/'Per-Capita Data'!B53</f>
        <v>4287.1404040473144</v>
      </c>
      <c r="R53" s="408">
        <f>('Expenditure DATA'!S51*1000000)/'Per-Capita Data'!C53</f>
        <v>4441.0028065556544</v>
      </c>
      <c r="S53" s="408">
        <f>('Expenditure DATA'!T51*1000000)/'Per-Capita Data'!D53</f>
        <v>4697.0085918926034</v>
      </c>
      <c r="T53" s="408">
        <f>('Expenditure DATA'!U51*1000000)/'Per-Capita Data'!E53</f>
        <v>4847.6987314842754</v>
      </c>
      <c r="U53" s="408">
        <f>('Expenditure DATA'!V51*1000000)/'Per-Capita Data'!F53</f>
        <v>5125.0916920413947</v>
      </c>
      <c r="V53" s="408">
        <f>('Expenditure DATA'!W51*1000000)/'Per-Capita Data'!G53</f>
        <v>5274.1947580326823</v>
      </c>
      <c r="W53" s="408">
        <f>('Expenditure DATA'!X51*1000000)/'Per-Capita Data'!H53</f>
        <v>5410.7032730196179</v>
      </c>
      <c r="X53" s="408">
        <f>('Expenditure DATA'!Y51*1000000)/'Per-Capita Data'!I53</f>
        <v>5771.0138681924618</v>
      </c>
      <c r="Y53" s="408">
        <f>('Expenditure DATA'!Z51*1000000)/'Per-Capita Data'!J53</f>
        <v>6436.5764745781071</v>
      </c>
      <c r="Z53" s="408">
        <f>('Expenditure DATA'!AA51*1000000)/'Per-Capita Data'!K53</f>
        <v>6331.339803047892</v>
      </c>
      <c r="AA53" s="408">
        <f>('Expenditure DATA'!AB51*1000000)/'Per-Capita Data'!L53</f>
        <v>6597.7239165612928</v>
      </c>
      <c r="AB53" s="408">
        <f>('Expenditure DATA'!AC51*1000000)/'Per-Capita Data'!M53</f>
        <v>7145.6269615228675</v>
      </c>
      <c r="AC53" s="408">
        <f>('Expenditure DATA'!AD51*1000000)/'Per-Capita Data'!N53</f>
        <v>7467.8434380293083</v>
      </c>
      <c r="AD53" s="408">
        <f>('Expenditure DATA'!AE51*1000000)/'Per-Capita Data'!O53</f>
        <v>7553.5950346902746</v>
      </c>
      <c r="AE53" s="462">
        <f>('Expenditure DATA'!AF51*1000000)/'Per-Capita Data'!P53</f>
        <v>7407.8361520799717</v>
      </c>
      <c r="AF53" s="409">
        <f t="shared" si="1"/>
        <v>42</v>
      </c>
      <c r="AG53" s="409">
        <f t="shared" si="2"/>
        <v>46</v>
      </c>
      <c r="AH53" s="409">
        <f t="shared" si="3"/>
        <v>46</v>
      </c>
      <c r="AI53" s="409">
        <f t="shared" si="4"/>
        <v>45</v>
      </c>
      <c r="AJ53" s="409">
        <f t="shared" si="5"/>
        <v>47</v>
      </c>
      <c r="AK53" s="409">
        <f t="shared" si="6"/>
        <v>47</v>
      </c>
      <c r="AL53" s="409">
        <f t="shared" si="7"/>
        <v>48</v>
      </c>
      <c r="AM53" s="409">
        <f t="shared" si="8"/>
        <v>46</v>
      </c>
      <c r="AN53" s="409">
        <f t="shared" si="9"/>
        <v>41</v>
      </c>
      <c r="AO53" s="409">
        <f t="shared" si="10"/>
        <v>45</v>
      </c>
      <c r="AP53" s="409">
        <f t="shared" si="11"/>
        <v>48</v>
      </c>
      <c r="AQ53" s="409">
        <f t="shared" si="12"/>
        <v>37</v>
      </c>
      <c r="AR53" s="409">
        <f t="shared" si="13"/>
        <v>34</v>
      </c>
      <c r="AS53" s="409">
        <f t="shared" si="14"/>
        <v>35</v>
      </c>
      <c r="AT53" s="459">
        <f t="shared" si="16"/>
        <v>37</v>
      </c>
    </row>
    <row r="54" spans="1:46">
      <c r="A54" s="399" t="s">
        <v>79</v>
      </c>
      <c r="B54" s="112">
        <f>+'[1]Jul-1 ResPop-both sexes'!BQ52</f>
        <v>5200235</v>
      </c>
      <c r="C54" s="112">
        <f>+'[1]Jul-1 ResPop-both sexes'!BR52</f>
        <v>5222124</v>
      </c>
      <c r="D54" s="112">
        <f>+'[1]Jul-1 ResPop-both sexes'!BS52</f>
        <v>5250446</v>
      </c>
      <c r="E54" s="112">
        <f>+'[1]Jul-1 ResPop-both sexes'!BT52</f>
        <v>5373999</v>
      </c>
      <c r="F54" s="112">
        <f>+'[1]Jul-1 ResPop-both sexes'!BU52</f>
        <v>5406835</v>
      </c>
      <c r="G54" s="112">
        <f>+'[1]Jul-1 ResPop-both sexes'!BV52</f>
        <v>5445162</v>
      </c>
      <c r="H54" s="112">
        <f>+'[1]Jul-1 ResPop-both sexes'!BW52</f>
        <v>5479203</v>
      </c>
      <c r="I54" s="112">
        <f>+'[1]Jul-1 ResPop-both sexes'!BX52</f>
        <v>5514026</v>
      </c>
      <c r="J54" s="112">
        <f>+'[1]Jul-1 ResPop-both sexes'!BY52</f>
        <v>5546166</v>
      </c>
      <c r="K54" s="112">
        <f>+'[1]Jul-1 ResPop-both sexes'!BZ52</f>
        <v>5577655</v>
      </c>
      <c r="L54" s="112">
        <f>+'[1]Jul-1 ResPop-both sexes'!CA52</f>
        <v>5610775</v>
      </c>
      <c r="M54" s="112">
        <f>+'[1]Jul-1 ResPop-both sexes'!CB52</f>
        <v>5640996</v>
      </c>
      <c r="N54" s="112">
        <f>+'[1]Jul-1 ResPop-both sexes'!CC52</f>
        <v>5669264</v>
      </c>
      <c r="O54" s="112">
        <f>+'[1]Jul-1 ResPop-both sexes'!CD52</f>
        <v>5689591</v>
      </c>
      <c r="P54" s="457">
        <f>+'[1]Jul-1 ResPop-both sexes'!CE52</f>
        <v>5709843</v>
      </c>
      <c r="Q54" s="410">
        <f>('Expenditure DATA'!R52*1000000)/'Per-Capita Data'!B54</f>
        <v>5053.5089279619096</v>
      </c>
      <c r="R54" s="410">
        <f>('Expenditure DATA'!S52*1000000)/'Per-Capita Data'!C54</f>
        <v>5403.1773278459113</v>
      </c>
      <c r="S54" s="410">
        <f>('Expenditure DATA'!T52*1000000)/'Per-Capita Data'!D54</f>
        <v>5878.2676747841997</v>
      </c>
      <c r="T54" s="410">
        <f>('Expenditure DATA'!U52*1000000)/'Per-Capita Data'!E54</f>
        <v>6035.2569846030856</v>
      </c>
      <c r="U54" s="410">
        <f>('Expenditure DATA'!V52*1000000)/'Per-Capita Data'!F54</f>
        <v>6288.9662806429269</v>
      </c>
      <c r="V54" s="410">
        <f>('Expenditure DATA'!W52*1000000)/'Per-Capita Data'!G54</f>
        <v>6493.584763869284</v>
      </c>
      <c r="W54" s="410">
        <f>('Expenditure DATA'!X52*1000000)/'Per-Capita Data'!H54</f>
        <v>6700.5801756204328</v>
      </c>
      <c r="X54" s="410">
        <f>('Expenditure DATA'!Y52*1000000)/'Per-Capita Data'!I54</f>
        <v>6841.4135152790359</v>
      </c>
      <c r="Y54" s="410">
        <f>('Expenditure DATA'!Z52*1000000)/'Per-Capita Data'!J54</f>
        <v>7285.5733131680518</v>
      </c>
      <c r="Z54" s="410">
        <f>('Expenditure DATA'!AA52*1000000)/'Per-Capita Data'!K54</f>
        <v>7259.1687725397142</v>
      </c>
      <c r="AA54" s="410">
        <f>('Expenditure DATA'!AB52*1000000)/'Per-Capita Data'!L54</f>
        <v>7563.9675445905423</v>
      </c>
      <c r="AB54" s="410">
        <f>('Expenditure DATA'!AC52*1000000)/'Per-Capita Data'!M54</f>
        <v>7981.4734844697641</v>
      </c>
      <c r="AC54" s="410">
        <f>('Expenditure DATA'!AD52*1000000)/'Per-Capita Data'!N54</f>
        <v>8122.5929856150642</v>
      </c>
      <c r="AD54" s="410">
        <f>('Expenditure DATA'!AE52*1000000)/'Per-Capita Data'!O54</f>
        <v>8386.1173852391148</v>
      </c>
      <c r="AE54" s="463">
        <f>('Expenditure DATA'!AF52*1000000)/'Per-Capita Data'!P54</f>
        <v>8277.7941530091102</v>
      </c>
      <c r="AF54" s="411">
        <f t="shared" si="1"/>
        <v>18</v>
      </c>
      <c r="AG54" s="411">
        <f t="shared" si="2"/>
        <v>16</v>
      </c>
      <c r="AH54" s="411">
        <f t="shared" si="3"/>
        <v>12</v>
      </c>
      <c r="AI54" s="411">
        <f t="shared" si="4"/>
        <v>14</v>
      </c>
      <c r="AJ54" s="411">
        <f t="shared" si="5"/>
        <v>15</v>
      </c>
      <c r="AK54" s="411">
        <f t="shared" si="6"/>
        <v>16</v>
      </c>
      <c r="AL54" s="411">
        <f t="shared" si="7"/>
        <v>18</v>
      </c>
      <c r="AM54" s="411">
        <f t="shared" si="8"/>
        <v>18</v>
      </c>
      <c r="AN54" s="411">
        <f t="shared" si="9"/>
        <v>21</v>
      </c>
      <c r="AO54" s="411">
        <f t="shared" si="10"/>
        <v>23</v>
      </c>
      <c r="AP54" s="411">
        <f t="shared" si="11"/>
        <v>25</v>
      </c>
      <c r="AQ54" s="411">
        <f t="shared" si="12"/>
        <v>22</v>
      </c>
      <c r="AR54" s="411">
        <f t="shared" si="13"/>
        <v>24</v>
      </c>
      <c r="AS54" s="411">
        <f t="shared" si="14"/>
        <v>22</v>
      </c>
      <c r="AT54" s="460">
        <f t="shared" si="16"/>
        <v>23</v>
      </c>
    </row>
    <row r="55" spans="1:46">
      <c r="A55" s="1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456"/>
      <c r="Q55" s="408"/>
      <c r="R55" s="408"/>
      <c r="S55" s="408"/>
      <c r="T55" s="408"/>
      <c r="U55" s="408"/>
      <c r="V55" s="408"/>
      <c r="W55" s="408"/>
      <c r="X55" s="408"/>
      <c r="Y55" s="408"/>
      <c r="Z55" s="408"/>
      <c r="AA55" s="408"/>
      <c r="AB55" s="408"/>
      <c r="AC55" s="408"/>
      <c r="AD55" s="408"/>
      <c r="AE55" s="462"/>
      <c r="AF55" s="409"/>
      <c r="AG55" s="409"/>
      <c r="AH55" s="409"/>
      <c r="AI55" s="409"/>
      <c r="AJ55" s="409"/>
      <c r="AK55" s="409"/>
      <c r="AL55" s="409"/>
      <c r="AM55" s="409"/>
      <c r="AN55" s="409"/>
      <c r="AO55" s="409"/>
      <c r="AP55" s="409"/>
      <c r="AQ55" s="409"/>
      <c r="AR55" s="409"/>
      <c r="AS55" s="409"/>
      <c r="AT55" s="459"/>
    </row>
    <row r="56" spans="1:46">
      <c r="A56" s="398" t="s">
        <v>51</v>
      </c>
      <c r="B56" s="73">
        <f>+'[1]Jul-1 ResPop-both sexes'!BQ54</f>
        <v>3268514</v>
      </c>
      <c r="C56" s="73">
        <f>+'[1]Jul-1 ResPop-both sexes'!BR54</f>
        <v>3272563</v>
      </c>
      <c r="D56" s="73">
        <f>+'[1]Jul-1 ResPop-both sexes'!BS54</f>
        <v>3282031</v>
      </c>
      <c r="E56" s="73">
        <f>+'[1]Jul-1 ResPop-both sexes'!BT54</f>
        <v>3411777</v>
      </c>
      <c r="F56" s="73">
        <f>+'[1]Jul-1 ResPop-both sexes'!BU54</f>
        <v>3432835</v>
      </c>
      <c r="G56" s="73">
        <f>+'[1]Jul-1 ResPop-both sexes'!BV54</f>
        <v>3458749</v>
      </c>
      <c r="H56" s="73">
        <f>+'[1]Jul-1 ResPop-both sexes'!BW54</f>
        <v>3484336</v>
      </c>
      <c r="I56" s="73">
        <f>+'[1]Jul-1 ResPop-both sexes'!BX54</f>
        <v>3496094</v>
      </c>
      <c r="J56" s="73">
        <f>+'[1]Jul-1 ResPop-both sexes'!BY54</f>
        <v>3506956</v>
      </c>
      <c r="K56" s="73">
        <f>+'[1]Jul-1 ResPop-both sexes'!BZ54</f>
        <v>3517460</v>
      </c>
      <c r="L56" s="73">
        <f>+'[1]Jul-1 ResPop-both sexes'!CA54</f>
        <v>3527270</v>
      </c>
      <c r="M56" s="73">
        <f>+'[1]Jul-1 ResPop-both sexes'!CB54</f>
        <v>3545579</v>
      </c>
      <c r="N56" s="73">
        <f>+'[1]Jul-1 ResPop-both sexes'!CC54</f>
        <v>3561807</v>
      </c>
      <c r="O56" s="73">
        <f>+'[1]Jul-1 ResPop-both sexes'!CD54</f>
        <v>3576616</v>
      </c>
      <c r="P56" s="456">
        <f>+'[1]Jul-1 ResPop-both sexes'!CE54</f>
        <v>3586717</v>
      </c>
      <c r="Q56" s="408">
        <f>('Expenditure DATA'!R55*1000000)/'Per-Capita Data'!B56</f>
        <v>5598.8537910499999</v>
      </c>
      <c r="R56" s="408">
        <f>('Expenditure DATA'!S55*1000000)/'Per-Capita Data'!C56</f>
        <v>6016.1271150471357</v>
      </c>
      <c r="S56" s="408">
        <f>('Expenditure DATA'!T55*1000000)/'Per-Capita Data'!D56</f>
        <v>6526.3082524205283</v>
      </c>
      <c r="T56" s="408">
        <f>('Expenditure DATA'!U55*1000000)/'Per-Capita Data'!E56</f>
        <v>6685.4454438259008</v>
      </c>
      <c r="U56" s="408">
        <f>('Expenditure DATA'!V55*1000000)/'Per-Capita Data'!F56</f>
        <v>7049.2616161277774</v>
      </c>
      <c r="V56" s="408">
        <f>('Expenditure DATA'!W55*1000000)/'Per-Capita Data'!G56</f>
        <v>7114.8899500946727</v>
      </c>
      <c r="W56" s="408">
        <f>('Expenditure DATA'!X55*1000000)/'Per-Capita Data'!H56</f>
        <v>7180.215972282811</v>
      </c>
      <c r="X56" s="408">
        <f>('Expenditure DATA'!Y55*1000000)/'Per-Capita Data'!I56</f>
        <v>7497.4580202935049</v>
      </c>
      <c r="Y56" s="408">
        <f>('Expenditure DATA'!Z55*1000000)/'Per-Capita Data'!J56</f>
        <v>7842.7704824354796</v>
      </c>
      <c r="Z56" s="408">
        <f>('Expenditure DATA'!AA55*1000000)/'Per-Capita Data'!K56</f>
        <v>8071.0228403450219</v>
      </c>
      <c r="AA56" s="408">
        <f>('Expenditure DATA'!AB55*1000000)/'Per-Capita Data'!L56</f>
        <v>8622.760661928347</v>
      </c>
      <c r="AB56" s="408">
        <f>('Expenditure DATA'!AC55*1000000)/'Per-Capita Data'!M56</f>
        <v>8998.5711783604311</v>
      </c>
      <c r="AC56" s="408">
        <f>('Expenditure DATA'!AD55*1000000)/'Per-Capita Data'!N56</f>
        <v>8950.2305992435868</v>
      </c>
      <c r="AD56" s="408">
        <f>('Expenditure DATA'!AE55*1000000)/'Per-Capita Data'!O56</f>
        <v>9329.0836925182921</v>
      </c>
      <c r="AE56" s="462">
        <f>('Expenditure DATA'!AF55*1000000)/'Per-Capita Data'!P56</f>
        <v>9583.2249937756442</v>
      </c>
      <c r="AF56" s="409">
        <f t="shared" si="1"/>
        <v>6</v>
      </c>
      <c r="AG56" s="409">
        <f t="shared" si="2"/>
        <v>6</v>
      </c>
      <c r="AH56" s="409">
        <f t="shared" si="3"/>
        <v>5</v>
      </c>
      <c r="AI56" s="409">
        <f t="shared" si="4"/>
        <v>6</v>
      </c>
      <c r="AJ56" s="409">
        <f t="shared" si="5"/>
        <v>5</v>
      </c>
      <c r="AK56" s="409">
        <f t="shared" si="6"/>
        <v>8</v>
      </c>
      <c r="AL56" s="409">
        <f t="shared" si="7"/>
        <v>9</v>
      </c>
      <c r="AM56" s="409">
        <f t="shared" si="8"/>
        <v>11</v>
      </c>
      <c r="AN56" s="409">
        <f t="shared" si="9"/>
        <v>13</v>
      </c>
      <c r="AO56" s="409">
        <f t="shared" si="10"/>
        <v>12</v>
      </c>
      <c r="AP56" s="409">
        <f t="shared" si="11"/>
        <v>13</v>
      </c>
      <c r="AQ56" s="409">
        <f t="shared" si="12"/>
        <v>13</v>
      </c>
      <c r="AR56" s="409">
        <f t="shared" ref="AR56:AR65" si="17">RANK(AC56,$AC$12:$AC$65)</f>
        <v>14</v>
      </c>
      <c r="AS56" s="409">
        <f t="shared" si="14"/>
        <v>12</v>
      </c>
      <c r="AT56" s="459">
        <f t="shared" ref="AT56:AT65" si="18">RANK(AE56,$AE$12:$AE$65)</f>
        <v>9</v>
      </c>
    </row>
    <row r="57" spans="1:46">
      <c r="A57" s="398" t="s">
        <v>58</v>
      </c>
      <c r="B57" s="73">
        <f>+'[1]Jul-1 ResPop-both sexes'!BQ55</f>
        <v>1245215</v>
      </c>
      <c r="C57" s="73">
        <f>+'[1]Jul-1 ResPop-both sexes'!BR55</f>
        <v>1247554</v>
      </c>
      <c r="D57" s="73">
        <f>+'[1]Jul-1 ResPop-both sexes'!BS55</f>
        <v>1253040</v>
      </c>
      <c r="E57" s="73">
        <f>+'[1]Jul-1 ResPop-both sexes'!BT55</f>
        <v>1277072</v>
      </c>
      <c r="F57" s="73">
        <f>+'[1]Jul-1 ResPop-both sexes'!BU55</f>
        <v>1285692</v>
      </c>
      <c r="G57" s="73">
        <f>+'[1]Jul-1 ResPop-both sexes'!BV55</f>
        <v>1295960</v>
      </c>
      <c r="H57" s="73">
        <f>+'[1]Jul-1 ResPop-both sexes'!BW55</f>
        <v>1306513</v>
      </c>
      <c r="I57" s="73">
        <f>+'[1]Jul-1 ResPop-both sexes'!BX55</f>
        <v>1313688</v>
      </c>
      <c r="J57" s="73">
        <f>+'[1]Jul-1 ResPop-both sexes'!BY55</f>
        <v>1318787</v>
      </c>
      <c r="K57" s="73">
        <f>+'[1]Jul-1 ResPop-both sexes'!BZ55</f>
        <v>1323619</v>
      </c>
      <c r="L57" s="73">
        <f>+'[1]Jul-1 ResPop-both sexes'!CA55</f>
        <v>1327040</v>
      </c>
      <c r="M57" s="73">
        <f>+'[1]Jul-1 ResPop-both sexes'!CB55</f>
        <v>1330509</v>
      </c>
      <c r="N57" s="73">
        <f>+'[1]Jul-1 ResPop-both sexes'!CC55</f>
        <v>1329590</v>
      </c>
      <c r="O57" s="73">
        <f>+'[1]Jul-1 ResPop-both sexes'!CD55</f>
        <v>1327585</v>
      </c>
      <c r="P57" s="456">
        <f>+'[1]Jul-1 ResPop-both sexes'!CE55</f>
        <v>1328544</v>
      </c>
      <c r="Q57" s="408">
        <f>('Expenditure DATA'!R56*1000000)/'Per-Capita Data'!B57</f>
        <v>4929.5928815505758</v>
      </c>
      <c r="R57" s="408">
        <f>('Expenditure DATA'!S56*1000000)/'Per-Capita Data'!C57</f>
        <v>5127.2698416260937</v>
      </c>
      <c r="S57" s="408">
        <f>('Expenditure DATA'!T56*1000000)/'Per-Capita Data'!D57</f>
        <v>5557.3940177488348</v>
      </c>
      <c r="T57" s="408">
        <f>('Expenditure DATA'!U56*1000000)/'Per-Capita Data'!E57</f>
        <v>5852.4488047659024</v>
      </c>
      <c r="U57" s="408">
        <f>('Expenditure DATA'!V56*1000000)/'Per-Capita Data'!F57</f>
        <v>6210.1654206450694</v>
      </c>
      <c r="V57" s="408">
        <f>('Expenditure DATA'!W56*1000000)/'Per-Capita Data'!G57</f>
        <v>6662.8094231303439</v>
      </c>
      <c r="W57" s="408">
        <f>('Expenditure DATA'!X56*1000000)/'Per-Capita Data'!H57</f>
        <v>7106.7865379066261</v>
      </c>
      <c r="X57" s="408">
        <f>('Expenditure DATA'!Y56*1000000)/'Per-Capita Data'!I57</f>
        <v>7250.2481563354468</v>
      </c>
      <c r="Y57" s="408">
        <f>('Expenditure DATA'!Z56*1000000)/'Per-Capita Data'!J57</f>
        <v>7574.072234561002</v>
      </c>
      <c r="Z57" s="408">
        <f>('Expenditure DATA'!AA56*1000000)/'Per-Capita Data'!K57</f>
        <v>7599.3182328147295</v>
      </c>
      <c r="AA57" s="408">
        <f>('Expenditure DATA'!AB56*1000000)/'Per-Capita Data'!L57</f>
        <v>7778.4912285989876</v>
      </c>
      <c r="AB57" s="408">
        <f>('Expenditure DATA'!AC56*1000000)/'Per-Capita Data'!M57</f>
        <v>8136.2305704057617</v>
      </c>
      <c r="AC57" s="408">
        <f>('Expenditure DATA'!AD56*1000000)/'Per-Capita Data'!N57</f>
        <v>8318.3003783121112</v>
      </c>
      <c r="AD57" s="408">
        <f>('Expenditure DATA'!AE56*1000000)/'Per-Capita Data'!O57</f>
        <v>8556.3455447297165</v>
      </c>
      <c r="AE57" s="462">
        <f>('Expenditure DATA'!AF56*1000000)/'Per-Capita Data'!P57</f>
        <v>8488.2096490594213</v>
      </c>
      <c r="AF57" s="409">
        <f t="shared" si="1"/>
        <v>21</v>
      </c>
      <c r="AG57" s="409">
        <f t="shared" si="2"/>
        <v>22</v>
      </c>
      <c r="AH57" s="409">
        <f t="shared" si="3"/>
        <v>19</v>
      </c>
      <c r="AI57" s="409">
        <f t="shared" si="4"/>
        <v>19</v>
      </c>
      <c r="AJ57" s="409">
        <f t="shared" si="5"/>
        <v>18</v>
      </c>
      <c r="AK57" s="409">
        <f t="shared" si="6"/>
        <v>15</v>
      </c>
      <c r="AL57" s="409">
        <f t="shared" si="7"/>
        <v>13</v>
      </c>
      <c r="AM57" s="409">
        <f t="shared" si="8"/>
        <v>15</v>
      </c>
      <c r="AN57" s="409">
        <f t="shared" si="9"/>
        <v>15</v>
      </c>
      <c r="AO57" s="409">
        <f t="shared" si="10"/>
        <v>18</v>
      </c>
      <c r="AP57" s="409">
        <f t="shared" si="11"/>
        <v>19</v>
      </c>
      <c r="AQ57" s="409">
        <f t="shared" si="12"/>
        <v>20</v>
      </c>
      <c r="AR57" s="409">
        <f t="shared" si="17"/>
        <v>21</v>
      </c>
      <c r="AS57" s="409">
        <f t="shared" si="14"/>
        <v>21</v>
      </c>
      <c r="AT57" s="459">
        <f t="shared" si="18"/>
        <v>20</v>
      </c>
    </row>
    <row r="58" spans="1:46">
      <c r="A58" s="398" t="s">
        <v>59</v>
      </c>
      <c r="B58" s="73">
        <f>+'[1]Jul-1 ResPop-both sexes'!BQ56</f>
        <v>6115476</v>
      </c>
      <c r="C58" s="73">
        <f>+'[1]Jul-1 ResPop-both sexes'!BR56</f>
        <v>6144407</v>
      </c>
      <c r="D58" s="73">
        <f>+'[1]Jul-1 ResPop-both sexes'!BS56</f>
        <v>6175169</v>
      </c>
      <c r="E58" s="73">
        <f>+'[1]Jul-1 ResPop-both sexes'!BT56</f>
        <v>6361104</v>
      </c>
      <c r="F58" s="73">
        <f>+'[1]Jul-1 ResPop-both sexes'!BU56</f>
        <v>6397634</v>
      </c>
      <c r="G58" s="73">
        <f>+'[1]Jul-1 ResPop-both sexes'!BV56</f>
        <v>6417206</v>
      </c>
      <c r="H58" s="73">
        <f>+'[1]Jul-1 ResPop-both sexes'!BW56</f>
        <v>6422565</v>
      </c>
      <c r="I58" s="73">
        <f>+'[1]Jul-1 ResPop-both sexes'!BX56</f>
        <v>6412281</v>
      </c>
      <c r="J58" s="73">
        <f>+'[1]Jul-1 ResPop-both sexes'!BY56</f>
        <v>6403290</v>
      </c>
      <c r="K58" s="73">
        <f>+'[1]Jul-1 ResPop-both sexes'!BZ56</f>
        <v>6410084</v>
      </c>
      <c r="L58" s="73">
        <f>+'[1]Jul-1 ResPop-both sexes'!CA56</f>
        <v>6431559</v>
      </c>
      <c r="M58" s="73">
        <f>+'[1]Jul-1 ResPop-both sexes'!CB56</f>
        <v>6468967</v>
      </c>
      <c r="N58" s="73">
        <f>+'[1]Jul-1 ResPop-both sexes'!CC56</f>
        <v>6517613</v>
      </c>
      <c r="O58" s="73">
        <f>+'[1]Jul-1 ResPop-both sexes'!CD56</f>
        <v>6563259</v>
      </c>
      <c r="P58" s="456">
        <f>+'[1]Jul-1 ResPop-both sexes'!CE56</f>
        <v>6607003</v>
      </c>
      <c r="Q58" s="408">
        <f>('Expenditure DATA'!R57*1000000)/'Per-Capita Data'!B58</f>
        <v>5573.2132707249611</v>
      </c>
      <c r="R58" s="408">
        <f>('Expenditure DATA'!S57*1000000)/'Per-Capita Data'!C58</f>
        <v>5725.1044730598087</v>
      </c>
      <c r="S58" s="408">
        <f>('Expenditure DATA'!T57*1000000)/'Per-Capita Data'!D58</f>
        <v>6145.7302626049586</v>
      </c>
      <c r="T58" s="408">
        <f>('Expenditure DATA'!U57*1000000)/'Per-Capita Data'!E58</f>
        <v>6325.8184428363375</v>
      </c>
      <c r="U58" s="408">
        <f>('Expenditure DATA'!V57*1000000)/'Per-Capita Data'!F58</f>
        <v>6647.37229419501</v>
      </c>
      <c r="V58" s="408">
        <f>('Expenditure DATA'!W57*1000000)/'Per-Capita Data'!G58</f>
        <v>7102.3069853141706</v>
      </c>
      <c r="W58" s="408">
        <f>('Expenditure DATA'!X57*1000000)/'Per-Capita Data'!H58</f>
        <v>7571.1929735238182</v>
      </c>
      <c r="X58" s="408">
        <f>('Expenditure DATA'!Y57*1000000)/'Per-Capita Data'!I58</f>
        <v>7784.8868444785876</v>
      </c>
      <c r="Y58" s="408">
        <f>('Expenditure DATA'!Z57*1000000)/'Per-Capita Data'!J58</f>
        <v>8046.2277985223218</v>
      </c>
      <c r="Z58" s="408">
        <f>('Expenditure DATA'!AA57*1000000)/'Per-Capita Data'!K58</f>
        <v>8520.1310934458888</v>
      </c>
      <c r="AA58" s="408">
        <f>('Expenditure DATA'!AB57*1000000)/'Per-Capita Data'!L58</f>
        <v>8831.7107873845198</v>
      </c>
      <c r="AB58" s="408">
        <f>('Expenditure DATA'!AC57*1000000)/'Per-Capita Data'!M58</f>
        <v>9001.0706500744254</v>
      </c>
      <c r="AC58" s="408">
        <f>('Expenditure DATA'!AD57*1000000)/'Per-Capita Data'!N58</f>
        <v>9162.4998293086755</v>
      </c>
      <c r="AD58" s="408">
        <f>('Expenditure DATA'!AE57*1000000)/'Per-Capita Data'!O58</f>
        <v>9410.0455276867797</v>
      </c>
      <c r="AE58" s="462">
        <f>('Expenditure DATA'!AF57*1000000)/'Per-Capita Data'!P58</f>
        <v>9628.0655540795124</v>
      </c>
      <c r="AF58" s="409">
        <f t="shared" si="1"/>
        <v>7</v>
      </c>
      <c r="AG58" s="409">
        <f t="shared" si="2"/>
        <v>9</v>
      </c>
      <c r="AH58" s="409">
        <f t="shared" si="3"/>
        <v>9</v>
      </c>
      <c r="AI58" s="409">
        <f t="shared" si="4"/>
        <v>10</v>
      </c>
      <c r="AJ58" s="409">
        <f t="shared" si="5"/>
        <v>10</v>
      </c>
      <c r="AK58" s="409">
        <f t="shared" si="6"/>
        <v>9</v>
      </c>
      <c r="AL58" s="409">
        <f t="shared" si="7"/>
        <v>5</v>
      </c>
      <c r="AM58" s="409">
        <f t="shared" si="8"/>
        <v>7</v>
      </c>
      <c r="AN58" s="409">
        <f t="shared" si="9"/>
        <v>11</v>
      </c>
      <c r="AO58" s="409">
        <f t="shared" si="10"/>
        <v>8</v>
      </c>
      <c r="AP58" s="409">
        <f t="shared" si="11"/>
        <v>10</v>
      </c>
      <c r="AQ58" s="409">
        <f t="shared" si="12"/>
        <v>12</v>
      </c>
      <c r="AR58" s="409">
        <f t="shared" si="17"/>
        <v>11</v>
      </c>
      <c r="AS58" s="409">
        <f t="shared" si="14"/>
        <v>11</v>
      </c>
      <c r="AT58" s="459">
        <f t="shared" si="18"/>
        <v>8</v>
      </c>
    </row>
    <row r="59" spans="1:46" s="111" customFormat="1">
      <c r="A59" s="398" t="s">
        <v>66</v>
      </c>
      <c r="B59" s="73">
        <f>+'[1]Jul-1 ResPop-both sexes'!BQ57</f>
        <v>1173239</v>
      </c>
      <c r="C59" s="73">
        <f>+'[1]Jul-1 ResPop-both sexes'!BR57</f>
        <v>1185823</v>
      </c>
      <c r="D59" s="73">
        <f>+'[1]Jul-1 ResPop-both sexes'!BS57</f>
        <v>1201134</v>
      </c>
      <c r="E59" s="73">
        <f>+'[1]Jul-1 ResPop-both sexes'!BT57</f>
        <v>1239882</v>
      </c>
      <c r="F59" s="73">
        <f>+'[1]Jul-1 ResPop-both sexes'!BU57</f>
        <v>1255517</v>
      </c>
      <c r="G59" s="73">
        <f>+'[1]Jul-1 ResPop-both sexes'!BV57</f>
        <v>1269089</v>
      </c>
      <c r="H59" s="73">
        <f>+'[1]Jul-1 ResPop-both sexes'!BW57</f>
        <v>1279840</v>
      </c>
      <c r="I59" s="73">
        <f>+'[1]Jul-1 ResPop-both sexes'!BX57</f>
        <v>1290121</v>
      </c>
      <c r="J59" s="73">
        <f>+'[1]Jul-1 ResPop-both sexes'!BY57</f>
        <v>1298492</v>
      </c>
      <c r="K59" s="73">
        <f>+'[1]Jul-1 ResPop-both sexes'!BZ57</f>
        <v>1308389</v>
      </c>
      <c r="L59" s="73">
        <f>+'[1]Jul-1 ResPop-both sexes'!CA57</f>
        <v>1312540</v>
      </c>
      <c r="M59" s="73">
        <f>+'[1]Jul-1 ResPop-both sexes'!CB57</f>
        <v>1315906</v>
      </c>
      <c r="N59" s="73">
        <f>+'[1]Jul-1 ResPop-both sexes'!CC57</f>
        <v>1316102</v>
      </c>
      <c r="O59" s="73">
        <f>+'[1]Jul-1 ResPop-both sexes'!CD57</f>
        <v>1316843</v>
      </c>
      <c r="P59" s="456">
        <f>+'[1]Jul-1 ResPop-both sexes'!CE57</f>
        <v>1317807</v>
      </c>
      <c r="Q59" s="408">
        <f>('Expenditure DATA'!R58*1000000)/'Per-Capita Data'!B59</f>
        <v>4339.7543041102454</v>
      </c>
      <c r="R59" s="408">
        <f>('Expenditure DATA'!S58*1000000)/'Per-Capita Data'!C59</f>
        <v>4493.8468894598936</v>
      </c>
      <c r="S59" s="408">
        <f>('Expenditure DATA'!T58*1000000)/'Per-Capita Data'!D59</f>
        <v>4715.3922876215311</v>
      </c>
      <c r="T59" s="408">
        <f>('Expenditure DATA'!U58*1000000)/'Per-Capita Data'!E59</f>
        <v>4841.9256832505025</v>
      </c>
      <c r="U59" s="408">
        <f>('Expenditure DATA'!V58*1000000)/'Per-Capita Data'!F59</f>
        <v>5052.1139896950817</v>
      </c>
      <c r="V59" s="408">
        <f>('Expenditure DATA'!W58*1000000)/'Per-Capita Data'!G59</f>
        <v>5473.0373519902869</v>
      </c>
      <c r="W59" s="408">
        <f>('Expenditure DATA'!X58*1000000)/'Per-Capita Data'!H59</f>
        <v>5898.0247530941369</v>
      </c>
      <c r="X59" s="408">
        <f>('Expenditure DATA'!Y58*1000000)/'Per-Capita Data'!I59</f>
        <v>6072.2087308089704</v>
      </c>
      <c r="Y59" s="408">
        <f>('Expenditure DATA'!Z58*1000000)/'Per-Capita Data'!J59</f>
        <v>6522.6285568182166</v>
      </c>
      <c r="Z59" s="408">
        <f>('Expenditure DATA'!AA58*1000000)/'Per-Capita Data'!K59</f>
        <v>6472.8937647748489</v>
      </c>
      <c r="AA59" s="408">
        <f>('Expenditure DATA'!AB58*1000000)/'Per-Capita Data'!L59</f>
        <v>6801.5633809255341</v>
      </c>
      <c r="AB59" s="408">
        <f>('Expenditure DATA'!AC58*1000000)/'Per-Capita Data'!M59</f>
        <v>7106.9225309406602</v>
      </c>
      <c r="AC59" s="408">
        <f>('Expenditure DATA'!AD58*1000000)/'Per-Capita Data'!N59</f>
        <v>7534.0627094252577</v>
      </c>
      <c r="AD59" s="408">
        <f>('Expenditure DATA'!AE58*1000000)/'Per-Capita Data'!O59</f>
        <v>7774.2768120421342</v>
      </c>
      <c r="AE59" s="462">
        <f>('Expenditure DATA'!AF58*1000000)/'Per-Capita Data'!P59</f>
        <v>7614.2234788554015</v>
      </c>
      <c r="AF59" s="409">
        <f t="shared" si="1"/>
        <v>39</v>
      </c>
      <c r="AG59" s="409">
        <f t="shared" si="2"/>
        <v>44</v>
      </c>
      <c r="AH59" s="409">
        <f t="shared" si="3"/>
        <v>45</v>
      </c>
      <c r="AI59" s="409">
        <f t="shared" si="4"/>
        <v>46</v>
      </c>
      <c r="AJ59" s="409">
        <f t="shared" si="5"/>
        <v>48</v>
      </c>
      <c r="AK59" s="409">
        <f t="shared" si="6"/>
        <v>43</v>
      </c>
      <c r="AL59" s="409">
        <f t="shared" si="7"/>
        <v>36</v>
      </c>
      <c r="AM59" s="409">
        <f t="shared" si="8"/>
        <v>40</v>
      </c>
      <c r="AN59" s="409">
        <f t="shared" si="9"/>
        <v>38</v>
      </c>
      <c r="AO59" s="409">
        <f t="shared" si="10"/>
        <v>42</v>
      </c>
      <c r="AP59" s="409">
        <f t="shared" si="11"/>
        <v>44</v>
      </c>
      <c r="AQ59" s="409">
        <f t="shared" si="12"/>
        <v>38</v>
      </c>
      <c r="AR59" s="409">
        <f t="shared" si="17"/>
        <v>33</v>
      </c>
      <c r="AS59" s="409">
        <f t="shared" si="14"/>
        <v>32</v>
      </c>
      <c r="AT59" s="459">
        <f t="shared" si="18"/>
        <v>33</v>
      </c>
    </row>
    <row r="60" spans="1:46" s="111" customFormat="1">
      <c r="A60" s="398" t="s">
        <v>67</v>
      </c>
      <c r="B60" s="73">
        <f>+'[1]Jul-1 ResPop-both sexes'!BQ58</f>
        <v>8054178</v>
      </c>
      <c r="C60" s="73">
        <f>+'[1]Jul-1 ResPop-both sexes'!BR58</f>
        <v>8095542</v>
      </c>
      <c r="D60" s="73">
        <f>+'[1]Jul-1 ResPop-both sexes'!BS58</f>
        <v>8143412</v>
      </c>
      <c r="E60" s="73">
        <f>+'[1]Jul-1 ResPop-both sexes'!BT58</f>
        <v>8430621</v>
      </c>
      <c r="F60" s="73">
        <f>+'[1]Jul-1 ResPop-both sexes'!BU58</f>
        <v>8492671</v>
      </c>
      <c r="G60" s="73">
        <f>+'[1]Jul-1 ResPop-both sexes'!BV58</f>
        <v>8552643</v>
      </c>
      <c r="H60" s="73">
        <f>+'[1]Jul-1 ResPop-both sexes'!BW58</f>
        <v>8601402</v>
      </c>
      <c r="I60" s="73">
        <f>+'[1]Jul-1 ResPop-both sexes'!BX58</f>
        <v>8634561</v>
      </c>
      <c r="J60" s="73">
        <f>+'[1]Jul-1 ResPop-both sexes'!BY58</f>
        <v>8651974</v>
      </c>
      <c r="K60" s="73">
        <f>+'[1]Jul-1 ResPop-both sexes'!BZ58</f>
        <v>8661679</v>
      </c>
      <c r="L60" s="73">
        <f>+'[1]Jul-1 ResPop-both sexes'!CA58</f>
        <v>8677885</v>
      </c>
      <c r="M60" s="73">
        <f>+'[1]Jul-1 ResPop-both sexes'!CB58</f>
        <v>8711090</v>
      </c>
      <c r="N60" s="73">
        <f>+'[1]Jul-1 ResPop-both sexes'!CC58</f>
        <v>8755602</v>
      </c>
      <c r="O60" s="73">
        <f>+'[1]Jul-1 ResPop-both sexes'!CD58</f>
        <v>8803388</v>
      </c>
      <c r="P60" s="456">
        <f>+'[1]Jul-1 ResPop-both sexes'!CE58</f>
        <v>8834773</v>
      </c>
      <c r="Q60" s="408">
        <f>('Expenditure DATA'!R59*1000000)/'Per-Capita Data'!B60</f>
        <v>5534.1996414780006</v>
      </c>
      <c r="R60" s="408">
        <f>('Expenditure DATA'!S59*1000000)/'Per-Capita Data'!C60</f>
        <v>5483.1966778753049</v>
      </c>
      <c r="S60" s="408">
        <f>('Expenditure DATA'!T59*1000000)/'Per-Capita Data'!D60</f>
        <v>5809.4712633967183</v>
      </c>
      <c r="T60" s="408">
        <f>('Expenditure DATA'!U59*1000000)/'Per-Capita Data'!E60</f>
        <v>6036.0574861567138</v>
      </c>
      <c r="U60" s="408">
        <f>('Expenditure DATA'!V59*1000000)/'Per-Capita Data'!F60</f>
        <v>6413.3542910116266</v>
      </c>
      <c r="V60" s="408">
        <f>('Expenditure DATA'!W59*1000000)/'Per-Capita Data'!G60</f>
        <v>6768.7873210655471</v>
      </c>
      <c r="W60" s="408">
        <f>('Expenditure DATA'!X59*1000000)/'Per-Capita Data'!H60</f>
        <v>7128.5512524586111</v>
      </c>
      <c r="X60" s="408">
        <f>('Expenditure DATA'!Y59*1000000)/'Per-Capita Data'!I60</f>
        <v>7654.0976431807012</v>
      </c>
      <c r="Y60" s="408">
        <f>('Expenditure DATA'!Z59*1000000)/'Per-Capita Data'!J60</f>
        <v>8665.7729207230623</v>
      </c>
      <c r="Z60" s="408">
        <f>('Expenditure DATA'!AA59*1000000)/'Per-Capita Data'!K60</f>
        <v>8655.5882525778197</v>
      </c>
      <c r="AA60" s="408">
        <f>('Expenditure DATA'!AB59*1000000)/'Per-Capita Data'!L60</f>
        <v>9089.1951207004931</v>
      </c>
      <c r="AB60" s="408">
        <f>('Expenditure DATA'!AC59*1000000)/'Per-Capita Data'!M60</f>
        <v>9270.6820845611746</v>
      </c>
      <c r="AC60" s="408">
        <f>('Expenditure DATA'!AD59*1000000)/'Per-Capita Data'!N60</f>
        <v>9446.8844061207892</v>
      </c>
      <c r="AD60" s="408">
        <f>('Expenditure DATA'!AE59*1000000)/'Per-Capita Data'!O60</f>
        <v>9266.68539430501</v>
      </c>
      <c r="AE60" s="462">
        <f>('Expenditure DATA'!AF59*1000000)/'Per-Capita Data'!P60</f>
        <v>9400.2759323867176</v>
      </c>
      <c r="AF60" s="409">
        <f t="shared" si="1"/>
        <v>9</v>
      </c>
      <c r="AG60" s="409">
        <f t="shared" si="2"/>
        <v>13</v>
      </c>
      <c r="AH60" s="409">
        <f t="shared" si="3"/>
        <v>15</v>
      </c>
      <c r="AI60" s="409">
        <f t="shared" si="4"/>
        <v>13</v>
      </c>
      <c r="AJ60" s="409">
        <f t="shared" si="5"/>
        <v>14</v>
      </c>
      <c r="AK60" s="409">
        <f t="shared" si="6"/>
        <v>12</v>
      </c>
      <c r="AL60" s="409">
        <f t="shared" si="7"/>
        <v>11</v>
      </c>
      <c r="AM60" s="409">
        <f t="shared" si="8"/>
        <v>8</v>
      </c>
      <c r="AN60" s="409">
        <f t="shared" si="9"/>
        <v>6</v>
      </c>
      <c r="AO60" s="409">
        <f t="shared" si="10"/>
        <v>7</v>
      </c>
      <c r="AP60" s="409">
        <f t="shared" si="11"/>
        <v>8</v>
      </c>
      <c r="AQ60" s="409">
        <f t="shared" si="12"/>
        <v>8</v>
      </c>
      <c r="AR60" s="409">
        <f t="shared" si="17"/>
        <v>7</v>
      </c>
      <c r="AS60" s="409">
        <f t="shared" si="14"/>
        <v>13</v>
      </c>
      <c r="AT60" s="459">
        <f t="shared" si="18"/>
        <v>10</v>
      </c>
    </row>
    <row r="61" spans="1:46">
      <c r="A61" s="398" t="s">
        <v>69</v>
      </c>
      <c r="B61" s="66">
        <f>+'[1]Jul-1 ResPop-both sexes'!BQ59</f>
        <v>18143184</v>
      </c>
      <c r="C61" s="66">
        <f>+'[1]Jul-1 ResPop-both sexes'!BR59</f>
        <v>18159175</v>
      </c>
      <c r="D61" s="66">
        <f>+'[1]Jul-1 ResPop-both sexes'!BS59</f>
        <v>18196601</v>
      </c>
      <c r="E61" s="66">
        <f>+'[1]Jul-1 ResPop-both sexes'!BT59</f>
        <v>19001780</v>
      </c>
      <c r="F61" s="66">
        <f>+'[1]Jul-1 ResPop-both sexes'!BU59</f>
        <v>19082838</v>
      </c>
      <c r="G61" s="66">
        <f>+'[1]Jul-1 ResPop-both sexes'!BV59</f>
        <v>19137800</v>
      </c>
      <c r="H61" s="66">
        <f>+'[1]Jul-1 ResPop-both sexes'!BW59</f>
        <v>19175939</v>
      </c>
      <c r="I61" s="25">
        <f>+'[1]Jul-1 ResPop-both sexes'!BX59</f>
        <v>19171567</v>
      </c>
      <c r="J61" s="25">
        <f>+'[1]Jul-1 ResPop-both sexes'!BY59</f>
        <v>19132610</v>
      </c>
      <c r="K61" s="25">
        <f>+'[1]Jul-1 ResPop-both sexes'!BZ59</f>
        <v>19104631</v>
      </c>
      <c r="L61" s="25">
        <f>+'[1]Jul-1 ResPop-both sexes'!CA59</f>
        <v>19132335</v>
      </c>
      <c r="M61" s="25">
        <f>+'[1]Jul-1 ResPop-both sexes'!CB59</f>
        <v>19212436</v>
      </c>
      <c r="N61" s="73">
        <f>+'[1]Jul-1 ResPop-both sexes'!CC59</f>
        <v>19307066</v>
      </c>
      <c r="O61" s="73">
        <f>+'[1]Jul-1 ResPop-both sexes'!CD59</f>
        <v>19399242</v>
      </c>
      <c r="P61" s="456">
        <f>+'[1]Jul-1 ResPop-both sexes'!CE59</f>
        <v>19501616</v>
      </c>
      <c r="Q61" s="408">
        <f>('Expenditure DATA'!R60*1000000)/'Per-Capita Data'!B61</f>
        <v>7102.5886635995093</v>
      </c>
      <c r="R61" s="408">
        <f>('Expenditure DATA'!S60*1000000)/'Per-Capita Data'!C61</f>
        <v>7400.6846125994152</v>
      </c>
      <c r="S61" s="408">
        <f>('Expenditure DATA'!T60*1000000)/'Per-Capita Data'!D61</f>
        <v>7729.2701532555448</v>
      </c>
      <c r="T61" s="408">
        <f>('Expenditure DATA'!U60*1000000)/'Per-Capita Data'!E61</f>
        <v>7956.7862326582035</v>
      </c>
      <c r="U61" s="408">
        <f>('Expenditure DATA'!V60*1000000)/'Per-Capita Data'!F61</f>
        <v>8475.6658312563359</v>
      </c>
      <c r="V61" s="408">
        <f>('Expenditure DATA'!W60*1000000)/'Per-Capita Data'!G61</f>
        <v>8834.6925978952659</v>
      </c>
      <c r="W61" s="408">
        <f>('Expenditure DATA'!X60*1000000)/'Per-Capita Data'!H61</f>
        <v>9199.7269077670717</v>
      </c>
      <c r="X61" s="408">
        <f>('Expenditure DATA'!Y60*1000000)/'Per-Capita Data'!I61</f>
        <v>9636.6900525137044</v>
      </c>
      <c r="Y61" s="408">
        <f>('Expenditure DATA'!Z60*1000000)/'Per-Capita Data'!J61</f>
        <v>10693.14531577239</v>
      </c>
      <c r="Z61" s="408">
        <f>('Expenditure DATA'!AA60*1000000)/'Per-Capita Data'!K61</f>
        <v>10711.795061626681</v>
      </c>
      <c r="AA61" s="408">
        <f>('Expenditure DATA'!AB60*1000000)/'Per-Capita Data'!L61</f>
        <v>11133.213431606753</v>
      </c>
      <c r="AB61" s="408">
        <f>('Expenditure DATA'!AC60*1000000)/'Per-Capita Data'!M61</f>
        <v>11532.75347280272</v>
      </c>
      <c r="AC61" s="408">
        <f>('Expenditure DATA'!AD60*1000000)/'Per-Capita Data'!N61</f>
        <v>12017.817518208101</v>
      </c>
      <c r="AD61" s="408">
        <f>('Expenditure DATA'!AE60*1000000)/'Per-Capita Data'!O61</f>
        <v>12164.595606364413</v>
      </c>
      <c r="AE61" s="462">
        <f>('Expenditure DATA'!AF60*1000000)/'Per-Capita Data'!P61</f>
        <v>12227.952083560665</v>
      </c>
      <c r="AF61" s="409">
        <f t="shared" si="1"/>
        <v>3</v>
      </c>
      <c r="AG61" s="409">
        <f t="shared" si="2"/>
        <v>3</v>
      </c>
      <c r="AH61" s="409">
        <f t="shared" si="3"/>
        <v>3</v>
      </c>
      <c r="AI61" s="409">
        <f t="shared" si="4"/>
        <v>3</v>
      </c>
      <c r="AJ61" s="409">
        <f t="shared" si="5"/>
        <v>3</v>
      </c>
      <c r="AK61" s="409">
        <f t="shared" si="6"/>
        <v>3</v>
      </c>
      <c r="AL61" s="409">
        <f t="shared" si="7"/>
        <v>3</v>
      </c>
      <c r="AM61" s="409">
        <f t="shared" si="8"/>
        <v>4</v>
      </c>
      <c r="AN61" s="409">
        <f t="shared" si="9"/>
        <v>4</v>
      </c>
      <c r="AO61" s="409">
        <f t="shared" si="10"/>
        <v>4</v>
      </c>
      <c r="AP61" s="409">
        <f t="shared" si="11"/>
        <v>4</v>
      </c>
      <c r="AQ61" s="409">
        <f t="shared" si="12"/>
        <v>4</v>
      </c>
      <c r="AR61" s="409">
        <f t="shared" si="17"/>
        <v>4</v>
      </c>
      <c r="AS61" s="409">
        <f t="shared" si="14"/>
        <v>4</v>
      </c>
      <c r="AT61" s="459">
        <f t="shared" si="18"/>
        <v>4</v>
      </c>
    </row>
    <row r="62" spans="1:46">
      <c r="A62" s="398" t="s">
        <v>73</v>
      </c>
      <c r="B62" s="66">
        <f>+'[1]Jul-1 ResPop-both sexes'!BQ60</f>
        <v>12015888</v>
      </c>
      <c r="C62" s="66">
        <f>+'[1]Jul-1 ResPop-both sexes'!BR60</f>
        <v>12002329</v>
      </c>
      <c r="D62" s="66">
        <f>+'[1]Jul-1 ResPop-both sexes'!BS60</f>
        <v>11994016</v>
      </c>
      <c r="E62" s="66">
        <f>+'[1]Jul-1 ResPop-both sexes'!BT60</f>
        <v>12284173</v>
      </c>
      <c r="F62" s="66">
        <f>+'[1]Jul-1 ResPop-both sexes'!BU60</f>
        <v>12298970</v>
      </c>
      <c r="G62" s="66">
        <f>+'[1]Jul-1 ResPop-both sexes'!BV60</f>
        <v>12331031</v>
      </c>
      <c r="H62" s="66">
        <f>+'[1]Jul-1 ResPop-both sexes'!BW60</f>
        <v>12374658</v>
      </c>
      <c r="I62" s="25">
        <f>+'[1]Jul-1 ResPop-both sexes'!BX60</f>
        <v>12410722</v>
      </c>
      <c r="J62" s="25">
        <f>+'[1]Jul-1 ResPop-both sexes'!BY60</f>
        <v>12449990</v>
      </c>
      <c r="K62" s="25">
        <f>+'[1]Jul-1 ResPop-both sexes'!BZ60</f>
        <v>12510809</v>
      </c>
      <c r="L62" s="25">
        <f>+'[1]Jul-1 ResPop-both sexes'!CA60</f>
        <v>12563937</v>
      </c>
      <c r="M62" s="25">
        <f>+'[1]Jul-1 ResPop-both sexes'!CB60</f>
        <v>12612285</v>
      </c>
      <c r="N62" s="73">
        <f>+'[1]Jul-1 ResPop-both sexes'!CC60</f>
        <v>12666858</v>
      </c>
      <c r="O62" s="73">
        <f>+'[1]Jul-1 ResPop-both sexes'!CD60</f>
        <v>12711308</v>
      </c>
      <c r="P62" s="456">
        <f>+'[1]Jul-1 ResPop-both sexes'!CE60</f>
        <v>12743948</v>
      </c>
      <c r="Q62" s="408">
        <f>('Expenditure DATA'!R61*1000000)/'Per-Capita Data'!B62</f>
        <v>4757.0446728531424</v>
      </c>
      <c r="R62" s="408">
        <f>('Expenditure DATA'!S61*1000000)/'Per-Capita Data'!C62</f>
        <v>5113.9198067308434</v>
      </c>
      <c r="S62" s="408">
        <f>('Expenditure DATA'!T61*1000000)/'Per-Capita Data'!D62</f>
        <v>5505.1072968386907</v>
      </c>
      <c r="T62" s="408">
        <f>('Expenditure DATA'!U61*1000000)/'Per-Capita Data'!E62</f>
        <v>5686.1063011730621</v>
      </c>
      <c r="U62" s="408">
        <f>('Expenditure DATA'!V61*1000000)/'Per-Capita Data'!F62</f>
        <v>5989.9228959823467</v>
      </c>
      <c r="V62" s="408">
        <f>('Expenditure DATA'!W61*1000000)/'Per-Capita Data'!G62</f>
        <v>6252.0007045639577</v>
      </c>
      <c r="W62" s="408">
        <f>('Expenditure DATA'!X61*1000000)/'Per-Capita Data'!H62</f>
        <v>6506.632102479115</v>
      </c>
      <c r="X62" s="408">
        <f>('Expenditure DATA'!Y61*1000000)/'Per-Capita Data'!I62</f>
        <v>6966.9281126432452</v>
      </c>
      <c r="Y62" s="408">
        <f>('Expenditure DATA'!Z61*1000000)/'Per-Capita Data'!J62</f>
        <v>7522.6723073673147</v>
      </c>
      <c r="Z62" s="408">
        <f>('Expenditure DATA'!AA61*1000000)/'Per-Capita Data'!K62</f>
        <v>7328.5128084043163</v>
      </c>
      <c r="AA62" s="408">
        <f>('Expenditure DATA'!AB61*1000000)/'Per-Capita Data'!L62</f>
        <v>7549.7034090508414</v>
      </c>
      <c r="AB62" s="408">
        <f>('Expenditure DATA'!AC61*1000000)/'Per-Capita Data'!M62</f>
        <v>7775.1716679412175</v>
      </c>
      <c r="AC62" s="408">
        <f>('Expenditure DATA'!AD61*1000000)/'Per-Capita Data'!N62</f>
        <v>8361.4505665098641</v>
      </c>
      <c r="AD62" s="408">
        <f>('Expenditure DATA'!AE61*1000000)/'Per-Capita Data'!O62</f>
        <v>8560.629087108895</v>
      </c>
      <c r="AE62" s="462">
        <f>('Expenditure DATA'!AF61*1000000)/'Per-Capita Data'!P62</f>
        <v>8407.6511454692063</v>
      </c>
      <c r="AF62" s="409">
        <f t="shared" si="1"/>
        <v>24</v>
      </c>
      <c r="AG62" s="409">
        <f t="shared" si="2"/>
        <v>23</v>
      </c>
      <c r="AH62" s="409">
        <f t="shared" si="3"/>
        <v>22</v>
      </c>
      <c r="AI62" s="409">
        <f t="shared" si="4"/>
        <v>22</v>
      </c>
      <c r="AJ62" s="409">
        <f t="shared" si="5"/>
        <v>22</v>
      </c>
      <c r="AK62" s="409">
        <f t="shared" si="6"/>
        <v>21</v>
      </c>
      <c r="AL62" s="409">
        <f t="shared" si="7"/>
        <v>21</v>
      </c>
      <c r="AM62" s="409">
        <f t="shared" si="8"/>
        <v>17</v>
      </c>
      <c r="AN62" s="409">
        <f t="shared" si="9"/>
        <v>16</v>
      </c>
      <c r="AO62" s="409">
        <f t="shared" si="10"/>
        <v>21</v>
      </c>
      <c r="AP62" s="409">
        <f t="shared" si="11"/>
        <v>27</v>
      </c>
      <c r="AQ62" s="409">
        <f t="shared" si="12"/>
        <v>26</v>
      </c>
      <c r="AR62" s="409">
        <f t="shared" si="17"/>
        <v>20</v>
      </c>
      <c r="AS62" s="409">
        <f t="shared" si="14"/>
        <v>20</v>
      </c>
      <c r="AT62" s="459">
        <f t="shared" si="18"/>
        <v>21</v>
      </c>
    </row>
    <row r="63" spans="1:46">
      <c r="A63" s="398" t="s">
        <v>74</v>
      </c>
      <c r="B63" s="66">
        <f>+'[1]Jul-1 ResPop-both sexes'!BQ61</f>
        <v>986966</v>
      </c>
      <c r="C63" s="66">
        <f>+'[1]Jul-1 ResPop-both sexes'!BR61</f>
        <v>987704</v>
      </c>
      <c r="D63" s="66">
        <f>+'[1]Jul-1 ResPop-both sexes'!BS61</f>
        <v>990819</v>
      </c>
      <c r="E63" s="66">
        <f>+'[1]Jul-1 ResPop-both sexes'!BT61</f>
        <v>1050268</v>
      </c>
      <c r="F63" s="66">
        <f>+'[1]Jul-1 ResPop-both sexes'!BU61</f>
        <v>1057142</v>
      </c>
      <c r="G63" s="66">
        <f>+'[1]Jul-1 ResPop-both sexes'!BV61</f>
        <v>1065995</v>
      </c>
      <c r="H63" s="66">
        <f>+'[1]Jul-1 ResPop-both sexes'!BW61</f>
        <v>1071342</v>
      </c>
      <c r="I63" s="25">
        <f>+'[1]Jul-1 ResPop-both sexes'!BX61</f>
        <v>1074579</v>
      </c>
      <c r="J63" s="25">
        <f>+'[1]Jul-1 ResPop-both sexes'!BY61</f>
        <v>1067916</v>
      </c>
      <c r="K63" s="25">
        <f>+'[1]Jul-1 ResPop-both sexes'!BZ61</f>
        <v>1063096</v>
      </c>
      <c r="L63" s="25">
        <f>+'[1]Jul-1 ResPop-both sexes'!CA61</f>
        <v>1057315</v>
      </c>
      <c r="M63" s="25">
        <f>+'[1]Jul-1 ResPop-both sexes'!CB61</f>
        <v>1055003</v>
      </c>
      <c r="N63" s="73">
        <f>+'[1]Jul-1 ResPop-both sexes'!CC61</f>
        <v>1053646</v>
      </c>
      <c r="O63" s="73">
        <f>+'[1]Jul-1 ResPop-both sexes'!CD61</f>
        <v>1052769</v>
      </c>
      <c r="P63" s="456">
        <f>+'[1]Jul-1 ResPop-both sexes'!CE61</f>
        <v>1050646</v>
      </c>
      <c r="Q63" s="408">
        <f>('Expenditure DATA'!R62*1000000)/'Per-Capita Data'!B63</f>
        <v>4998.2947740854297</v>
      </c>
      <c r="R63" s="408">
        <f>('Expenditure DATA'!S62*1000000)/'Per-Capita Data'!C63</f>
        <v>5371.0453739176919</v>
      </c>
      <c r="S63" s="408">
        <f>('Expenditure DATA'!T62*1000000)/'Per-Capita Data'!D63</f>
        <v>5637.8440461880527</v>
      </c>
      <c r="T63" s="408">
        <f>('Expenditure DATA'!U62*1000000)/'Per-Capita Data'!E63</f>
        <v>5889.1811423370036</v>
      </c>
      <c r="U63" s="408">
        <f>('Expenditure DATA'!V62*1000000)/'Per-Capita Data'!F63</f>
        <v>6417.6373656519181</v>
      </c>
      <c r="V63" s="408">
        <f>('Expenditure DATA'!W62*1000000)/'Per-Capita Data'!G63</f>
        <v>6779.5383655645664</v>
      </c>
      <c r="W63" s="408">
        <f>('Expenditure DATA'!X62*1000000)/'Per-Capita Data'!H63</f>
        <v>7158.8288333697365</v>
      </c>
      <c r="X63" s="408">
        <f>('Expenditure DATA'!Y62*1000000)/'Per-Capita Data'!I63</f>
        <v>7510.4743345998759</v>
      </c>
      <c r="Y63" s="408">
        <f>('Expenditure DATA'!Z62*1000000)/'Per-Capita Data'!J63</f>
        <v>8069.4539645440282</v>
      </c>
      <c r="Z63" s="408">
        <f>('Expenditure DATA'!AA62*1000000)/'Per-Capita Data'!K63</f>
        <v>8056.1642598598819</v>
      </c>
      <c r="AA63" s="408">
        <f>('Expenditure DATA'!AB62*1000000)/'Per-Capita Data'!L63</f>
        <v>8505.5598378912619</v>
      </c>
      <c r="AB63" s="408">
        <f>('Expenditure DATA'!AC62*1000000)/'Per-Capita Data'!M63</f>
        <v>8476.4194983331799</v>
      </c>
      <c r="AC63" s="408">
        <f>('Expenditure DATA'!AD62*1000000)/'Per-Capita Data'!N63</f>
        <v>8684.8305787712379</v>
      </c>
      <c r="AD63" s="408">
        <f>('Expenditure DATA'!AE62*1000000)/'Per-Capita Data'!O63</f>
        <v>8787.2999679891782</v>
      </c>
      <c r="AE63" s="462">
        <f>('Expenditure DATA'!AF62*1000000)/'Per-Capita Data'!P63</f>
        <v>8861.3072338351831</v>
      </c>
      <c r="AF63" s="409">
        <f t="shared" si="1"/>
        <v>19</v>
      </c>
      <c r="AG63" s="409">
        <f t="shared" si="2"/>
        <v>17</v>
      </c>
      <c r="AH63" s="409">
        <f t="shared" si="3"/>
        <v>18</v>
      </c>
      <c r="AI63" s="409">
        <f t="shared" si="4"/>
        <v>17</v>
      </c>
      <c r="AJ63" s="409">
        <f t="shared" si="5"/>
        <v>13</v>
      </c>
      <c r="AK63" s="409">
        <f t="shared" si="6"/>
        <v>11</v>
      </c>
      <c r="AL63" s="409">
        <f t="shared" si="7"/>
        <v>10</v>
      </c>
      <c r="AM63" s="409">
        <f t="shared" si="8"/>
        <v>10</v>
      </c>
      <c r="AN63" s="409">
        <f t="shared" si="9"/>
        <v>10</v>
      </c>
      <c r="AO63" s="409">
        <f t="shared" si="10"/>
        <v>13</v>
      </c>
      <c r="AP63" s="409">
        <f t="shared" si="11"/>
        <v>14</v>
      </c>
      <c r="AQ63" s="409">
        <f t="shared" si="12"/>
        <v>16</v>
      </c>
      <c r="AR63" s="409">
        <f t="shared" si="17"/>
        <v>16</v>
      </c>
      <c r="AS63" s="409">
        <f t="shared" si="14"/>
        <v>16</v>
      </c>
      <c r="AT63" s="459">
        <f t="shared" si="18"/>
        <v>17</v>
      </c>
    </row>
    <row r="64" spans="1:46">
      <c r="A64" s="399" t="s">
        <v>77</v>
      </c>
      <c r="B64" s="267">
        <f>+'[1]Jul-1 ResPop-both sexes'!BQ62</f>
        <v>588665</v>
      </c>
      <c r="C64" s="267">
        <f>+'[1]Jul-1 ResPop-both sexes'!BR62</f>
        <v>590579</v>
      </c>
      <c r="D64" s="267">
        <f>+'[1]Jul-1 ResPop-both sexes'!BS62</f>
        <v>593740</v>
      </c>
      <c r="E64" s="267">
        <f>+'[1]Jul-1 ResPop-both sexes'!BT62</f>
        <v>609618</v>
      </c>
      <c r="F64" s="267">
        <f>+'[1]Jul-1 ResPop-both sexes'!BU62</f>
        <v>612223</v>
      </c>
      <c r="G64" s="267">
        <f>+'[1]Jul-1 ResPop-both sexes'!BV62</f>
        <v>615442</v>
      </c>
      <c r="H64" s="267">
        <f>+'[1]Jul-1 ResPop-both sexes'!BW62</f>
        <v>617858</v>
      </c>
      <c r="I64" s="213">
        <f>+'[1]Jul-1 ResPop-both sexes'!BX62</f>
        <v>619920</v>
      </c>
      <c r="J64" s="213">
        <f>+'[1]Jul-1 ResPop-both sexes'!BY62</f>
        <v>621215</v>
      </c>
      <c r="K64" s="213">
        <f>+'[1]Jul-1 ResPop-both sexes'!BZ62</f>
        <v>622892</v>
      </c>
      <c r="L64" s="213">
        <f>+'[1]Jul-1 ResPop-both sexes'!CA62</f>
        <v>623481</v>
      </c>
      <c r="M64" s="213">
        <f>+'[1]Jul-1 ResPop-both sexes'!CB62</f>
        <v>624151</v>
      </c>
      <c r="N64" s="112">
        <f>+'[1]Jul-1 ResPop-both sexes'!CC62</f>
        <v>624817</v>
      </c>
      <c r="O64" s="112">
        <f>+'[1]Jul-1 ResPop-both sexes'!CD62</f>
        <v>625916</v>
      </c>
      <c r="P64" s="457">
        <f>+'[1]Jul-1 ResPop-both sexes'!CE62</f>
        <v>626592</v>
      </c>
      <c r="Q64" s="410">
        <f>('Expenditure DATA'!R63*1000000)/'Per-Capita Data'!B64</f>
        <v>5129.9652603772947</v>
      </c>
      <c r="R64" s="410">
        <f>('Expenditure DATA'!S63*1000000)/'Per-Capita Data'!C64</f>
        <v>5147.1640542586174</v>
      </c>
      <c r="S64" s="410">
        <f>('Expenditure DATA'!T63*1000000)/'Per-Capita Data'!D64</f>
        <v>5820.6959275103582</v>
      </c>
      <c r="T64" s="410">
        <f>('Expenditure DATA'!U63*1000000)/'Per-Capita Data'!E64</f>
        <v>5963.4582640276358</v>
      </c>
      <c r="U64" s="410">
        <f>('Expenditure DATA'!V63*1000000)/'Per-Capita Data'!F64</f>
        <v>6231.1984358640557</v>
      </c>
      <c r="V64" s="410">
        <f>('Expenditure DATA'!W63*1000000)/'Per-Capita Data'!G64</f>
        <v>6672.4646676697394</v>
      </c>
      <c r="W64" s="410">
        <f>('Expenditure DATA'!X63*1000000)/'Per-Capita Data'!H64</f>
        <v>7118.3783328855498</v>
      </c>
      <c r="X64" s="410">
        <f>('Expenditure DATA'!Y63*1000000)/'Per-Capita Data'!I64</f>
        <v>7628.8004903858564</v>
      </c>
      <c r="Y64" s="410">
        <f>('Expenditure DATA'!Z63*1000000)/'Per-Capita Data'!J64</f>
        <v>8491.9102082209865</v>
      </c>
      <c r="Z64" s="410">
        <f>('Expenditure DATA'!AA63*1000000)/'Per-Capita Data'!K64</f>
        <v>8464.2313595294199</v>
      </c>
      <c r="AA64" s="410">
        <f>('Expenditure DATA'!AB63*1000000)/'Per-Capita Data'!L64</f>
        <v>8718.9729919596593</v>
      </c>
      <c r="AB64" s="410">
        <f>('Expenditure DATA'!AC63*1000000)/'Per-Capita Data'!M64</f>
        <v>9063.45900270928</v>
      </c>
      <c r="AC64" s="410">
        <f>('Expenditure DATA'!AD63*1000000)/'Per-Capita Data'!N64</f>
        <v>9419.8493318843757</v>
      </c>
      <c r="AD64" s="410">
        <f>('Expenditure DATA'!AE63*1000000)/'Per-Capita Data'!O64</f>
        <v>9863.3570638871661</v>
      </c>
      <c r="AE64" s="463">
        <f>('Expenditure DATA'!AF63*1000000)/'Per-Capita Data'!P64</f>
        <v>9954.0067539962201</v>
      </c>
      <c r="AF64" s="411">
        <f t="shared" si="1"/>
        <v>14</v>
      </c>
      <c r="AG64" s="411">
        <f t="shared" si="2"/>
        <v>20</v>
      </c>
      <c r="AH64" s="411">
        <f t="shared" si="3"/>
        <v>13</v>
      </c>
      <c r="AI64" s="411">
        <f t="shared" si="4"/>
        <v>15</v>
      </c>
      <c r="AJ64" s="411">
        <f t="shared" si="5"/>
        <v>17</v>
      </c>
      <c r="AK64" s="411">
        <f t="shared" si="6"/>
        <v>14</v>
      </c>
      <c r="AL64" s="411">
        <f t="shared" si="7"/>
        <v>12</v>
      </c>
      <c r="AM64" s="411">
        <f t="shared" si="8"/>
        <v>9</v>
      </c>
      <c r="AN64" s="411">
        <f t="shared" si="9"/>
        <v>7</v>
      </c>
      <c r="AO64" s="411">
        <f t="shared" si="10"/>
        <v>9</v>
      </c>
      <c r="AP64" s="411">
        <f t="shared" si="11"/>
        <v>11</v>
      </c>
      <c r="AQ64" s="411">
        <f t="shared" si="12"/>
        <v>11</v>
      </c>
      <c r="AR64" s="411">
        <f t="shared" si="17"/>
        <v>8</v>
      </c>
      <c r="AS64" s="411">
        <f t="shared" si="14"/>
        <v>5</v>
      </c>
      <c r="AT64" s="460">
        <f t="shared" si="18"/>
        <v>7</v>
      </c>
    </row>
    <row r="65" spans="1:46">
      <c r="A65" s="402" t="s">
        <v>133</v>
      </c>
      <c r="B65" s="403">
        <f>+'[1]Jul-1 ResPop-both sexes'!BQ63</f>
        <v>528752</v>
      </c>
      <c r="C65" s="403">
        <f>+'[1]Jul-1 ResPop-both sexes'!BR63</f>
        <v>521426</v>
      </c>
      <c r="D65" s="403">
        <f>+'[1]Jul-1 ResPop-both sexes'!BS63</f>
        <v>519000</v>
      </c>
      <c r="E65" s="403">
        <f>+'[1]Jul-1 ResPop-both sexes'!BT63</f>
        <v>572046</v>
      </c>
      <c r="F65" s="403">
        <f>+'[1]Jul-1 ResPop-both sexes'!BU63</f>
        <v>574504</v>
      </c>
      <c r="G65" s="403">
        <f>+'[1]Jul-1 ResPop-both sexes'!BV63</f>
        <v>573158</v>
      </c>
      <c r="H65" s="403">
        <f>+'[1]Jul-1 ResPop-both sexes'!BW63</f>
        <v>568502</v>
      </c>
      <c r="I65" s="404">
        <f>+'[1]Jul-1 ResPop-both sexes'!BX63</f>
        <v>567754</v>
      </c>
      <c r="J65" s="404">
        <f>+'[1]Jul-1 ResPop-both sexes'!BY63</f>
        <v>567136</v>
      </c>
      <c r="K65" s="404">
        <f>+'[1]Jul-1 ResPop-both sexes'!BZ63</f>
        <v>570681</v>
      </c>
      <c r="L65" s="404">
        <f>+'[1]Jul-1 ResPop-both sexes'!CA63</f>
        <v>574404</v>
      </c>
      <c r="M65" s="404">
        <f>+'[1]Jul-1 ResPop-both sexes'!CB63</f>
        <v>580236</v>
      </c>
      <c r="N65" s="112">
        <f>+'[1]Jul-1 ResPop-both sexes'!CC63</f>
        <v>592228</v>
      </c>
      <c r="O65" s="112">
        <f>+'[1]Jul-1 ResPop-both sexes'!CD63</f>
        <v>604989</v>
      </c>
      <c r="P65" s="457">
        <f>+'[1]Jul-1 ResPop-both sexes'!CE63</f>
        <v>619020</v>
      </c>
      <c r="Q65" s="406">
        <f>('Expenditure DATA'!R64*1000000)/'Per-Capita Data'!B65</f>
        <v>8423.0452083396376</v>
      </c>
      <c r="R65" s="406">
        <f>('Expenditure DATA'!S64*1000000)/'Per-Capita Data'!C65</f>
        <v>8878.8821424324833</v>
      </c>
      <c r="S65" s="406">
        <f>('Expenditure DATA'!T64*1000000)/'Per-Capita Data'!D65</f>
        <v>9926.7244701348754</v>
      </c>
      <c r="T65" s="406">
        <f>('Expenditure DATA'!U64*1000000)/'Per-Capita Data'!E65</f>
        <v>9904.4333847278012</v>
      </c>
      <c r="U65" s="406">
        <f>('Expenditure DATA'!V64*1000000)/'Per-Capita Data'!F65</f>
        <v>10756.431634940749</v>
      </c>
      <c r="V65" s="406">
        <f>('Expenditure DATA'!W64*1000000)/'Per-Capita Data'!G65</f>
        <v>11255.521165193542</v>
      </c>
      <c r="W65" s="406">
        <f>('Expenditure DATA'!X64*1000000)/'Per-Capita Data'!H65</f>
        <v>11825.41310320808</v>
      </c>
      <c r="X65" s="406">
        <f>('Expenditure DATA'!Y64*1000000)/'Per-Capita Data'!I65</f>
        <v>12759.58425656182</v>
      </c>
      <c r="Y65" s="406">
        <f>('Expenditure DATA'!Z64*1000000)/'Per-Capita Data'!J65</f>
        <v>14214.355992213508</v>
      </c>
      <c r="Z65" s="406">
        <f>('Expenditure DATA'!AA64*1000000)/'Per-Capita Data'!K65</f>
        <v>14860.202109409633</v>
      </c>
      <c r="AA65" s="406">
        <f>('Expenditure DATA'!AB64*1000000)/'Per-Capita Data'!L65</f>
        <v>18587.927660670888</v>
      </c>
      <c r="AB65" s="406">
        <f>('Expenditure DATA'!AC64*1000000)/'Per-Capita Data'!M65</f>
        <v>17471.556401188482</v>
      </c>
      <c r="AC65" s="406">
        <f>('Expenditure DATA'!AD64*1000000)/'Per-Capita Data'!N65</f>
        <v>18203.598951755066</v>
      </c>
      <c r="AD65" s="406">
        <f>('Expenditure DATA'!AE64*1000000)/'Per-Capita Data'!O65</f>
        <v>17166.414595967861</v>
      </c>
      <c r="AE65" s="461">
        <f>('Expenditure DATA'!AF64*1000000)/'Per-Capita Data'!P65</f>
        <v>17390.470420988015</v>
      </c>
      <c r="AF65" s="411">
        <f t="shared" si="1"/>
        <v>2</v>
      </c>
      <c r="AG65" s="411">
        <f t="shared" si="2"/>
        <v>2</v>
      </c>
      <c r="AH65" s="411">
        <f t="shared" si="3"/>
        <v>2</v>
      </c>
      <c r="AI65" s="411">
        <f t="shared" si="4"/>
        <v>2</v>
      </c>
      <c r="AJ65" s="411">
        <f t="shared" si="5"/>
        <v>2</v>
      </c>
      <c r="AK65" s="411">
        <f t="shared" si="6"/>
        <v>2</v>
      </c>
      <c r="AL65" s="411">
        <f t="shared" si="7"/>
        <v>2</v>
      </c>
      <c r="AM65" s="411">
        <f t="shared" si="8"/>
        <v>2</v>
      </c>
      <c r="AN65" s="411">
        <f t="shared" si="9"/>
        <v>1</v>
      </c>
      <c r="AO65" s="411">
        <f t="shared" si="10"/>
        <v>2</v>
      </c>
      <c r="AP65" s="411">
        <f t="shared" si="11"/>
        <v>1</v>
      </c>
      <c r="AQ65" s="411">
        <f t="shared" si="12"/>
        <v>2</v>
      </c>
      <c r="AR65" s="411">
        <f t="shared" si="17"/>
        <v>2</v>
      </c>
      <c r="AS65" s="411">
        <f t="shared" si="14"/>
        <v>2</v>
      </c>
      <c r="AT65" s="460">
        <f t="shared" si="18"/>
        <v>2</v>
      </c>
    </row>
    <row r="66" spans="1:46">
      <c r="A66" s="3"/>
      <c r="B66" s="67"/>
      <c r="C66" s="67"/>
      <c r="D66" s="67"/>
      <c r="E66" s="67"/>
      <c r="F66" s="67"/>
      <c r="G66" s="67"/>
      <c r="H66" s="67"/>
      <c r="I66" s="25"/>
      <c r="J66" s="25"/>
      <c r="K66" s="25"/>
      <c r="L66" s="25"/>
      <c r="M66" s="25"/>
      <c r="N66" s="25"/>
      <c r="O66" s="25"/>
      <c r="P66" s="25"/>
      <c r="AS66" s="156"/>
      <c r="AT66" s="156"/>
    </row>
    <row r="67" spans="1:46">
      <c r="A67" s="3"/>
      <c r="B67" s="67"/>
      <c r="C67" s="67"/>
      <c r="D67" s="67"/>
      <c r="E67" s="67"/>
      <c r="F67" s="67"/>
      <c r="G67" s="67"/>
      <c r="H67" s="67"/>
      <c r="I67" s="25"/>
      <c r="J67" s="25"/>
      <c r="K67" s="25"/>
      <c r="L67" s="25"/>
      <c r="M67" s="25"/>
      <c r="N67" s="25"/>
      <c r="O67" s="25"/>
      <c r="P67" s="25"/>
      <c r="AS67" s="156"/>
      <c r="AT67" s="156"/>
    </row>
    <row r="68" spans="1:46">
      <c r="A68" s="3"/>
      <c r="B68" s="67"/>
      <c r="C68" s="67"/>
      <c r="D68" s="67"/>
      <c r="E68" s="67"/>
      <c r="F68" s="67"/>
      <c r="G68" s="67"/>
      <c r="H68" s="67"/>
      <c r="I68" s="25"/>
      <c r="J68" s="25"/>
      <c r="K68" s="25"/>
      <c r="L68" s="25"/>
      <c r="M68" s="25"/>
      <c r="N68" s="25"/>
      <c r="O68" s="25"/>
      <c r="P68" s="25"/>
      <c r="AS68" s="156"/>
      <c r="AT68" s="156"/>
    </row>
    <row r="69" spans="1:46">
      <c r="A69" s="3"/>
      <c r="B69" s="67"/>
      <c r="C69" s="67"/>
      <c r="D69" s="67"/>
      <c r="E69" s="67"/>
      <c r="F69" s="67"/>
      <c r="G69" s="67"/>
      <c r="H69" s="67"/>
      <c r="I69" s="25"/>
      <c r="J69" s="25"/>
      <c r="K69" s="25"/>
      <c r="L69" s="25"/>
      <c r="M69" s="25"/>
      <c r="N69" s="25"/>
      <c r="O69" s="25"/>
      <c r="P69" s="25"/>
      <c r="AS69" s="156"/>
      <c r="AT69" s="156"/>
    </row>
    <row r="70" spans="1:46">
      <c r="A70" s="3"/>
      <c r="B70" s="66"/>
      <c r="C70" s="66"/>
      <c r="D70" s="66"/>
      <c r="E70" s="66"/>
      <c r="F70" s="66"/>
      <c r="G70" s="66"/>
      <c r="H70" s="66"/>
      <c r="I70" s="25"/>
      <c r="J70" s="25"/>
      <c r="K70" s="25"/>
      <c r="L70" s="25"/>
      <c r="M70" s="25"/>
      <c r="N70" s="25"/>
      <c r="O70" s="25"/>
      <c r="P70" s="25"/>
      <c r="AS70" s="156"/>
      <c r="AT70" s="156"/>
    </row>
    <row r="71" spans="1:46">
      <c r="A71" s="3"/>
      <c r="B71" s="170"/>
      <c r="C71" s="170"/>
      <c r="D71" s="170"/>
      <c r="E71" s="170"/>
      <c r="F71" s="170"/>
      <c r="G71" s="170"/>
      <c r="H71" s="170"/>
      <c r="I71" s="25"/>
      <c r="J71" s="25"/>
      <c r="K71" s="25"/>
      <c r="L71" s="25"/>
      <c r="M71" s="25"/>
      <c r="N71" s="25"/>
      <c r="O71" s="25"/>
      <c r="P71" s="25"/>
      <c r="AS71" s="156"/>
      <c r="AT71" s="156"/>
    </row>
    <row r="72" spans="1:46">
      <c r="A72" s="3"/>
      <c r="B72" s="66"/>
      <c r="C72" s="66"/>
      <c r="D72" s="66"/>
      <c r="E72" s="66"/>
      <c r="F72" s="66"/>
      <c r="G72" s="66"/>
      <c r="H72" s="66"/>
      <c r="I72" s="25"/>
      <c r="J72" s="25"/>
      <c r="K72" s="25"/>
      <c r="L72" s="25"/>
      <c r="M72" s="25"/>
      <c r="N72" s="25"/>
      <c r="O72" s="25"/>
      <c r="P72" s="25"/>
      <c r="AS72" s="156"/>
      <c r="AT72" s="156"/>
    </row>
    <row r="73" spans="1:46">
      <c r="A73" s="3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AS73" s="156"/>
      <c r="AT73" s="156"/>
    </row>
    <row r="74" spans="1:46">
      <c r="A74" s="3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AS74" s="156"/>
      <c r="AT74" s="156"/>
    </row>
    <row r="75" spans="1:46">
      <c r="A75" s="3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AS75" s="156"/>
      <c r="AT75" s="156"/>
    </row>
    <row r="76" spans="1:46">
      <c r="A76" s="3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AS76" s="156"/>
      <c r="AT76" s="156"/>
    </row>
    <row r="77" spans="1:46">
      <c r="A77" s="3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AS77" s="156"/>
      <c r="AT77" s="156"/>
    </row>
    <row r="78" spans="1:46">
      <c r="A78" s="3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AS78" s="156"/>
      <c r="AT78" s="156"/>
    </row>
    <row r="79" spans="1:46">
      <c r="A79" s="3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AS79" s="156"/>
      <c r="AT79" s="156"/>
    </row>
    <row r="80" spans="1:46">
      <c r="A80" s="3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AS80" s="156"/>
      <c r="AT80" s="156"/>
    </row>
    <row r="81" spans="1:46">
      <c r="A81" s="3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AS81" s="156"/>
      <c r="AT81" s="156"/>
    </row>
    <row r="82" spans="1:46">
      <c r="A82" s="3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AS82" s="156"/>
      <c r="AT82" s="156"/>
    </row>
    <row r="83" spans="1:46">
      <c r="A83" s="3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AS83" s="156"/>
      <c r="AT83" s="156"/>
    </row>
    <row r="84" spans="1:46">
      <c r="A84" s="3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AS84" s="156"/>
      <c r="AT84" s="156"/>
    </row>
    <row r="85" spans="1:46">
      <c r="A85" s="3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AS85" s="156"/>
      <c r="AT85" s="156"/>
    </row>
    <row r="86" spans="1:46">
      <c r="A86" s="3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AS86" s="156"/>
      <c r="AT86" s="156"/>
    </row>
    <row r="87" spans="1:46">
      <c r="A87" s="3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AS87" s="156"/>
      <c r="AT87" s="156"/>
    </row>
    <row r="88" spans="1:46">
      <c r="A88" s="3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AS88" s="156"/>
      <c r="AT88" s="156"/>
    </row>
    <row r="89" spans="1:46">
      <c r="A89" s="3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AS89" s="156"/>
      <c r="AT89" s="156"/>
    </row>
    <row r="90" spans="1:46">
      <c r="AS90" s="156"/>
      <c r="AT90" s="156"/>
    </row>
    <row r="91" spans="1:46">
      <c r="AS91" s="156"/>
      <c r="AT91" s="156"/>
    </row>
    <row r="92" spans="1:46">
      <c r="AS92" s="156"/>
      <c r="AT92" s="156"/>
    </row>
    <row r="93" spans="1:46">
      <c r="AS93" s="156"/>
      <c r="AT93" s="156"/>
    </row>
    <row r="94" spans="1:46">
      <c r="AS94" s="156"/>
      <c r="AT94" s="156"/>
    </row>
    <row r="95" spans="1:46">
      <c r="AS95" s="156"/>
      <c r="AT95" s="156"/>
    </row>
    <row r="96" spans="1:46">
      <c r="AS96" s="156"/>
      <c r="AT96" s="156"/>
    </row>
    <row r="97" spans="45:46">
      <c r="AS97" s="156"/>
      <c r="AT97" s="156"/>
    </row>
    <row r="98" spans="45:46">
      <c r="AS98" s="156"/>
      <c r="AT98" s="156"/>
    </row>
    <row r="99" spans="45:46">
      <c r="AS99" s="156"/>
      <c r="AT99" s="156"/>
    </row>
    <row r="100" spans="45:46">
      <c r="AS100" s="156"/>
      <c r="AT100" s="156"/>
    </row>
    <row r="101" spans="45:46">
      <c r="AS101" s="156"/>
      <c r="AT101" s="156"/>
    </row>
    <row r="102" spans="45:46">
      <c r="AS102" s="156"/>
      <c r="AT102" s="156"/>
    </row>
    <row r="103" spans="45:46">
      <c r="AS103" s="156"/>
      <c r="AT103" s="156"/>
    </row>
    <row r="104" spans="45:46">
      <c r="AS104" s="156"/>
      <c r="AT104" s="156"/>
    </row>
    <row r="105" spans="45:46">
      <c r="AS105" s="156"/>
      <c r="AT105" s="156"/>
    </row>
    <row r="106" spans="45:46">
      <c r="AS106" s="156"/>
      <c r="AT106" s="156"/>
    </row>
    <row r="107" spans="45:46">
      <c r="AS107" s="156"/>
      <c r="AT107" s="156"/>
    </row>
    <row r="108" spans="45:46">
      <c r="AS108" s="156"/>
      <c r="AT108" s="156"/>
    </row>
    <row r="109" spans="45:46">
      <c r="AS109" s="156"/>
      <c r="AT109" s="156"/>
    </row>
    <row r="110" spans="45:46">
      <c r="AS110" s="156"/>
      <c r="AT110" s="156"/>
    </row>
    <row r="111" spans="45:46">
      <c r="AS111" s="156"/>
      <c r="AT111" s="156"/>
    </row>
    <row r="112" spans="45:46">
      <c r="AS112" s="156"/>
      <c r="AT112" s="156"/>
    </row>
    <row r="113" spans="45:46">
      <c r="AS113" s="156"/>
      <c r="AT113" s="156"/>
    </row>
    <row r="114" spans="45:46">
      <c r="AS114" s="156"/>
      <c r="AT114" s="156"/>
    </row>
    <row r="115" spans="45:46">
      <c r="AS115" s="156"/>
      <c r="AT115" s="156"/>
    </row>
    <row r="116" spans="45:46">
      <c r="AS116" s="156"/>
      <c r="AT116" s="156"/>
    </row>
    <row r="117" spans="45:46">
      <c r="AS117" s="156"/>
      <c r="AT117" s="156"/>
    </row>
    <row r="118" spans="45:46">
      <c r="AS118" s="156"/>
      <c r="AT118" s="156"/>
    </row>
    <row r="119" spans="45:46">
      <c r="AS119" s="156"/>
      <c r="AT119" s="156"/>
    </row>
    <row r="120" spans="45:46">
      <c r="AS120" s="156"/>
      <c r="AT120" s="156"/>
    </row>
    <row r="121" spans="45:46">
      <c r="AS121" s="156"/>
      <c r="AT121" s="156"/>
    </row>
    <row r="122" spans="45:46">
      <c r="AS122" s="156"/>
      <c r="AT122" s="156"/>
    </row>
    <row r="123" spans="45:46">
      <c r="AS123" s="156"/>
      <c r="AT123" s="156"/>
    </row>
    <row r="124" spans="45:46">
      <c r="AS124" s="156"/>
      <c r="AT124" s="156"/>
    </row>
    <row r="125" spans="45:46">
      <c r="AS125" s="156"/>
      <c r="AT125" s="156"/>
    </row>
    <row r="126" spans="45:46">
      <c r="AS126" s="156"/>
      <c r="AT126" s="156"/>
    </row>
    <row r="127" spans="45:46">
      <c r="AS127" s="156"/>
      <c r="AT127" s="156"/>
    </row>
    <row r="128" spans="45:46">
      <c r="AS128" s="156"/>
      <c r="AT128" s="156"/>
    </row>
    <row r="129" spans="45:46">
      <c r="AS129" s="156"/>
      <c r="AT129" s="156"/>
    </row>
    <row r="130" spans="45:46">
      <c r="AS130" s="156"/>
      <c r="AT130" s="156"/>
    </row>
    <row r="131" spans="45:46">
      <c r="AS131" s="156"/>
      <c r="AT131" s="156"/>
    </row>
    <row r="132" spans="45:46">
      <c r="AS132" s="156"/>
      <c r="AT132" s="156"/>
    </row>
    <row r="133" spans="45:46">
      <c r="AS133" s="156"/>
      <c r="AT133" s="156"/>
    </row>
    <row r="134" spans="45:46">
      <c r="AS134" s="156"/>
      <c r="AT134" s="156"/>
    </row>
    <row r="135" spans="45:46">
      <c r="AS135" s="156"/>
      <c r="AT135" s="156"/>
    </row>
    <row r="136" spans="45:46">
      <c r="AS136" s="156"/>
      <c r="AT136" s="156"/>
    </row>
    <row r="137" spans="45:46">
      <c r="AS137" s="156"/>
      <c r="AT137" s="156"/>
    </row>
    <row r="138" spans="45:46">
      <c r="AS138" s="156"/>
      <c r="AT138" s="156"/>
    </row>
    <row r="139" spans="45:46">
      <c r="AS139" s="156"/>
      <c r="AT139" s="156"/>
    </row>
    <row r="140" spans="45:46">
      <c r="AS140" s="156"/>
      <c r="AT140" s="156"/>
    </row>
    <row r="141" spans="45:46">
      <c r="AS141" s="156"/>
      <c r="AT141" s="156"/>
    </row>
    <row r="142" spans="45:46">
      <c r="AS142" s="156"/>
      <c r="AT142" s="156"/>
    </row>
    <row r="143" spans="45:46">
      <c r="AS143" s="156"/>
      <c r="AT143" s="156"/>
    </row>
    <row r="144" spans="45:46">
      <c r="AS144" s="156"/>
      <c r="AT144" s="156"/>
    </row>
    <row r="145" spans="45:46">
      <c r="AS145" s="156"/>
      <c r="AT145" s="156"/>
    </row>
    <row r="146" spans="45:46">
      <c r="AS146" s="156"/>
      <c r="AT146" s="156"/>
    </row>
    <row r="147" spans="45:46">
      <c r="AS147" s="156"/>
      <c r="AT147" s="156"/>
    </row>
    <row r="148" spans="45:46">
      <c r="AS148" s="156"/>
      <c r="AT148" s="156"/>
    </row>
    <row r="149" spans="45:46">
      <c r="AS149" s="156"/>
      <c r="AT149" s="156"/>
    </row>
    <row r="150" spans="45:46">
      <c r="AS150" s="156"/>
      <c r="AT150" s="156"/>
    </row>
    <row r="151" spans="45:46">
      <c r="AS151" s="156"/>
      <c r="AT151" s="156"/>
    </row>
    <row r="152" spans="45:46">
      <c r="AS152" s="156"/>
      <c r="AT152" s="156"/>
    </row>
    <row r="153" spans="45:46">
      <c r="AS153" s="156"/>
      <c r="AT153" s="156"/>
    </row>
    <row r="154" spans="45:46">
      <c r="AS154" s="156"/>
      <c r="AT154" s="156"/>
    </row>
    <row r="155" spans="45:46">
      <c r="AS155" s="156"/>
      <c r="AT155" s="156"/>
    </row>
    <row r="156" spans="45:46">
      <c r="AS156" s="156"/>
      <c r="AT156" s="156"/>
    </row>
    <row r="157" spans="45:46">
      <c r="AS157" s="156"/>
      <c r="AT157" s="156"/>
    </row>
    <row r="158" spans="45:46">
      <c r="AS158" s="156"/>
      <c r="AT158" s="156"/>
    </row>
    <row r="159" spans="45:46">
      <c r="AS159" s="156"/>
      <c r="AT159" s="156"/>
    </row>
    <row r="160" spans="45:46">
      <c r="AS160" s="156"/>
      <c r="AT160" s="156"/>
    </row>
    <row r="161" spans="45:46">
      <c r="AS161" s="156"/>
      <c r="AT161" s="156"/>
    </row>
    <row r="162" spans="45:46">
      <c r="AS162" s="156"/>
      <c r="AT162" s="156"/>
    </row>
    <row r="163" spans="45:46">
      <c r="AS163" s="156"/>
      <c r="AT163" s="156"/>
    </row>
    <row r="164" spans="45:46">
      <c r="AS164" s="156"/>
      <c r="AT164" s="156"/>
    </row>
    <row r="165" spans="45:46">
      <c r="AS165" s="156"/>
      <c r="AT165" s="156"/>
    </row>
    <row r="166" spans="45:46">
      <c r="AS166" s="156"/>
      <c r="AT166" s="156"/>
    </row>
    <row r="167" spans="45:46">
      <c r="AS167" s="156"/>
      <c r="AT167" s="156"/>
    </row>
    <row r="168" spans="45:46">
      <c r="AS168" s="156"/>
      <c r="AT168" s="156"/>
    </row>
    <row r="169" spans="45:46">
      <c r="AS169" s="156"/>
      <c r="AT169" s="156"/>
    </row>
    <row r="170" spans="45:46">
      <c r="AS170" s="156"/>
      <c r="AT170" s="156"/>
    </row>
    <row r="171" spans="45:46">
      <c r="AS171" s="156"/>
      <c r="AT171" s="156"/>
    </row>
    <row r="172" spans="45:46">
      <c r="AS172" s="156"/>
      <c r="AT172" s="156"/>
    </row>
    <row r="173" spans="45:46">
      <c r="AS173" s="156"/>
      <c r="AT173" s="156"/>
    </row>
    <row r="174" spans="45:46">
      <c r="AS174" s="156"/>
      <c r="AT174" s="156"/>
    </row>
    <row r="175" spans="45:46">
      <c r="AS175" s="156"/>
      <c r="AT175" s="156"/>
    </row>
    <row r="176" spans="45:46">
      <c r="AS176" s="156"/>
      <c r="AT176" s="156"/>
    </row>
    <row r="177" spans="45:46">
      <c r="AS177" s="156"/>
      <c r="AT177" s="156"/>
    </row>
    <row r="178" spans="45:46">
      <c r="AS178" s="156"/>
      <c r="AT178" s="156"/>
    </row>
    <row r="179" spans="45:46">
      <c r="AS179" s="156"/>
      <c r="AT179" s="156"/>
    </row>
    <row r="180" spans="45:46">
      <c r="AS180" s="156"/>
      <c r="AT180" s="156"/>
    </row>
    <row r="181" spans="45:46">
      <c r="AS181" s="156"/>
      <c r="AT181" s="156"/>
    </row>
    <row r="182" spans="45:46">
      <c r="AS182" s="156"/>
      <c r="AT182" s="156"/>
    </row>
    <row r="183" spans="45:46">
      <c r="AS183" s="156"/>
      <c r="AT183" s="156"/>
    </row>
    <row r="184" spans="45:46">
      <c r="AS184" s="156"/>
      <c r="AT184" s="156"/>
    </row>
    <row r="185" spans="45:46">
      <c r="AS185" s="156"/>
      <c r="AT185" s="156"/>
    </row>
    <row r="186" spans="45:46">
      <c r="AS186" s="156"/>
      <c r="AT186" s="156"/>
    </row>
    <row r="187" spans="45:46">
      <c r="AS187" s="156"/>
      <c r="AT187" s="156"/>
    </row>
    <row r="188" spans="45:46">
      <c r="AS188" s="156"/>
      <c r="AT188" s="156"/>
    </row>
    <row r="189" spans="45:46">
      <c r="AS189" s="156"/>
      <c r="AT189" s="156"/>
    </row>
    <row r="190" spans="45:46">
      <c r="AS190" s="156"/>
      <c r="AT190" s="156"/>
    </row>
    <row r="191" spans="45:46">
      <c r="AS191" s="156"/>
      <c r="AT191" s="156"/>
    </row>
    <row r="192" spans="45:46">
      <c r="AS192" s="156"/>
      <c r="AT192" s="156"/>
    </row>
    <row r="193" spans="45:46">
      <c r="AS193" s="156"/>
      <c r="AT193" s="156"/>
    </row>
    <row r="194" spans="45:46">
      <c r="AS194" s="156"/>
      <c r="AT194" s="156"/>
    </row>
    <row r="195" spans="45:46">
      <c r="AS195" s="156"/>
      <c r="AT195" s="156"/>
    </row>
    <row r="196" spans="45:46">
      <c r="AS196" s="156"/>
      <c r="AT196" s="156"/>
    </row>
    <row r="197" spans="45:46">
      <c r="AS197" s="156"/>
      <c r="AT197" s="156"/>
    </row>
    <row r="198" spans="45:46">
      <c r="AS198" s="156"/>
      <c r="AT198" s="156"/>
    </row>
    <row r="199" spans="45:46">
      <c r="AS199" s="156"/>
      <c r="AT199" s="156"/>
    </row>
    <row r="200" spans="45:46">
      <c r="AS200" s="156"/>
      <c r="AT200" s="156"/>
    </row>
    <row r="201" spans="45:46">
      <c r="AS201" s="156"/>
      <c r="AT201" s="156"/>
    </row>
    <row r="202" spans="45:46">
      <c r="AS202" s="156"/>
      <c r="AT202" s="156"/>
    </row>
    <row r="203" spans="45:46">
      <c r="AS203" s="156"/>
      <c r="AT203" s="156"/>
    </row>
    <row r="204" spans="45:46">
      <c r="AS204" s="156"/>
      <c r="AT204" s="156"/>
    </row>
    <row r="205" spans="45:46">
      <c r="AS205" s="156"/>
      <c r="AT205" s="156"/>
    </row>
    <row r="206" spans="45:46">
      <c r="AS206" s="156"/>
      <c r="AT206" s="156"/>
    </row>
    <row r="207" spans="45:46">
      <c r="AS207" s="156"/>
      <c r="AT207" s="156"/>
    </row>
    <row r="208" spans="45:46">
      <c r="AS208" s="156"/>
      <c r="AT208" s="156"/>
    </row>
    <row r="209" spans="45:46">
      <c r="AS209" s="156"/>
      <c r="AT209" s="156"/>
    </row>
    <row r="210" spans="45:46">
      <c r="AS210" s="156"/>
      <c r="AT210" s="156"/>
    </row>
    <row r="211" spans="45:46">
      <c r="AS211" s="156"/>
      <c r="AT211" s="156"/>
    </row>
    <row r="212" spans="45:46">
      <c r="AS212" s="156"/>
      <c r="AT212" s="156"/>
    </row>
    <row r="213" spans="45:46">
      <c r="AS213" s="156"/>
      <c r="AT213" s="156"/>
    </row>
    <row r="214" spans="45:46">
      <c r="AS214" s="156"/>
      <c r="AT214" s="156"/>
    </row>
    <row r="215" spans="45:46">
      <c r="AS215" s="156"/>
      <c r="AT215" s="156"/>
    </row>
    <row r="216" spans="45:46">
      <c r="AS216" s="156"/>
      <c r="AT216" s="156"/>
    </row>
    <row r="217" spans="45:46">
      <c r="AS217" s="156"/>
      <c r="AT217" s="156"/>
    </row>
    <row r="218" spans="45:46">
      <c r="AS218" s="156"/>
      <c r="AT218" s="156"/>
    </row>
    <row r="219" spans="45:46">
      <c r="AS219" s="156"/>
      <c r="AT219" s="156"/>
    </row>
    <row r="220" spans="45:46">
      <c r="AS220" s="156"/>
      <c r="AT220" s="156"/>
    </row>
    <row r="221" spans="45:46">
      <c r="AS221" s="156"/>
      <c r="AT221" s="156"/>
    </row>
    <row r="222" spans="45:46">
      <c r="AS222" s="156"/>
      <c r="AT222" s="156"/>
    </row>
    <row r="223" spans="45:46">
      <c r="AS223" s="156"/>
      <c r="AT223" s="156"/>
    </row>
    <row r="224" spans="45:46">
      <c r="AS224" s="156"/>
      <c r="AT224" s="156"/>
    </row>
    <row r="225" spans="45:46">
      <c r="AS225" s="156"/>
      <c r="AT225" s="156"/>
    </row>
    <row r="226" spans="45:46">
      <c r="AS226" s="156"/>
      <c r="AT226" s="156"/>
    </row>
    <row r="227" spans="45:46">
      <c r="AS227" s="156"/>
      <c r="AT227" s="156"/>
    </row>
    <row r="228" spans="45:46">
      <c r="AS228" s="156"/>
      <c r="AT228" s="156"/>
    </row>
    <row r="229" spans="45:46">
      <c r="AS229" s="156"/>
      <c r="AT229" s="156"/>
    </row>
    <row r="230" spans="45:46">
      <c r="AS230" s="156"/>
      <c r="AT230" s="156"/>
    </row>
    <row r="231" spans="45:46">
      <c r="AS231" s="156"/>
      <c r="AT231" s="156"/>
    </row>
    <row r="232" spans="45:46">
      <c r="AS232" s="156"/>
      <c r="AT232" s="156"/>
    </row>
    <row r="233" spans="45:46">
      <c r="AS233" s="156"/>
      <c r="AT233" s="156"/>
    </row>
    <row r="234" spans="45:46">
      <c r="AS234" s="156"/>
      <c r="AT234" s="156"/>
    </row>
    <row r="235" spans="45:46">
      <c r="AS235" s="156"/>
      <c r="AT235" s="156"/>
    </row>
    <row r="236" spans="45:46">
      <c r="AS236" s="156"/>
      <c r="AT236" s="156"/>
    </row>
    <row r="237" spans="45:46">
      <c r="AS237" s="156"/>
      <c r="AT237" s="156"/>
    </row>
    <row r="238" spans="45:46">
      <c r="AS238" s="156"/>
      <c r="AT238" s="156"/>
    </row>
    <row r="239" spans="45:46">
      <c r="AS239" s="156"/>
      <c r="AT239" s="156"/>
    </row>
    <row r="240" spans="45:46">
      <c r="AS240" s="156"/>
      <c r="AT240" s="156"/>
    </row>
    <row r="241" spans="45:46">
      <c r="AS241" s="156"/>
      <c r="AT241" s="156"/>
    </row>
    <row r="242" spans="45:46">
      <c r="AS242" s="156"/>
      <c r="AT242" s="156"/>
    </row>
    <row r="243" spans="45:46">
      <c r="AS243" s="156"/>
      <c r="AT243" s="156"/>
    </row>
    <row r="244" spans="45:46">
      <c r="AS244" s="156"/>
      <c r="AT244" s="156"/>
    </row>
    <row r="245" spans="45:46">
      <c r="AS245" s="156"/>
      <c r="AT245" s="156"/>
    </row>
    <row r="246" spans="45:46">
      <c r="AS246" s="156"/>
      <c r="AT246" s="156"/>
    </row>
    <row r="247" spans="45:46">
      <c r="AS247" s="156"/>
      <c r="AT247" s="156"/>
    </row>
    <row r="248" spans="45:46">
      <c r="AS248" s="156"/>
      <c r="AT248" s="156"/>
    </row>
    <row r="249" spans="45:46">
      <c r="AS249" s="156"/>
      <c r="AT249" s="156"/>
    </row>
    <row r="250" spans="45:46">
      <c r="AS250" s="156"/>
      <c r="AT250" s="156"/>
    </row>
    <row r="251" spans="45:46">
      <c r="AS251" s="156"/>
      <c r="AT251" s="156"/>
    </row>
    <row r="252" spans="45:46">
      <c r="AS252" s="156"/>
      <c r="AT252" s="156"/>
    </row>
    <row r="253" spans="45:46">
      <c r="AS253" s="156"/>
      <c r="AT253" s="156"/>
    </row>
    <row r="254" spans="45:46">
      <c r="AS254" s="156"/>
      <c r="AT254" s="156"/>
    </row>
    <row r="255" spans="45:46">
      <c r="AS255" s="156"/>
      <c r="AT255" s="156"/>
    </row>
    <row r="256" spans="45:46">
      <c r="AS256" s="156"/>
      <c r="AT256" s="156"/>
    </row>
    <row r="257" spans="45:46">
      <c r="AS257" s="156"/>
      <c r="AT257" s="156"/>
    </row>
    <row r="258" spans="45:46">
      <c r="AS258" s="156"/>
      <c r="AT258" s="156"/>
    </row>
    <row r="259" spans="45:46">
      <c r="AS259" s="156"/>
      <c r="AT259" s="156"/>
    </row>
    <row r="260" spans="45:46">
      <c r="AS260" s="156"/>
      <c r="AT260" s="156"/>
    </row>
    <row r="261" spans="45:46">
      <c r="AS261" s="156"/>
      <c r="AT261" s="156"/>
    </row>
  </sheetData>
  <phoneticPr fontId="8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Table 15</vt:lpstr>
      <vt:lpstr>Table 18</vt:lpstr>
      <vt:lpstr>Expenditure DATA</vt:lpstr>
      <vt:lpstr>% distribution trends</vt:lpstr>
      <vt:lpstr>Per-Capita Data</vt:lpstr>
      <vt:lpstr>'Table 15'!Print_Area</vt:lpstr>
      <vt:lpstr>'Table 18'!Print_Area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L. Marks</dc:creator>
  <cp:lastModifiedBy>Susan Lounsbury</cp:lastModifiedBy>
  <cp:lastPrinted>2015-08-13T19:56:12Z</cp:lastPrinted>
  <dcterms:created xsi:type="dcterms:W3CDTF">1999-02-02T21:22:20Z</dcterms:created>
  <dcterms:modified xsi:type="dcterms:W3CDTF">2015-10-28T18:58:43Z</dcterms:modified>
</cp:coreProperties>
</file>