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585" yWindow="-15" windowWidth="9630" windowHeight="8595"/>
  </bookViews>
  <sheets>
    <sheet name="Table 56" sheetId="1" r:id="rId1"/>
    <sheet name="Total Master's" sheetId="2" r:id="rId2"/>
    <sheet name="Public" sheetId="3" r:id="rId3"/>
    <sheet name="Gender" sheetId="4" r:id="rId4"/>
    <sheet name="All Races" sheetId="5" r:id="rId5"/>
    <sheet name="Black" sheetId="6" r:id="rId6"/>
    <sheet name="Hispanic &amp; Foreign" sheetId="8" r:id="rId7"/>
    <sheet name="Women as a % of total" sheetId="7" r:id="rId8"/>
  </sheets>
  <definedNames>
    <definedName name="_xlnm.Print_Area" localSheetId="0">'Table 56'!$A$1:$P$74</definedName>
  </definedNames>
  <calcPr calcId="145621"/>
</workbook>
</file>

<file path=xl/calcChain.xml><?xml version="1.0" encoding="utf-8"?>
<calcChain xmlns="http://schemas.openxmlformats.org/spreadsheetml/2006/main">
  <c r="AR52" i="4" l="1"/>
  <c r="O67" i="1" l="1"/>
  <c r="O66" i="1"/>
  <c r="O65" i="1"/>
  <c r="O64" i="1"/>
  <c r="O63" i="1"/>
  <c r="O62" i="1"/>
  <c r="O61" i="1"/>
  <c r="O60" i="1"/>
  <c r="O59" i="1"/>
  <c r="O58" i="1"/>
  <c r="O56" i="1"/>
  <c r="O55" i="1"/>
  <c r="O54" i="1"/>
  <c r="O53" i="1"/>
  <c r="O52" i="1"/>
  <c r="O51" i="1"/>
  <c r="O50" i="1"/>
  <c r="O49" i="1"/>
  <c r="O48" i="1"/>
  <c r="O47" i="1"/>
  <c r="O46" i="1"/>
  <c r="O45" i="1"/>
  <c r="O44" i="1"/>
  <c r="O42" i="1"/>
  <c r="O41" i="1"/>
  <c r="O40" i="1"/>
  <c r="O39" i="1"/>
  <c r="O38" i="1"/>
  <c r="O37" i="1"/>
  <c r="O36" i="1"/>
  <c r="O35" i="1"/>
  <c r="O34" i="1"/>
  <c r="O33" i="1"/>
  <c r="O32" i="1"/>
  <c r="O31" i="1"/>
  <c r="O30" i="1"/>
  <c r="O29" i="1"/>
  <c r="O27" i="1"/>
  <c r="O26" i="1"/>
  <c r="O25" i="1"/>
  <c r="O24" i="1"/>
  <c r="O23" i="1"/>
  <c r="O22" i="1"/>
  <c r="O21" i="1"/>
  <c r="O20" i="1"/>
  <c r="O19" i="1"/>
  <c r="O18" i="1"/>
  <c r="O17" i="1"/>
  <c r="O16" i="1"/>
  <c r="O15" i="1"/>
  <c r="O14" i="1"/>
  <c r="O13" i="1"/>
  <c r="O12" i="1"/>
  <c r="O11" i="1"/>
  <c r="O9" i="1"/>
  <c r="O8" i="1"/>
  <c r="P67" i="1"/>
  <c r="P66" i="1"/>
  <c r="P65" i="1"/>
  <c r="P64" i="1"/>
  <c r="P63" i="1"/>
  <c r="P62" i="1"/>
  <c r="P61" i="1"/>
  <c r="P60" i="1"/>
  <c r="P59" i="1"/>
  <c r="P58" i="1"/>
  <c r="P56" i="1"/>
  <c r="P55" i="1"/>
  <c r="P54" i="1"/>
  <c r="P53" i="1"/>
  <c r="P52" i="1"/>
  <c r="P51" i="1"/>
  <c r="P50" i="1"/>
  <c r="P49" i="1"/>
  <c r="P48" i="1"/>
  <c r="P47" i="1"/>
  <c r="P46" i="1"/>
  <c r="P45" i="1"/>
  <c r="P44" i="1"/>
  <c r="P42" i="1"/>
  <c r="P41" i="1"/>
  <c r="P40" i="1"/>
  <c r="P39" i="1"/>
  <c r="P38" i="1"/>
  <c r="P37" i="1"/>
  <c r="P36" i="1"/>
  <c r="P35" i="1"/>
  <c r="P34" i="1"/>
  <c r="P33" i="1"/>
  <c r="P32" i="1"/>
  <c r="P31" i="1"/>
  <c r="P30" i="1"/>
  <c r="P29" i="1"/>
  <c r="P27" i="1"/>
  <c r="P26" i="1"/>
  <c r="P25" i="1"/>
  <c r="P24" i="1"/>
  <c r="P23" i="1"/>
  <c r="P22" i="1"/>
  <c r="P21" i="1"/>
  <c r="P20" i="1"/>
  <c r="P19" i="1"/>
  <c r="P18" i="1"/>
  <c r="P17" i="1"/>
  <c r="P16" i="1"/>
  <c r="P15" i="1"/>
  <c r="P14" i="1"/>
  <c r="P13" i="1"/>
  <c r="P12" i="1"/>
  <c r="P11" i="1"/>
  <c r="P9" i="1"/>
  <c r="P8" i="1"/>
  <c r="N67" i="1"/>
  <c r="N66" i="1"/>
  <c r="N65" i="1"/>
  <c r="N64" i="1"/>
  <c r="N63" i="1"/>
  <c r="N62" i="1"/>
  <c r="N61" i="1"/>
  <c r="N60" i="1"/>
  <c r="N59" i="1"/>
  <c r="N58" i="1"/>
  <c r="N56" i="1"/>
  <c r="N55" i="1"/>
  <c r="N54" i="1"/>
  <c r="N53" i="1"/>
  <c r="N52" i="1"/>
  <c r="N51" i="1"/>
  <c r="N50" i="1"/>
  <c r="N49" i="1"/>
  <c r="N48" i="1"/>
  <c r="N47" i="1"/>
  <c r="N46" i="1"/>
  <c r="N45" i="1"/>
  <c r="N44" i="1"/>
  <c r="N42" i="1"/>
  <c r="N41" i="1"/>
  <c r="N40" i="1"/>
  <c r="N39" i="1"/>
  <c r="N38" i="1"/>
  <c r="N37" i="1"/>
  <c r="N36" i="1"/>
  <c r="N35" i="1"/>
  <c r="N34" i="1"/>
  <c r="N33" i="1"/>
  <c r="N32" i="1"/>
  <c r="N31" i="1"/>
  <c r="N30" i="1"/>
  <c r="N29" i="1"/>
  <c r="N27" i="1"/>
  <c r="N26" i="1"/>
  <c r="N25" i="1"/>
  <c r="N24" i="1"/>
  <c r="N23" i="1"/>
  <c r="N22" i="1"/>
  <c r="N21" i="1"/>
  <c r="N20" i="1"/>
  <c r="N19" i="1"/>
  <c r="N18" i="1"/>
  <c r="N17" i="1"/>
  <c r="N16" i="1"/>
  <c r="N15" i="1"/>
  <c r="N14" i="1"/>
  <c r="N13" i="1"/>
  <c r="N12" i="1"/>
  <c r="N11" i="1"/>
  <c r="N9" i="1"/>
  <c r="N8" i="1"/>
  <c r="M67" i="1"/>
  <c r="M66" i="1"/>
  <c r="M65" i="1"/>
  <c r="M64" i="1"/>
  <c r="M63" i="1"/>
  <c r="M62" i="1"/>
  <c r="M61" i="1"/>
  <c r="M60" i="1"/>
  <c r="M59" i="1"/>
  <c r="M58" i="1"/>
  <c r="M56" i="1"/>
  <c r="M55" i="1"/>
  <c r="M54" i="1"/>
  <c r="M53" i="1"/>
  <c r="M52" i="1"/>
  <c r="M51" i="1"/>
  <c r="M50" i="1"/>
  <c r="M49" i="1"/>
  <c r="M48" i="1"/>
  <c r="M47" i="1"/>
  <c r="M46" i="1"/>
  <c r="M45" i="1"/>
  <c r="M44" i="1"/>
  <c r="M42" i="1"/>
  <c r="M41" i="1"/>
  <c r="M40" i="1"/>
  <c r="M39" i="1"/>
  <c r="M38" i="1"/>
  <c r="M37" i="1"/>
  <c r="M36" i="1"/>
  <c r="M35" i="1"/>
  <c r="M34" i="1"/>
  <c r="M33" i="1"/>
  <c r="M32" i="1"/>
  <c r="M31" i="1"/>
  <c r="M30" i="1"/>
  <c r="M29" i="1"/>
  <c r="M27" i="1"/>
  <c r="M26" i="1"/>
  <c r="M25" i="1"/>
  <c r="M24" i="1"/>
  <c r="M23" i="1"/>
  <c r="M22" i="1"/>
  <c r="M21" i="1"/>
  <c r="M20" i="1"/>
  <c r="M19" i="1"/>
  <c r="M18" i="1"/>
  <c r="M17" i="1"/>
  <c r="M16" i="1"/>
  <c r="M15" i="1"/>
  <c r="M14" i="1"/>
  <c r="M13" i="1"/>
  <c r="M12" i="1"/>
  <c r="M11" i="1"/>
  <c r="M9" i="1"/>
  <c r="M8" i="1"/>
  <c r="L67" i="1"/>
  <c r="L66" i="1"/>
  <c r="L65" i="1"/>
  <c r="L64" i="1"/>
  <c r="L63" i="1"/>
  <c r="L62" i="1"/>
  <c r="L61" i="1"/>
  <c r="L60" i="1"/>
  <c r="L59" i="1"/>
  <c r="L58" i="1"/>
  <c r="L56" i="1"/>
  <c r="L55" i="1"/>
  <c r="L54" i="1"/>
  <c r="L53" i="1"/>
  <c r="L52" i="1"/>
  <c r="L51" i="1"/>
  <c r="L50" i="1"/>
  <c r="L49" i="1"/>
  <c r="L48" i="1"/>
  <c r="L47" i="1"/>
  <c r="L46" i="1"/>
  <c r="L45" i="1"/>
  <c r="L44" i="1"/>
  <c r="L42" i="1"/>
  <c r="L41" i="1"/>
  <c r="L40" i="1"/>
  <c r="L39" i="1"/>
  <c r="L38" i="1"/>
  <c r="L37" i="1"/>
  <c r="L36" i="1"/>
  <c r="L35" i="1"/>
  <c r="L34" i="1"/>
  <c r="L33" i="1"/>
  <c r="L32" i="1"/>
  <c r="L31" i="1"/>
  <c r="L30" i="1"/>
  <c r="L29" i="1"/>
  <c r="L27" i="1"/>
  <c r="L26" i="1"/>
  <c r="L25" i="1"/>
  <c r="L24" i="1"/>
  <c r="L23" i="1"/>
  <c r="L22" i="1"/>
  <c r="L21" i="1"/>
  <c r="L20" i="1"/>
  <c r="L19" i="1"/>
  <c r="L18" i="1"/>
  <c r="L17" i="1"/>
  <c r="L16" i="1"/>
  <c r="L15" i="1"/>
  <c r="L14" i="1"/>
  <c r="L13" i="1"/>
  <c r="L12" i="1"/>
  <c r="L11" i="1"/>
  <c r="L9" i="1"/>
  <c r="L8" i="1"/>
  <c r="K67" i="1"/>
  <c r="K66" i="1"/>
  <c r="K65" i="1"/>
  <c r="K64" i="1"/>
  <c r="K63" i="1"/>
  <c r="K62" i="1"/>
  <c r="K61" i="1"/>
  <c r="K60" i="1"/>
  <c r="K59" i="1"/>
  <c r="K58" i="1"/>
  <c r="K56" i="1"/>
  <c r="K55" i="1"/>
  <c r="K54" i="1"/>
  <c r="K53" i="1"/>
  <c r="K52" i="1"/>
  <c r="K51" i="1"/>
  <c r="K50" i="1"/>
  <c r="K49" i="1"/>
  <c r="K48" i="1"/>
  <c r="K47" i="1"/>
  <c r="K46" i="1"/>
  <c r="K45" i="1"/>
  <c r="K44" i="1"/>
  <c r="K42" i="1"/>
  <c r="K41" i="1"/>
  <c r="K40" i="1"/>
  <c r="K39" i="1"/>
  <c r="K38" i="1"/>
  <c r="K37" i="1"/>
  <c r="K36" i="1"/>
  <c r="K35" i="1"/>
  <c r="K34" i="1"/>
  <c r="K33" i="1"/>
  <c r="K32" i="1"/>
  <c r="K31" i="1"/>
  <c r="K30" i="1"/>
  <c r="K29" i="1"/>
  <c r="K27" i="1"/>
  <c r="K26" i="1"/>
  <c r="K25" i="1"/>
  <c r="K24" i="1"/>
  <c r="K23" i="1"/>
  <c r="K22" i="1"/>
  <c r="K21" i="1"/>
  <c r="K20" i="1"/>
  <c r="K19" i="1"/>
  <c r="K18" i="1"/>
  <c r="K17" i="1"/>
  <c r="K16" i="1"/>
  <c r="K15" i="1"/>
  <c r="K14" i="1"/>
  <c r="K13" i="1"/>
  <c r="K12" i="1"/>
  <c r="K11" i="1"/>
  <c r="K9" i="1"/>
  <c r="K8" i="1"/>
  <c r="J67" i="1"/>
  <c r="J66" i="1"/>
  <c r="J65" i="1"/>
  <c r="J64" i="1"/>
  <c r="J63" i="1"/>
  <c r="J62" i="1"/>
  <c r="J61" i="1"/>
  <c r="J60" i="1"/>
  <c r="J59" i="1"/>
  <c r="J58" i="1"/>
  <c r="J56" i="1"/>
  <c r="J55" i="1"/>
  <c r="J54" i="1"/>
  <c r="J53" i="1"/>
  <c r="J52" i="1"/>
  <c r="J51" i="1"/>
  <c r="J50" i="1"/>
  <c r="J49" i="1"/>
  <c r="J48" i="1"/>
  <c r="J47" i="1"/>
  <c r="J46" i="1"/>
  <c r="J45" i="1"/>
  <c r="J44" i="1"/>
  <c r="J42" i="1"/>
  <c r="J41" i="1"/>
  <c r="J40" i="1"/>
  <c r="J39" i="1"/>
  <c r="J38" i="1"/>
  <c r="J37" i="1"/>
  <c r="J36" i="1"/>
  <c r="J35" i="1"/>
  <c r="J34" i="1"/>
  <c r="J33" i="1"/>
  <c r="J32" i="1"/>
  <c r="J31" i="1"/>
  <c r="J30" i="1"/>
  <c r="J29" i="1"/>
  <c r="J27" i="1"/>
  <c r="J26" i="1"/>
  <c r="J25" i="1"/>
  <c r="J24" i="1"/>
  <c r="J23" i="1"/>
  <c r="J22" i="1"/>
  <c r="J21" i="1"/>
  <c r="J20" i="1"/>
  <c r="J19" i="1"/>
  <c r="J18" i="1"/>
  <c r="J17" i="1"/>
  <c r="J16" i="1"/>
  <c r="J15" i="1"/>
  <c r="J14" i="1"/>
  <c r="J13" i="1"/>
  <c r="J12" i="1"/>
  <c r="J11" i="1"/>
  <c r="J9" i="1"/>
  <c r="J8" i="1"/>
  <c r="I67" i="1"/>
  <c r="I66" i="1"/>
  <c r="I65" i="1"/>
  <c r="I64" i="1"/>
  <c r="I63" i="1"/>
  <c r="I62" i="1"/>
  <c r="I61" i="1"/>
  <c r="I60" i="1"/>
  <c r="I59" i="1"/>
  <c r="I58" i="1"/>
  <c r="I56" i="1"/>
  <c r="I55" i="1"/>
  <c r="I54" i="1"/>
  <c r="I53" i="1"/>
  <c r="I52" i="1"/>
  <c r="I51" i="1"/>
  <c r="I50" i="1"/>
  <c r="I49" i="1"/>
  <c r="I48" i="1"/>
  <c r="I47" i="1"/>
  <c r="I46" i="1"/>
  <c r="I45" i="1"/>
  <c r="I44" i="1"/>
  <c r="I42" i="1"/>
  <c r="I41" i="1"/>
  <c r="I40" i="1"/>
  <c r="I39" i="1"/>
  <c r="I38" i="1"/>
  <c r="I37" i="1"/>
  <c r="I36" i="1"/>
  <c r="I35" i="1"/>
  <c r="I34" i="1"/>
  <c r="I33" i="1"/>
  <c r="I32" i="1"/>
  <c r="I31" i="1"/>
  <c r="I30" i="1"/>
  <c r="I29" i="1"/>
  <c r="I27" i="1"/>
  <c r="I26" i="1"/>
  <c r="I25" i="1"/>
  <c r="I24" i="1"/>
  <c r="I23" i="1"/>
  <c r="I22" i="1"/>
  <c r="I21" i="1"/>
  <c r="I20" i="1"/>
  <c r="I19" i="1"/>
  <c r="I18" i="1"/>
  <c r="I17" i="1"/>
  <c r="I16" i="1"/>
  <c r="I15" i="1"/>
  <c r="I14" i="1"/>
  <c r="I13" i="1"/>
  <c r="I12" i="1"/>
  <c r="I11" i="1"/>
  <c r="I9" i="1"/>
  <c r="I8" i="1"/>
  <c r="H67" i="1"/>
  <c r="H66" i="1"/>
  <c r="H65" i="1"/>
  <c r="H64" i="1"/>
  <c r="H63" i="1"/>
  <c r="H62" i="1"/>
  <c r="H61" i="1"/>
  <c r="H60" i="1"/>
  <c r="H59" i="1"/>
  <c r="H58" i="1"/>
  <c r="H56" i="1"/>
  <c r="H55" i="1"/>
  <c r="H54" i="1"/>
  <c r="H53" i="1"/>
  <c r="H52" i="1"/>
  <c r="H51" i="1"/>
  <c r="H50" i="1"/>
  <c r="H49" i="1"/>
  <c r="H48" i="1"/>
  <c r="H47" i="1"/>
  <c r="H46" i="1"/>
  <c r="H45" i="1"/>
  <c r="H44" i="1"/>
  <c r="H42" i="1"/>
  <c r="H41" i="1"/>
  <c r="H40" i="1"/>
  <c r="H39" i="1"/>
  <c r="H38" i="1"/>
  <c r="H37" i="1"/>
  <c r="H36" i="1"/>
  <c r="H35" i="1"/>
  <c r="H34" i="1"/>
  <c r="H33" i="1"/>
  <c r="H32" i="1"/>
  <c r="H31" i="1"/>
  <c r="H30" i="1"/>
  <c r="H29" i="1"/>
  <c r="H27" i="1"/>
  <c r="H26" i="1"/>
  <c r="H25" i="1"/>
  <c r="H24" i="1"/>
  <c r="H23" i="1"/>
  <c r="H22" i="1"/>
  <c r="H21" i="1"/>
  <c r="H20" i="1"/>
  <c r="H19" i="1"/>
  <c r="H18" i="1"/>
  <c r="H17" i="1"/>
  <c r="H16" i="1"/>
  <c r="H15" i="1"/>
  <c r="H14" i="1"/>
  <c r="H13" i="1"/>
  <c r="H12" i="1"/>
  <c r="H11" i="1"/>
  <c r="H9" i="1"/>
  <c r="H8" i="1"/>
  <c r="G67" i="1"/>
  <c r="G66" i="1"/>
  <c r="G65" i="1"/>
  <c r="G64" i="1"/>
  <c r="G63" i="1"/>
  <c r="G62" i="1"/>
  <c r="G61" i="1"/>
  <c r="G60" i="1"/>
  <c r="G59" i="1"/>
  <c r="G58" i="1"/>
  <c r="G56" i="1"/>
  <c r="G55" i="1"/>
  <c r="G54" i="1"/>
  <c r="G53" i="1"/>
  <c r="G52" i="1"/>
  <c r="G51" i="1"/>
  <c r="G50" i="1"/>
  <c r="G49" i="1"/>
  <c r="G48" i="1"/>
  <c r="G47" i="1"/>
  <c r="G46" i="1"/>
  <c r="G45" i="1"/>
  <c r="G44" i="1"/>
  <c r="G42" i="1"/>
  <c r="G41" i="1"/>
  <c r="G40" i="1"/>
  <c r="G39" i="1"/>
  <c r="G38" i="1"/>
  <c r="G37" i="1"/>
  <c r="G36" i="1"/>
  <c r="G35" i="1"/>
  <c r="G34" i="1"/>
  <c r="G33" i="1"/>
  <c r="G32" i="1"/>
  <c r="G31" i="1"/>
  <c r="G30" i="1"/>
  <c r="G29" i="1"/>
  <c r="G27" i="1"/>
  <c r="G26" i="1"/>
  <c r="G25" i="1"/>
  <c r="G24" i="1"/>
  <c r="G23" i="1"/>
  <c r="G22" i="1"/>
  <c r="G21" i="1"/>
  <c r="G20" i="1"/>
  <c r="G19" i="1"/>
  <c r="G18" i="1"/>
  <c r="G17" i="1"/>
  <c r="G16" i="1"/>
  <c r="G15" i="1"/>
  <c r="G14" i="1"/>
  <c r="G13" i="1"/>
  <c r="G12" i="1"/>
  <c r="G11" i="1"/>
  <c r="G9" i="1"/>
  <c r="G8" i="1"/>
  <c r="F67" i="1"/>
  <c r="F66" i="1"/>
  <c r="F65" i="1"/>
  <c r="F64" i="1"/>
  <c r="F63" i="1"/>
  <c r="F62" i="1"/>
  <c r="F61" i="1"/>
  <c r="F60" i="1"/>
  <c r="F59" i="1"/>
  <c r="F58" i="1"/>
  <c r="F56" i="1"/>
  <c r="F55" i="1"/>
  <c r="F54" i="1"/>
  <c r="F53" i="1"/>
  <c r="F52" i="1"/>
  <c r="F51" i="1"/>
  <c r="F50" i="1"/>
  <c r="F49" i="1"/>
  <c r="F48" i="1"/>
  <c r="F47" i="1"/>
  <c r="F46" i="1"/>
  <c r="F45" i="1"/>
  <c r="F44" i="1"/>
  <c r="F42" i="1"/>
  <c r="F41" i="1"/>
  <c r="F40" i="1"/>
  <c r="F39" i="1"/>
  <c r="F38" i="1"/>
  <c r="F37" i="1"/>
  <c r="F36" i="1"/>
  <c r="F35" i="1"/>
  <c r="F34" i="1"/>
  <c r="F33" i="1"/>
  <c r="F32" i="1"/>
  <c r="F31" i="1"/>
  <c r="F30" i="1"/>
  <c r="F29" i="1"/>
  <c r="F27" i="1"/>
  <c r="F26" i="1"/>
  <c r="F25" i="1"/>
  <c r="F24" i="1"/>
  <c r="F23" i="1"/>
  <c r="F22" i="1"/>
  <c r="F21" i="1"/>
  <c r="F20" i="1"/>
  <c r="F19" i="1"/>
  <c r="F18" i="1"/>
  <c r="F17" i="1"/>
  <c r="F16" i="1"/>
  <c r="F15" i="1"/>
  <c r="F14" i="1"/>
  <c r="F13" i="1"/>
  <c r="F12" i="1"/>
  <c r="F11" i="1"/>
  <c r="F9" i="1"/>
  <c r="F8" i="1"/>
  <c r="E67" i="1"/>
  <c r="E66" i="1"/>
  <c r="E65" i="1"/>
  <c r="E64" i="1"/>
  <c r="E63" i="1"/>
  <c r="E62" i="1"/>
  <c r="E61" i="1"/>
  <c r="E60" i="1"/>
  <c r="E59" i="1"/>
  <c r="E58" i="1"/>
  <c r="E56" i="1"/>
  <c r="E55" i="1"/>
  <c r="E54" i="1"/>
  <c r="E53" i="1"/>
  <c r="E52" i="1"/>
  <c r="E51" i="1"/>
  <c r="E50" i="1"/>
  <c r="E49" i="1"/>
  <c r="E48" i="1"/>
  <c r="E47" i="1"/>
  <c r="E46" i="1"/>
  <c r="E45" i="1"/>
  <c r="E44" i="1"/>
  <c r="E42" i="1"/>
  <c r="E41" i="1"/>
  <c r="E40" i="1"/>
  <c r="E39" i="1"/>
  <c r="E38" i="1"/>
  <c r="E37" i="1"/>
  <c r="E36" i="1"/>
  <c r="E35" i="1"/>
  <c r="E34" i="1"/>
  <c r="E33" i="1"/>
  <c r="E32" i="1"/>
  <c r="E31" i="1"/>
  <c r="E30" i="1"/>
  <c r="E29" i="1"/>
  <c r="E27" i="1"/>
  <c r="E26" i="1"/>
  <c r="E25" i="1"/>
  <c r="E24" i="1"/>
  <c r="E23" i="1"/>
  <c r="E22" i="1"/>
  <c r="E21" i="1"/>
  <c r="E20" i="1"/>
  <c r="E19" i="1"/>
  <c r="E18" i="1"/>
  <c r="E17" i="1"/>
  <c r="E16" i="1"/>
  <c r="E15" i="1"/>
  <c r="E14" i="1"/>
  <c r="E13" i="1"/>
  <c r="E12" i="1"/>
  <c r="E11" i="1"/>
  <c r="E9" i="1"/>
  <c r="E8" i="1"/>
  <c r="D67" i="1"/>
  <c r="D66" i="1"/>
  <c r="D65" i="1"/>
  <c r="D64" i="1"/>
  <c r="D63" i="1"/>
  <c r="D62" i="1"/>
  <c r="D61" i="1"/>
  <c r="D60" i="1"/>
  <c r="D59" i="1"/>
  <c r="D58" i="1"/>
  <c r="D56" i="1"/>
  <c r="D55" i="1"/>
  <c r="D54" i="1"/>
  <c r="D53" i="1"/>
  <c r="D52" i="1"/>
  <c r="D51" i="1"/>
  <c r="D50" i="1"/>
  <c r="D49" i="1"/>
  <c r="D48" i="1"/>
  <c r="D47" i="1"/>
  <c r="D46" i="1"/>
  <c r="D45" i="1"/>
  <c r="D44" i="1"/>
  <c r="D42" i="1"/>
  <c r="D41" i="1"/>
  <c r="D40" i="1"/>
  <c r="D39" i="1"/>
  <c r="D38" i="1"/>
  <c r="D37" i="1"/>
  <c r="D36" i="1"/>
  <c r="D35" i="1"/>
  <c r="D34" i="1"/>
  <c r="D33" i="1"/>
  <c r="D32" i="1"/>
  <c r="D31" i="1"/>
  <c r="D30" i="1"/>
  <c r="D29" i="1"/>
  <c r="D27" i="1"/>
  <c r="D26" i="1"/>
  <c r="D25" i="1"/>
  <c r="D24" i="1"/>
  <c r="D23" i="1"/>
  <c r="D22" i="1"/>
  <c r="D21" i="1"/>
  <c r="D20" i="1"/>
  <c r="D19" i="1"/>
  <c r="D18" i="1"/>
  <c r="D17" i="1"/>
  <c r="D16" i="1"/>
  <c r="D15" i="1"/>
  <c r="D14" i="1"/>
  <c r="D13" i="1"/>
  <c r="D12" i="1"/>
  <c r="D11" i="1"/>
  <c r="D9" i="1"/>
  <c r="D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AS61" i="7"/>
  <c r="AS60" i="7"/>
  <c r="AS59" i="7"/>
  <c r="AS58" i="7"/>
  <c r="AS57" i="7"/>
  <c r="AS56" i="7"/>
  <c r="AS55" i="7"/>
  <c r="AS54" i="7"/>
  <c r="AS53" i="7"/>
  <c r="AS52" i="7"/>
  <c r="AS50" i="7"/>
  <c r="AS49" i="7"/>
  <c r="AS48" i="7"/>
  <c r="AS47" i="7"/>
  <c r="AS46" i="7"/>
  <c r="AS45" i="7"/>
  <c r="AS44" i="7"/>
  <c r="AS43" i="7"/>
  <c r="AS42" i="7"/>
  <c r="AS41" i="7"/>
  <c r="AS40" i="7"/>
  <c r="AS39" i="7"/>
  <c r="AS38" i="7"/>
  <c r="AS36" i="7"/>
  <c r="AS35" i="7"/>
  <c r="AS34" i="7"/>
  <c r="AS33" i="7"/>
  <c r="AS32" i="7"/>
  <c r="AS31" i="7"/>
  <c r="AS30" i="7"/>
  <c r="AS29" i="7"/>
  <c r="AS28" i="7"/>
  <c r="AS27" i="7"/>
  <c r="AS26" i="7"/>
  <c r="AS25" i="7"/>
  <c r="AS24" i="7"/>
  <c r="AS23" i="7"/>
  <c r="AS21" i="7"/>
  <c r="AS20" i="7"/>
  <c r="AS19" i="7"/>
  <c r="AS18" i="7"/>
  <c r="AS17" i="7"/>
  <c r="AS16" i="7"/>
  <c r="AS15" i="7"/>
  <c r="AS14" i="7"/>
  <c r="AS13" i="7"/>
  <c r="AS12" i="7"/>
  <c r="AS11" i="7"/>
  <c r="AS10" i="7"/>
  <c r="AS9" i="7"/>
  <c r="AS8" i="7"/>
  <c r="AS7" i="7"/>
  <c r="AS6" i="7"/>
  <c r="AS5" i="7"/>
  <c r="AS3" i="7"/>
  <c r="AS2" i="7"/>
  <c r="AT52" i="2"/>
  <c r="AT38" i="2"/>
  <c r="AT23" i="2"/>
  <c r="AT5" i="2"/>
  <c r="W52" i="3"/>
  <c r="W38" i="3"/>
  <c r="W23" i="3"/>
  <c r="W5" i="3"/>
  <c r="CK52" i="4"/>
  <c r="CK38" i="4"/>
  <c r="CK23" i="4"/>
  <c r="CK5" i="4"/>
  <c r="AS52" i="4"/>
  <c r="AR38" i="4"/>
  <c r="AS38" i="4"/>
  <c r="AR23" i="4"/>
  <c r="AS23" i="4"/>
  <c r="AR5" i="4"/>
  <c r="AR4" i="4" s="1"/>
  <c r="AS5" i="4"/>
  <c r="AB52" i="5"/>
  <c r="AB53" i="5" s="1"/>
  <c r="AB38" i="5"/>
  <c r="AB23" i="5"/>
  <c r="AB5" i="5"/>
  <c r="BS52" i="6"/>
  <c r="BS38" i="6"/>
  <c r="BS23" i="6"/>
  <c r="BS5" i="6"/>
  <c r="BS4" i="6" s="1"/>
  <c r="BS6" i="6" s="1"/>
  <c r="AB52" i="6"/>
  <c r="AB38" i="6"/>
  <c r="AB23" i="6"/>
  <c r="AB5" i="6"/>
  <c r="AS52" i="8"/>
  <c r="AS38" i="8"/>
  <c r="AS23" i="8"/>
  <c r="AS5" i="8"/>
  <c r="AS4" i="8" s="1"/>
  <c r="AS6" i="8" s="1"/>
  <c r="W52" i="8"/>
  <c r="W38" i="8"/>
  <c r="W23" i="8"/>
  <c r="W5" i="8"/>
  <c r="AR6" i="4" l="1"/>
  <c r="AR53" i="4"/>
  <c r="AT4" i="2"/>
  <c r="AT6" i="2" s="1"/>
  <c r="AT53" i="2"/>
  <c r="AT39" i="2"/>
  <c r="AT24" i="2"/>
  <c r="W4" i="3"/>
  <c r="W53" i="3" s="1"/>
  <c r="CK4" i="4"/>
  <c r="CK39" i="4" s="1"/>
  <c r="CK24" i="4"/>
  <c r="CK6" i="4"/>
  <c r="AS4" i="4"/>
  <c r="AS6" i="4" s="1"/>
  <c r="AR39" i="4"/>
  <c r="AR24" i="4"/>
  <c r="AB4" i="5"/>
  <c r="AB6" i="5"/>
  <c r="AB24" i="5"/>
  <c r="AB39" i="5"/>
  <c r="BS53" i="6"/>
  <c r="BS39" i="6"/>
  <c r="BS24" i="6"/>
  <c r="AB4" i="6"/>
  <c r="AB6" i="6" s="1"/>
  <c r="AS53" i="8"/>
  <c r="AS39" i="8"/>
  <c r="AS24" i="8"/>
  <c r="W4" i="8"/>
  <c r="W6" i="8" s="1"/>
  <c r="W6" i="3" l="1"/>
  <c r="W39" i="3"/>
  <c r="W24" i="3"/>
  <c r="CK53" i="4"/>
  <c r="AS24" i="4"/>
  <c r="AS53" i="4"/>
  <c r="AS39" i="4"/>
  <c r="AB53" i="6"/>
  <c r="AB39" i="6"/>
  <c r="AB24" i="6"/>
  <c r="W24" i="8"/>
  <c r="W39" i="8"/>
  <c r="W53" i="8"/>
  <c r="AR2" i="7"/>
  <c r="AR3" i="7"/>
  <c r="AR5" i="7"/>
  <c r="AR6" i="7"/>
  <c r="AR7" i="7"/>
  <c r="AR8" i="7"/>
  <c r="AR9" i="7"/>
  <c r="AR10" i="7"/>
  <c r="AR11" i="7"/>
  <c r="AR12" i="7"/>
  <c r="AR13" i="7"/>
  <c r="AR14" i="7"/>
  <c r="AR15" i="7"/>
  <c r="AR16" i="7"/>
  <c r="AR17" i="7"/>
  <c r="AR18" i="7"/>
  <c r="AR19" i="7"/>
  <c r="AR20" i="7"/>
  <c r="AR21" i="7"/>
  <c r="AR23" i="7"/>
  <c r="AR24" i="7"/>
  <c r="AR25" i="7"/>
  <c r="AR26" i="7"/>
  <c r="AR27" i="7"/>
  <c r="AR28" i="7"/>
  <c r="AR29" i="7"/>
  <c r="AR30" i="7"/>
  <c r="AR31" i="7"/>
  <c r="AR32" i="7"/>
  <c r="AR33" i="7"/>
  <c r="AR34" i="7"/>
  <c r="AR35" i="7"/>
  <c r="AR36" i="7"/>
  <c r="AR38" i="7"/>
  <c r="AR39" i="7"/>
  <c r="AR40" i="7"/>
  <c r="AR41" i="7"/>
  <c r="AR42" i="7"/>
  <c r="AR43" i="7"/>
  <c r="AR44" i="7"/>
  <c r="AR45" i="7"/>
  <c r="AR46" i="7"/>
  <c r="AR47" i="7"/>
  <c r="AR48" i="7"/>
  <c r="AR49" i="7"/>
  <c r="AR50" i="7"/>
  <c r="AR52" i="7"/>
  <c r="AR53" i="7"/>
  <c r="AR54" i="7"/>
  <c r="AR55" i="7"/>
  <c r="AR56" i="7"/>
  <c r="AR57" i="7"/>
  <c r="AR58" i="7"/>
  <c r="AR59" i="7"/>
  <c r="AR60" i="7"/>
  <c r="AR61" i="7"/>
  <c r="AR52" i="8"/>
  <c r="AR53" i="8" s="1"/>
  <c r="AR38" i="8"/>
  <c r="AR23" i="8"/>
  <c r="AR5" i="8"/>
  <c r="AR4" i="8" s="1"/>
  <c r="V23" i="8"/>
  <c r="V5" i="8"/>
  <c r="V4" i="8" s="1"/>
  <c r="V24" i="8" s="1"/>
  <c r="V38" i="8"/>
  <c r="V52" i="8"/>
  <c r="BR52" i="6"/>
  <c r="BR38" i="6"/>
  <c r="BR23" i="6"/>
  <c r="BR5" i="6"/>
  <c r="AA23" i="6"/>
  <c r="AA24" i="6" s="1"/>
  <c r="AA5" i="6"/>
  <c r="AA4" i="6"/>
  <c r="AA38" i="6"/>
  <c r="AA39" i="6" s="1"/>
  <c r="AA52" i="6"/>
  <c r="AA53" i="6" s="1"/>
  <c r="AA52" i="5"/>
  <c r="AA53" i="5" s="1"/>
  <c r="AA38" i="5"/>
  <c r="AA39" i="5" s="1"/>
  <c r="AA23" i="5"/>
  <c r="AA24" i="5" s="1"/>
  <c r="AA5" i="5"/>
  <c r="AA6" i="5" s="1"/>
  <c r="AA4" i="5"/>
  <c r="CJ52" i="4"/>
  <c r="CJ53" i="4" s="1"/>
  <c r="CJ38" i="4"/>
  <c r="CJ23" i="4"/>
  <c r="CJ5" i="4"/>
  <c r="CJ4" i="4" s="1"/>
  <c r="V52" i="3"/>
  <c r="V38" i="3"/>
  <c r="V23" i="3"/>
  <c r="V5" i="3"/>
  <c r="AS52" i="2"/>
  <c r="AS53" i="2" s="1"/>
  <c r="AS38" i="2"/>
  <c r="AS23" i="2"/>
  <c r="AS5" i="2"/>
  <c r="AS4" i="2" s="1"/>
  <c r="AR39" i="8" l="1"/>
  <c r="AR24" i="8"/>
  <c r="AR6" i="8"/>
  <c r="V39" i="8"/>
  <c r="V6" i="8"/>
  <c r="V53" i="8"/>
  <c r="BR53" i="6"/>
  <c r="BR39" i="6"/>
  <c r="BR4" i="6"/>
  <c r="BR6" i="6" s="1"/>
  <c r="AA6" i="6"/>
  <c r="CJ39" i="4"/>
  <c r="CJ24" i="4"/>
  <c r="CJ6" i="4"/>
  <c r="V53" i="3"/>
  <c r="V4" i="3"/>
  <c r="V24" i="3" s="1"/>
  <c r="AS39" i="2"/>
  <c r="AS24" i="2"/>
  <c r="AS6" i="2"/>
  <c r="AQ2" i="7"/>
  <c r="AQ3" i="7"/>
  <c r="AQ5" i="7"/>
  <c r="AQ6" i="7"/>
  <c r="AQ7" i="7"/>
  <c r="AQ8" i="7"/>
  <c r="AQ9" i="7"/>
  <c r="AQ10" i="7"/>
  <c r="AQ11" i="7"/>
  <c r="AQ12" i="7"/>
  <c r="AQ13" i="7"/>
  <c r="AQ14" i="7"/>
  <c r="AQ15" i="7"/>
  <c r="AQ16" i="7"/>
  <c r="AQ17" i="7"/>
  <c r="AQ18" i="7"/>
  <c r="AQ19" i="7"/>
  <c r="AQ20" i="7"/>
  <c r="AQ21" i="7"/>
  <c r="AQ23" i="7"/>
  <c r="AQ24" i="7"/>
  <c r="AQ25" i="7"/>
  <c r="AQ26" i="7"/>
  <c r="AQ27" i="7"/>
  <c r="AQ28" i="7"/>
  <c r="AQ29" i="7"/>
  <c r="AQ30" i="7"/>
  <c r="AQ31" i="7"/>
  <c r="AQ32" i="7"/>
  <c r="AQ33" i="7"/>
  <c r="AQ34" i="7"/>
  <c r="AQ35" i="7"/>
  <c r="AQ36" i="7"/>
  <c r="AQ38" i="7"/>
  <c r="AQ39" i="7"/>
  <c r="AQ40" i="7"/>
  <c r="AQ41" i="7"/>
  <c r="AQ42" i="7"/>
  <c r="AQ43" i="7"/>
  <c r="AQ44" i="7"/>
  <c r="AQ45" i="7"/>
  <c r="AQ46" i="7"/>
  <c r="AQ47" i="7"/>
  <c r="AQ48" i="7"/>
  <c r="AQ49" i="7"/>
  <c r="AQ50" i="7"/>
  <c r="AQ52" i="7"/>
  <c r="AQ53" i="7"/>
  <c r="AQ54" i="7"/>
  <c r="AQ55" i="7"/>
  <c r="AQ56" i="7"/>
  <c r="AQ57" i="7"/>
  <c r="AQ58" i="7"/>
  <c r="AQ59" i="7"/>
  <c r="AQ60" i="7"/>
  <c r="AQ61" i="7"/>
  <c r="U52" i="3"/>
  <c r="U38" i="3"/>
  <c r="U23" i="3"/>
  <c r="U5" i="3"/>
  <c r="BQ52" i="6"/>
  <c r="BQ38" i="6"/>
  <c r="BQ23" i="6"/>
  <c r="BQ5" i="6"/>
  <c r="AQ52" i="8"/>
  <c r="AQ38" i="8"/>
  <c r="AQ23" i="8"/>
  <c r="AQ5" i="8"/>
  <c r="U52" i="8"/>
  <c r="U38" i="8"/>
  <c r="U23" i="8"/>
  <c r="U5" i="8"/>
  <c r="Z52" i="6"/>
  <c r="Z38" i="6"/>
  <c r="Z23" i="6"/>
  <c r="Z5" i="6"/>
  <c r="Z52" i="5"/>
  <c r="Z38" i="5"/>
  <c r="Z23" i="5"/>
  <c r="Z5" i="5"/>
  <c r="Z6" i="5" s="1"/>
  <c r="AQ52" i="4"/>
  <c r="AQ38" i="4"/>
  <c r="AQ23" i="4"/>
  <c r="AQ5" i="4"/>
  <c r="CI52" i="4"/>
  <c r="CI38" i="4"/>
  <c r="CI23" i="4"/>
  <c r="CI5" i="4"/>
  <c r="AR52" i="2"/>
  <c r="AR38" i="2"/>
  <c r="AR23" i="2"/>
  <c r="AR5" i="2"/>
  <c r="BR24" i="6" l="1"/>
  <c r="V6" i="3"/>
  <c r="V39" i="3"/>
  <c r="U4" i="3"/>
  <c r="U39" i="3" s="1"/>
  <c r="BQ4" i="6"/>
  <c r="BQ6" i="6" s="1"/>
  <c r="AQ4" i="8"/>
  <c r="U4" i="8"/>
  <c r="Z4" i="6"/>
  <c r="Z24" i="5"/>
  <c r="Z39" i="5"/>
  <c r="Z53" i="5"/>
  <c r="Z4" i="5"/>
  <c r="AQ4" i="4"/>
  <c r="AQ39" i="4" s="1"/>
  <c r="CI4" i="4"/>
  <c r="AR4" i="2"/>
  <c r="AR24" i="2" s="1"/>
  <c r="AP52" i="8"/>
  <c r="AP38" i="8"/>
  <c r="AP23" i="8"/>
  <c r="AP5" i="8"/>
  <c r="T52" i="8"/>
  <c r="T38" i="8"/>
  <c r="T23" i="8"/>
  <c r="T5" i="8"/>
  <c r="Y52" i="6"/>
  <c r="Y38" i="6"/>
  <c r="Y23" i="6"/>
  <c r="Y5" i="6"/>
  <c r="B5" i="7"/>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J5" i="7"/>
  <c r="AK5" i="7"/>
  <c r="AL5" i="7"/>
  <c r="AM5" i="7"/>
  <c r="AN5" i="7"/>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B23"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J23" i="7"/>
  <c r="AK23" i="7"/>
  <c r="AL23" i="7"/>
  <c r="AM23" i="7"/>
  <c r="AN23"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B38" i="7"/>
  <c r="C38" i="7"/>
  <c r="D38"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B43" i="7"/>
  <c r="C43" i="7"/>
  <c r="D43"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AJ43" i="7"/>
  <c r="AK43" i="7"/>
  <c r="AL43" i="7"/>
  <c r="AM43" i="7"/>
  <c r="AN43" i="7"/>
  <c r="B44" i="7"/>
  <c r="C44" i="7"/>
  <c r="D44"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AJ44" i="7"/>
  <c r="AK44" i="7"/>
  <c r="AL44" i="7"/>
  <c r="AM44" i="7"/>
  <c r="AN44"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B52" i="7"/>
  <c r="C52" i="7"/>
  <c r="D52" i="7"/>
  <c r="E52" i="7"/>
  <c r="F52"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AH52" i="7"/>
  <c r="AI52" i="7"/>
  <c r="AJ52" i="7"/>
  <c r="AK52" i="7"/>
  <c r="AL52" i="7"/>
  <c r="AM52" i="7"/>
  <c r="AN52"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AO5" i="7"/>
  <c r="AO6" i="7"/>
  <c r="AO7" i="7"/>
  <c r="AO8" i="7"/>
  <c r="AO9" i="7"/>
  <c r="AO10" i="7"/>
  <c r="AO11" i="7"/>
  <c r="AO12" i="7"/>
  <c r="AO13" i="7"/>
  <c r="AO14" i="7"/>
  <c r="AO15" i="7"/>
  <c r="AO16" i="7"/>
  <c r="AO17" i="7"/>
  <c r="AO18" i="7"/>
  <c r="AO19" i="7"/>
  <c r="AO20" i="7"/>
  <c r="AO23" i="7"/>
  <c r="AO24" i="7"/>
  <c r="AO25" i="7"/>
  <c r="AO26" i="7"/>
  <c r="AO27" i="7"/>
  <c r="AO28" i="7"/>
  <c r="AO29" i="7"/>
  <c r="AO30" i="7"/>
  <c r="AO31" i="7"/>
  <c r="AO32" i="7"/>
  <c r="AO33" i="7"/>
  <c r="AO34" i="7"/>
  <c r="AO35" i="7"/>
  <c r="AO38" i="7"/>
  <c r="AO39" i="7"/>
  <c r="AO40" i="7"/>
  <c r="AO41" i="7"/>
  <c r="AO42" i="7"/>
  <c r="AO43" i="7"/>
  <c r="AO44" i="7"/>
  <c r="AO45" i="7"/>
  <c r="AO46" i="7"/>
  <c r="AO47" i="7"/>
  <c r="AO48" i="7"/>
  <c r="AO49" i="7"/>
  <c r="AO52" i="7"/>
  <c r="AO53" i="7"/>
  <c r="AO54" i="7"/>
  <c r="AO55" i="7"/>
  <c r="AO56" i="7"/>
  <c r="AO57" i="7"/>
  <c r="AO58" i="7"/>
  <c r="AO59" i="7"/>
  <c r="AO60" i="7"/>
  <c r="AO61" i="7"/>
  <c r="AP5" i="7"/>
  <c r="AP6" i="7"/>
  <c r="AP7" i="7"/>
  <c r="AP8" i="7"/>
  <c r="AP9" i="7"/>
  <c r="AP10" i="7"/>
  <c r="AP11" i="7"/>
  <c r="AP12" i="7"/>
  <c r="AP13" i="7"/>
  <c r="AP14" i="7"/>
  <c r="AP15" i="7"/>
  <c r="AP16" i="7"/>
  <c r="AP17" i="7"/>
  <c r="AP18" i="7"/>
  <c r="AP19" i="7"/>
  <c r="AP20" i="7"/>
  <c r="AP23" i="7"/>
  <c r="AP24" i="7"/>
  <c r="AP25" i="7"/>
  <c r="AP26" i="7"/>
  <c r="AP27" i="7"/>
  <c r="AP28" i="7"/>
  <c r="AP29" i="7"/>
  <c r="AP30" i="7"/>
  <c r="AP31" i="7"/>
  <c r="AP32" i="7"/>
  <c r="AP33" i="7"/>
  <c r="AP34" i="7"/>
  <c r="AP35" i="7"/>
  <c r="AP38" i="7"/>
  <c r="AP39" i="7"/>
  <c r="AP40" i="7"/>
  <c r="AP41" i="7"/>
  <c r="AP42" i="7"/>
  <c r="AP43" i="7"/>
  <c r="AP44" i="7"/>
  <c r="AP45" i="7"/>
  <c r="AP46" i="7"/>
  <c r="AP47" i="7"/>
  <c r="AP48" i="7"/>
  <c r="AP49" i="7"/>
  <c r="AP52" i="7"/>
  <c r="AP53" i="7"/>
  <c r="AP54" i="7"/>
  <c r="AP55" i="7"/>
  <c r="AP56" i="7"/>
  <c r="AP57" i="7"/>
  <c r="AP58" i="7"/>
  <c r="AP59" i="7"/>
  <c r="AP60" i="7"/>
  <c r="AP61" i="7"/>
  <c r="U53" i="3" l="1"/>
  <c r="U6" i="3"/>
  <c r="U24" i="3"/>
  <c r="BQ53" i="6"/>
  <c r="BQ39" i="6"/>
  <c r="BQ24" i="6"/>
  <c r="AQ39" i="8"/>
  <c r="AQ53" i="8"/>
  <c r="AQ6" i="8"/>
  <c r="AQ24" i="8"/>
  <c r="U39" i="8"/>
  <c r="U53" i="8"/>
  <c r="U6" i="8"/>
  <c r="U24" i="8"/>
  <c r="Z39" i="6"/>
  <c r="Z53" i="6"/>
  <c r="Z6" i="6"/>
  <c r="Z24" i="6"/>
  <c r="AQ53" i="4"/>
  <c r="AQ6" i="4"/>
  <c r="AQ24" i="4"/>
  <c r="CI39" i="4"/>
  <c r="CI53" i="4"/>
  <c r="CI6" i="4"/>
  <c r="CI24" i="4"/>
  <c r="AR53" i="2"/>
  <c r="AR6" i="2"/>
  <c r="AR39" i="2"/>
  <c r="Y4" i="6"/>
  <c r="Y53" i="6" s="1"/>
  <c r="AP4" i="8"/>
  <c r="T4" i="8"/>
  <c r="Y39" i="6"/>
  <c r="BP52" i="6"/>
  <c r="BP38" i="6"/>
  <c r="BP23" i="6"/>
  <c r="BP5" i="6"/>
  <c r="Y52" i="5"/>
  <c r="Y38" i="5"/>
  <c r="Y23" i="5"/>
  <c r="Y5" i="5"/>
  <c r="CH52" i="4"/>
  <c r="CH38" i="4"/>
  <c r="CG38" i="4"/>
  <c r="CH23" i="4"/>
  <c r="CH5" i="4"/>
  <c r="AO5" i="4"/>
  <c r="AP5" i="4"/>
  <c r="AP52" i="4"/>
  <c r="AP38" i="4"/>
  <c r="AP23" i="4"/>
  <c r="T52" i="3"/>
  <c r="T38" i="3"/>
  <c r="T23" i="3"/>
  <c r="T5" i="3"/>
  <c r="Y24" i="6" l="1"/>
  <c r="AP4" i="4"/>
  <c r="Y6" i="6"/>
  <c r="AO4" i="4"/>
  <c r="AO6" i="4" s="1"/>
  <c r="AP21" i="7"/>
  <c r="T39" i="8"/>
  <c r="AP53" i="8"/>
  <c r="AP24" i="8"/>
  <c r="AP6" i="8"/>
  <c r="AP39" i="8"/>
  <c r="T6" i="8"/>
  <c r="T24" i="8"/>
  <c r="T53" i="8"/>
  <c r="BP4" i="6"/>
  <c r="Y4" i="5"/>
  <c r="Y39" i="5"/>
  <c r="Y24" i="5"/>
  <c r="Y53" i="5"/>
  <c r="Y6" i="5"/>
  <c r="CH4" i="4"/>
  <c r="AP39" i="4"/>
  <c r="T4" i="3"/>
  <c r="T24" i="3" s="1"/>
  <c r="T6" i="3"/>
  <c r="AQ52" i="2"/>
  <c r="AQ38" i="2"/>
  <c r="AQ23" i="2"/>
  <c r="AQ5" i="2"/>
  <c r="AO52" i="8"/>
  <c r="AN52" i="8"/>
  <c r="AM52" i="8"/>
  <c r="AL52" i="8"/>
  <c r="AK52" i="8"/>
  <c r="AJ52" i="8"/>
  <c r="AI52" i="8"/>
  <c r="AH52" i="8"/>
  <c r="AG52" i="8"/>
  <c r="AF52" i="8"/>
  <c r="AE52" i="8"/>
  <c r="AD52" i="8"/>
  <c r="AC52" i="8"/>
  <c r="AB52" i="8"/>
  <c r="AA52" i="8"/>
  <c r="Z52" i="8"/>
  <c r="Y52" i="8"/>
  <c r="X52" i="8"/>
  <c r="S52" i="8"/>
  <c r="R52" i="8"/>
  <c r="Q52" i="8"/>
  <c r="P52" i="8"/>
  <c r="O52" i="8"/>
  <c r="N52" i="8"/>
  <c r="M52" i="8"/>
  <c r="L52" i="8"/>
  <c r="K52" i="8"/>
  <c r="J52" i="8"/>
  <c r="I52" i="8"/>
  <c r="H52" i="8"/>
  <c r="G52" i="8"/>
  <c r="F52" i="8"/>
  <c r="E52" i="8"/>
  <c r="D52" i="8"/>
  <c r="C52" i="8"/>
  <c r="B52" i="8"/>
  <c r="AO38" i="8"/>
  <c r="AN38" i="8"/>
  <c r="AM38" i="8"/>
  <c r="AL38" i="8"/>
  <c r="AK38" i="8"/>
  <c r="AJ38" i="8"/>
  <c r="AI38" i="8"/>
  <c r="AH38" i="8"/>
  <c r="AG38" i="8"/>
  <c r="AF38" i="8"/>
  <c r="AE38" i="8"/>
  <c r="AD38" i="8"/>
  <c r="AC38" i="8"/>
  <c r="AB38" i="8"/>
  <c r="AA38" i="8"/>
  <c r="Z38" i="8"/>
  <c r="Y38" i="8"/>
  <c r="Y39" i="8" s="1"/>
  <c r="X38" i="8"/>
  <c r="S38" i="8"/>
  <c r="R38" i="8"/>
  <c r="Q38" i="8"/>
  <c r="P38" i="8"/>
  <c r="O38" i="8"/>
  <c r="N38" i="8"/>
  <c r="M38" i="8"/>
  <c r="L38" i="8"/>
  <c r="K38" i="8"/>
  <c r="J38" i="8"/>
  <c r="I38" i="8"/>
  <c r="H38" i="8"/>
  <c r="G38" i="8"/>
  <c r="F38" i="8"/>
  <c r="E38" i="8"/>
  <c r="D38" i="8"/>
  <c r="D39" i="8" s="1"/>
  <c r="C38" i="8"/>
  <c r="B38" i="8"/>
  <c r="AO23" i="8"/>
  <c r="AN23" i="8"/>
  <c r="AM23" i="8"/>
  <c r="AL23" i="8"/>
  <c r="AK23" i="8"/>
  <c r="AJ23" i="8"/>
  <c r="AI23" i="8"/>
  <c r="AH23" i="8"/>
  <c r="AG23" i="8"/>
  <c r="AF23" i="8"/>
  <c r="AE23" i="8"/>
  <c r="AD23" i="8"/>
  <c r="AC23" i="8"/>
  <c r="AB23" i="8"/>
  <c r="AA23" i="8"/>
  <c r="Z23" i="8"/>
  <c r="Y23" i="8"/>
  <c r="X23" i="8"/>
  <c r="S23" i="8"/>
  <c r="R23" i="8"/>
  <c r="Q23" i="8"/>
  <c r="P23" i="8"/>
  <c r="O23" i="8"/>
  <c r="N23" i="8"/>
  <c r="M23" i="8"/>
  <c r="L23" i="8"/>
  <c r="K23" i="8"/>
  <c r="J23" i="8"/>
  <c r="I23" i="8"/>
  <c r="H23" i="8"/>
  <c r="G23" i="8"/>
  <c r="F23" i="8"/>
  <c r="E23" i="8"/>
  <c r="D23" i="8"/>
  <c r="C23" i="8"/>
  <c r="B23" i="8"/>
  <c r="Z22" i="8"/>
  <c r="Y22" i="8"/>
  <c r="D22" i="8"/>
  <c r="Z21" i="8"/>
  <c r="Y21" i="8"/>
  <c r="D21" i="8"/>
  <c r="C21" i="8"/>
  <c r="Z20" i="8"/>
  <c r="Y20" i="8"/>
  <c r="D20" i="8"/>
  <c r="C20" i="8"/>
  <c r="Z19" i="8"/>
  <c r="Y19" i="8"/>
  <c r="D19" i="8"/>
  <c r="C19" i="8"/>
  <c r="Z18" i="8"/>
  <c r="Y18" i="8"/>
  <c r="D18" i="8"/>
  <c r="Z17" i="8"/>
  <c r="Y17" i="8"/>
  <c r="D17" i="8"/>
  <c r="C17" i="8"/>
  <c r="Z16" i="8"/>
  <c r="Y16" i="8"/>
  <c r="D16" i="8"/>
  <c r="C16" i="8"/>
  <c r="Z15" i="8"/>
  <c r="Y15" i="8"/>
  <c r="D15" i="8"/>
  <c r="Z14" i="8"/>
  <c r="Y14" i="8"/>
  <c r="D14" i="8"/>
  <c r="C14" i="8"/>
  <c r="Z13" i="8"/>
  <c r="Y13" i="8"/>
  <c r="D13" i="8"/>
  <c r="C13" i="8"/>
  <c r="Z12" i="8"/>
  <c r="Y12" i="8"/>
  <c r="D12" i="8"/>
  <c r="Z11" i="8"/>
  <c r="Y11" i="8"/>
  <c r="D11" i="8"/>
  <c r="C11" i="8"/>
  <c r="Z10" i="8"/>
  <c r="Y10" i="8"/>
  <c r="D10" i="8"/>
  <c r="C10" i="8"/>
  <c r="Z8" i="8"/>
  <c r="Y8" i="8"/>
  <c r="D8" i="8"/>
  <c r="C8" i="8"/>
  <c r="Z7" i="8"/>
  <c r="Y7" i="8"/>
  <c r="D7" i="8"/>
  <c r="C7" i="8"/>
  <c r="AO5" i="8"/>
  <c r="AN5" i="8"/>
  <c r="AM5" i="8"/>
  <c r="AL5" i="8"/>
  <c r="AK5" i="8"/>
  <c r="AJ5" i="8"/>
  <c r="AI5" i="8"/>
  <c r="AH5" i="8"/>
  <c r="AG5" i="8"/>
  <c r="AF5" i="8"/>
  <c r="AE5" i="8"/>
  <c r="AD5" i="8"/>
  <c r="AC5" i="8"/>
  <c r="AB5" i="8"/>
  <c r="AA5" i="8"/>
  <c r="Y5" i="8"/>
  <c r="Y6" i="8" s="1"/>
  <c r="X5" i="8"/>
  <c r="S5" i="8"/>
  <c r="R5" i="8"/>
  <c r="Q5" i="8"/>
  <c r="P5" i="8"/>
  <c r="O5" i="8"/>
  <c r="N5" i="8"/>
  <c r="M5" i="8"/>
  <c r="L5" i="8"/>
  <c r="K5" i="8"/>
  <c r="J5" i="8"/>
  <c r="I5" i="8"/>
  <c r="H5" i="8"/>
  <c r="G5" i="8"/>
  <c r="F5" i="8"/>
  <c r="E5" i="8"/>
  <c r="B5" i="8"/>
  <c r="AM4" i="8"/>
  <c r="AJ4" i="8"/>
  <c r="AE4" i="8"/>
  <c r="AD4" i="8"/>
  <c r="AC4" i="8"/>
  <c r="AB4" i="8"/>
  <c r="Z4" i="8"/>
  <c r="Y4" i="8"/>
  <c r="N4" i="8"/>
  <c r="K4" i="8"/>
  <c r="J4" i="8"/>
  <c r="H4" i="8"/>
  <c r="D4" i="8"/>
  <c r="C4" i="8"/>
  <c r="B4" i="8"/>
  <c r="BH63" i="6"/>
  <c r="BG63" i="6"/>
  <c r="BF63" i="6"/>
  <c r="BE63" i="6"/>
  <c r="BD63" i="6"/>
  <c r="BC63" i="6"/>
  <c r="BB63" i="6"/>
  <c r="BA63" i="6"/>
  <c r="AZ63" i="6"/>
  <c r="BH62" i="6"/>
  <c r="BG62" i="6"/>
  <c r="BF62" i="6"/>
  <c r="BE62" i="6"/>
  <c r="BD62" i="6"/>
  <c r="BC62" i="6"/>
  <c r="BB62" i="6"/>
  <c r="BA62" i="6"/>
  <c r="AZ62" i="6"/>
  <c r="BH61" i="6"/>
  <c r="BG61" i="6"/>
  <c r="BF61" i="6"/>
  <c r="BE61" i="6"/>
  <c r="BD61" i="6"/>
  <c r="BC61" i="6"/>
  <c r="BB61" i="6"/>
  <c r="BA61" i="6"/>
  <c r="AZ61" i="6"/>
  <c r="BH60" i="6"/>
  <c r="BG60" i="6"/>
  <c r="BF60" i="6"/>
  <c r="BE60" i="6"/>
  <c r="BD60" i="6"/>
  <c r="BC60" i="6"/>
  <c r="BB60" i="6"/>
  <c r="BA60" i="6"/>
  <c r="AZ60" i="6"/>
  <c r="BH59" i="6"/>
  <c r="BG59" i="6"/>
  <c r="BF59" i="6"/>
  <c r="BE59" i="6"/>
  <c r="BD59" i="6"/>
  <c r="BC59" i="6"/>
  <c r="BB59" i="6"/>
  <c r="BA59" i="6"/>
  <c r="AZ59" i="6"/>
  <c r="BH58" i="6"/>
  <c r="BG58" i="6"/>
  <c r="BF58" i="6"/>
  <c r="BF52" i="6" s="1"/>
  <c r="BE58" i="6"/>
  <c r="BD58" i="6"/>
  <c r="BC58" i="6"/>
  <c r="BB58" i="6"/>
  <c r="BA58" i="6"/>
  <c r="AZ58" i="6"/>
  <c r="BH57" i="6"/>
  <c r="BG57" i="6"/>
  <c r="BF57" i="6"/>
  <c r="BE57" i="6"/>
  <c r="BD57" i="6"/>
  <c r="BC57" i="6"/>
  <c r="BB57" i="6"/>
  <c r="BA57" i="6"/>
  <c r="AZ57" i="6"/>
  <c r="BH56" i="6"/>
  <c r="BG56" i="6"/>
  <c r="BF56" i="6"/>
  <c r="BE56" i="6"/>
  <c r="BD56" i="6"/>
  <c r="BC56" i="6"/>
  <c r="BB56" i="6"/>
  <c r="BA56" i="6"/>
  <c r="AZ56" i="6"/>
  <c r="BH55" i="6"/>
  <c r="BG55" i="6"/>
  <c r="BF55" i="6"/>
  <c r="BE55" i="6"/>
  <c r="BD55" i="6"/>
  <c r="BC55" i="6"/>
  <c r="BB55" i="6"/>
  <c r="BA55" i="6"/>
  <c r="AZ55" i="6"/>
  <c r="BH54" i="6"/>
  <c r="BG54" i="6"/>
  <c r="BF54" i="6"/>
  <c r="BE54" i="6"/>
  <c r="BD54" i="6"/>
  <c r="BC54" i="6"/>
  <c r="BB54" i="6"/>
  <c r="BB52" i="6" s="1"/>
  <c r="BA54" i="6"/>
  <c r="AZ54" i="6"/>
  <c r="BO52" i="6"/>
  <c r="BN52" i="6"/>
  <c r="BM52" i="6"/>
  <c r="BL52" i="6"/>
  <c r="BK52" i="6"/>
  <c r="BJ52" i="6"/>
  <c r="BI52" i="6"/>
  <c r="AY52" i="6"/>
  <c r="AX52" i="6"/>
  <c r="AW52" i="6"/>
  <c r="AV52" i="6"/>
  <c r="AU52" i="6"/>
  <c r="AT52" i="6"/>
  <c r="AS52" i="6"/>
  <c r="AR52" i="6"/>
  <c r="AQ52" i="6"/>
  <c r="AP52" i="6"/>
  <c r="AO52" i="6"/>
  <c r="AN52" i="6"/>
  <c r="AM52" i="6"/>
  <c r="AL52" i="6"/>
  <c r="AK52" i="6"/>
  <c r="AJ52" i="6"/>
  <c r="AI52" i="6"/>
  <c r="AH52" i="6"/>
  <c r="AG52" i="6"/>
  <c r="AF52" i="6"/>
  <c r="AF53" i="6" s="1"/>
  <c r="AE52" i="6"/>
  <c r="AE53" i="6" s="1"/>
  <c r="AD52" i="6"/>
  <c r="AC52" i="6"/>
  <c r="AC53" i="6" s="1"/>
  <c r="X52" i="6"/>
  <c r="W52" i="6"/>
  <c r="V52" i="6"/>
  <c r="U52" i="6"/>
  <c r="T52" i="6"/>
  <c r="S52" i="6"/>
  <c r="R52" i="6"/>
  <c r="Q52" i="6"/>
  <c r="P52" i="6"/>
  <c r="O52" i="6"/>
  <c r="N52" i="6"/>
  <c r="M52" i="6"/>
  <c r="L52" i="6"/>
  <c r="K52" i="6"/>
  <c r="J52" i="6"/>
  <c r="I52" i="6"/>
  <c r="H52" i="6"/>
  <c r="G52" i="6"/>
  <c r="F52" i="6"/>
  <c r="F53" i="6" s="1"/>
  <c r="E52" i="6"/>
  <c r="E53" i="6" s="1"/>
  <c r="D52" i="6"/>
  <c r="D53" i="6" s="1"/>
  <c r="C52" i="6"/>
  <c r="C53" i="6" s="1"/>
  <c r="B52" i="6"/>
  <c r="B53" i="6" s="1"/>
  <c r="BH51" i="6"/>
  <c r="BG51" i="6"/>
  <c r="BF51" i="6"/>
  <c r="BE51" i="6"/>
  <c r="BD51" i="6"/>
  <c r="BC51" i="6"/>
  <c r="BB51" i="6"/>
  <c r="BA51" i="6"/>
  <c r="AZ51" i="6"/>
  <c r="BH50" i="6"/>
  <c r="BG50" i="6"/>
  <c r="BF50" i="6"/>
  <c r="BE50" i="6"/>
  <c r="BD50" i="6"/>
  <c r="BC50" i="6"/>
  <c r="BB50" i="6"/>
  <c r="BA50" i="6"/>
  <c r="AZ50" i="6"/>
  <c r="BH49" i="6"/>
  <c r="BG49" i="6"/>
  <c r="BF49" i="6"/>
  <c r="BE49" i="6"/>
  <c r="BD49" i="6"/>
  <c r="BC49" i="6"/>
  <c r="BB49" i="6"/>
  <c r="BA49" i="6"/>
  <c r="AZ49" i="6"/>
  <c r="BH48" i="6"/>
  <c r="BG48" i="6"/>
  <c r="BF48" i="6"/>
  <c r="BE48" i="6"/>
  <c r="BD48" i="6"/>
  <c r="BC48" i="6"/>
  <c r="BB48" i="6"/>
  <c r="BA48" i="6"/>
  <c r="AZ48" i="6"/>
  <c r="BH47" i="6"/>
  <c r="BG47" i="6"/>
  <c r="BF47" i="6"/>
  <c r="BE47" i="6"/>
  <c r="BD47" i="6"/>
  <c r="BC47" i="6"/>
  <c r="BB47" i="6"/>
  <c r="BA47" i="6"/>
  <c r="AZ47" i="6"/>
  <c r="BH46" i="6"/>
  <c r="BG46" i="6"/>
  <c r="BF46" i="6"/>
  <c r="BE46" i="6"/>
  <c r="BD46" i="6"/>
  <c r="BC46" i="6"/>
  <c r="BB46" i="6"/>
  <c r="BA46" i="6"/>
  <c r="AZ46" i="6"/>
  <c r="BH45" i="6"/>
  <c r="BG45" i="6"/>
  <c r="BF45" i="6"/>
  <c r="BE45" i="6"/>
  <c r="BD45" i="6"/>
  <c r="BC45" i="6"/>
  <c r="BC38" i="6" s="1"/>
  <c r="BB45" i="6"/>
  <c r="BA45" i="6"/>
  <c r="AZ45" i="6"/>
  <c r="BH44" i="6"/>
  <c r="BG44" i="6"/>
  <c r="BF44" i="6"/>
  <c r="BE44" i="6"/>
  <c r="BD44" i="6"/>
  <c r="BC44" i="6"/>
  <c r="BB44" i="6"/>
  <c r="BA44" i="6"/>
  <c r="AZ44" i="6"/>
  <c r="BH43" i="6"/>
  <c r="BG43" i="6"/>
  <c r="BF43" i="6"/>
  <c r="BE43" i="6"/>
  <c r="BD43" i="6"/>
  <c r="BC43" i="6"/>
  <c r="BB43" i="6"/>
  <c r="BA43" i="6"/>
  <c r="AZ43" i="6"/>
  <c r="BH42" i="6"/>
  <c r="BG42" i="6"/>
  <c r="BF42" i="6"/>
  <c r="BF38" i="6" s="1"/>
  <c r="BE42" i="6"/>
  <c r="BD42" i="6"/>
  <c r="BC42" i="6"/>
  <c r="BB42" i="6"/>
  <c r="BA42" i="6"/>
  <c r="AZ42" i="6"/>
  <c r="BH41" i="6"/>
  <c r="BG41" i="6"/>
  <c r="BG38" i="6" s="1"/>
  <c r="BF41" i="6"/>
  <c r="BE41" i="6"/>
  <c r="BD41" i="6"/>
  <c r="BC41" i="6"/>
  <c r="BB41" i="6"/>
  <c r="BA41" i="6"/>
  <c r="AZ41" i="6"/>
  <c r="BH40" i="6"/>
  <c r="BG40" i="6"/>
  <c r="BF40" i="6"/>
  <c r="BE40" i="6"/>
  <c r="BD40" i="6"/>
  <c r="BC40" i="6"/>
  <c r="BB40" i="6"/>
  <c r="BA40" i="6"/>
  <c r="AZ40" i="6"/>
  <c r="AZ38" i="6" s="1"/>
  <c r="BO38" i="6"/>
  <c r="BN38" i="6"/>
  <c r="BM38" i="6"/>
  <c r="BL38" i="6"/>
  <c r="BK38" i="6"/>
  <c r="BJ38" i="6"/>
  <c r="BI38" i="6"/>
  <c r="BH38" i="6"/>
  <c r="BE38" i="6"/>
  <c r="BD38" i="6"/>
  <c r="AY38" i="6"/>
  <c r="AX38" i="6"/>
  <c r="AW38" i="6"/>
  <c r="AV38" i="6"/>
  <c r="AU38" i="6"/>
  <c r="AT38" i="6"/>
  <c r="AS38" i="6"/>
  <c r="AR38" i="6"/>
  <c r="AQ38" i="6"/>
  <c r="AP38" i="6"/>
  <c r="AO38" i="6"/>
  <c r="AN38" i="6"/>
  <c r="AM38" i="6"/>
  <c r="AL38" i="6"/>
  <c r="AK38" i="6"/>
  <c r="AJ38" i="6"/>
  <c r="AI38" i="6"/>
  <c r="AH38" i="6"/>
  <c r="AG38" i="6"/>
  <c r="AF38" i="6"/>
  <c r="AF39" i="6" s="1"/>
  <c r="AE38" i="6"/>
  <c r="AE39" i="6" s="1"/>
  <c r="AD38" i="6"/>
  <c r="AC38" i="6"/>
  <c r="AC39" i="6" s="1"/>
  <c r="X38" i="6"/>
  <c r="W38" i="6"/>
  <c r="V38" i="6"/>
  <c r="U38" i="6"/>
  <c r="T38" i="6"/>
  <c r="S38" i="6"/>
  <c r="R38" i="6"/>
  <c r="Q38" i="6"/>
  <c r="P38" i="6"/>
  <c r="O38" i="6"/>
  <c r="N38" i="6"/>
  <c r="M38" i="6"/>
  <c r="L38" i="6"/>
  <c r="K38" i="6"/>
  <c r="J38" i="6"/>
  <c r="I38" i="6"/>
  <c r="H38" i="6"/>
  <c r="G38" i="6"/>
  <c r="F38" i="6"/>
  <c r="E38" i="6"/>
  <c r="E39" i="6" s="1"/>
  <c r="D38" i="6"/>
  <c r="D39" i="6" s="1"/>
  <c r="C38" i="6"/>
  <c r="C39" i="6" s="1"/>
  <c r="B38" i="6"/>
  <c r="B39" i="6" s="1"/>
  <c r="BH37" i="6"/>
  <c r="BG37" i="6"/>
  <c r="BF37" i="6"/>
  <c r="BE37" i="6"/>
  <c r="BD37" i="6"/>
  <c r="BC37" i="6"/>
  <c r="BB37" i="6"/>
  <c r="BA37" i="6"/>
  <c r="AZ37" i="6"/>
  <c r="BH36" i="6"/>
  <c r="BG36" i="6"/>
  <c r="BF36" i="6"/>
  <c r="BE36" i="6"/>
  <c r="BD36" i="6"/>
  <c r="BC36" i="6"/>
  <c r="BB36" i="6"/>
  <c r="BA36" i="6"/>
  <c r="AZ36" i="6"/>
  <c r="BH35" i="6"/>
  <c r="BG35" i="6"/>
  <c r="BF35" i="6"/>
  <c r="BE35" i="6"/>
  <c r="BD35" i="6"/>
  <c r="BC35" i="6"/>
  <c r="BB35" i="6"/>
  <c r="BA35" i="6"/>
  <c r="AZ35" i="6"/>
  <c r="BH34" i="6"/>
  <c r="BG34" i="6"/>
  <c r="BF34" i="6"/>
  <c r="BE34" i="6"/>
  <c r="BD34" i="6"/>
  <c r="BC34" i="6"/>
  <c r="BB34" i="6"/>
  <c r="BA34" i="6"/>
  <c r="AZ34" i="6"/>
  <c r="BH33" i="6"/>
  <c r="BG33" i="6"/>
  <c r="BF33" i="6"/>
  <c r="BE33" i="6"/>
  <c r="BD33" i="6"/>
  <c r="BC33" i="6"/>
  <c r="BB33" i="6"/>
  <c r="BA33" i="6"/>
  <c r="AZ33" i="6"/>
  <c r="BH32" i="6"/>
  <c r="BG32" i="6"/>
  <c r="BF32" i="6"/>
  <c r="BE32" i="6"/>
  <c r="BD32" i="6"/>
  <c r="BC32" i="6"/>
  <c r="BB32" i="6"/>
  <c r="BA32" i="6"/>
  <c r="AZ32" i="6"/>
  <c r="AZ23" i="6" s="1"/>
  <c r="BH31" i="6"/>
  <c r="BG31" i="6"/>
  <c r="BF31" i="6"/>
  <c r="BE31" i="6"/>
  <c r="BD31" i="6"/>
  <c r="BC31" i="6"/>
  <c r="BB31" i="6"/>
  <c r="BA31" i="6"/>
  <c r="AZ31" i="6"/>
  <c r="BH30" i="6"/>
  <c r="BG30" i="6"/>
  <c r="BF30" i="6"/>
  <c r="BE30" i="6"/>
  <c r="BD30" i="6"/>
  <c r="BC30" i="6"/>
  <c r="BB30" i="6"/>
  <c r="BA30" i="6"/>
  <c r="AZ30" i="6"/>
  <c r="BH29" i="6"/>
  <c r="BG29" i="6"/>
  <c r="BF29" i="6"/>
  <c r="BE29" i="6"/>
  <c r="BD29" i="6"/>
  <c r="BC29" i="6"/>
  <c r="BB29" i="6"/>
  <c r="BA29" i="6"/>
  <c r="AZ29" i="6"/>
  <c r="BH28" i="6"/>
  <c r="BG28" i="6"/>
  <c r="BF28" i="6"/>
  <c r="BE28" i="6"/>
  <c r="BD28" i="6"/>
  <c r="BC28" i="6"/>
  <c r="BB28" i="6"/>
  <c r="BA28" i="6"/>
  <c r="AZ28" i="6"/>
  <c r="BH27" i="6"/>
  <c r="BG27" i="6"/>
  <c r="BF27" i="6"/>
  <c r="BE27" i="6"/>
  <c r="BD27" i="6"/>
  <c r="BC27" i="6"/>
  <c r="BB27" i="6"/>
  <c r="BA27" i="6"/>
  <c r="AZ27" i="6"/>
  <c r="BH26" i="6"/>
  <c r="BG26" i="6"/>
  <c r="BF26" i="6"/>
  <c r="BE26" i="6"/>
  <c r="BD26" i="6"/>
  <c r="BC26" i="6"/>
  <c r="BB26" i="6"/>
  <c r="BA26" i="6"/>
  <c r="AZ26" i="6"/>
  <c r="BH25" i="6"/>
  <c r="BG25" i="6"/>
  <c r="BG23" i="6" s="1"/>
  <c r="BF25" i="6"/>
  <c r="BF23" i="6" s="1"/>
  <c r="BE25" i="6"/>
  <c r="BD25" i="6"/>
  <c r="BC25" i="6"/>
  <c r="BB25" i="6"/>
  <c r="BA25" i="6"/>
  <c r="AZ25" i="6"/>
  <c r="BO23" i="6"/>
  <c r="BN23" i="6"/>
  <c r="BM23" i="6"/>
  <c r="BL23" i="6"/>
  <c r="BK23" i="6"/>
  <c r="BJ23" i="6"/>
  <c r="BI23" i="6"/>
  <c r="BC23" i="6"/>
  <c r="AY23" i="6"/>
  <c r="AX23" i="6"/>
  <c r="AW23" i="6"/>
  <c r="AV23" i="6"/>
  <c r="AU23" i="6"/>
  <c r="AT23" i="6"/>
  <c r="AS23" i="6"/>
  <c r="AR23" i="6"/>
  <c r="AQ23" i="6"/>
  <c r="AP23" i="6"/>
  <c r="AO23" i="6"/>
  <c r="AN23" i="6"/>
  <c r="AM23" i="6"/>
  <c r="AL23" i="6"/>
  <c r="AK23" i="6"/>
  <c r="AJ23" i="6"/>
  <c r="AI23" i="6"/>
  <c r="AH23" i="6"/>
  <c r="AG23" i="6"/>
  <c r="AF23" i="6"/>
  <c r="AF24" i="6" s="1"/>
  <c r="AE23" i="6"/>
  <c r="AE24" i="6" s="1"/>
  <c r="AD23" i="6"/>
  <c r="AC23" i="6"/>
  <c r="AC24" i="6" s="1"/>
  <c r="X23" i="6"/>
  <c r="W23" i="6"/>
  <c r="V23" i="6"/>
  <c r="U23" i="6"/>
  <c r="T23" i="6"/>
  <c r="S23" i="6"/>
  <c r="R23" i="6"/>
  <c r="Q23" i="6"/>
  <c r="P23" i="6"/>
  <c r="O23" i="6"/>
  <c r="N23" i="6"/>
  <c r="M23" i="6"/>
  <c r="L23" i="6"/>
  <c r="K23" i="6"/>
  <c r="J23" i="6"/>
  <c r="I23" i="6"/>
  <c r="H23" i="6"/>
  <c r="G23" i="6"/>
  <c r="F23" i="6"/>
  <c r="F24" i="6" s="1"/>
  <c r="E23" i="6"/>
  <c r="E24" i="6" s="1"/>
  <c r="D23" i="6"/>
  <c r="D24" i="6" s="1"/>
  <c r="C23" i="6"/>
  <c r="C24" i="6" s="1"/>
  <c r="B23" i="6"/>
  <c r="B24" i="6" s="1"/>
  <c r="BH22" i="6"/>
  <c r="BG22" i="6"/>
  <c r="BF22" i="6"/>
  <c r="BE22" i="6"/>
  <c r="BD22" i="6"/>
  <c r="BC22" i="6"/>
  <c r="BB22" i="6"/>
  <c r="BB5" i="6" s="1"/>
  <c r="BA22" i="6"/>
  <c r="AZ22" i="6"/>
  <c r="I22" i="6"/>
  <c r="BH21" i="6"/>
  <c r="BG21" i="6"/>
  <c r="BF21" i="6"/>
  <c r="BE21" i="6"/>
  <c r="BD21" i="6"/>
  <c r="BC21" i="6"/>
  <c r="BB21" i="6"/>
  <c r="BA21" i="6"/>
  <c r="AZ21" i="6"/>
  <c r="I21" i="6"/>
  <c r="H21" i="6"/>
  <c r="F21" i="6"/>
  <c r="BH20" i="6"/>
  <c r="BG20" i="6"/>
  <c r="BF20" i="6"/>
  <c r="BE20" i="6"/>
  <c r="BD20" i="6"/>
  <c r="BC20" i="6"/>
  <c r="BB20" i="6"/>
  <c r="BA20" i="6"/>
  <c r="AZ20" i="6"/>
  <c r="I20" i="6"/>
  <c r="H20" i="6"/>
  <c r="F20" i="6"/>
  <c r="BH19" i="6"/>
  <c r="BG19" i="6"/>
  <c r="BF19" i="6"/>
  <c r="BE19" i="6"/>
  <c r="BD19" i="6"/>
  <c r="BC19" i="6"/>
  <c r="BB19" i="6"/>
  <c r="BA19" i="6"/>
  <c r="AZ19" i="6"/>
  <c r="I19" i="6"/>
  <c r="H19" i="6"/>
  <c r="F19" i="6"/>
  <c r="BH18" i="6"/>
  <c r="BG18" i="6"/>
  <c r="BF18" i="6"/>
  <c r="BE18" i="6"/>
  <c r="BD18" i="6"/>
  <c r="BC18" i="6"/>
  <c r="BB18" i="6"/>
  <c r="BA18" i="6"/>
  <c r="AZ18" i="6"/>
  <c r="I18" i="6"/>
  <c r="H18" i="6"/>
  <c r="F18" i="6"/>
  <c r="BH17" i="6"/>
  <c r="BG17" i="6"/>
  <c r="BF17" i="6"/>
  <c r="BE17" i="6"/>
  <c r="BD17" i="6"/>
  <c r="BC17" i="6"/>
  <c r="BB17" i="6"/>
  <c r="BA17" i="6"/>
  <c r="AZ17" i="6"/>
  <c r="I17" i="6"/>
  <c r="H17" i="6"/>
  <c r="F17" i="6"/>
  <c r="BH16" i="6"/>
  <c r="BG16" i="6"/>
  <c r="BF16" i="6"/>
  <c r="BE16" i="6"/>
  <c r="BD16" i="6"/>
  <c r="BC16" i="6"/>
  <c r="BB16" i="6"/>
  <c r="BA16" i="6"/>
  <c r="AZ16" i="6"/>
  <c r="I16" i="6"/>
  <c r="H16" i="6"/>
  <c r="F16" i="6"/>
  <c r="BH15" i="6"/>
  <c r="BG15" i="6"/>
  <c r="BF15" i="6"/>
  <c r="BE15" i="6"/>
  <c r="BD15" i="6"/>
  <c r="BC15" i="6"/>
  <c r="BB15" i="6"/>
  <c r="BA15" i="6"/>
  <c r="AZ15" i="6"/>
  <c r="I15" i="6"/>
  <c r="H15" i="6"/>
  <c r="F15" i="6"/>
  <c r="BH14" i="6"/>
  <c r="BG14" i="6"/>
  <c r="BF14" i="6"/>
  <c r="BE14" i="6"/>
  <c r="BD14" i="6"/>
  <c r="BC14" i="6"/>
  <c r="BB14" i="6"/>
  <c r="BA14" i="6"/>
  <c r="AZ14" i="6"/>
  <c r="I14" i="6"/>
  <c r="H14" i="6"/>
  <c r="F14" i="6"/>
  <c r="F5" i="6" s="1"/>
  <c r="F6" i="6" s="1"/>
  <c r="BH13" i="6"/>
  <c r="BG13" i="6"/>
  <c r="BF13" i="6"/>
  <c r="BE13" i="6"/>
  <c r="BD13" i="6"/>
  <c r="BC13" i="6"/>
  <c r="BB13" i="6"/>
  <c r="BA13" i="6"/>
  <c r="AZ13" i="6"/>
  <c r="I13" i="6"/>
  <c r="H13" i="6"/>
  <c r="F13" i="6"/>
  <c r="BH12" i="6"/>
  <c r="BG12" i="6"/>
  <c r="BF12" i="6"/>
  <c r="BE12" i="6"/>
  <c r="BE5" i="6" s="1"/>
  <c r="BD12" i="6"/>
  <c r="BC12" i="6"/>
  <c r="BB12" i="6"/>
  <c r="BA12" i="6"/>
  <c r="AZ12" i="6"/>
  <c r="I12" i="6"/>
  <c r="H12" i="6"/>
  <c r="BH11" i="6"/>
  <c r="BG11" i="6"/>
  <c r="BF11" i="6"/>
  <c r="BE11" i="6"/>
  <c r="BD11" i="6"/>
  <c r="BC11" i="6"/>
  <c r="BB11" i="6"/>
  <c r="BA11" i="6"/>
  <c r="AZ11" i="6"/>
  <c r="I11" i="6"/>
  <c r="H11" i="6"/>
  <c r="F11" i="6"/>
  <c r="BH10" i="6"/>
  <c r="BG10" i="6"/>
  <c r="BF10" i="6"/>
  <c r="BE10" i="6"/>
  <c r="BD10" i="6"/>
  <c r="BC10" i="6"/>
  <c r="BB10" i="6"/>
  <c r="BA10" i="6"/>
  <c r="AZ10" i="6"/>
  <c r="I10" i="6"/>
  <c r="H10" i="6"/>
  <c r="F10" i="6"/>
  <c r="BH9" i="6"/>
  <c r="BG9" i="6"/>
  <c r="BF9" i="6"/>
  <c r="BE9" i="6"/>
  <c r="BD9" i="6"/>
  <c r="BC9" i="6"/>
  <c r="BB9" i="6"/>
  <c r="BA9" i="6"/>
  <c r="AZ9" i="6"/>
  <c r="BH8" i="6"/>
  <c r="BG8" i="6"/>
  <c r="BF8" i="6"/>
  <c r="BE8" i="6"/>
  <c r="BD8" i="6"/>
  <c r="BC8" i="6"/>
  <c r="BB8" i="6"/>
  <c r="BA8" i="6"/>
  <c r="AZ8" i="6"/>
  <c r="I8" i="6"/>
  <c r="H8" i="6"/>
  <c r="H5" i="6" s="1"/>
  <c r="BH7" i="6"/>
  <c r="BG7" i="6"/>
  <c r="BF7" i="6"/>
  <c r="BE7" i="6"/>
  <c r="BD7" i="6"/>
  <c r="BD5" i="6" s="1"/>
  <c r="BC7" i="6"/>
  <c r="BB7" i="6"/>
  <c r="BA7" i="6"/>
  <c r="AZ7" i="6"/>
  <c r="I7" i="6"/>
  <c r="H7" i="6"/>
  <c r="F7" i="6"/>
  <c r="BO5" i="6"/>
  <c r="BN5" i="6"/>
  <c r="BM5" i="6"/>
  <c r="BL5" i="6"/>
  <c r="BK5" i="6"/>
  <c r="BJ5" i="6"/>
  <c r="BI5" i="6"/>
  <c r="BG5" i="6"/>
  <c r="BF5" i="6"/>
  <c r="AY5" i="6"/>
  <c r="AX5" i="6"/>
  <c r="AW5" i="6"/>
  <c r="AV5" i="6"/>
  <c r="AU5" i="6"/>
  <c r="AT5" i="6"/>
  <c r="AS5" i="6"/>
  <c r="AR5" i="6"/>
  <c r="AQ5" i="6"/>
  <c r="AP5" i="6"/>
  <c r="AO5" i="6"/>
  <c r="AN5" i="6"/>
  <c r="AM5" i="6"/>
  <c r="AL5" i="6"/>
  <c r="AK5" i="6"/>
  <c r="AJ5" i="6"/>
  <c r="AI5" i="6"/>
  <c r="AH5" i="6"/>
  <c r="AG5" i="6"/>
  <c r="AF5" i="6"/>
  <c r="AF6" i="6" s="1"/>
  <c r="AE5" i="6"/>
  <c r="AE6" i="6" s="1"/>
  <c r="AD5" i="6"/>
  <c r="AC5" i="6"/>
  <c r="AC6" i="6" s="1"/>
  <c r="X5" i="6"/>
  <c r="W5" i="6"/>
  <c r="V5" i="6"/>
  <c r="U5" i="6"/>
  <c r="T5" i="6"/>
  <c r="S5" i="6"/>
  <c r="R5" i="6"/>
  <c r="Q5" i="6"/>
  <c r="P5" i="6"/>
  <c r="O5" i="6"/>
  <c r="N5" i="6"/>
  <c r="M5" i="6"/>
  <c r="L5" i="6"/>
  <c r="K5" i="6"/>
  <c r="J5" i="6"/>
  <c r="G5" i="6"/>
  <c r="E5" i="6"/>
  <c r="E6" i="6" s="1"/>
  <c r="D5" i="6"/>
  <c r="D6" i="6" s="1"/>
  <c r="C5" i="6"/>
  <c r="C6" i="6" s="1"/>
  <c r="B5" i="6"/>
  <c r="B6" i="6" s="1"/>
  <c r="I4" i="6"/>
  <c r="H4" i="6"/>
  <c r="F4" i="6"/>
  <c r="X52" i="5"/>
  <c r="X53" i="5" s="1"/>
  <c r="W52" i="5"/>
  <c r="V52" i="5"/>
  <c r="U52" i="5"/>
  <c r="T52" i="5"/>
  <c r="S52" i="5"/>
  <c r="R52" i="5"/>
  <c r="Q52" i="5"/>
  <c r="P52" i="5"/>
  <c r="O52" i="5"/>
  <c r="N52" i="5"/>
  <c r="M52" i="5"/>
  <c r="L52" i="5"/>
  <c r="K52" i="5"/>
  <c r="J52" i="5"/>
  <c r="G52" i="5"/>
  <c r="X38" i="5"/>
  <c r="X39" i="5" s="1"/>
  <c r="W38" i="5"/>
  <c r="V38" i="5"/>
  <c r="U38" i="5"/>
  <c r="T38" i="5"/>
  <c r="S38" i="5"/>
  <c r="R38" i="5"/>
  <c r="Q38" i="5"/>
  <c r="P38" i="5"/>
  <c r="O38" i="5"/>
  <c r="N38" i="5"/>
  <c r="M38" i="5"/>
  <c r="L38" i="5"/>
  <c r="K38" i="5"/>
  <c r="J38" i="5"/>
  <c r="G38" i="5"/>
  <c r="X23" i="5"/>
  <c r="X24" i="5" s="1"/>
  <c r="W23" i="5"/>
  <c r="V23" i="5"/>
  <c r="U23" i="5"/>
  <c r="T23" i="5"/>
  <c r="S23" i="5"/>
  <c r="R23" i="5"/>
  <c r="Q23" i="5"/>
  <c r="P23" i="5"/>
  <c r="O23" i="5"/>
  <c r="N23" i="5"/>
  <c r="M23" i="5"/>
  <c r="L23" i="5"/>
  <c r="K23" i="5"/>
  <c r="J23" i="5"/>
  <c r="G23" i="5"/>
  <c r="I22" i="5"/>
  <c r="H22" i="5"/>
  <c r="F22" i="5"/>
  <c r="I21" i="5"/>
  <c r="H21" i="5"/>
  <c r="F21" i="5"/>
  <c r="I20" i="5"/>
  <c r="H20" i="5"/>
  <c r="F20" i="5"/>
  <c r="I19" i="5"/>
  <c r="H19" i="5"/>
  <c r="F19" i="5"/>
  <c r="I18" i="5"/>
  <c r="H18" i="5"/>
  <c r="F18" i="5"/>
  <c r="I17" i="5"/>
  <c r="H17" i="5"/>
  <c r="F17" i="5"/>
  <c r="I16" i="5"/>
  <c r="H16" i="5"/>
  <c r="F16" i="5"/>
  <c r="I15" i="5"/>
  <c r="H15" i="5"/>
  <c r="F15" i="5"/>
  <c r="I14" i="5"/>
  <c r="H14" i="5"/>
  <c r="F14" i="5"/>
  <c r="I13" i="5"/>
  <c r="H13" i="5"/>
  <c r="F13" i="5"/>
  <c r="I12" i="5"/>
  <c r="H12" i="5"/>
  <c r="F12" i="5"/>
  <c r="I11" i="5"/>
  <c r="H11" i="5"/>
  <c r="F11" i="5"/>
  <c r="I10" i="5"/>
  <c r="H10" i="5"/>
  <c r="F10" i="5"/>
  <c r="I8" i="5"/>
  <c r="H8" i="5"/>
  <c r="F8" i="5"/>
  <c r="I7" i="5"/>
  <c r="H7" i="5"/>
  <c r="H5" i="5" s="1"/>
  <c r="H6" i="5" s="1"/>
  <c r="F7" i="5"/>
  <c r="E6" i="5"/>
  <c r="X5" i="5"/>
  <c r="X6" i="5" s="1"/>
  <c r="W5" i="5"/>
  <c r="W4" i="5" s="1"/>
  <c r="W6" i="5" s="1"/>
  <c r="V5" i="5"/>
  <c r="U5" i="5"/>
  <c r="T5" i="5"/>
  <c r="S5" i="5"/>
  <c r="S4" i="5" s="1"/>
  <c r="S6" i="5" s="1"/>
  <c r="R5" i="5"/>
  <c r="Q5" i="5"/>
  <c r="Q4" i="5" s="1"/>
  <c r="Q6" i="5" s="1"/>
  <c r="P5" i="5"/>
  <c r="O5" i="5"/>
  <c r="O4" i="5" s="1"/>
  <c r="O6" i="5" s="1"/>
  <c r="N5" i="5"/>
  <c r="M5" i="5"/>
  <c r="L5" i="5"/>
  <c r="K5" i="5"/>
  <c r="K4" i="5" s="1"/>
  <c r="K6" i="5" s="1"/>
  <c r="J5" i="5"/>
  <c r="G5" i="5"/>
  <c r="G4" i="5" s="1"/>
  <c r="G6" i="5" s="1"/>
  <c r="E5" i="5"/>
  <c r="D5" i="5"/>
  <c r="D6" i="5" s="1"/>
  <c r="C5" i="5"/>
  <c r="C6" i="5" s="1"/>
  <c r="B5" i="5"/>
  <c r="B6" i="5" s="1"/>
  <c r="M4" i="5"/>
  <c r="M6" i="5" s="1"/>
  <c r="I4" i="5"/>
  <c r="H4" i="5"/>
  <c r="F4" i="5"/>
  <c r="CG52" i="4"/>
  <c r="CF52" i="4"/>
  <c r="CE52" i="4"/>
  <c r="CD52" i="4"/>
  <c r="CC52" i="4"/>
  <c r="CB52" i="4"/>
  <c r="CA52" i="4"/>
  <c r="BZ52" i="4"/>
  <c r="BY52" i="4"/>
  <c r="BX52" i="4"/>
  <c r="BW52" i="4"/>
  <c r="BV52" i="4"/>
  <c r="BU52" i="4"/>
  <c r="BT52" i="4"/>
  <c r="BS52" i="4"/>
  <c r="BR52" i="4"/>
  <c r="BQ52" i="4"/>
  <c r="BP52" i="4"/>
  <c r="BO52" i="4"/>
  <c r="BN52" i="4"/>
  <c r="BM52" i="4"/>
  <c r="BL52" i="4"/>
  <c r="BK52" i="4"/>
  <c r="BJ52" i="4"/>
  <c r="BI52" i="4"/>
  <c r="BH52" i="4"/>
  <c r="BG52" i="4"/>
  <c r="BF52" i="4"/>
  <c r="BE52" i="4"/>
  <c r="BD52" i="4"/>
  <c r="BC52" i="4"/>
  <c r="BB52" i="4"/>
  <c r="BA52" i="4"/>
  <c r="AZ52" i="4"/>
  <c r="AY52" i="4"/>
  <c r="AX52" i="4"/>
  <c r="AW52" i="4"/>
  <c r="AV52" i="4"/>
  <c r="AU52" i="4"/>
  <c r="AT52" i="4"/>
  <c r="AO52" i="4"/>
  <c r="AN52" i="4"/>
  <c r="AM52"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U23" i="4"/>
  <c r="AT23" i="4"/>
  <c r="AO23" i="4"/>
  <c r="AN23" i="4"/>
  <c r="AM23" i="4"/>
  <c r="AL23" i="4"/>
  <c r="AK23" i="4"/>
  <c r="AK4" i="4" s="1"/>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E4" i="4" s="1"/>
  <c r="D23" i="4"/>
  <c r="C23" i="4"/>
  <c r="B23" i="4"/>
  <c r="CG5" i="4"/>
  <c r="CF5" i="4"/>
  <c r="CE5" i="4"/>
  <c r="CD5" i="4"/>
  <c r="CC5" i="4"/>
  <c r="CB5" i="4"/>
  <c r="CA5" i="4"/>
  <c r="AI3" i="7" s="1"/>
  <c r="BZ5" i="4"/>
  <c r="BY5" i="4"/>
  <c r="BX5" i="4"/>
  <c r="BW5" i="4"/>
  <c r="BV5" i="4"/>
  <c r="BU5" i="4"/>
  <c r="BT5" i="4"/>
  <c r="BS5" i="4"/>
  <c r="AA3" i="7" s="1"/>
  <c r="BR5" i="4"/>
  <c r="BR4" i="4" s="1"/>
  <c r="BQ5" i="4"/>
  <c r="BP5" i="4"/>
  <c r="BO5" i="4"/>
  <c r="BN5" i="4"/>
  <c r="BM5" i="4"/>
  <c r="BM4" i="4" s="1"/>
  <c r="BL5" i="4"/>
  <c r="BK5" i="4"/>
  <c r="S3" i="7" s="1"/>
  <c r="BJ5" i="4"/>
  <c r="BI5" i="4"/>
  <c r="BH5" i="4"/>
  <c r="BG5" i="4"/>
  <c r="BF5" i="4"/>
  <c r="BE5" i="4"/>
  <c r="BE4" i="4" s="1"/>
  <c r="BD5" i="4"/>
  <c r="BC5" i="4"/>
  <c r="BB5" i="4"/>
  <c r="BA5" i="4"/>
  <c r="AZ5" i="4"/>
  <c r="AY5" i="4"/>
  <c r="AX5" i="4"/>
  <c r="AW5" i="4"/>
  <c r="AV5" i="4"/>
  <c r="AU5" i="4"/>
  <c r="AT5" i="4"/>
  <c r="AN5" i="4"/>
  <c r="AM5" i="4"/>
  <c r="AL5" i="4"/>
  <c r="AK5" i="4"/>
  <c r="AJ5" i="4"/>
  <c r="AI5" i="4"/>
  <c r="AH5" i="4"/>
  <c r="AG5" i="4"/>
  <c r="AG4" i="4" s="1"/>
  <c r="AF5" i="4"/>
  <c r="AE5" i="4"/>
  <c r="AD5" i="4"/>
  <c r="AC5" i="4"/>
  <c r="AB5" i="4"/>
  <c r="AB4" i="4" s="1"/>
  <c r="AA5" i="4"/>
  <c r="Z5" i="4"/>
  <c r="Y5" i="4"/>
  <c r="Y4" i="4" s="1"/>
  <c r="X5" i="4"/>
  <c r="W5" i="4"/>
  <c r="V5" i="4"/>
  <c r="U5" i="4"/>
  <c r="T5" i="4"/>
  <c r="T4" i="4" s="1"/>
  <c r="S5" i="4"/>
  <c r="R5" i="4"/>
  <c r="Q5" i="4"/>
  <c r="P5" i="4"/>
  <c r="O5" i="4"/>
  <c r="N5" i="4"/>
  <c r="M5" i="4"/>
  <c r="L5" i="4"/>
  <c r="K5" i="4"/>
  <c r="J5" i="4"/>
  <c r="I5" i="4"/>
  <c r="H5" i="4"/>
  <c r="G5" i="4"/>
  <c r="F5" i="4"/>
  <c r="E5" i="4"/>
  <c r="D5" i="4"/>
  <c r="C5" i="4"/>
  <c r="B5" i="4"/>
  <c r="CG4" i="4"/>
  <c r="CC4" i="4"/>
  <c r="CB4" i="4"/>
  <c r="CA4" i="4"/>
  <c r="BY4" i="4"/>
  <c r="BV4" i="4"/>
  <c r="BU4" i="4"/>
  <c r="BT4" i="4"/>
  <c r="BS4" i="4"/>
  <c r="BQ4" i="4"/>
  <c r="BN4" i="4"/>
  <c r="BL4" i="4"/>
  <c r="BK4" i="4"/>
  <c r="BI4" i="4"/>
  <c r="BF4" i="4"/>
  <c r="BD4" i="4"/>
  <c r="BA4" i="4"/>
  <c r="AX4" i="4"/>
  <c r="AW4" i="4"/>
  <c r="AV4" i="4"/>
  <c r="AU4" i="4"/>
  <c r="AN4" i="4"/>
  <c r="AJ4" i="4"/>
  <c r="AI4" i="4"/>
  <c r="AF4" i="4"/>
  <c r="AC4" i="4"/>
  <c r="AA4" i="4"/>
  <c r="Z4" i="4"/>
  <c r="X4" i="4"/>
  <c r="U4" i="4"/>
  <c r="S4" i="4"/>
  <c r="P4" i="4"/>
  <c r="M4" i="4"/>
  <c r="L4" i="4"/>
  <c r="K4" i="4"/>
  <c r="H4" i="4"/>
  <c r="D4" i="4"/>
  <c r="C4" i="4"/>
  <c r="S52" i="3"/>
  <c r="R52" i="3"/>
  <c r="Q52" i="3"/>
  <c r="P52" i="3"/>
  <c r="O52" i="3"/>
  <c r="N52" i="3"/>
  <c r="M52" i="3"/>
  <c r="L52" i="3"/>
  <c r="K52" i="3"/>
  <c r="J52" i="3"/>
  <c r="I52" i="3"/>
  <c r="H52" i="3"/>
  <c r="G52" i="3"/>
  <c r="F52" i="3"/>
  <c r="E52" i="3"/>
  <c r="D52" i="3"/>
  <c r="C52" i="3"/>
  <c r="B52" i="3"/>
  <c r="S38" i="3"/>
  <c r="R38" i="3"/>
  <c r="Q38" i="3"/>
  <c r="P38" i="3"/>
  <c r="O38" i="3"/>
  <c r="N38" i="3"/>
  <c r="M38" i="3"/>
  <c r="L38" i="3"/>
  <c r="K38" i="3"/>
  <c r="J38" i="3"/>
  <c r="I38" i="3"/>
  <c r="H38" i="3"/>
  <c r="G38" i="3"/>
  <c r="F38" i="3"/>
  <c r="E38" i="3"/>
  <c r="D38" i="3"/>
  <c r="C38" i="3"/>
  <c r="B38" i="3"/>
  <c r="S23" i="3"/>
  <c r="R23" i="3"/>
  <c r="Q23" i="3"/>
  <c r="P23" i="3"/>
  <c r="O23" i="3"/>
  <c r="N23" i="3"/>
  <c r="M23" i="3"/>
  <c r="L23" i="3"/>
  <c r="K23" i="3"/>
  <c r="J23" i="3"/>
  <c r="I23" i="3"/>
  <c r="H23" i="3"/>
  <c r="G23" i="3"/>
  <c r="F23" i="3"/>
  <c r="F4" i="3" s="1"/>
  <c r="F39" i="3" s="1"/>
  <c r="E23" i="3"/>
  <c r="D23" i="3"/>
  <c r="C23" i="3"/>
  <c r="B23" i="3"/>
  <c r="S5" i="3"/>
  <c r="R5" i="3"/>
  <c r="Q5" i="3"/>
  <c r="Q4" i="3" s="1"/>
  <c r="P5" i="3"/>
  <c r="O5" i="3"/>
  <c r="N5" i="3"/>
  <c r="M5" i="3"/>
  <c r="L5" i="3"/>
  <c r="L4" i="3" s="1"/>
  <c r="K5" i="3"/>
  <c r="J5" i="3"/>
  <c r="I5" i="3"/>
  <c r="I4" i="3" s="1"/>
  <c r="H5" i="3"/>
  <c r="H4" i="3" s="1"/>
  <c r="G5" i="3"/>
  <c r="F5" i="3"/>
  <c r="E5" i="3"/>
  <c r="D5" i="3"/>
  <c r="C5" i="3"/>
  <c r="B5" i="3"/>
  <c r="R4" i="3"/>
  <c r="D4" i="3"/>
  <c r="D39" i="3" s="1"/>
  <c r="B4" i="3"/>
  <c r="B39" i="3" s="1"/>
  <c r="AP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B52" i="2"/>
  <c r="B53" i="2" s="1"/>
  <c r="AP38" i="2"/>
  <c r="AO36" i="7" s="1"/>
  <c r="AO38" i="2"/>
  <c r="AN38" i="2"/>
  <c r="AM38" i="2"/>
  <c r="AL38" i="2"/>
  <c r="AK38" i="2"/>
  <c r="AJ38" i="2"/>
  <c r="AI38" i="2"/>
  <c r="AH38" i="2"/>
  <c r="AG38" i="2"/>
  <c r="AF38" i="2"/>
  <c r="AE38" i="2"/>
  <c r="AD38" i="2"/>
  <c r="AC38" i="2"/>
  <c r="AB38" i="2"/>
  <c r="AA38" i="2"/>
  <c r="AA4" i="2" s="1"/>
  <c r="Z38" i="2"/>
  <c r="Y38" i="2"/>
  <c r="X38" i="2"/>
  <c r="W38" i="2"/>
  <c r="V38" i="2"/>
  <c r="U38" i="2"/>
  <c r="T38" i="2"/>
  <c r="S38" i="2"/>
  <c r="R38" i="2"/>
  <c r="Q38" i="2"/>
  <c r="P38" i="2"/>
  <c r="O38" i="2"/>
  <c r="N38" i="2"/>
  <c r="M38" i="2"/>
  <c r="L38" i="2"/>
  <c r="K38" i="2"/>
  <c r="K4" i="2" s="1"/>
  <c r="J38" i="2"/>
  <c r="I38" i="2"/>
  <c r="H38" i="2"/>
  <c r="H4" i="2" s="1"/>
  <c r="G38" i="2"/>
  <c r="F38" i="2"/>
  <c r="E38" i="2"/>
  <c r="D38" i="2"/>
  <c r="C38" i="2"/>
  <c r="B38" i="2"/>
  <c r="B39" i="2" s="1"/>
  <c r="AP23" i="2"/>
  <c r="AO23" i="2"/>
  <c r="AN23" i="2"/>
  <c r="AM23" i="2"/>
  <c r="AL23" i="2"/>
  <c r="AK23" i="2"/>
  <c r="AJ23" i="2"/>
  <c r="AJ4" i="2" s="1"/>
  <c r="AI23" i="2"/>
  <c r="AH23" i="2"/>
  <c r="AG23" i="2"/>
  <c r="AF23" i="2"/>
  <c r="AE23" i="2"/>
  <c r="AD23" i="2"/>
  <c r="AC23" i="2"/>
  <c r="AB23" i="2"/>
  <c r="AB4" i="2" s="1"/>
  <c r="AA23" i="2"/>
  <c r="Z23" i="2"/>
  <c r="Y23" i="2"/>
  <c r="X23" i="2"/>
  <c r="W23" i="2"/>
  <c r="V23" i="2"/>
  <c r="U23" i="2"/>
  <c r="T23" i="2"/>
  <c r="T4" i="2" s="1"/>
  <c r="S23" i="2"/>
  <c r="R23" i="2"/>
  <c r="Q23" i="2"/>
  <c r="P23" i="2"/>
  <c r="O23" i="2"/>
  <c r="N23" i="2"/>
  <c r="M23" i="2"/>
  <c r="L23" i="2"/>
  <c r="L4" i="2" s="1"/>
  <c r="K23" i="2"/>
  <c r="J23" i="2"/>
  <c r="I23" i="2"/>
  <c r="H23" i="2"/>
  <c r="G23" i="2"/>
  <c r="F23" i="2"/>
  <c r="E23" i="2"/>
  <c r="D23" i="2"/>
  <c r="C23" i="2"/>
  <c r="B23" i="2"/>
  <c r="B24" i="2" s="1"/>
  <c r="AP5" i="2"/>
  <c r="AO5" i="2"/>
  <c r="AN5" i="2"/>
  <c r="AM5" i="2"/>
  <c r="AL5" i="2"/>
  <c r="AK5" i="2"/>
  <c r="AJ5" i="2"/>
  <c r="AI5" i="2"/>
  <c r="AH5" i="2"/>
  <c r="AG5" i="2"/>
  <c r="AF5" i="2"/>
  <c r="AE5" i="2"/>
  <c r="AE4" i="2" s="1"/>
  <c r="AD5" i="2"/>
  <c r="AD4" i="2" s="1"/>
  <c r="AC5" i="2"/>
  <c r="AB5" i="2"/>
  <c r="AA5" i="2"/>
  <c r="Z5" i="2"/>
  <c r="Y5" i="2"/>
  <c r="X5" i="2"/>
  <c r="W5" i="2"/>
  <c r="V5" i="2"/>
  <c r="U5" i="2"/>
  <c r="T5" i="2"/>
  <c r="S5" i="2"/>
  <c r="R5" i="2"/>
  <c r="Q5" i="2"/>
  <c r="P5" i="2"/>
  <c r="O5" i="2"/>
  <c r="N5" i="2"/>
  <c r="M5" i="2"/>
  <c r="L5" i="2"/>
  <c r="K5" i="2"/>
  <c r="J5" i="2"/>
  <c r="I5" i="2"/>
  <c r="H5" i="2"/>
  <c r="G5" i="2"/>
  <c r="F5" i="2"/>
  <c r="E5" i="2"/>
  <c r="D5" i="2"/>
  <c r="C5" i="2"/>
  <c r="B5" i="2"/>
  <c r="B6" i="2" s="1"/>
  <c r="AN4" i="2"/>
  <c r="AH4" i="2"/>
  <c r="Y4" i="2"/>
  <c r="S4" i="2"/>
  <c r="P4" i="2"/>
  <c r="I4" i="2"/>
  <c r="G4" i="2"/>
  <c r="C4" i="2"/>
  <c r="Q4" i="6" l="1"/>
  <c r="BK4" i="6"/>
  <c r="X4" i="6"/>
  <c r="X24" i="6" s="1"/>
  <c r="AD4" i="6"/>
  <c r="M4" i="6"/>
  <c r="M24" i="6" s="1"/>
  <c r="AG4" i="6"/>
  <c r="AG24" i="6" s="1"/>
  <c r="AW4" i="6"/>
  <c r="AW24" i="6" s="1"/>
  <c r="BL4" i="6"/>
  <c r="BL53" i="6" s="1"/>
  <c r="P4" i="8"/>
  <c r="CD4" i="4"/>
  <c r="Z2" i="7"/>
  <c r="U6" i="2"/>
  <c r="U4" i="2"/>
  <c r="D4" i="2"/>
  <c r="D39" i="2" s="1"/>
  <c r="C39" i="2"/>
  <c r="AB2" i="7"/>
  <c r="Q4" i="4"/>
  <c r="Q6" i="4" s="1"/>
  <c r="R3" i="7"/>
  <c r="R24" i="4"/>
  <c r="J21" i="7"/>
  <c r="J39" i="4"/>
  <c r="J36" i="7"/>
  <c r="V6" i="2"/>
  <c r="E24" i="2"/>
  <c r="AC24" i="2"/>
  <c r="L39" i="2"/>
  <c r="AJ39" i="2"/>
  <c r="AA53" i="2"/>
  <c r="BJ4" i="4"/>
  <c r="R2" i="7" s="1"/>
  <c r="V4" i="2"/>
  <c r="O4" i="2"/>
  <c r="N2" i="7" s="1"/>
  <c r="V24" i="2"/>
  <c r="E39" i="2"/>
  <c r="BE6" i="4"/>
  <c r="CC6" i="4"/>
  <c r="R4" i="2"/>
  <c r="R6" i="2" s="1"/>
  <c r="BS6" i="4"/>
  <c r="AA2" i="7"/>
  <c r="J4" i="6"/>
  <c r="J6" i="6" s="1"/>
  <c r="R4" i="6"/>
  <c r="R24" i="6" s="1"/>
  <c r="AD6" i="6"/>
  <c r="AL4" i="6"/>
  <c r="AL24" i="6" s="1"/>
  <c r="AT4" i="6"/>
  <c r="AT39" i="6" s="1"/>
  <c r="M6" i="2"/>
  <c r="M4" i="2"/>
  <c r="M24" i="2" s="1"/>
  <c r="AK4" i="2"/>
  <c r="AK6" i="2" s="1"/>
  <c r="AB24" i="2"/>
  <c r="S39" i="2"/>
  <c r="AI4" i="2"/>
  <c r="AI24" i="2" s="1"/>
  <c r="R53" i="2"/>
  <c r="I6" i="4"/>
  <c r="I4" i="4"/>
  <c r="AT6" i="4"/>
  <c r="B3" i="7"/>
  <c r="AT4" i="4"/>
  <c r="B2" i="7" s="1"/>
  <c r="BR24" i="4"/>
  <c r="Z21" i="7"/>
  <c r="AH36" i="7"/>
  <c r="E4" i="8"/>
  <c r="E6" i="8" s="1"/>
  <c r="N6" i="2"/>
  <c r="N4" i="2"/>
  <c r="N24" i="2" s="1"/>
  <c r="U24" i="2"/>
  <c r="AB39" i="2"/>
  <c r="K53" i="2"/>
  <c r="BU6" i="4"/>
  <c r="AC2" i="7"/>
  <c r="G6" i="2"/>
  <c r="W4" i="2"/>
  <c r="W6" i="2" s="1"/>
  <c r="AD24" i="2"/>
  <c r="U39" i="2"/>
  <c r="L53" i="2"/>
  <c r="AM4" i="2"/>
  <c r="AM6" i="2" s="1"/>
  <c r="BM6" i="4"/>
  <c r="U2" i="7"/>
  <c r="J4" i="3"/>
  <c r="P4" i="3"/>
  <c r="P39" i="3" s="1"/>
  <c r="B4" i="4"/>
  <c r="B24" i="4" s="1"/>
  <c r="F2" i="7"/>
  <c r="BD23" i="6"/>
  <c r="AC6" i="2"/>
  <c r="AC4" i="2"/>
  <c r="AC39" i="2" s="1"/>
  <c r="T24" i="2"/>
  <c r="K39" i="2"/>
  <c r="J53" i="2"/>
  <c r="AH53" i="2"/>
  <c r="BI6" i="4"/>
  <c r="Y6" i="4"/>
  <c r="J3" i="7"/>
  <c r="BB4" i="4"/>
  <c r="J2" i="7" s="1"/>
  <c r="AH3" i="7"/>
  <c r="BZ4" i="4"/>
  <c r="AH2" i="7" s="1"/>
  <c r="Z24" i="4"/>
  <c r="BJ24" i="4"/>
  <c r="R21" i="7"/>
  <c r="Z39" i="4"/>
  <c r="B36" i="7"/>
  <c r="BR39" i="4"/>
  <c r="Z36" i="7"/>
  <c r="M6" i="8"/>
  <c r="M4" i="8"/>
  <c r="F4" i="2"/>
  <c r="E2" i="7" s="1"/>
  <c r="AD6" i="2"/>
  <c r="AK24" i="2"/>
  <c r="T39" i="2"/>
  <c r="C53" i="2"/>
  <c r="S53" i="2"/>
  <c r="AI53" i="2"/>
  <c r="AL4" i="2"/>
  <c r="AL6" i="2" s="1"/>
  <c r="AE6" i="2"/>
  <c r="T53" i="2"/>
  <c r="AJ53" i="2"/>
  <c r="BK6" i="4"/>
  <c r="S2" i="7"/>
  <c r="J4" i="2"/>
  <c r="J6" i="2"/>
  <c r="AH6" i="2"/>
  <c r="AP6" i="2"/>
  <c r="AP4" i="2"/>
  <c r="AP53" i="2" s="1"/>
  <c r="I24" i="2"/>
  <c r="Q24" i="2"/>
  <c r="Q4" i="2"/>
  <c r="Q6" i="2" s="1"/>
  <c r="Y24" i="2"/>
  <c r="AG24" i="2"/>
  <c r="AG4" i="2"/>
  <c r="C4" i="3"/>
  <c r="C24" i="3" s="1"/>
  <c r="K4" i="3"/>
  <c r="S4" i="3"/>
  <c r="S24" i="3" s="1"/>
  <c r="AH4" i="4"/>
  <c r="AH39" i="4" s="1"/>
  <c r="I2" i="7"/>
  <c r="F6" i="4"/>
  <c r="F4" i="4"/>
  <c r="N6" i="4"/>
  <c r="N4" i="4"/>
  <c r="V4" i="4"/>
  <c r="V39" i="4" s="1"/>
  <c r="AD6" i="4"/>
  <c r="AD4" i="4"/>
  <c r="AL4" i="4"/>
  <c r="AL6" i="4" s="1"/>
  <c r="G3" i="7"/>
  <c r="AY4" i="4"/>
  <c r="G2" i="7" s="1"/>
  <c r="O3" i="7"/>
  <c r="BG4" i="4"/>
  <c r="W3" i="7"/>
  <c r="BO4" i="4"/>
  <c r="BO24" i="4" s="1"/>
  <c r="AE3" i="7"/>
  <c r="BW4" i="4"/>
  <c r="BW39" i="4" s="1"/>
  <c r="AM3" i="7"/>
  <c r="CE4" i="4"/>
  <c r="G21" i="7"/>
  <c r="BG24" i="4"/>
  <c r="O21" i="7"/>
  <c r="W21" i="7"/>
  <c r="BW24" i="4"/>
  <c r="AE21" i="7"/>
  <c r="AM21" i="7"/>
  <c r="O39" i="4"/>
  <c r="AM39" i="4"/>
  <c r="BF4" i="6"/>
  <c r="BF24" i="6" s="1"/>
  <c r="BO4" i="6"/>
  <c r="BO6" i="6" s="1"/>
  <c r="H24" i="6"/>
  <c r="P4" i="6"/>
  <c r="P24" i="6" s="1"/>
  <c r="AJ4" i="6"/>
  <c r="AJ39" i="6" s="1"/>
  <c r="AR4" i="6"/>
  <c r="AR24" i="6" s="1"/>
  <c r="BE23" i="6"/>
  <c r="BH23" i="6"/>
  <c r="AU4" i="6"/>
  <c r="AU39" i="6" s="1"/>
  <c r="E4" i="2"/>
  <c r="E6" i="2" s="1"/>
  <c r="L24" i="2"/>
  <c r="AJ24" i="2"/>
  <c r="AA39" i="2"/>
  <c r="Z53" i="2"/>
  <c r="CG6" i="4"/>
  <c r="AO2" i="7"/>
  <c r="CG39" i="4"/>
  <c r="AG6" i="4"/>
  <c r="BR6" i="4"/>
  <c r="Z3" i="7"/>
  <c r="J24" i="4"/>
  <c r="J4" i="4"/>
  <c r="J6" i="4" s="1"/>
  <c r="B21" i="7"/>
  <c r="AH21" i="7"/>
  <c r="R36" i="7"/>
  <c r="AB53" i="2"/>
  <c r="Z6" i="2"/>
  <c r="Z4" i="2"/>
  <c r="AN4" i="6"/>
  <c r="AN24" i="6" s="1"/>
  <c r="AV4" i="6"/>
  <c r="AV39" i="6" s="1"/>
  <c r="P39" i="2"/>
  <c r="AN39" i="2"/>
  <c r="O53" i="2"/>
  <c r="AE53" i="2"/>
  <c r="C6" i="2"/>
  <c r="K6" i="2"/>
  <c r="S6" i="2"/>
  <c r="AA6" i="2"/>
  <c r="J24" i="2"/>
  <c r="R24" i="2"/>
  <c r="Z24" i="2"/>
  <c r="AH24" i="2"/>
  <c r="AP24" i="2"/>
  <c r="I39" i="2"/>
  <c r="Q39" i="2"/>
  <c r="Y39" i="2"/>
  <c r="AG39" i="2"/>
  <c r="H53" i="2"/>
  <c r="P53" i="2"/>
  <c r="X53" i="2"/>
  <c r="AN53" i="2"/>
  <c r="BQ6" i="4"/>
  <c r="Y2" i="7"/>
  <c r="CA6" i="4"/>
  <c r="AI2" i="7"/>
  <c r="E6" i="4"/>
  <c r="M6" i="4"/>
  <c r="U6" i="4"/>
  <c r="AC6" i="4"/>
  <c r="AK6" i="4"/>
  <c r="AX6" i="4"/>
  <c r="F3" i="7"/>
  <c r="BF6" i="4"/>
  <c r="N3" i="7"/>
  <c r="BN6" i="4"/>
  <c r="V3" i="7"/>
  <c r="BV6" i="4"/>
  <c r="AD3" i="7"/>
  <c r="CD6" i="4"/>
  <c r="AL3" i="7"/>
  <c r="F24" i="4"/>
  <c r="N24" i="4"/>
  <c r="AD24" i="4"/>
  <c r="AL24" i="4"/>
  <c r="AX24" i="4"/>
  <c r="F21" i="7"/>
  <c r="BF24" i="4"/>
  <c r="N21" i="7"/>
  <c r="BN24" i="4"/>
  <c r="V21" i="7"/>
  <c r="BV24" i="4"/>
  <c r="AD21" i="7"/>
  <c r="CD24" i="4"/>
  <c r="AL21" i="7"/>
  <c r="F39" i="4"/>
  <c r="N39" i="4"/>
  <c r="AD39" i="4"/>
  <c r="AX39" i="4"/>
  <c r="F36" i="7"/>
  <c r="BF39" i="4"/>
  <c r="N36" i="7"/>
  <c r="BN39" i="4"/>
  <c r="V36" i="7"/>
  <c r="BV39" i="4"/>
  <c r="AD36" i="7"/>
  <c r="CD39" i="4"/>
  <c r="AL36" i="7"/>
  <c r="AY53" i="4"/>
  <c r="G50" i="7"/>
  <c r="BG53" i="4"/>
  <c r="O50" i="7"/>
  <c r="W50" i="7"/>
  <c r="BW53" i="4"/>
  <c r="AE50" i="7"/>
  <c r="CE53" i="4"/>
  <c r="AM50" i="7"/>
  <c r="BK53" i="6"/>
  <c r="BC52" i="6"/>
  <c r="B6" i="8"/>
  <c r="AG6" i="8"/>
  <c r="AG4" i="8"/>
  <c r="AO4" i="8"/>
  <c r="AO6" i="8" s="1"/>
  <c r="Z5" i="8"/>
  <c r="Z6" i="8" s="1"/>
  <c r="I24" i="8"/>
  <c r="I4" i="8"/>
  <c r="Q4" i="8"/>
  <c r="Q53" i="8" s="1"/>
  <c r="AC24" i="8"/>
  <c r="AK24" i="8"/>
  <c r="AK4" i="8"/>
  <c r="E39" i="8"/>
  <c r="M39" i="8"/>
  <c r="AG39" i="8"/>
  <c r="AO39" i="8"/>
  <c r="I53" i="8"/>
  <c r="AC53" i="8"/>
  <c r="AK53" i="8"/>
  <c r="AP50" i="7"/>
  <c r="H6" i="2"/>
  <c r="X6" i="2"/>
  <c r="G24" i="2"/>
  <c r="W24" i="2"/>
  <c r="AM24" i="2"/>
  <c r="N39" i="2"/>
  <c r="AD39" i="2"/>
  <c r="E53" i="2"/>
  <c r="U53" i="2"/>
  <c r="AK53" i="2"/>
  <c r="M4" i="3"/>
  <c r="T2" i="7"/>
  <c r="AD2" i="7"/>
  <c r="R6" i="4"/>
  <c r="Z6" i="4"/>
  <c r="AU6" i="4"/>
  <c r="C3" i="7"/>
  <c r="BC6" i="4"/>
  <c r="K3" i="7"/>
  <c r="C24" i="4"/>
  <c r="K24" i="4"/>
  <c r="S24" i="4"/>
  <c r="I6" i="5"/>
  <c r="K24" i="5"/>
  <c r="S24" i="5"/>
  <c r="K39" i="5"/>
  <c r="S39" i="5"/>
  <c r="K53" i="5"/>
  <c r="S53" i="5"/>
  <c r="BJ4" i="6"/>
  <c r="BJ6" i="6" s="1"/>
  <c r="I5" i="6"/>
  <c r="I6" i="6" s="1"/>
  <c r="K4" i="6"/>
  <c r="K39" i="6" s="1"/>
  <c r="S4" i="6"/>
  <c r="S53" i="6" s="1"/>
  <c r="BG52" i="6"/>
  <c r="AD6" i="8"/>
  <c r="N24" i="8"/>
  <c r="Z24" i="8"/>
  <c r="AH24" i="8"/>
  <c r="B39" i="8"/>
  <c r="J39" i="8"/>
  <c r="R39" i="8"/>
  <c r="AD39" i="8"/>
  <c r="N53" i="8"/>
  <c r="Z53" i="8"/>
  <c r="AP3" i="7"/>
  <c r="CH24" i="4"/>
  <c r="AF4" i="2"/>
  <c r="AF6" i="2" s="1"/>
  <c r="AO4" i="2"/>
  <c r="AO24" i="2" s="1"/>
  <c r="P6" i="2"/>
  <c r="AN6" i="2"/>
  <c r="AE24" i="2"/>
  <c r="V39" i="2"/>
  <c r="AL39" i="2"/>
  <c r="M53" i="2"/>
  <c r="AC53" i="2"/>
  <c r="E4" i="3"/>
  <c r="E39" i="3" s="1"/>
  <c r="X4" i="2"/>
  <c r="I6" i="2"/>
  <c r="Y6" i="2"/>
  <c r="AG6" i="2"/>
  <c r="H24" i="2"/>
  <c r="P24" i="2"/>
  <c r="X24" i="2"/>
  <c r="AN24" i="2"/>
  <c r="G39" i="2"/>
  <c r="O39" i="2"/>
  <c r="AE39" i="2"/>
  <c r="N53" i="2"/>
  <c r="V53" i="2"/>
  <c r="AD53" i="2"/>
  <c r="AL53" i="2"/>
  <c r="N4" i="3"/>
  <c r="R4" i="4"/>
  <c r="R39" i="4" s="1"/>
  <c r="BC4" i="4"/>
  <c r="K2" i="7" s="1"/>
  <c r="BY6" i="4"/>
  <c r="AG2" i="7"/>
  <c r="C6" i="4"/>
  <c r="K6" i="4"/>
  <c r="S6" i="4"/>
  <c r="AA6" i="4"/>
  <c r="AI6" i="4"/>
  <c r="AV6" i="4"/>
  <c r="D3" i="7"/>
  <c r="BD6" i="4"/>
  <c r="L3" i="7"/>
  <c r="BL6" i="4"/>
  <c r="T3" i="7"/>
  <c r="BT6" i="4"/>
  <c r="AB3" i="7"/>
  <c r="CB6" i="4"/>
  <c r="AJ3" i="7"/>
  <c r="D24" i="4"/>
  <c r="L24" i="4"/>
  <c r="T24" i="4"/>
  <c r="AB24" i="4"/>
  <c r="AJ24" i="4"/>
  <c r="AV24" i="4"/>
  <c r="D21" i="7"/>
  <c r="BD24" i="4"/>
  <c r="L21" i="7"/>
  <c r="BL24" i="4"/>
  <c r="T21" i="7"/>
  <c r="BT24" i="4"/>
  <c r="AB21" i="7"/>
  <c r="CB24" i="4"/>
  <c r="AJ21" i="7"/>
  <c r="D39" i="4"/>
  <c r="L39" i="4"/>
  <c r="T39" i="4"/>
  <c r="AB39" i="4"/>
  <c r="AJ39" i="4"/>
  <c r="AV39" i="4"/>
  <c r="D36" i="7"/>
  <c r="BD39" i="4"/>
  <c r="L36" i="7"/>
  <c r="BL39" i="4"/>
  <c r="T36" i="7"/>
  <c r="BT39" i="4"/>
  <c r="AB36" i="7"/>
  <c r="E53" i="4"/>
  <c r="M53" i="4"/>
  <c r="U53" i="4"/>
  <c r="AC53" i="4"/>
  <c r="AK53" i="4"/>
  <c r="AW53" i="4"/>
  <c r="E50" i="7"/>
  <c r="BE53" i="4"/>
  <c r="M50" i="7"/>
  <c r="BM53" i="4"/>
  <c r="U50" i="7"/>
  <c r="BU53" i="4"/>
  <c r="AC50" i="7"/>
  <c r="CC53" i="4"/>
  <c r="AK50" i="7"/>
  <c r="F5" i="5"/>
  <c r="F6" i="5" s="1"/>
  <c r="I5" i="5"/>
  <c r="AM4" i="6"/>
  <c r="AM53" i="6" s="1"/>
  <c r="BM4" i="6"/>
  <c r="BI4" i="6"/>
  <c r="BI39" i="6" s="1"/>
  <c r="BA52" i="6"/>
  <c r="AZ52" i="6"/>
  <c r="BH52" i="6"/>
  <c r="AL4" i="8"/>
  <c r="AL39" i="8" s="1"/>
  <c r="J6" i="8"/>
  <c r="R4" i="8"/>
  <c r="R24" i="8" s="1"/>
  <c r="H39" i="2"/>
  <c r="X39" i="2"/>
  <c r="G53" i="2"/>
  <c r="L2" i="7"/>
  <c r="D6" i="4"/>
  <c r="L6" i="4"/>
  <c r="T6" i="4"/>
  <c r="AB6" i="4"/>
  <c r="AJ6" i="4"/>
  <c r="AW6" i="4"/>
  <c r="E3" i="7"/>
  <c r="M3" i="7"/>
  <c r="U3" i="7"/>
  <c r="AC3" i="7"/>
  <c r="AK3" i="7"/>
  <c r="E24" i="4"/>
  <c r="M24" i="4"/>
  <c r="U24" i="4"/>
  <c r="AC24" i="4"/>
  <c r="AK24" i="4"/>
  <c r="AW24" i="4"/>
  <c r="E21" i="7"/>
  <c r="BE24" i="4"/>
  <c r="M21" i="7"/>
  <c r="BM24" i="4"/>
  <c r="U21" i="7"/>
  <c r="BU24" i="4"/>
  <c r="AC21" i="7"/>
  <c r="CC24" i="4"/>
  <c r="AK21" i="7"/>
  <c r="E39" i="4"/>
  <c r="M39" i="4"/>
  <c r="U39" i="4"/>
  <c r="AC39" i="4"/>
  <c r="AK39" i="4"/>
  <c r="AW39" i="4"/>
  <c r="E36" i="7"/>
  <c r="BE39" i="4"/>
  <c r="M36" i="7"/>
  <c r="BM39" i="4"/>
  <c r="U36" i="7"/>
  <c r="BU39" i="4"/>
  <c r="AC36" i="7"/>
  <c r="CC39" i="4"/>
  <c r="AK36" i="7"/>
  <c r="F53" i="4"/>
  <c r="N53" i="4"/>
  <c r="AD53" i="4"/>
  <c r="AL53" i="4"/>
  <c r="AX53" i="4"/>
  <c r="F50" i="7"/>
  <c r="BF53" i="4"/>
  <c r="N50" i="7"/>
  <c r="BN53" i="4"/>
  <c r="V50" i="7"/>
  <c r="BV53" i="4"/>
  <c r="AD50" i="7"/>
  <c r="CD53" i="4"/>
  <c r="AL50" i="7"/>
  <c r="M24" i="5"/>
  <c r="U4" i="5"/>
  <c r="U6" i="5" s="1"/>
  <c r="M39" i="5"/>
  <c r="M53" i="5"/>
  <c r="U4" i="6"/>
  <c r="AO4" i="6"/>
  <c r="AO6" i="6" s="1"/>
  <c r="G4" i="6"/>
  <c r="G24" i="6" s="1"/>
  <c r="BN4" i="6"/>
  <c r="BN6" i="6" s="1"/>
  <c r="BC5" i="6"/>
  <c r="AZ5" i="6"/>
  <c r="BH5" i="6"/>
  <c r="BK24" i="6"/>
  <c r="BB23" i="6"/>
  <c r="BA23" i="6"/>
  <c r="H39" i="6"/>
  <c r="X39" i="6"/>
  <c r="AD53" i="6"/>
  <c r="AL53" i="6"/>
  <c r="AY39" i="4"/>
  <c r="G36" i="7"/>
  <c r="BG39" i="4"/>
  <c r="O36" i="7"/>
  <c r="BO39" i="4"/>
  <c r="W36" i="7"/>
  <c r="AE36" i="7"/>
  <c r="CE39" i="4"/>
  <c r="AM36" i="7"/>
  <c r="N4" i="6"/>
  <c r="N6" i="6" s="1"/>
  <c r="V4" i="6"/>
  <c r="V24" i="6" s="1"/>
  <c r="AH4" i="6"/>
  <c r="AH53" i="6" s="1"/>
  <c r="AP4" i="6"/>
  <c r="AP53" i="6" s="1"/>
  <c r="AX4" i="6"/>
  <c r="AX53" i="6" s="1"/>
  <c r="M39" i="6"/>
  <c r="N6" i="8"/>
  <c r="C5" i="8"/>
  <c r="C6" i="8" s="1"/>
  <c r="B24" i="8"/>
  <c r="J24" i="8"/>
  <c r="AD24" i="8"/>
  <c r="N39" i="8"/>
  <c r="Z39" i="8"/>
  <c r="AH39" i="8"/>
  <c r="B53" i="8"/>
  <c r="J53" i="8"/>
  <c r="R53" i="8"/>
  <c r="AD53" i="8"/>
  <c r="O6" i="4"/>
  <c r="W6" i="4"/>
  <c r="H3" i="7"/>
  <c r="P3" i="7"/>
  <c r="X3" i="7"/>
  <c r="AF3" i="7"/>
  <c r="AN3" i="7"/>
  <c r="H24" i="4"/>
  <c r="P24" i="4"/>
  <c r="O4" i="6"/>
  <c r="O6" i="6" s="1"/>
  <c r="W4" i="6"/>
  <c r="W24" i="6" s="1"/>
  <c r="AI4" i="6"/>
  <c r="AI24" i="6" s="1"/>
  <c r="AQ4" i="6"/>
  <c r="AQ6" i="6" s="1"/>
  <c r="AY4" i="6"/>
  <c r="AY39" i="6" s="1"/>
  <c r="BA5" i="6"/>
  <c r="H6" i="6"/>
  <c r="BA38" i="6"/>
  <c r="F4" i="8"/>
  <c r="F24" i="8" s="1"/>
  <c r="AH4" i="8"/>
  <c r="AH53" i="8" s="1"/>
  <c r="G6" i="8"/>
  <c r="G4" i="8"/>
  <c r="G39" i="8" s="1"/>
  <c r="O6" i="8"/>
  <c r="O4" i="8"/>
  <c r="AA4" i="8"/>
  <c r="AA6" i="8" s="1"/>
  <c r="AI4" i="8"/>
  <c r="AI6" i="8" s="1"/>
  <c r="D5" i="8"/>
  <c r="D6" i="8" s="1"/>
  <c r="C24" i="8"/>
  <c r="K24" i="8"/>
  <c r="AE24" i="8"/>
  <c r="AM24" i="8"/>
  <c r="O39" i="8"/>
  <c r="AI39" i="8"/>
  <c r="C53" i="8"/>
  <c r="K53" i="8"/>
  <c r="AE53" i="8"/>
  <c r="AM53" i="8"/>
  <c r="AM6" i="4"/>
  <c r="L6" i="2"/>
  <c r="T6" i="2"/>
  <c r="AB6" i="2"/>
  <c r="AJ6" i="2"/>
  <c r="C24" i="2"/>
  <c r="K24" i="2"/>
  <c r="S24" i="2"/>
  <c r="AA24" i="2"/>
  <c r="J39" i="2"/>
  <c r="R39" i="2"/>
  <c r="Z39" i="2"/>
  <c r="AH39" i="2"/>
  <c r="AP39" i="2"/>
  <c r="I53" i="2"/>
  <c r="Q53" i="2"/>
  <c r="Y53" i="2"/>
  <c r="AG53" i="2"/>
  <c r="G4" i="3"/>
  <c r="G24" i="3" s="1"/>
  <c r="O4" i="3"/>
  <c r="G4" i="4"/>
  <c r="G53" i="4" s="1"/>
  <c r="O4" i="4"/>
  <c r="O24" i="4" s="1"/>
  <c r="W4" i="4"/>
  <c r="W24" i="4" s="1"/>
  <c r="AE4" i="4"/>
  <c r="AE39" i="4" s="1"/>
  <c r="AM4" i="4"/>
  <c r="AM24" i="4" s="1"/>
  <c r="AZ4" i="4"/>
  <c r="H2" i="7" s="1"/>
  <c r="BH4" i="4"/>
  <c r="P2" i="7" s="1"/>
  <c r="BP4" i="4"/>
  <c r="X2" i="7" s="1"/>
  <c r="BX4" i="4"/>
  <c r="AF2" i="7" s="1"/>
  <c r="CF4" i="4"/>
  <c r="H6" i="4"/>
  <c r="P6" i="4"/>
  <c r="X6" i="4"/>
  <c r="AF6" i="4"/>
  <c r="AN6" i="4"/>
  <c r="BA6" i="4"/>
  <c r="I3" i="7"/>
  <c r="Q3" i="7"/>
  <c r="Y3" i="7"/>
  <c r="AG3" i="7"/>
  <c r="AO3" i="7"/>
  <c r="I24" i="4"/>
  <c r="J53" i="4"/>
  <c r="R53" i="4"/>
  <c r="Z53" i="4"/>
  <c r="B50" i="7"/>
  <c r="J50" i="7"/>
  <c r="BJ53" i="4"/>
  <c r="R50" i="7"/>
  <c r="BR53" i="4"/>
  <c r="Z50" i="7"/>
  <c r="AH50" i="7"/>
  <c r="BK39" i="6"/>
  <c r="BB38" i="6"/>
  <c r="I53" i="6"/>
  <c r="Q53" i="6"/>
  <c r="AK4" i="6"/>
  <c r="AK53" i="6" s="1"/>
  <c r="AS4" i="6"/>
  <c r="AS39" i="6" s="1"/>
  <c r="BN53" i="6"/>
  <c r="BE52" i="6"/>
  <c r="BD52" i="6"/>
  <c r="S4" i="8"/>
  <c r="S39" i="8" s="1"/>
  <c r="AP53" i="4"/>
  <c r="AP24" i="4"/>
  <c r="AP6" i="4"/>
  <c r="CB39" i="4"/>
  <c r="AJ36" i="7"/>
  <c r="D53" i="4"/>
  <c r="L53" i="4"/>
  <c r="T53" i="4"/>
  <c r="AB53" i="4"/>
  <c r="AJ53" i="4"/>
  <c r="AV53" i="4"/>
  <c r="D50" i="7"/>
  <c r="BD53" i="4"/>
  <c r="L50" i="7"/>
  <c r="BL53" i="4"/>
  <c r="T50" i="7"/>
  <c r="BT53" i="4"/>
  <c r="AB50" i="7"/>
  <c r="CB53" i="4"/>
  <c r="AJ50" i="7"/>
  <c r="BM24" i="6"/>
  <c r="AD39" i="6"/>
  <c r="AL39" i="6"/>
  <c r="H53" i="6"/>
  <c r="X53" i="6"/>
  <c r="AN6" i="8"/>
  <c r="H24" i="8"/>
  <c r="P24" i="8"/>
  <c r="AB24" i="8"/>
  <c r="AJ24" i="8"/>
  <c r="AN39" i="8"/>
  <c r="H53" i="8"/>
  <c r="P53" i="8"/>
  <c r="AB53" i="8"/>
  <c r="AJ53" i="8"/>
  <c r="BP53" i="6"/>
  <c r="X24" i="4"/>
  <c r="AF24" i="4"/>
  <c r="AN24" i="4"/>
  <c r="H21" i="7"/>
  <c r="BH24" i="4"/>
  <c r="P21" i="7"/>
  <c r="BP24" i="4"/>
  <c r="X21" i="7"/>
  <c r="AF21" i="7"/>
  <c r="AN21" i="7"/>
  <c r="H39" i="4"/>
  <c r="P39" i="4"/>
  <c r="X39" i="4"/>
  <c r="AF39" i="4"/>
  <c r="AN39" i="4"/>
  <c r="AZ39" i="4"/>
  <c r="H36" i="7"/>
  <c r="BH39" i="4"/>
  <c r="P36" i="7"/>
  <c r="BP39" i="4"/>
  <c r="X36" i="7"/>
  <c r="AF36" i="7"/>
  <c r="CF39" i="4"/>
  <c r="AN36" i="7"/>
  <c r="H53" i="4"/>
  <c r="P53" i="4"/>
  <c r="X53" i="4"/>
  <c r="AF53" i="4"/>
  <c r="AN53" i="4"/>
  <c r="H50" i="7"/>
  <c r="BH53" i="4"/>
  <c r="P50" i="7"/>
  <c r="X50" i="7"/>
  <c r="BX53" i="4"/>
  <c r="AF50" i="7"/>
  <c r="AN50" i="7"/>
  <c r="P6" i="6"/>
  <c r="X6" i="6"/>
  <c r="I24" i="6"/>
  <c r="Q24" i="6"/>
  <c r="F39" i="6"/>
  <c r="L4" i="8"/>
  <c r="L6" i="8" s="1"/>
  <c r="X4" i="8"/>
  <c r="X24" i="8" s="1"/>
  <c r="AF4" i="8"/>
  <c r="AF6" i="8" s="1"/>
  <c r="AN4" i="8"/>
  <c r="AN24" i="8" s="1"/>
  <c r="H6" i="8"/>
  <c r="P6" i="8"/>
  <c r="AB6" i="8"/>
  <c r="AJ6" i="8"/>
  <c r="D24" i="8"/>
  <c r="L24" i="8"/>
  <c r="AF24" i="8"/>
  <c r="H39" i="8"/>
  <c r="P39" i="8"/>
  <c r="AB39" i="8"/>
  <c r="AJ39" i="8"/>
  <c r="D53" i="8"/>
  <c r="AF53" i="8"/>
  <c r="AN53" i="8"/>
  <c r="T39" i="3"/>
  <c r="Y24" i="4"/>
  <c r="AG24" i="4"/>
  <c r="AO24" i="4"/>
  <c r="BA24" i="4"/>
  <c r="I21" i="7"/>
  <c r="BI24" i="4"/>
  <c r="Q21" i="7"/>
  <c r="BQ24" i="4"/>
  <c r="Y21" i="7"/>
  <c r="BY24" i="4"/>
  <c r="AG21" i="7"/>
  <c r="CG24" i="4"/>
  <c r="AO21" i="7"/>
  <c r="I39" i="4"/>
  <c r="Q39" i="4"/>
  <c r="Y39" i="4"/>
  <c r="AG39" i="4"/>
  <c r="AO39" i="4"/>
  <c r="BA39" i="4"/>
  <c r="I36" i="7"/>
  <c r="BI39" i="4"/>
  <c r="Q36" i="7"/>
  <c r="BQ39" i="4"/>
  <c r="Y36" i="7"/>
  <c r="BY39" i="4"/>
  <c r="AG36" i="7"/>
  <c r="I53" i="4"/>
  <c r="Q53" i="4"/>
  <c r="Y53" i="4"/>
  <c r="AG53" i="4"/>
  <c r="AO53" i="4"/>
  <c r="BA53" i="4"/>
  <c r="I50" i="7"/>
  <c r="BI53" i="4"/>
  <c r="Q50" i="7"/>
  <c r="BQ53" i="4"/>
  <c r="Y50" i="7"/>
  <c r="BY53" i="4"/>
  <c r="AG50" i="7"/>
  <c r="CG53" i="4"/>
  <c r="AO50" i="7"/>
  <c r="O24" i="5"/>
  <c r="W24" i="5"/>
  <c r="O39" i="5"/>
  <c r="W39" i="5"/>
  <c r="O53" i="5"/>
  <c r="W53" i="5"/>
  <c r="L4" i="6"/>
  <c r="L53" i="6" s="1"/>
  <c r="T4" i="6"/>
  <c r="T39" i="6" s="1"/>
  <c r="Q6" i="6"/>
  <c r="AK6" i="6"/>
  <c r="AD24" i="6"/>
  <c r="G39" i="6"/>
  <c r="BO39" i="6"/>
  <c r="I6" i="8"/>
  <c r="AC6" i="8"/>
  <c r="AK6" i="8"/>
  <c r="E24" i="8"/>
  <c r="M24" i="8"/>
  <c r="Y24" i="8"/>
  <c r="AG24" i="8"/>
  <c r="AO24" i="8"/>
  <c r="I39" i="8"/>
  <c r="AC39" i="8"/>
  <c r="AK39" i="8"/>
  <c r="M53" i="8"/>
  <c r="Y53" i="8"/>
  <c r="AG53" i="8"/>
  <c r="AO53" i="8"/>
  <c r="AP36" i="7"/>
  <c r="AA24" i="4"/>
  <c r="AI24" i="4"/>
  <c r="AU24" i="4"/>
  <c r="C21" i="7"/>
  <c r="BC24" i="4"/>
  <c r="K21" i="7"/>
  <c r="BK24" i="4"/>
  <c r="S21" i="7"/>
  <c r="BS24" i="4"/>
  <c r="AA21" i="7"/>
  <c r="CA24" i="4"/>
  <c r="AI21" i="7"/>
  <c r="C39" i="4"/>
  <c r="K39" i="4"/>
  <c r="S39" i="4"/>
  <c r="AA39" i="4"/>
  <c r="AI39" i="4"/>
  <c r="AU39" i="4"/>
  <c r="C36" i="7"/>
  <c r="K36" i="7"/>
  <c r="BK39" i="4"/>
  <c r="S36" i="7"/>
  <c r="BS39" i="4"/>
  <c r="AA36" i="7"/>
  <c r="CA39" i="4"/>
  <c r="AI36" i="7"/>
  <c r="C53" i="4"/>
  <c r="K53" i="4"/>
  <c r="S53" i="4"/>
  <c r="AA53" i="4"/>
  <c r="AI53" i="4"/>
  <c r="AU53" i="4"/>
  <c r="C50" i="7"/>
  <c r="K50" i="7"/>
  <c r="BK53" i="4"/>
  <c r="S50" i="7"/>
  <c r="BS53" i="4"/>
  <c r="AA50" i="7"/>
  <c r="CA53" i="4"/>
  <c r="AI50" i="7"/>
  <c r="G24" i="5"/>
  <c r="Q24" i="5"/>
  <c r="G39" i="5"/>
  <c r="Q39" i="5"/>
  <c r="G53" i="5"/>
  <c r="Q53" i="5"/>
  <c r="S6" i="6"/>
  <c r="BK6" i="6"/>
  <c r="I39" i="6"/>
  <c r="Q39" i="6"/>
  <c r="K6" i="8"/>
  <c r="S6" i="8"/>
  <c r="AE6" i="8"/>
  <c r="AM6" i="8"/>
  <c r="G24" i="8"/>
  <c r="AI24" i="8"/>
  <c r="C39" i="8"/>
  <c r="K39" i="8"/>
  <c r="AE39" i="8"/>
  <c r="AM39" i="8"/>
  <c r="G53" i="8"/>
  <c r="O53" i="8"/>
  <c r="AA53" i="8"/>
  <c r="BP6" i="6"/>
  <c r="BP24" i="6"/>
  <c r="BP39" i="6"/>
  <c r="CH6" i="4"/>
  <c r="CH39" i="4"/>
  <c r="CH53" i="4"/>
  <c r="T53" i="3"/>
  <c r="AQ4" i="2"/>
  <c r="AP2" i="7" s="1"/>
  <c r="B6" i="3"/>
  <c r="D6" i="3"/>
  <c r="F6" i="3"/>
  <c r="H6" i="3"/>
  <c r="J6" i="3"/>
  <c r="L6" i="3"/>
  <c r="N6" i="3"/>
  <c r="R6" i="3"/>
  <c r="B53" i="3"/>
  <c r="D53" i="3"/>
  <c r="F53" i="3"/>
  <c r="H53" i="3"/>
  <c r="J53" i="3"/>
  <c r="L53" i="3"/>
  <c r="N53" i="3"/>
  <c r="R53" i="3"/>
  <c r="T6" i="5"/>
  <c r="J4" i="5"/>
  <c r="J39" i="5" s="1"/>
  <c r="L4" i="5"/>
  <c r="L24" i="5" s="1"/>
  <c r="N4" i="5"/>
  <c r="N39" i="5" s="1"/>
  <c r="P4" i="5"/>
  <c r="P24" i="5" s="1"/>
  <c r="R4" i="5"/>
  <c r="R39" i="5" s="1"/>
  <c r="T4" i="5"/>
  <c r="T24" i="5" s="1"/>
  <c r="V4" i="5"/>
  <c r="V39" i="5" s="1"/>
  <c r="X4" i="5"/>
  <c r="E24" i="3"/>
  <c r="I24" i="3"/>
  <c r="K24" i="3"/>
  <c r="M24" i="3"/>
  <c r="O24" i="3"/>
  <c r="Q24" i="3"/>
  <c r="C39" i="3"/>
  <c r="G39" i="3"/>
  <c r="I39" i="3"/>
  <c r="K39" i="3"/>
  <c r="M39" i="3"/>
  <c r="O39" i="3"/>
  <c r="Q39" i="3"/>
  <c r="S39" i="3"/>
  <c r="E53" i="3"/>
  <c r="G53" i="3"/>
  <c r="I53" i="3"/>
  <c r="K53" i="3"/>
  <c r="M53" i="3"/>
  <c r="O53" i="3"/>
  <c r="Q53" i="3"/>
  <c r="C6" i="3"/>
  <c r="G6" i="3"/>
  <c r="I6" i="3"/>
  <c r="K6" i="3"/>
  <c r="M6" i="3"/>
  <c r="O6" i="3"/>
  <c r="Q6" i="3"/>
  <c r="B24" i="3"/>
  <c r="D24" i="3"/>
  <c r="F24" i="3"/>
  <c r="H24" i="3"/>
  <c r="J24" i="3"/>
  <c r="L24" i="3"/>
  <c r="N24" i="3"/>
  <c r="R24" i="3"/>
  <c r="H39" i="3"/>
  <c r="J39" i="3"/>
  <c r="L39" i="3"/>
  <c r="N39" i="3"/>
  <c r="R39" i="3"/>
  <c r="AY53" i="6" l="1"/>
  <c r="BL6" i="6"/>
  <c r="BM6" i="6"/>
  <c r="AX24" i="6"/>
  <c r="AN53" i="6"/>
  <c r="L6" i="6"/>
  <c r="AX39" i="6"/>
  <c r="AH39" i="6"/>
  <c r="L24" i="6"/>
  <c r="N39" i="6"/>
  <c r="AG6" i="6"/>
  <c r="K6" i="6"/>
  <c r="AI39" i="6"/>
  <c r="AW39" i="6"/>
  <c r="V6" i="6"/>
  <c r="BB4" i="6"/>
  <c r="BB6" i="6" s="1"/>
  <c r="K53" i="6"/>
  <c r="AK39" i="6"/>
  <c r="AN6" i="6"/>
  <c r="N24" i="6"/>
  <c r="T24" i="6"/>
  <c r="W39" i="6"/>
  <c r="AR6" i="6"/>
  <c r="AG39" i="6"/>
  <c r="AT53" i="6"/>
  <c r="M6" i="6"/>
  <c r="BE4" i="6"/>
  <c r="BE6" i="6" s="1"/>
  <c r="AI53" i="6"/>
  <c r="AR53" i="6"/>
  <c r="U24" i="6"/>
  <c r="AN39" i="6"/>
  <c r="AT6" i="6"/>
  <c r="AT24" i="6"/>
  <c r="BM39" i="6"/>
  <c r="AW53" i="6"/>
  <c r="AO24" i="6"/>
  <c r="AG53" i="6"/>
  <c r="J24" i="6"/>
  <c r="AK24" i="6"/>
  <c r="P53" i="6"/>
  <c r="P39" i="6"/>
  <c r="K24" i="6"/>
  <c r="BL24" i="6"/>
  <c r="M53" i="6"/>
  <c r="BI6" i="6"/>
  <c r="AS6" i="6"/>
  <c r="AV53" i="6"/>
  <c r="AW6" i="6"/>
  <c r="BL39" i="6"/>
  <c r="W53" i="6"/>
  <c r="BM53" i="6"/>
  <c r="AJ53" i="6"/>
  <c r="AL6" i="6"/>
  <c r="AP39" i="6"/>
  <c r="R39" i="6"/>
  <c r="AX6" i="6"/>
  <c r="N53" i="6"/>
  <c r="AJ6" i="6"/>
  <c r="AJ24" i="6"/>
  <c r="AS53" i="6"/>
  <c r="R6" i="6"/>
  <c r="G53" i="6"/>
  <c r="BI24" i="6"/>
  <c r="AP24" i="6"/>
  <c r="W6" i="6"/>
  <c r="AO39" i="6"/>
  <c r="AH6" i="6"/>
  <c r="R53" i="6"/>
  <c r="AQ24" i="6"/>
  <c r="G6" i="6"/>
  <c r="BI53" i="6"/>
  <c r="S24" i="6"/>
  <c r="AU53" i="6"/>
  <c r="S39" i="6"/>
  <c r="AO53" i="6"/>
  <c r="T53" i="6"/>
  <c r="AS24" i="6"/>
  <c r="AH24" i="6"/>
  <c r="O24" i="6"/>
  <c r="AP6" i="6"/>
  <c r="BN39" i="6"/>
  <c r="BD4" i="6"/>
  <c r="BD39" i="6" s="1"/>
  <c r="L39" i="6"/>
  <c r="P53" i="3"/>
  <c r="AL53" i="8"/>
  <c r="AL24" i="8"/>
  <c r="AL6" i="8"/>
  <c r="U53" i="6"/>
  <c r="U6" i="6"/>
  <c r="U39" i="6"/>
  <c r="U24" i="5"/>
  <c r="AL39" i="4"/>
  <c r="AM53" i="2"/>
  <c r="AL2" i="7"/>
  <c r="AM39" i="2"/>
  <c r="AO39" i="2"/>
  <c r="AH53" i="4"/>
  <c r="S53" i="8"/>
  <c r="F53" i="8"/>
  <c r="L6" i="5"/>
  <c r="AI53" i="8"/>
  <c r="O53" i="6"/>
  <c r="AV24" i="6"/>
  <c r="AM6" i="6"/>
  <c r="BC53" i="4"/>
  <c r="E53" i="8"/>
  <c r="AQ39" i="6"/>
  <c r="BX39" i="4"/>
  <c r="J39" i="6"/>
  <c r="AV6" i="6"/>
  <c r="AN2" i="7"/>
  <c r="D6" i="2"/>
  <c r="S24" i="8"/>
  <c r="AE6" i="4"/>
  <c r="W53" i="2"/>
  <c r="W39" i="2"/>
  <c r="AO6" i="2"/>
  <c r="B6" i="4"/>
  <c r="BO53" i="4"/>
  <c r="O53" i="4"/>
  <c r="AM39" i="6"/>
  <c r="W39" i="4"/>
  <c r="BG6" i="4"/>
  <c r="O2" i="7"/>
  <c r="AT39" i="4"/>
  <c r="BZ6" i="4"/>
  <c r="V53" i="6"/>
  <c r="M2" i="7"/>
  <c r="BB24" i="4"/>
  <c r="G24" i="4"/>
  <c r="V39" i="6"/>
  <c r="B53" i="4"/>
  <c r="AA39" i="8"/>
  <c r="BB53" i="6"/>
  <c r="Q24" i="8"/>
  <c r="G39" i="4"/>
  <c r="CE6" i="4"/>
  <c r="AM2" i="7"/>
  <c r="V6" i="4"/>
  <c r="F6" i="2"/>
  <c r="B39" i="4"/>
  <c r="AH24" i="4"/>
  <c r="BF53" i="6"/>
  <c r="O6" i="2"/>
  <c r="D24" i="2"/>
  <c r="E6" i="3"/>
  <c r="P24" i="3"/>
  <c r="S6" i="3"/>
  <c r="S53" i="3"/>
  <c r="C53" i="3"/>
  <c r="P6" i="3"/>
  <c r="AQ6" i="2"/>
  <c r="AA24" i="8"/>
  <c r="BO53" i="6"/>
  <c r="O39" i="6"/>
  <c r="BP53" i="4"/>
  <c r="AF39" i="8"/>
  <c r="BJ39" i="6"/>
  <c r="T6" i="6"/>
  <c r="BB39" i="6"/>
  <c r="BB53" i="4"/>
  <c r="Q24" i="4"/>
  <c r="AY6" i="6"/>
  <c r="BP6" i="4"/>
  <c r="G6" i="4"/>
  <c r="AH6" i="8"/>
  <c r="J53" i="6"/>
  <c r="BB24" i="6"/>
  <c r="BH4" i="6"/>
  <c r="BH39" i="6" s="1"/>
  <c r="BJ53" i="6"/>
  <c r="U53" i="5"/>
  <c r="F39" i="2"/>
  <c r="AU24" i="6"/>
  <c r="C2" i="7"/>
  <c r="AI6" i="2"/>
  <c r="AF39" i="2"/>
  <c r="BO24" i="6"/>
  <c r="BJ39" i="4"/>
  <c r="BB6" i="4"/>
  <c r="BF39" i="6"/>
  <c r="AI39" i="2"/>
  <c r="D2" i="7"/>
  <c r="BJ6" i="4"/>
  <c r="BX6" i="4"/>
  <c r="AQ39" i="2"/>
  <c r="Q39" i="8"/>
  <c r="X53" i="8"/>
  <c r="X39" i="8"/>
  <c r="X6" i="8"/>
  <c r="F39" i="8"/>
  <c r="AZ4" i="6"/>
  <c r="AZ53" i="6" s="1"/>
  <c r="AF24" i="2"/>
  <c r="AM24" i="6"/>
  <c r="AH6" i="4"/>
  <c r="CE24" i="4"/>
  <c r="AY24" i="4"/>
  <c r="BW6" i="4"/>
  <c r="AE2" i="7"/>
  <c r="AY6" i="4"/>
  <c r="AK39" i="2"/>
  <c r="AK2" i="7"/>
  <c r="D53" i="2"/>
  <c r="O24" i="8"/>
  <c r="AQ53" i="6"/>
  <c r="BJ24" i="6"/>
  <c r="L53" i="8"/>
  <c r="CF24" i="4"/>
  <c r="AZ24" i="4"/>
  <c r="L39" i="8"/>
  <c r="BZ53" i="4"/>
  <c r="AT53" i="4"/>
  <c r="AO53" i="2"/>
  <c r="BH6" i="4"/>
  <c r="F6" i="8"/>
  <c r="AR39" i="6"/>
  <c r="AY24" i="6"/>
  <c r="BC4" i="6"/>
  <c r="BC6" i="6" s="1"/>
  <c r="U39" i="5"/>
  <c r="V2" i="7"/>
  <c r="R6" i="8"/>
  <c r="F53" i="2"/>
  <c r="O24" i="2"/>
  <c r="AM53" i="4"/>
  <c r="V24" i="4"/>
  <c r="AF53" i="2"/>
  <c r="BG4" i="6"/>
  <c r="BZ24" i="4"/>
  <c r="BN24" i="6"/>
  <c r="BF6" i="6"/>
  <c r="M39" i="2"/>
  <c r="Q2" i="7"/>
  <c r="F24" i="2"/>
  <c r="BZ39" i="4"/>
  <c r="BB39" i="4"/>
  <c r="BA4" i="6"/>
  <c r="BA6" i="6" s="1"/>
  <c r="Q6" i="8"/>
  <c r="V53" i="4"/>
  <c r="AE53" i="4"/>
  <c r="AE24" i="4"/>
  <c r="BO6" i="4"/>
  <c r="W2" i="7"/>
  <c r="AL24" i="2"/>
  <c r="P6" i="5"/>
  <c r="AU6" i="6"/>
  <c r="BC39" i="4"/>
  <c r="CF53" i="4"/>
  <c r="AZ53" i="4"/>
  <c r="BX24" i="4"/>
  <c r="AI6" i="6"/>
  <c r="CF6" i="4"/>
  <c r="AZ6" i="4"/>
  <c r="W53" i="4"/>
  <c r="AT24" i="4"/>
  <c r="AJ2" i="7"/>
  <c r="AQ24" i="2"/>
  <c r="AQ53" i="2"/>
  <c r="V53" i="5"/>
  <c r="R53" i="5"/>
  <c r="N53" i="5"/>
  <c r="J53" i="5"/>
  <c r="T39" i="5"/>
  <c r="P39" i="5"/>
  <c r="L39" i="5"/>
  <c r="V24" i="5"/>
  <c r="R24" i="5"/>
  <c r="N24" i="5"/>
  <c r="J24" i="5"/>
  <c r="V6" i="5"/>
  <c r="R6" i="5"/>
  <c r="N6" i="5"/>
  <c r="J6" i="5"/>
  <c r="T53" i="5"/>
  <c r="P53" i="5"/>
  <c r="L53" i="5"/>
  <c r="BE39" i="6" l="1"/>
  <c r="BE24" i="6"/>
  <c r="BE53" i="6"/>
  <c r="BC53" i="6"/>
  <c r="BD6" i="6"/>
  <c r="BD24" i="6"/>
  <c r="BD53" i="6"/>
  <c r="BG6" i="6"/>
  <c r="BG39" i="6"/>
  <c r="BG24" i="6"/>
  <c r="BG53" i="6"/>
  <c r="BA53" i="6"/>
  <c r="BH6" i="6"/>
  <c r="BA24" i="6"/>
  <c r="BA39" i="6"/>
  <c r="AZ24" i="6"/>
  <c r="AZ39" i="6"/>
  <c r="AZ6" i="6"/>
  <c r="BH24" i="6"/>
  <c r="BC24" i="6"/>
  <c r="BC39" i="6"/>
  <c r="BH53" i="6"/>
</calcChain>
</file>

<file path=xl/comments1.xml><?xml version="1.0" encoding="utf-8"?>
<comments xmlns="http://schemas.openxmlformats.org/spreadsheetml/2006/main">
  <authors>
    <author>jennifer berg</author>
    <author>mperry</author>
  </authors>
  <commentList>
    <comment ref="C1" authorId="0">
      <text>
        <r>
          <rPr>
            <b/>
            <sz val="8"/>
            <color indexed="81"/>
            <rFont val="Tahoma"/>
            <family val="2"/>
          </rPr>
          <t>This data is all MASTER'S degrees ONLY</t>
        </r>
      </text>
    </comment>
    <comment ref="AK3" authorId="1">
      <text>
        <r>
          <rPr>
            <b/>
            <sz val="8"/>
            <color indexed="81"/>
            <rFont val="Tahoma"/>
            <family val="2"/>
          </rPr>
          <t>mperry:</t>
        </r>
        <r>
          <rPr>
            <sz val="8"/>
            <color indexed="81"/>
            <rFont val="Tahoma"/>
            <family val="2"/>
          </rPr>
          <t xml:space="preserve">
Replaced Mortenson's data with IPEDS for 2011 Fact Book.
5/19/11</t>
        </r>
      </text>
    </comment>
    <comment ref="AM3" authorId="1">
      <text>
        <r>
          <rPr>
            <b/>
            <sz val="8"/>
            <color indexed="81"/>
            <rFont val="Tahoma"/>
            <family val="2"/>
          </rPr>
          <t>Excludes online-only institutions identified in 2010-11.</t>
        </r>
      </text>
    </comment>
    <comment ref="AR3" authorId="1">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authors>
    <author>jennifer berg</author>
    <author>mperry</author>
  </authors>
  <commentList>
    <comment ref="E1" authorId="0">
      <text>
        <r>
          <rPr>
            <b/>
            <sz val="8"/>
            <color indexed="81"/>
            <rFont val="Tahoma"/>
            <family val="2"/>
          </rPr>
          <t>This data is all MASTER'S degrees ONLY</t>
        </r>
        <r>
          <rPr>
            <sz val="8"/>
            <color indexed="81"/>
            <rFont val="Tahoma"/>
            <family val="2"/>
          </rPr>
          <t xml:space="preserve">
</t>
        </r>
      </text>
    </comment>
    <comment ref="P3" authorId="1">
      <text>
        <r>
          <rPr>
            <b/>
            <sz val="8"/>
            <color indexed="81"/>
            <rFont val="Tahoma"/>
            <family val="2"/>
          </rPr>
          <t>Excludes online-only institutions identified in 2010-11.</t>
        </r>
      </text>
    </comment>
    <comment ref="U3" authorId="1">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authors>
    <author>mperry</author>
  </authors>
  <commentList>
    <comment ref="AJ3" authorId="0">
      <text>
        <r>
          <rPr>
            <b/>
            <sz val="8"/>
            <color indexed="81"/>
            <rFont val="Tahoma"/>
            <family val="2"/>
          </rPr>
          <t>mperry:</t>
        </r>
        <r>
          <rPr>
            <sz val="8"/>
            <color indexed="81"/>
            <rFont val="Tahoma"/>
            <family val="2"/>
          </rPr>
          <t xml:space="preserve">
Replaced Mortenson's data with IPEDS for 2011 Fact Book.
5/19/11</t>
        </r>
      </text>
    </comment>
    <comment ref="AL3" authorId="0">
      <text>
        <r>
          <rPr>
            <b/>
            <sz val="8"/>
            <color indexed="81"/>
            <rFont val="Tahoma"/>
            <family val="2"/>
          </rPr>
          <t>Excludes online-only institutions identified in 2010-11.</t>
        </r>
      </text>
    </comment>
    <comment ref="AQ3" authorId="0">
      <text>
        <r>
          <rPr>
            <b/>
            <sz val="8"/>
            <color indexed="81"/>
            <rFont val="Tahoma"/>
            <family val="2"/>
          </rPr>
          <t>Excludes online-only institutions identified in 2010-11.</t>
        </r>
      </text>
    </comment>
    <comment ref="CB3" authorId="0">
      <text>
        <r>
          <rPr>
            <b/>
            <sz val="8"/>
            <color indexed="81"/>
            <rFont val="Tahoma"/>
            <family val="2"/>
          </rPr>
          <t>mperry:</t>
        </r>
        <r>
          <rPr>
            <sz val="8"/>
            <color indexed="81"/>
            <rFont val="Tahoma"/>
            <family val="2"/>
          </rPr>
          <t xml:space="preserve">
Replaced Mortenson's data with IPEDS for 2011 Fact Book.
5/19/11</t>
        </r>
      </text>
    </comment>
    <comment ref="CD3" authorId="0">
      <text>
        <r>
          <rPr>
            <b/>
            <sz val="8"/>
            <color indexed="81"/>
            <rFont val="Tahoma"/>
            <family val="2"/>
          </rPr>
          <t>Excludes online-only institutions identified in 2010-11.</t>
        </r>
      </text>
    </comment>
    <comment ref="CI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jennifer berg</author>
    <author>mperry</author>
  </authors>
  <commentList>
    <comment ref="G3" authorId="0">
      <text>
        <r>
          <rPr>
            <b/>
            <sz val="8"/>
            <color indexed="81"/>
            <rFont val="Tahoma"/>
            <family val="2"/>
          </rPr>
          <t>redone 8/2000
Master's degrees ONLY- (all race does NOT include non-resident aliens</t>
        </r>
      </text>
    </comment>
    <comment ref="J3" authorId="0">
      <text>
        <r>
          <rPr>
            <b/>
            <sz val="8"/>
            <color indexed="81"/>
            <rFont val="Tahoma"/>
            <family val="2"/>
          </rPr>
          <t>redone 8/2000
Master's degrees ONLY- (all race does NOT include non-resident aliens or unknown race)</t>
        </r>
      </text>
    </comment>
    <comment ref="K3" authorId="0">
      <text>
        <r>
          <rPr>
            <b/>
            <sz val="8"/>
            <color indexed="81"/>
            <rFont val="Tahoma"/>
            <family val="2"/>
          </rPr>
          <t>redone sept. 2000
Master's degrees ONLY- (all race does NOT include non-resident aliens or unknown race)</t>
        </r>
      </text>
    </comment>
    <comment ref="L3" authorId="0">
      <text>
        <r>
          <rPr>
            <b/>
            <sz val="8"/>
            <color indexed="81"/>
            <rFont val="Tahoma"/>
            <family val="2"/>
          </rPr>
          <t>redone oct. 2000
Master's degrees ONLY- (all race does NOT include non-resident aliens or unknown race)</t>
        </r>
      </text>
    </comment>
    <comment ref="M3" authorId="0">
      <text>
        <r>
          <rPr>
            <b/>
            <sz val="8"/>
            <color indexed="81"/>
            <rFont val="Tahoma"/>
            <family val="2"/>
          </rPr>
          <t>redone oct. 2000
Master's degrees ONLY- (all race does NOT include non-resident aliens or unknown race)</t>
        </r>
      </text>
    </comment>
    <comment ref="N3" authorId="0">
      <text>
        <r>
          <rPr>
            <b/>
            <sz val="8"/>
            <color indexed="81"/>
            <rFont val="Tahoma"/>
            <family val="2"/>
          </rPr>
          <t>redone oct. 2000
Master's degrees ONLY- (all race does NOT include non-resident aliens or uknown race)</t>
        </r>
      </text>
    </comment>
    <comment ref="O3" authorId="0">
      <text>
        <r>
          <rPr>
            <b/>
            <sz val="8"/>
            <color indexed="81"/>
            <rFont val="Tahoma"/>
            <family val="2"/>
          </rPr>
          <t>96-97 is master's degrees ONLY… previous yrs is masters + post-mstrs + post-bach- (all race total does NOT include non-resident aliens or unknown race)</t>
        </r>
      </text>
    </comment>
    <comment ref="P3" authorId="0">
      <text>
        <r>
          <rPr>
            <b/>
            <sz val="8"/>
            <color indexed="81"/>
            <rFont val="Tahoma"/>
            <family val="2"/>
          </rPr>
          <t>master's degrees ONLY (all race total does NOT include non-resident aliens or unknown race)</t>
        </r>
      </text>
    </comment>
    <comment ref="U3" authorId="1">
      <text>
        <r>
          <rPr>
            <b/>
            <sz val="8"/>
            <color indexed="81"/>
            <rFont val="Tahoma"/>
            <family val="2"/>
          </rPr>
          <t>Excludes online-only institutions identified in 2010-11.</t>
        </r>
      </text>
    </comment>
    <comment ref="Z3" authorId="1">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jennifer berg</author>
    <author>mperry</author>
  </authors>
  <commentList>
    <comment ref="G3" authorId="0">
      <text>
        <r>
          <rPr>
            <b/>
            <sz val="8"/>
            <color indexed="81"/>
            <rFont val="Tahoma"/>
            <family val="2"/>
          </rPr>
          <t>redone 8/2000
Master's degrees ONLY</t>
        </r>
      </text>
    </comment>
    <comment ref="J3" authorId="0">
      <text>
        <r>
          <rPr>
            <b/>
            <sz val="8"/>
            <color indexed="81"/>
            <rFont val="Tahoma"/>
            <family val="2"/>
          </rPr>
          <t>redone 8/2000
Master's degrees ONLY</t>
        </r>
      </text>
    </comment>
    <comment ref="K3" authorId="0">
      <text>
        <r>
          <rPr>
            <b/>
            <sz val="8"/>
            <color indexed="81"/>
            <rFont val="Tahoma"/>
            <family val="2"/>
          </rPr>
          <t>redone sept. 2000
Master's degrees ONLY</t>
        </r>
      </text>
    </comment>
    <comment ref="L3" authorId="0">
      <text>
        <r>
          <rPr>
            <b/>
            <sz val="8"/>
            <color indexed="81"/>
            <rFont val="Tahoma"/>
            <family val="2"/>
          </rPr>
          <t>redone oct. 2000
Master's degrees ONLY</t>
        </r>
      </text>
    </comment>
    <comment ref="M3" authorId="0">
      <text>
        <r>
          <rPr>
            <b/>
            <sz val="8"/>
            <color indexed="81"/>
            <rFont val="Tahoma"/>
            <family val="2"/>
          </rPr>
          <t>redone oct. 2000
Master's degrees ONLY</t>
        </r>
      </text>
    </comment>
    <comment ref="N3" authorId="0">
      <text>
        <r>
          <rPr>
            <b/>
            <sz val="8"/>
            <color indexed="81"/>
            <rFont val="Tahoma"/>
            <family val="2"/>
          </rPr>
          <t>redone oct. 2000
Master's degrees ONLY</t>
        </r>
      </text>
    </comment>
    <comment ref="O3" authorId="0">
      <text>
        <r>
          <rPr>
            <b/>
            <sz val="8"/>
            <color indexed="81"/>
            <rFont val="Tahoma"/>
            <family val="2"/>
          </rPr>
          <t>96-97 is master's degrees ONLY… previous yrs is masters + post-mstrs + post-bach</t>
        </r>
      </text>
    </comment>
    <comment ref="P3" authorId="0">
      <text>
        <r>
          <rPr>
            <b/>
            <sz val="8"/>
            <color indexed="81"/>
            <rFont val="Tahoma"/>
            <family val="2"/>
          </rPr>
          <t>master's degrees ONLY</t>
        </r>
      </text>
    </comment>
    <comment ref="U3" authorId="1">
      <text>
        <r>
          <rPr>
            <b/>
            <sz val="8"/>
            <color indexed="81"/>
            <rFont val="Tahoma"/>
            <family val="2"/>
          </rPr>
          <t>Excludes online-only institutions identified in 2010-11.</t>
        </r>
      </text>
    </comment>
    <comment ref="Z3" authorId="1">
      <text>
        <r>
          <rPr>
            <b/>
            <sz val="8"/>
            <color indexed="81"/>
            <rFont val="Tahoma"/>
            <family val="2"/>
          </rPr>
          <t>Excludes online-only institutions identified in 2010-11.</t>
        </r>
      </text>
    </comment>
    <comment ref="AD3" authorId="0">
      <text>
        <r>
          <rPr>
            <b/>
            <sz val="8"/>
            <color indexed="81"/>
            <rFont val="Tahoma"/>
            <family val="2"/>
          </rPr>
          <t>redone 8/2000
Master's degrees ONLY</t>
        </r>
      </text>
    </comment>
    <comment ref="AG3" authorId="0">
      <text>
        <r>
          <rPr>
            <b/>
            <sz val="8"/>
            <color indexed="81"/>
            <rFont val="Tahoma"/>
            <family val="2"/>
          </rPr>
          <t>redone 8/2000
Master's degrees ONLY</t>
        </r>
      </text>
    </comment>
    <comment ref="AH3" authorId="0">
      <text>
        <r>
          <rPr>
            <b/>
            <sz val="8"/>
            <color indexed="81"/>
            <rFont val="Tahoma"/>
            <family val="2"/>
          </rPr>
          <t>redone sept. 2000
Master's degrees ONLY</t>
        </r>
      </text>
    </comment>
    <comment ref="AI3" authorId="0">
      <text>
        <r>
          <rPr>
            <b/>
            <sz val="8"/>
            <color indexed="81"/>
            <rFont val="Tahoma"/>
            <family val="2"/>
          </rPr>
          <t>redone oct. 2000
Master's degrees ONLY</t>
        </r>
      </text>
    </comment>
    <comment ref="AJ3" authorId="0">
      <text>
        <r>
          <rPr>
            <b/>
            <sz val="8"/>
            <color indexed="81"/>
            <rFont val="Tahoma"/>
            <family val="2"/>
          </rPr>
          <t>redone oct. 2000
Master's degrees ONLY</t>
        </r>
      </text>
    </comment>
    <comment ref="AK3" authorId="0">
      <text>
        <r>
          <rPr>
            <b/>
            <sz val="8"/>
            <color indexed="81"/>
            <rFont val="Tahoma"/>
            <family val="2"/>
          </rPr>
          <t>redone oct. 2000
Master's degrees ONLY</t>
        </r>
      </text>
    </comment>
    <comment ref="AL3" authorId="0">
      <text>
        <r>
          <rPr>
            <b/>
            <sz val="8"/>
            <color indexed="81"/>
            <rFont val="Tahoma"/>
            <family val="2"/>
          </rPr>
          <t>96-97 is master's degrees ONLY… previous yrs is masters + post-mstrs + post-bach</t>
        </r>
      </text>
    </comment>
    <comment ref="AM3" authorId="0">
      <text>
        <r>
          <rPr>
            <b/>
            <sz val="8"/>
            <color indexed="81"/>
            <rFont val="Tahoma"/>
            <family val="2"/>
          </rPr>
          <t>master's degrees ONLY</t>
        </r>
      </text>
    </comment>
    <comment ref="AO3" authorId="0">
      <text>
        <r>
          <rPr>
            <b/>
            <sz val="8"/>
            <color indexed="81"/>
            <rFont val="Tahoma"/>
            <family val="2"/>
          </rPr>
          <t>redone 8/2000
Master's degrees ONLY</t>
        </r>
      </text>
    </comment>
    <comment ref="AR3" authorId="0">
      <text>
        <r>
          <rPr>
            <b/>
            <sz val="8"/>
            <color indexed="81"/>
            <rFont val="Tahoma"/>
            <family val="2"/>
          </rPr>
          <t>redone 8/2000
Master's degrees ONLY</t>
        </r>
      </text>
    </comment>
    <comment ref="AS3" authorId="0">
      <text>
        <r>
          <rPr>
            <b/>
            <sz val="8"/>
            <color indexed="81"/>
            <rFont val="Tahoma"/>
            <family val="2"/>
          </rPr>
          <t>redone sept. 2000
Master's degrees ONLY</t>
        </r>
      </text>
    </comment>
    <comment ref="AT3" authorId="0">
      <text>
        <r>
          <rPr>
            <b/>
            <sz val="8"/>
            <color indexed="81"/>
            <rFont val="Tahoma"/>
            <family val="2"/>
          </rPr>
          <t>redone oct. 2000
Master's degrees ONLY</t>
        </r>
      </text>
    </comment>
    <comment ref="AU3" authorId="0">
      <text>
        <r>
          <rPr>
            <b/>
            <sz val="8"/>
            <color indexed="81"/>
            <rFont val="Tahoma"/>
            <family val="2"/>
          </rPr>
          <t>redone oct. 2000
Master's degrees ONLY</t>
        </r>
      </text>
    </comment>
    <comment ref="AV3" authorId="0">
      <text>
        <r>
          <rPr>
            <b/>
            <sz val="8"/>
            <color indexed="81"/>
            <rFont val="Tahoma"/>
            <family val="2"/>
          </rPr>
          <t>redone oct. 2000
Master's degrees ONLY</t>
        </r>
      </text>
    </comment>
    <comment ref="AW3" authorId="0">
      <text>
        <r>
          <rPr>
            <b/>
            <sz val="8"/>
            <color indexed="81"/>
            <rFont val="Tahoma"/>
            <family val="2"/>
          </rPr>
          <t>96-97 is master's degrees ONLY… previous yrs is masters + post-mstrs + post-bach</t>
        </r>
        <r>
          <rPr>
            <sz val="8"/>
            <color indexed="81"/>
            <rFont val="Tahoma"/>
            <family val="2"/>
          </rPr>
          <t xml:space="preserve">
</t>
        </r>
      </text>
    </comment>
    <comment ref="AX3" authorId="0">
      <text>
        <r>
          <rPr>
            <b/>
            <sz val="8"/>
            <color indexed="81"/>
            <rFont val="Tahoma"/>
            <family val="2"/>
          </rPr>
          <t>master's degrees ONLY</t>
        </r>
      </text>
    </comment>
    <comment ref="AZ3" authorId="0">
      <text>
        <r>
          <rPr>
            <b/>
            <sz val="8"/>
            <color indexed="81"/>
            <rFont val="Tahoma"/>
            <family val="2"/>
          </rPr>
          <t>redone 8/2000
Master's degrees ONLY</t>
        </r>
      </text>
    </comment>
    <comment ref="BA3" authorId="0">
      <text>
        <r>
          <rPr>
            <b/>
            <sz val="8"/>
            <color indexed="81"/>
            <rFont val="Tahoma"/>
            <family val="2"/>
          </rPr>
          <t>redone 8/2000
Master's degrees ONLY</t>
        </r>
      </text>
    </comment>
    <comment ref="BB3" authorId="0">
      <text>
        <r>
          <rPr>
            <b/>
            <sz val="8"/>
            <color indexed="81"/>
            <rFont val="Tahoma"/>
            <family val="2"/>
          </rPr>
          <t>redone sept. 2000
Master's degrees ONLY</t>
        </r>
      </text>
    </comment>
    <comment ref="BC3" authorId="0">
      <text>
        <r>
          <rPr>
            <b/>
            <sz val="8"/>
            <color indexed="81"/>
            <rFont val="Tahoma"/>
            <family val="2"/>
          </rPr>
          <t>redone oct. 2000
Master's degrees ONLY</t>
        </r>
      </text>
    </comment>
    <comment ref="BD3" authorId="0">
      <text>
        <r>
          <rPr>
            <b/>
            <sz val="8"/>
            <color indexed="81"/>
            <rFont val="Tahoma"/>
            <family val="2"/>
          </rPr>
          <t>redone oct. 2000
Master's degrees ONLY</t>
        </r>
      </text>
    </comment>
    <comment ref="BE3" authorId="0">
      <text>
        <r>
          <rPr>
            <b/>
            <sz val="8"/>
            <color indexed="81"/>
            <rFont val="Tahoma"/>
            <family val="2"/>
          </rPr>
          <t>redone oct. 2000
Master's degrees ONLY</t>
        </r>
      </text>
    </comment>
    <comment ref="BF3" authorId="0">
      <text>
        <r>
          <rPr>
            <b/>
            <sz val="8"/>
            <color indexed="81"/>
            <rFont val="Tahoma"/>
            <family val="2"/>
          </rPr>
          <t>96-97 is master's degrees ONLY… previous yrs is masters + post-mstrs + post-bach</t>
        </r>
        <r>
          <rPr>
            <sz val="8"/>
            <color indexed="81"/>
            <rFont val="Tahoma"/>
            <family val="2"/>
          </rPr>
          <t xml:space="preserve">
</t>
        </r>
      </text>
    </comment>
    <comment ref="BG3" authorId="0">
      <text>
        <r>
          <rPr>
            <b/>
            <sz val="8"/>
            <color indexed="81"/>
            <rFont val="Tahoma"/>
            <family val="2"/>
          </rPr>
          <t>master's degrees ONLY</t>
        </r>
      </text>
    </comment>
    <comment ref="BL3" authorId="1">
      <text>
        <r>
          <rPr>
            <b/>
            <sz val="8"/>
            <color indexed="81"/>
            <rFont val="Tahoma"/>
            <family val="2"/>
          </rPr>
          <t>Excludes online-only institutions identified in 2010-11.</t>
        </r>
      </text>
    </comment>
    <comment ref="BQ3" authorId="1">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jennifer berg</author>
    <author>mperry</author>
  </authors>
  <commentList>
    <comment ref="B3" authorId="0">
      <text>
        <r>
          <rPr>
            <b/>
            <sz val="8"/>
            <color indexed="81"/>
            <rFont val="Tahoma"/>
            <family val="2"/>
          </rPr>
          <t>redone 8/2000
Master's degrees ONLY</t>
        </r>
      </text>
    </comment>
    <comment ref="E3" authorId="0">
      <text>
        <r>
          <rPr>
            <b/>
            <sz val="8"/>
            <color indexed="81"/>
            <rFont val="Tahoma"/>
            <family val="2"/>
          </rPr>
          <t>redone 8/2000
Master's degrees ONLY</t>
        </r>
      </text>
    </comment>
    <comment ref="F3" authorId="0">
      <text>
        <r>
          <rPr>
            <b/>
            <sz val="8"/>
            <color indexed="81"/>
            <rFont val="Tahoma"/>
            <family val="2"/>
          </rPr>
          <t>redone sept. 2000
Master's degrees ONLY</t>
        </r>
      </text>
    </comment>
    <comment ref="G3" authorId="0">
      <text>
        <r>
          <rPr>
            <b/>
            <sz val="8"/>
            <color indexed="81"/>
            <rFont val="Tahoma"/>
            <family val="2"/>
          </rPr>
          <t>redone oct. 2000
Master's degrees ONLY</t>
        </r>
      </text>
    </comment>
    <comment ref="H3" authorId="0">
      <text>
        <r>
          <rPr>
            <b/>
            <sz val="8"/>
            <color indexed="81"/>
            <rFont val="Tahoma"/>
            <family val="2"/>
          </rPr>
          <t>redone oct. 2000
Master's degrees ONLY</t>
        </r>
      </text>
    </comment>
    <comment ref="I3" authorId="0">
      <text>
        <r>
          <rPr>
            <b/>
            <sz val="8"/>
            <color indexed="81"/>
            <rFont val="Tahoma"/>
            <family val="2"/>
          </rPr>
          <t>redone oct. 2000
Master's degrees ONLY</t>
        </r>
      </text>
    </comment>
    <comment ref="J3" authorId="0">
      <text>
        <r>
          <rPr>
            <b/>
            <sz val="8"/>
            <color indexed="81"/>
            <rFont val="Tahoma"/>
            <family val="2"/>
          </rPr>
          <t>96-97 is master's degrees ONLY… previous yrs = masters + post-mstrs + post-bach</t>
        </r>
        <r>
          <rPr>
            <sz val="8"/>
            <color indexed="81"/>
            <rFont val="Tahoma"/>
            <family val="2"/>
          </rPr>
          <t xml:space="preserve">
</t>
        </r>
      </text>
    </comment>
    <comment ref="K3" authorId="0">
      <text>
        <r>
          <rPr>
            <b/>
            <sz val="8"/>
            <color indexed="81"/>
            <rFont val="Tahoma"/>
            <family val="2"/>
          </rPr>
          <t>master's degrees ONLY</t>
        </r>
      </text>
    </comment>
    <comment ref="P3" authorId="1">
      <text>
        <r>
          <rPr>
            <b/>
            <sz val="8"/>
            <color indexed="81"/>
            <rFont val="Tahoma"/>
            <family val="2"/>
          </rPr>
          <t>Excludes online-only institutions identified in 2010-11.</t>
        </r>
      </text>
    </comment>
    <comment ref="U3" authorId="1">
      <text>
        <r>
          <rPr>
            <b/>
            <sz val="8"/>
            <color indexed="81"/>
            <rFont val="Tahoma"/>
            <family val="2"/>
          </rPr>
          <t>Excludes online-only institutions identified in 2010-11.</t>
        </r>
      </text>
    </comment>
    <comment ref="X3" authorId="0">
      <text>
        <r>
          <rPr>
            <b/>
            <sz val="8"/>
            <color indexed="81"/>
            <rFont val="Tahoma"/>
            <family val="2"/>
          </rPr>
          <t>redone 8/2000
Master's degrees ONLY</t>
        </r>
      </text>
    </comment>
    <comment ref="AA3" authorId="0">
      <text>
        <r>
          <rPr>
            <b/>
            <sz val="8"/>
            <color indexed="81"/>
            <rFont val="Tahoma"/>
            <family val="2"/>
          </rPr>
          <t>redone 8/2000
Master's degrees ONLY</t>
        </r>
      </text>
    </comment>
    <comment ref="AB3" authorId="0">
      <text>
        <r>
          <rPr>
            <b/>
            <sz val="8"/>
            <color indexed="81"/>
            <rFont val="Tahoma"/>
            <family val="2"/>
          </rPr>
          <t>redone sept. 2000
Master's degrees ONLY</t>
        </r>
      </text>
    </comment>
    <comment ref="AC3" authorId="0">
      <text>
        <r>
          <rPr>
            <b/>
            <sz val="8"/>
            <color indexed="81"/>
            <rFont val="Tahoma"/>
            <family val="2"/>
          </rPr>
          <t>redone oct. 2000
Master's degrees ONLY</t>
        </r>
      </text>
    </comment>
    <comment ref="AD3" authorId="0">
      <text>
        <r>
          <rPr>
            <b/>
            <sz val="8"/>
            <color indexed="81"/>
            <rFont val="Tahoma"/>
            <family val="2"/>
          </rPr>
          <t>redone oct. 2000
Master's degrees ONLY</t>
        </r>
      </text>
    </comment>
    <comment ref="AE3" authorId="0">
      <text>
        <r>
          <rPr>
            <b/>
            <sz val="8"/>
            <color indexed="81"/>
            <rFont val="Tahoma"/>
            <family val="2"/>
          </rPr>
          <t>redone oct. 2000
Master's degrees ONLY</t>
        </r>
      </text>
    </comment>
    <comment ref="AF3" authorId="0">
      <text>
        <r>
          <rPr>
            <b/>
            <sz val="8"/>
            <color indexed="81"/>
            <rFont val="Tahoma"/>
            <family val="2"/>
          </rPr>
          <t>96-97 is master's degrees ONLY… previous yrs = masters + post-mstrs + post-bach</t>
        </r>
      </text>
    </comment>
    <comment ref="AG3" authorId="0">
      <text>
        <r>
          <rPr>
            <b/>
            <sz val="8"/>
            <color indexed="81"/>
            <rFont val="Tahoma"/>
            <family val="2"/>
          </rPr>
          <t>master's degrees ONLY</t>
        </r>
      </text>
    </comment>
    <comment ref="AL3" authorId="1">
      <text>
        <r>
          <rPr>
            <b/>
            <sz val="8"/>
            <color indexed="81"/>
            <rFont val="Tahoma"/>
            <family val="2"/>
          </rPr>
          <t>Excludes online-only institutions identified in 2010-11.</t>
        </r>
      </text>
    </comment>
    <comment ref="AQ3" authorId="1">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<sst xmlns="http://schemas.openxmlformats.org/spreadsheetml/2006/main" count="2255" uniqueCount="244">
  <si>
    <t>Total Master's Degrees Awarded</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</si>
  <si>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</si>
  <si>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</si>
  <si>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</si>
  <si>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</si>
  <si>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</si>
  <si>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</si>
  <si>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</si>
  <si>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</si>
  <si>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</si>
  <si>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</si>
  <si>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</si>
  <si>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</si>
  <si>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</si>
  <si>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</si>
  <si>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</si>
  <si>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</si>
  <si>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</si>
  <si>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</si>
  <si>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</si>
  <si>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</si>
  <si>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</si>
  <si>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</si>
  <si>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</si>
  <si>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</si>
  <si>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</si>
  <si>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</si>
  <si>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</si>
  <si>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</si>
  <si>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</si>
  <si>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</si>
  <si>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</si>
  <si>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</si>
  <si>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</si>
  <si>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</si>
  <si>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</si>
  <si>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</si>
  <si>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</si>
  <si>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</si>
  <si>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</si>
  <si>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</si>
  <si>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</si>
  <si>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</si>
  <si>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</si>
  <si>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</si>
  <si>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</si>
  <si>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</si>
  <si>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</si>
  <si>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</si>
  <si>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</si>
  <si>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</si>
  <si>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</si>
  <si>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</si>
  <si>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</si>
  <si>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</si>
  <si>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</si>
  <si>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</si>
  <si>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</si>
  <si>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</si>
  <si>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</si>
  <si>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</si>
  <si>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</si>
  <si>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</si>
  <si>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</si>
  <si>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</si>
  <si>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</si>
  <si>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</si>
  <si>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</si>
  <si>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</si>
  <si>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</si>
  <si>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</si>
  <si>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</si>
  <si>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</si>
  <si>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</si>
  <si>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</si>
  <si>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</si>
  <si>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</si>
  <si>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</si>
  <si>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</si>
  <si>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</si>
  <si>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</si>
  <si>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</si>
  <si>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</si>
  <si>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</si>
  <si>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</si>
  <si>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</si>
  <si>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</si>
  <si>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</si>
  <si>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</si>
  <si>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</si>
  <si>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</si>
  <si>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</si>
  <si>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</si>
  <si>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</si>
  <si>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</si>
  <si>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</si>
  <si>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</si>
  <si>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</si>
  <si>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</si>
  <si>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 (For 1969-70 to 1994-95)</t>
  </si>
  <si>
    <t>SOURCE:</t>
  </si>
  <si>
    <t>U.S. Department of Education, National Center for Education Statistics,</t>
  </si>
  <si>
    <t>Tom Mortenson and</t>
  </si>
  <si>
    <t>U.S. Dept.</t>
  </si>
  <si>
    <t xml:space="preserve">SREB analysis </t>
  </si>
  <si>
    <r>
      <t>State Comparisons of Education Statistics: 1969-70 to 1996-97</t>
    </r>
    <r>
      <rPr>
        <sz val="10"/>
        <rFont val="Arial"/>
        <family val="2"/>
      </rPr>
      <t>, Table 73, pp. 184-186.</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</si>
  <si>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</si>
  <si>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</si>
  <si>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</si>
  <si>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</si>
  <si>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</si>
  <si>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</si>
  <si>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</si>
  <si>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</si>
  <si>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</si>
  <si>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</si>
  <si>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</si>
  <si>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</si>
  <si>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</si>
  <si>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</si>
  <si>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</si>
  <si>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</si>
  <si>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</si>
  <si>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</si>
  <si>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</si>
  <si>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</si>
  <si>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</si>
  <si>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</si>
  <si>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</si>
  <si>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</si>
  <si>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</si>
  <si>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</si>
  <si>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 xml:space="preserve">2000, </t>
  </si>
  <si>
    <t>2001,</t>
  </si>
  <si>
    <t>(www.nces.ed.gov/ipeds).</t>
  </si>
  <si>
    <t>Table 250,</t>
  </si>
  <si>
    <t>Table 251,</t>
  </si>
  <si>
    <t>www.nces.ed.gov</t>
  </si>
  <si>
    <t>NOTE:</t>
  </si>
  <si>
    <t>D.C. : 2001.</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</si>
  <si>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</si>
  <si>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</si>
  <si>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</si>
  <si>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</si>
  <si>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</si>
  <si>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</si>
  <si>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</si>
  <si>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</si>
  <si>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</si>
  <si>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</si>
  <si>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</si>
  <si>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</si>
  <si>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</si>
  <si>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</si>
  <si>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Master's Degrees awarded in PUBLIC Institutions</t>
  </si>
  <si>
    <t xml:space="preserve">SOURCE: </t>
  </si>
  <si>
    <t>SREB</t>
  </si>
  <si>
    <t>analysis of</t>
  </si>
  <si>
    <t>NCES</t>
  </si>
  <si>
    <t>Data</t>
  </si>
  <si>
    <t>set of</t>
  </si>
  <si>
    <t>completions</t>
  </si>
  <si>
    <t>State</t>
  </si>
  <si>
    <t>Comparisons</t>
  </si>
  <si>
    <t>Statistics:</t>
  </si>
  <si>
    <t xml:space="preserve">1998, </t>
  </si>
  <si>
    <t xml:space="preserve">1999, </t>
  </si>
  <si>
    <t>1969-70 to</t>
  </si>
  <si>
    <t>Table 245,</t>
  </si>
  <si>
    <t>Table 249,</t>
  </si>
  <si>
    <t>1994-95,</t>
  </si>
  <si>
    <t>pp. 277,</t>
  </si>
  <si>
    <t>pp. 287,</t>
  </si>
  <si>
    <t>Table 63,</t>
  </si>
  <si>
    <t>pp. 170,</t>
  </si>
  <si>
    <t>D.C. : 1999.</t>
  </si>
  <si>
    <t>D.C. : 2000.</t>
  </si>
  <si>
    <t>D.C. : 1998.</t>
  </si>
  <si>
    <t xml:space="preserve">Master's Degrees Awarded to Men and Women </t>
  </si>
  <si>
    <t>Men</t>
  </si>
  <si>
    <t>Women</t>
  </si>
  <si>
    <t>Master's Degrees</t>
  </si>
  <si>
    <t>All Race/Ethnic Groups</t>
  </si>
  <si>
    <t>analysis</t>
  </si>
  <si>
    <t>of NCES</t>
  </si>
  <si>
    <t>data</t>
  </si>
  <si>
    <t>tape of</t>
  </si>
  <si>
    <t>1976-77.</t>
  </si>
  <si>
    <t>1978-79.</t>
  </si>
  <si>
    <t>1980-81.</t>
  </si>
  <si>
    <t>1982-83.</t>
  </si>
  <si>
    <t>1984-85.</t>
  </si>
  <si>
    <t>1988-89.</t>
  </si>
  <si>
    <t>Black</t>
  </si>
  <si>
    <t>Blacks, PBI's---</t>
  </si>
  <si>
    <t>Blacks, HBI's---</t>
  </si>
  <si>
    <t>Blacks in PBI or HBI</t>
  </si>
  <si>
    <t>na</t>
  </si>
  <si>
    <t>Hispanic----------</t>
  </si>
  <si>
    <t>-</t>
  </si>
  <si>
    <t>Foreign……….</t>
  </si>
  <si>
    <r>
      <t>Master's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</si>
  <si>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</si>
  <si>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</si>
  <si>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</si>
  <si>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</si>
  <si>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</si>
  <si>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</si>
  <si>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</si>
  <si>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</si>
  <si>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 xml:space="preserve">Percent at </t>
  </si>
  <si>
    <t xml:space="preserve"> </t>
  </si>
  <si>
    <t xml:space="preserve">    as a percent of U.S.</t>
  </si>
  <si>
    <r>
      <t>PBIs or HBIs</t>
    </r>
    <r>
      <rPr>
        <vertAlign val="superscript"/>
        <sz val="10"/>
        <color indexed="8"/>
        <rFont val="Arial"/>
        <family val="2"/>
      </rPr>
      <t>3</t>
    </r>
  </si>
  <si>
    <t>* Less than one-tenth of 1 percent.</t>
  </si>
  <si>
    <t xml:space="preserve"> "NA" indicates not applicable; there was no institution of this type during the specified years.</t>
  </si>
  <si>
    <t>2009-10</t>
  </si>
  <si>
    <t>2010-11</t>
  </si>
  <si>
    <r>
      <t>Louisiana</t>
    </r>
    <r>
      <rPr>
        <vertAlign val="superscript"/>
        <sz val="10"/>
        <rFont val="Arial"/>
        <family val="2"/>
      </rPr>
      <t>5</t>
    </r>
  </si>
  <si>
    <r>
      <t>Arizona</t>
    </r>
    <r>
      <rPr>
        <vertAlign val="superscript"/>
        <sz val="10"/>
        <rFont val="Arial"/>
        <family val="2"/>
      </rPr>
      <t>4</t>
    </r>
  </si>
  <si>
    <r>
      <t>Alabama</t>
    </r>
    <r>
      <rPr>
        <vertAlign val="superscript"/>
        <sz val="10"/>
        <rFont val="Arial"/>
        <family val="2"/>
      </rPr>
      <t>4</t>
    </r>
  </si>
  <si>
    <r>
      <t>Georgia</t>
    </r>
    <r>
      <rPr>
        <vertAlign val="superscript"/>
        <sz val="10"/>
        <rFont val="Arial"/>
        <family val="2"/>
      </rPr>
      <t>4</t>
    </r>
  </si>
  <si>
    <r>
      <t>Kentucky</t>
    </r>
    <r>
      <rPr>
        <vertAlign val="superscript"/>
        <sz val="10"/>
        <rFont val="Arial"/>
        <family val="2"/>
      </rPr>
      <t>4</t>
    </r>
  </si>
  <si>
    <r>
      <t>West Virginia</t>
    </r>
    <r>
      <rPr>
        <vertAlign val="superscript"/>
        <sz val="10"/>
        <rFont val="Arial"/>
        <family val="2"/>
      </rPr>
      <t>4</t>
    </r>
  </si>
  <si>
    <r>
      <t>California</t>
    </r>
    <r>
      <rPr>
        <vertAlign val="superscript"/>
        <sz val="10"/>
        <rFont val="Arial"/>
        <family val="2"/>
      </rPr>
      <t>4</t>
    </r>
  </si>
  <si>
    <r>
      <t>Colorado</t>
    </r>
    <r>
      <rPr>
        <vertAlign val="superscript"/>
        <sz val="10"/>
        <rFont val="Arial"/>
        <family val="2"/>
      </rPr>
      <t>4</t>
    </r>
  </si>
  <si>
    <r>
      <t>Utah</t>
    </r>
    <r>
      <rPr>
        <vertAlign val="superscript"/>
        <sz val="10"/>
        <rFont val="Arial"/>
        <family val="2"/>
      </rPr>
      <t>4</t>
    </r>
  </si>
  <si>
    <r>
      <t>Illinois</t>
    </r>
    <r>
      <rPr>
        <vertAlign val="superscript"/>
        <sz val="10"/>
        <rFont val="Arial"/>
        <family val="2"/>
      </rPr>
      <t>4</t>
    </r>
  </si>
  <si>
    <r>
      <t>Minnesota</t>
    </r>
    <r>
      <rPr>
        <vertAlign val="superscript"/>
        <sz val="10"/>
        <rFont val="Arial"/>
        <family val="2"/>
      </rPr>
      <t>4</t>
    </r>
  </si>
  <si>
    <r>
      <t>Massachusetts</t>
    </r>
    <r>
      <rPr>
        <vertAlign val="superscript"/>
        <sz val="10"/>
        <rFont val="Arial"/>
        <family val="2"/>
      </rPr>
      <t>4</t>
    </r>
  </si>
  <si>
    <r>
      <t>New York</t>
    </r>
    <r>
      <rPr>
        <vertAlign val="superscript"/>
        <sz val="10"/>
        <rFont val="Arial"/>
        <family val="2"/>
      </rPr>
      <t>4</t>
    </r>
  </si>
  <si>
    <r>
      <t>Missouri</t>
    </r>
    <r>
      <rPr>
        <vertAlign val="superscript"/>
        <sz val="10"/>
        <rFont val="Arial"/>
        <family val="2"/>
      </rPr>
      <t>4</t>
    </r>
  </si>
  <si>
    <t>2011-12</t>
  </si>
  <si>
    <t>C2012</t>
  </si>
  <si>
    <t>Table 56</t>
  </si>
  <si>
    <t>2012-13</t>
  </si>
  <si>
    <t>2007-08 to</t>
  </si>
  <si>
    <r>
      <t>District of Columbia</t>
    </r>
    <r>
      <rPr>
        <vertAlign val="superscript"/>
        <sz val="10"/>
        <rFont val="Arial"/>
        <family val="2"/>
      </rPr>
      <t>4</t>
    </r>
  </si>
  <si>
    <t xml:space="preserve"> April 2015</t>
  </si>
  <si>
    <r>
      <rPr>
        <sz val="10"/>
        <rFont val="Calibri"/>
        <family val="2"/>
      </rPr>
      <t>¹</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Beginning with the 2007-08 data, institutions had the option of using new award levels to report degrees. Prior to 2007-08, theology and divinity degrees were reported as first-professional degrees; under the new system they are reported as master's degrees. Institutions were required to use the new award level categories beginning with the 2009-10 data collection. The figures reported in this table include theology and divinity degrees awarded by institutions reporting under the new system. 
</t>
    </r>
  </si>
  <si>
    <r>
      <rPr>
        <sz val="10"/>
        <rFont val="Calibri"/>
        <family val="2"/>
      </rPr>
      <t>³</t>
    </r>
    <r>
      <rPr>
        <sz val="10"/>
        <rFont val="Arial"/>
        <family val="2"/>
      </rPr>
      <t xml:space="preserve"> 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 "NA" indicates not applicable; there were no PBIs or HBIs in these states during the specified years.</t>
    </r>
  </si>
  <si>
    <t xml:space="preserve">² 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Institutions were required to use the new race and ethnicity cartegories beginning with the 2009-10 data collection.  </t>
  </si>
  <si>
    <t>Source: SREB analysis of National Center for Education Statistics completions surveys — www.nces.ed.gov/ipeds.</t>
  </si>
  <si>
    <r>
      <rPr>
        <sz val="10"/>
        <color indexed="8"/>
        <rFont val="Calibri"/>
        <family val="2"/>
      </rPr>
      <t>⁴</t>
    </r>
    <r>
      <rPr>
        <sz val="10"/>
        <color indexed="8"/>
        <rFont val="Arial"/>
        <family val="2"/>
      </rPr>
      <t xml:space="preserve"> 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</si>
</sst>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_)"/>
    <numFmt numFmtId="167" formatCode="#,##0.00000000000"/>
  </numFmts>
  <fonts count="20">
    <font>
      <sz val="10"/>
      <color theme="1"/>
      <name val="Arial"/>
      <family val="2"/>
    </font>
    <font>
      <b/>
      <sz val="10"/>
      <name val="Arial"/>
      <family val="2"/>
    </font>
    <font>
      <sz val="10"/>
      <name val="Arial"/>
      <family val="2"/>
    </font>
    <font>
      <sz val="10"/>
      <name val="Helv"/>
    </font>
    <font>
      <sz val="10"/>
      <color rgb="FF0000FF"/>
      <name val="Arial"/>
      <family val="2"/>
    </font>
    <font>
      <sz val="10"/>
      <name val="AGaramond"/>
      <family val="3"/>
    </font>
    <font>
      <i/>
      <sz val="10"/>
      <name val="Arial"/>
      <family val="2"/>
    </font>
    <font>
      <u/>
      <sz val="7.5"/>
      <color indexed="12"/>
      <name val="SWISS-C"/>
    </font>
    <font>
      <b/>
      <i/>
      <sz val="10"/>
      <color rgb="FFFF0000"/>
      <name val="Arial"/>
      <family val="2"/>
    </font>
    <font>
      <b/>
      <sz val="8"/>
      <color indexed="81"/>
      <name val="Tahoma"/>
      <family val="2"/>
    </font>
    <font>
      <sz val="8"/>
      <color indexed="81"/>
      <name val="Tahoma"/>
      <family val="2"/>
    </font>
    <font>
      <b/>
      <sz val="10"/>
      <color theme="0" tint="-0.34998626667073579"/>
      <name val="Arial"/>
      <family val="2"/>
    </font>
    <font>
      <b/>
      <sz val="10"/>
      <name val="SWISS-C"/>
    </font>
    <font>
      <sz val="8"/>
      <name val="Arial"/>
      <family val="2"/>
    </font>
    <font>
      <vertAlign val="superscript"/>
      <sz val="10"/>
      <name val="Arial"/>
      <family val="2"/>
    </font>
    <font>
      <b/>
      <sz val="10"/>
      <color rgb="FFFF0000"/>
      <name val="Arial"/>
      <family val="2"/>
    </font>
    <font>
      <sz val="10"/>
      <color indexed="8"/>
      <name val="Arial"/>
      <family val="2"/>
    </font>
    <font>
      <vertAlign val="superscript"/>
      <sz val="10"/>
      <color indexed="8"/>
      <name val="Arial"/>
      <family val="2"/>
    </font>
    <font>
      <sz val="10"/>
      <name val="Calibri"/>
      <family val="2"/>
    </font>
    <font>
      <sz val="10"/>
      <color indexed="8"/>
      <name val="Calibri"/>
      <family val="2"/>
    </font>
  </fonts>
  <fills count="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99FF"/>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ck">
        <color indexed="64"/>
      </left>
      <right/>
      <top style="thin">
        <color indexed="8"/>
      </top>
      <bottom/>
      <diagonal/>
    </border>
    <border>
      <left style="thick">
        <color indexed="64"/>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horizontal="left" wrapText="1"/>
    </xf>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cellStyleXfs>
  <cellXfs count="190">
    <xf numFmtId="0" fontId="0" fillId="0" borderId="0" xfId="0"/>
    <xf numFmtId="37" fontId="1" fillId="0" borderId="0" xfId="0" applyNumberFormat="1" applyFont="1"/>
    <xf numFmtId="37" fontId="1" fillId="0" borderId="0" xfId="0" applyNumberFormat="1" applyFont="1" applyBorder="1"/>
    <xf numFmtId="37" fontId="2" fillId="0" borderId="0" xfId="0" applyNumberFormat="1" applyFont="1"/>
    <xf numFmtId="39" fontId="2" fillId="0" borderId="0" xfId="0" applyNumberFormat="1" applyFont="1"/>
    <xf numFmtId="37" fontId="2" fillId="0" borderId="0" xfId="0" applyNumberFormat="1" applyFont="1" applyFill="1"/>
    <xf numFmtId="37" fontId="2" fillId="0" borderId="0" xfId="0" applyNumberFormat="1" applyFont="1" applyBorder="1"/>
    <xf numFmtId="37" fontId="1" fillId="0" borderId="0" xfId="0" applyNumberFormat="1" applyFont="1" applyBorder="1" applyAlignment="1">
      <alignment horizontal="right"/>
    </xf>
    <xf numFmtId="37" fontId="1" fillId="0" borderId="1" xfId="0" applyNumberFormat="1" applyFont="1" applyBorder="1" applyAlignment="1">
      <alignment horizontal="right"/>
    </xf>
    <xf numFmtId="37" fontId="1" fillId="0" borderId="2" xfId="0" applyNumberFormat="1" applyFont="1" applyBorder="1" applyAlignment="1">
      <alignment horizontal="right"/>
    </xf>
    <xf numFmtId="37" fontId="1" fillId="0" borderId="2" xfId="0" applyNumberFormat="1" applyFont="1" applyFill="1" applyBorder="1" applyAlignment="1">
      <alignment horizontal="right"/>
    </xf>
    <xf numFmtId="37" fontId="2" fillId="0" borderId="2" xfId="1" applyNumberFormat="1" applyFont="1" applyFill="1" applyBorder="1" applyAlignment="1"/>
    <xf numFmtId="3" fontId="4" fillId="0" borderId="2" xfId="1" applyNumberFormat="1" applyFont="1" applyFill="1" applyBorder="1" applyAlignment="1"/>
    <xf numFmtId="37" fontId="2" fillId="0" borderId="0" xfId="0" applyNumberFormat="1" applyFont="1" applyFill="1" applyBorder="1"/>
    <xf numFmtId="37" fontId="2" fillId="0" borderId="0" xfId="1" applyNumberFormat="1" applyFont="1" applyBorder="1" applyAlignment="1" applyProtection="1"/>
    <xf numFmtId="3" fontId="4" fillId="0" borderId="3" xfId="2" applyNumberFormat="1" applyFont="1" applyBorder="1" applyAlignment="1"/>
    <xf numFmtId="164" fontId="2" fillId="0" borderId="0" xfId="1" applyNumberFormat="1" applyFont="1" applyFill="1" applyBorder="1" applyAlignment="1" applyProtection="1"/>
    <xf numFmtId="164" fontId="4" fillId="0" borderId="0" xfId="1" applyNumberFormat="1" applyFont="1" applyBorder="1" applyAlignment="1" applyProtection="1"/>
    <xf numFmtId="3" fontId="2" fillId="0" borderId="0" xfId="2" applyNumberFormat="1" applyFont="1" applyBorder="1" applyAlignment="1"/>
    <xf numFmtId="37" fontId="2" fillId="0" borderId="4" xfId="1" applyNumberFormat="1" applyFont="1" applyBorder="1" applyAlignment="1" applyProtection="1"/>
    <xf numFmtId="3" fontId="2" fillId="0" borderId="4" xfId="2" applyNumberFormat="1" applyFont="1" applyBorder="1" applyAlignment="1"/>
    <xf numFmtId="37" fontId="2" fillId="0" borderId="0" xfId="1" applyNumberFormat="1" applyFont="1" applyFill="1" applyBorder="1" applyAlignment="1" applyProtection="1"/>
    <xf numFmtId="3" fontId="4" fillId="0" borderId="3" xfId="2" applyNumberFormat="1" applyFont="1" applyFill="1" applyBorder="1" applyAlignment="1"/>
    <xf numFmtId="37" fontId="2" fillId="0" borderId="0" xfId="1" applyNumberFormat="1" applyFont="1" applyBorder="1" applyAlignment="1"/>
    <xf numFmtId="37" fontId="2" fillId="0" borderId="4" xfId="1" applyNumberFormat="1" applyFont="1" applyBorder="1" applyAlignment="1"/>
    <xf numFmtId="0" fontId="2" fillId="0" borderId="2" xfId="1" applyFont="1" applyFill="1" applyBorder="1" applyAlignment="1"/>
    <xf numFmtId="3" fontId="2" fillId="0" borderId="2" xfId="2" applyNumberFormat="1" applyFont="1" applyBorder="1" applyAlignment="1"/>
    <xf numFmtId="3" fontId="2" fillId="0" borderId="0" xfId="0" applyNumberFormat="1" applyFont="1" applyBorder="1"/>
    <xf numFmtId="3" fontId="2" fillId="0" borderId="0" xfId="0" applyNumberFormat="1" applyFont="1" applyFill="1" applyBorder="1"/>
    <xf numFmtId="37" fontId="2" fillId="0" borderId="0" xfId="0" applyNumberFormat="1" applyFont="1" applyBorder="1" applyAlignment="1" applyProtection="1">
      <alignment horizontal="left"/>
    </xf>
    <xf numFmtId="37" fontId="0" fillId="0" borderId="0" xfId="0" applyNumberFormat="1"/>
    <xf numFmtId="37" fontId="2" fillId="0" borderId="0" xfId="0" applyNumberFormat="1" applyFont="1" applyBorder="1" applyProtection="1"/>
    <xf numFmtId="37" fontId="6" fillId="0" borderId="0" xfId="0" applyNumberFormat="1" applyFont="1" applyBorder="1"/>
    <xf numFmtId="37" fontId="7" fillId="0" borderId="0" xfId="3" applyNumberFormat="1" applyBorder="1" applyAlignment="1" applyProtection="1"/>
    <xf numFmtId="37" fontId="8" fillId="0" borderId="0" xfId="0" applyNumberFormat="1" applyFont="1" applyFill="1" applyBorder="1"/>
    <xf numFmtId="37" fontId="1" fillId="0" borderId="3" xfId="0" applyNumberFormat="1" applyFont="1" applyBorder="1" applyAlignment="1">
      <alignment horizontal="right"/>
    </xf>
    <xf numFmtId="37" fontId="1" fillId="0" borderId="3" xfId="0" applyNumberFormat="1" applyFont="1" applyFill="1" applyBorder="1" applyAlignment="1">
      <alignment horizontal="right"/>
    </xf>
    <xf numFmtId="3" fontId="2" fillId="0" borderId="0" xfId="0" applyNumberFormat="1" applyFont="1" applyBorder="1" applyProtection="1"/>
    <xf numFmtId="37" fontId="2" fillId="0" borderId="5" xfId="0" applyNumberFormat="1" applyFont="1" applyBorder="1"/>
    <xf numFmtId="37" fontId="2" fillId="0" borderId="5" xfId="0" applyNumberFormat="1" applyFont="1" applyBorder="1" applyProtection="1"/>
    <xf numFmtId="37" fontId="8" fillId="0" borderId="0" xfId="0" applyNumberFormat="1" applyFont="1" applyBorder="1"/>
    <xf numFmtId="37" fontId="1" fillId="0" borderId="0" xfId="0" applyNumberFormat="1" applyFont="1" applyAlignment="1" applyProtection="1">
      <alignment horizontal="left"/>
    </xf>
    <xf numFmtId="37" fontId="2" fillId="0" borderId="6" xfId="0" applyNumberFormat="1" applyFont="1" applyBorder="1" applyProtection="1"/>
    <xf numFmtId="37" fontId="2" fillId="0" borderId="0" xfId="0" applyNumberFormat="1" applyFont="1" applyProtection="1"/>
    <xf numFmtId="37" fontId="1" fillId="0" borderId="6" xfId="0" applyNumberFormat="1" applyFont="1" applyBorder="1" applyProtection="1"/>
    <xf numFmtId="37" fontId="11" fillId="0" borderId="0" xfId="0" applyNumberFormat="1" applyFont="1" applyAlignment="1" applyProtection="1">
      <alignment horizontal="left"/>
    </xf>
    <xf numFmtId="37" fontId="1" fillId="0" borderId="7" xfId="0" applyNumberFormat="1" applyFont="1" applyBorder="1" applyAlignment="1">
      <alignment horizontal="right"/>
    </xf>
    <xf numFmtId="3" fontId="4" fillId="0" borderId="7" xfId="1" applyNumberFormat="1" applyFont="1" applyFill="1" applyBorder="1" applyAlignment="1"/>
    <xf numFmtId="3" fontId="4" fillId="0" borderId="8" xfId="2" applyNumberFormat="1" applyFont="1" applyBorder="1" applyAlignment="1"/>
    <xf numFmtId="164" fontId="4" fillId="0" borderId="6" xfId="1" applyNumberFormat="1" applyFont="1" applyBorder="1" applyAlignment="1" applyProtection="1"/>
    <xf numFmtId="37" fontId="0" fillId="0" borderId="0" xfId="0" applyNumberFormat="1" applyBorder="1"/>
    <xf numFmtId="37" fontId="2" fillId="0" borderId="6" xfId="0" applyNumberFormat="1" applyFont="1" applyBorder="1"/>
    <xf numFmtId="3" fontId="4" fillId="0" borderId="8" xfId="2" applyNumberFormat="1" applyFont="1" applyFill="1" applyBorder="1" applyAlignment="1"/>
    <xf numFmtId="3" fontId="2" fillId="0" borderId="7" xfId="2" applyNumberFormat="1" applyFont="1" applyBorder="1" applyAlignment="1"/>
    <xf numFmtId="37" fontId="2" fillId="0" borderId="0" xfId="0" applyNumberFormat="1" applyFont="1" applyAlignment="1" applyProtection="1">
      <alignment horizontal="centerContinuous"/>
    </xf>
    <xf numFmtId="37" fontId="1" fillId="0" borderId="9" xfId="0" applyNumberFormat="1" applyFont="1" applyBorder="1" applyProtection="1"/>
    <xf numFmtId="37" fontId="2" fillId="0" borderId="0" xfId="0" applyNumberFormat="1" applyFont="1" applyAlignment="1" applyProtection="1">
      <alignment horizontal="fill"/>
    </xf>
    <xf numFmtId="37" fontId="2" fillId="0" borderId="0" xfId="0" applyNumberFormat="1" applyFont="1" applyBorder="1" applyAlignment="1" applyProtection="1">
      <alignment horizontal="fill"/>
    </xf>
    <xf numFmtId="37" fontId="12" fillId="0" borderId="0" xfId="0" applyNumberFormat="1" applyFont="1"/>
    <xf numFmtId="37" fontId="1" fillId="0" borderId="10" xfId="0" applyNumberFormat="1" applyFont="1" applyBorder="1" applyAlignment="1" applyProtection="1">
      <alignment horizontal="right"/>
    </xf>
    <xf numFmtId="37" fontId="1" fillId="0" borderId="11" xfId="0" applyNumberFormat="1" applyFont="1" applyBorder="1" applyAlignment="1" applyProtection="1">
      <alignment horizontal="right"/>
    </xf>
    <xf numFmtId="37" fontId="1" fillId="0" borderId="11" xfId="0" applyNumberFormat="1" applyFont="1" applyFill="1" applyBorder="1" applyAlignment="1" applyProtection="1">
      <alignment horizontal="right"/>
    </xf>
    <xf numFmtId="37" fontId="0" fillId="2" borderId="6" xfId="0" applyNumberFormat="1" applyFill="1" applyBorder="1"/>
    <xf numFmtId="37" fontId="0" fillId="2" borderId="0" xfId="0" applyNumberFormat="1" applyFill="1"/>
    <xf numFmtId="37" fontId="0" fillId="0" borderId="0" xfId="0" applyNumberFormat="1" applyFill="1"/>
    <xf numFmtId="37" fontId="1" fillId="0" borderId="6" xfId="0" applyNumberFormat="1" applyFont="1" applyBorder="1" applyAlignment="1" applyProtection="1">
      <alignment horizontal="left"/>
    </xf>
    <xf numFmtId="37" fontId="1" fillId="2" borderId="6" xfId="0" applyNumberFormat="1" applyFont="1" applyFill="1" applyBorder="1" applyProtection="1"/>
    <xf numFmtId="37" fontId="1" fillId="0" borderId="12" xfId="0" applyNumberFormat="1" applyFont="1" applyBorder="1" applyAlignment="1" applyProtection="1">
      <alignment horizontal="right"/>
    </xf>
    <xf numFmtId="37" fontId="1" fillId="2" borderId="12" xfId="0" applyNumberFormat="1" applyFont="1" applyFill="1" applyBorder="1" applyAlignment="1" applyProtection="1">
      <alignment horizontal="right"/>
    </xf>
    <xf numFmtId="37" fontId="1" fillId="2" borderId="11" xfId="0" applyNumberFormat="1" applyFont="1" applyFill="1" applyBorder="1" applyAlignment="1" applyProtection="1">
      <alignment horizontal="right"/>
    </xf>
    <xf numFmtId="3" fontId="2" fillId="0" borderId="6" xfId="2" applyNumberFormat="1" applyFont="1" applyBorder="1" applyAlignment="1"/>
    <xf numFmtId="3" fontId="2" fillId="0" borderId="13" xfId="2" applyNumberFormat="1" applyFont="1" applyBorder="1" applyAlignment="1"/>
    <xf numFmtId="37" fontId="2" fillId="0" borderId="0" xfId="0" applyNumberFormat="1" applyFont="1" applyBorder="1" applyAlignment="1" applyProtection="1">
      <alignment horizontal="right"/>
    </xf>
    <xf numFmtId="37" fontId="2" fillId="0" borderId="3" xfId="0" applyNumberFormat="1" applyFont="1" applyBorder="1" applyAlignment="1" applyProtection="1">
      <alignment horizontal="right"/>
    </xf>
    <xf numFmtId="37" fontId="2" fillId="0" borderId="3" xfId="0" applyNumberFormat="1" applyFont="1" applyBorder="1" applyProtection="1"/>
    <xf numFmtId="37" fontId="0" fillId="0" borderId="0" xfId="0" applyNumberFormat="1" applyFill="1" applyBorder="1"/>
    <xf numFmtId="37" fontId="2" fillId="0" borderId="9" xfId="0" applyNumberFormat="1" applyFont="1" applyBorder="1" applyProtection="1"/>
    <xf numFmtId="37" fontId="1" fillId="0" borderId="8" xfId="0" applyNumberFormat="1" applyFont="1" applyBorder="1" applyAlignment="1" applyProtection="1">
      <alignment horizontal="right"/>
    </xf>
    <xf numFmtId="37" fontId="1" fillId="0" borderId="3" xfId="0" applyNumberFormat="1" applyFont="1" applyBorder="1" applyAlignment="1" applyProtection="1">
      <alignment horizontal="right"/>
    </xf>
    <xf numFmtId="37" fontId="1" fillId="0" borderId="3" xfId="0" applyNumberFormat="1" applyFont="1" applyFill="1" applyBorder="1" applyAlignment="1" applyProtection="1">
      <alignment horizontal="right"/>
    </xf>
    <xf numFmtId="37" fontId="13" fillId="0" borderId="0" xfId="0" applyNumberFormat="1" applyFont="1" applyAlignment="1" applyProtection="1">
      <alignment horizontal="centerContinuous"/>
    </xf>
    <xf numFmtId="37" fontId="1" fillId="3" borderId="4" xfId="0" applyNumberFormat="1" applyFont="1" applyFill="1" applyBorder="1" applyAlignment="1">
      <alignment horizontal="right"/>
    </xf>
    <xf numFmtId="37" fontId="2" fillId="0" borderId="0" xfId="0" applyNumberFormat="1" applyFont="1" applyBorder="1" applyAlignment="1" applyProtection="1">
      <alignment horizontal="centerContinuous"/>
    </xf>
    <xf numFmtId="37" fontId="2" fillId="0" borderId="0" xfId="0" applyNumberFormat="1" applyFont="1" applyBorder="1" applyAlignment="1"/>
    <xf numFmtId="37" fontId="15" fillId="0" borderId="0" xfId="0" applyNumberFormat="1" applyFont="1" applyBorder="1" applyAlignment="1" applyProtection="1">
      <alignment horizontal="left"/>
    </xf>
    <xf numFmtId="37" fontId="2" fillId="0" borderId="0" xfId="0" applyNumberFormat="1" applyFont="1" applyBorder="1" applyAlignment="1" applyProtection="1"/>
    <xf numFmtId="37" fontId="2" fillId="0" borderId="11" xfId="0" applyNumberFormat="1" applyFont="1" applyBorder="1" applyAlignment="1">
      <alignment horizontal="centerContinuous"/>
    </xf>
    <xf numFmtId="37" fontId="2" fillId="0" borderId="14" xfId="0" applyNumberFormat="1" applyFont="1" applyBorder="1" applyAlignment="1">
      <alignment horizontal="centerContinuous"/>
    </xf>
    <xf numFmtId="37" fontId="2" fillId="0" borderId="15" xfId="0" applyNumberFormat="1" applyFont="1" applyBorder="1" applyAlignment="1">
      <alignment horizontal="centerContinuous"/>
    </xf>
    <xf numFmtId="37" fontId="0" fillId="0" borderId="14" xfId="0" applyNumberFormat="1" applyBorder="1" applyAlignment="1">
      <alignment horizontal="centerContinuous"/>
    </xf>
    <xf numFmtId="37" fontId="2" fillId="0" borderId="0" xfId="0" applyNumberFormat="1" applyFont="1" applyBorder="1" applyAlignment="1">
      <alignment horizontal="center"/>
    </xf>
    <xf numFmtId="37" fontId="2" fillId="0" borderId="16" xfId="0" applyNumberFormat="1" applyFont="1" applyFill="1" applyBorder="1" applyAlignment="1">
      <alignment horizontal="center" wrapText="1"/>
    </xf>
    <xf numFmtId="37" fontId="2" fillId="0" borderId="17" xfId="0" applyNumberFormat="1" applyFont="1" applyFill="1" applyBorder="1" applyAlignment="1">
      <alignment horizontal="centerContinuous"/>
    </xf>
    <xf numFmtId="37" fontId="2" fillId="0" borderId="18" xfId="0" applyNumberFormat="1" applyFont="1" applyBorder="1" applyAlignment="1">
      <alignment horizontal="centerContinuous"/>
    </xf>
    <xf numFmtId="37" fontId="2" fillId="0" borderId="17" xfId="0" applyNumberFormat="1" applyFont="1" applyBorder="1" applyAlignment="1">
      <alignment horizontal="centerContinuous"/>
    </xf>
    <xf numFmtId="37" fontId="2" fillId="0" borderId="19" xfId="0" applyNumberFormat="1" applyFont="1" applyBorder="1" applyAlignment="1">
      <alignment horizontal="centerContinuous"/>
    </xf>
    <xf numFmtId="37" fontId="16" fillId="0" borderId="18" xfId="0" quotePrefix="1" applyNumberFormat="1" applyFont="1" applyFill="1" applyBorder="1" applyAlignment="1">
      <alignment horizontal="centerContinuous"/>
    </xf>
    <xf numFmtId="37" fontId="16" fillId="0" borderId="19" xfId="0" quotePrefix="1" applyNumberFormat="1" applyFont="1" applyFill="1" applyBorder="1" applyAlignment="1">
      <alignment horizontal="centerContinuous"/>
    </xf>
    <xf numFmtId="37" fontId="2" fillId="0" borderId="0" xfId="0" applyNumberFormat="1" applyFont="1" applyFill="1" applyBorder="1" applyAlignment="1">
      <alignment horizontal="center"/>
    </xf>
    <xf numFmtId="37" fontId="2" fillId="0" borderId="21" xfId="0" applyNumberFormat="1" applyFont="1" applyFill="1" applyBorder="1"/>
    <xf numFmtId="37" fontId="2" fillId="0" borderId="22" xfId="0" applyNumberFormat="1" applyFont="1" applyFill="1" applyBorder="1"/>
    <xf numFmtId="37" fontId="2" fillId="0" borderId="11" xfId="0" applyNumberFormat="1" applyFont="1" applyFill="1" applyBorder="1" applyAlignment="1">
      <alignment horizontal="centerContinuous"/>
    </xf>
    <xf numFmtId="37" fontId="16" fillId="0" borderId="16" xfId="0" quotePrefix="1" applyNumberFormat="1" applyFont="1" applyFill="1" applyBorder="1" applyAlignment="1">
      <alignment horizontal="centerContinuous"/>
    </xf>
    <xf numFmtId="37" fontId="2" fillId="0" borderId="18" xfId="0" applyNumberFormat="1" applyFont="1" applyBorder="1" applyAlignment="1">
      <alignment horizontal="center"/>
    </xf>
    <xf numFmtId="3" fontId="2" fillId="0" borderId="4" xfId="1" applyNumberFormat="1" applyFont="1" applyFill="1" applyBorder="1" applyAlignment="1"/>
    <xf numFmtId="165" fontId="2" fillId="0" borderId="24" xfId="1" applyNumberFormat="1" applyFont="1" applyFill="1" applyBorder="1" applyAlignment="1"/>
    <xf numFmtId="165" fontId="2" fillId="0" borderId="4" xfId="1" applyNumberFormat="1" applyFont="1" applyFill="1" applyBorder="1" applyAlignment="1"/>
    <xf numFmtId="3" fontId="2" fillId="0" borderId="0" xfId="1" applyNumberFormat="1" applyFont="1" applyFill="1" applyAlignment="1"/>
    <xf numFmtId="165" fontId="2" fillId="0" borderId="22" xfId="1" applyNumberFormat="1" applyFont="1" applyFill="1" applyBorder="1" applyAlignment="1"/>
    <xf numFmtId="165" fontId="2" fillId="0" borderId="0" xfId="1" applyNumberFormat="1" applyFont="1" applyFill="1" applyAlignment="1"/>
    <xf numFmtId="165" fontId="2" fillId="0" borderId="0" xfId="1" applyNumberFormat="1" applyFont="1" applyFill="1" applyBorder="1" applyAlignment="1"/>
    <xf numFmtId="3" fontId="2" fillId="4" borderId="0" xfId="1" applyNumberFormat="1" applyFont="1" applyFill="1" applyAlignment="1"/>
    <xf numFmtId="165" fontId="2" fillId="4" borderId="22" xfId="1" applyNumberFormat="1" applyFont="1" applyFill="1" applyBorder="1" applyAlignment="1"/>
    <xf numFmtId="165" fontId="2" fillId="4" borderId="0" xfId="1" applyNumberFormat="1" applyFont="1" applyFill="1" applyAlignment="1"/>
    <xf numFmtId="165" fontId="2" fillId="4" borderId="0" xfId="1" applyNumberFormat="1" applyFont="1" applyFill="1" applyBorder="1" applyAlignment="1"/>
    <xf numFmtId="3" fontId="2" fillId="0" borderId="0" xfId="1" applyNumberFormat="1" applyFont="1" applyAlignment="1"/>
    <xf numFmtId="165" fontId="2" fillId="0" borderId="22" xfId="1" applyNumberFormat="1" applyFont="1" applyBorder="1" applyAlignment="1"/>
    <xf numFmtId="165" fontId="2" fillId="0" borderId="0" xfId="1" applyNumberFormat="1" applyFont="1" applyAlignment="1"/>
    <xf numFmtId="165" fontId="2" fillId="0" borderId="0" xfId="1" applyNumberFormat="1" applyFont="1" applyBorder="1" applyAlignment="1"/>
    <xf numFmtId="3" fontId="2" fillId="0" borderId="0" xfId="1" applyNumberFormat="1" applyFont="1" applyBorder="1" applyAlignment="1"/>
    <xf numFmtId="3" fontId="2" fillId="0" borderId="4" xfId="1" applyNumberFormat="1" applyFont="1" applyBorder="1" applyAlignment="1"/>
    <xf numFmtId="3" fontId="2" fillId="4" borderId="4" xfId="1" applyNumberFormat="1" applyFont="1" applyFill="1" applyBorder="1" applyAlignment="1"/>
    <xf numFmtId="165" fontId="2" fillId="4" borderId="25" xfId="1" applyNumberFormat="1" applyFont="1" applyFill="1" applyBorder="1" applyAlignment="1"/>
    <xf numFmtId="165" fontId="2" fillId="4" borderId="4" xfId="1" applyNumberFormat="1" applyFont="1" applyFill="1" applyBorder="1" applyAlignment="1"/>
    <xf numFmtId="3" fontId="2" fillId="0" borderId="3" xfId="1" applyNumberFormat="1" applyFont="1" applyFill="1" applyBorder="1" applyAlignment="1"/>
    <xf numFmtId="165" fontId="2" fillId="0" borderId="25" xfId="1" applyNumberFormat="1" applyFont="1" applyFill="1" applyBorder="1" applyAlignment="1"/>
    <xf numFmtId="3" fontId="2" fillId="4" borderId="2" xfId="1" applyNumberFormat="1" applyFont="1" applyFill="1" applyBorder="1" applyAlignment="1"/>
    <xf numFmtId="37" fontId="2" fillId="0" borderId="0" xfId="0" applyNumberFormat="1" applyFont="1" applyBorder="1" applyAlignment="1">
      <alignment horizontal="right"/>
    </xf>
    <xf numFmtId="3" fontId="2" fillId="5" borderId="0" xfId="2" applyNumberFormat="1" applyFont="1" applyFill="1" applyBorder="1" applyAlignment="1"/>
    <xf numFmtId="3" fontId="2" fillId="5" borderId="4" xfId="2" applyNumberFormat="1" applyFont="1" applyFill="1" applyBorder="1" applyAlignment="1"/>
    <xf numFmtId="3" fontId="2" fillId="5" borderId="2" xfId="2" applyNumberFormat="1" applyFont="1" applyFill="1" applyBorder="1" applyAlignment="1"/>
    <xf numFmtId="165" fontId="4" fillId="5" borderId="2" xfId="1" applyNumberFormat="1" applyFont="1" applyFill="1" applyBorder="1" applyAlignment="1"/>
    <xf numFmtId="165" fontId="4" fillId="5" borderId="3" xfId="2" applyNumberFormat="1" applyFont="1" applyFill="1" applyBorder="1" applyAlignment="1"/>
    <xf numFmtId="165" fontId="4" fillId="5" borderId="0" xfId="1" applyNumberFormat="1" applyFont="1" applyFill="1" applyBorder="1" applyAlignment="1" applyProtection="1"/>
    <xf numFmtId="3" fontId="2" fillId="5" borderId="2" xfId="1" applyNumberFormat="1" applyFont="1" applyFill="1" applyBorder="1" applyAlignment="1"/>
    <xf numFmtId="3" fontId="2" fillId="5" borderId="3" xfId="2" applyNumberFormat="1" applyFont="1" applyFill="1" applyBorder="1" applyAlignment="1"/>
    <xf numFmtId="164" fontId="2" fillId="5" borderId="0" xfId="1" applyNumberFormat="1" applyFont="1" applyFill="1" applyBorder="1" applyAlignment="1" applyProtection="1"/>
    <xf numFmtId="0" fontId="2" fillId="0" borderId="0" xfId="0" applyFont="1"/>
    <xf numFmtId="165" fontId="4" fillId="5" borderId="0" xfId="2" applyNumberFormat="1" applyFont="1" applyFill="1" applyBorder="1" applyAlignment="1"/>
    <xf numFmtId="165" fontId="4" fillId="5" borderId="4" xfId="2" applyNumberFormat="1" applyFont="1" applyFill="1" applyBorder="1" applyAlignment="1"/>
    <xf numFmtId="165" fontId="4" fillId="5" borderId="2" xfId="2" applyNumberFormat="1" applyFont="1" applyFill="1" applyBorder="1" applyAlignment="1"/>
    <xf numFmtId="0" fontId="0" fillId="0" borderId="0" xfId="0" applyBorder="1"/>
    <xf numFmtId="37" fontId="1" fillId="5" borderId="0" xfId="0" applyNumberFormat="1" applyFont="1" applyFill="1" applyBorder="1" applyAlignment="1">
      <alignment horizontal="right"/>
    </xf>
    <xf numFmtId="167" fontId="2" fillId="0" borderId="22" xfId="1" applyNumberFormat="1" applyFont="1" applyFill="1" applyBorder="1" applyAlignment="1"/>
    <xf numFmtId="165" fontId="2" fillId="0" borderId="22" xfId="1" applyNumberFormat="1" applyFont="1" applyFill="1" applyBorder="1" applyAlignment="1">
      <alignment horizontal="right"/>
    </xf>
    <xf numFmtId="37" fontId="2" fillId="0" borderId="0" xfId="0" applyNumberFormat="1" applyFont="1" applyBorder="1" applyAlignment="1">
      <alignment vertical="center"/>
    </xf>
    <xf numFmtId="37" fontId="2" fillId="0" borderId="0" xfId="0" applyNumberFormat="1" applyFont="1" applyBorder="1" applyAlignment="1">
      <alignment horizontal="right" vertical="center"/>
    </xf>
    <xf numFmtId="0" fontId="0" fillId="0" borderId="0" xfId="0" applyAlignment="1">
      <alignment vertical="center"/>
    </xf>
    <xf numFmtId="37" fontId="2" fillId="0" borderId="0" xfId="0" applyNumberFormat="1" applyFont="1" applyFill="1" applyBorder="1" applyAlignment="1" applyProtection="1">
      <alignment vertical="top"/>
    </xf>
    <xf numFmtId="166" fontId="2" fillId="0" borderId="0" xfId="0" applyNumberFormat="1" applyFont="1" applyFill="1" applyBorder="1" applyAlignment="1" applyProtection="1">
      <alignment horizontal="right" vertical="top"/>
    </xf>
    <xf numFmtId="37" fontId="2" fillId="0" borderId="0" xfId="0" applyNumberFormat="1" applyFont="1" applyFill="1" applyBorder="1" applyAlignment="1">
      <alignment horizontal="right" vertical="top"/>
    </xf>
    <xf numFmtId="37" fontId="2" fillId="0" borderId="0" xfId="0" applyNumberFormat="1" applyFont="1" applyFill="1" applyBorder="1" applyAlignment="1" applyProtection="1">
      <alignment horizontal="right" vertical="top"/>
    </xf>
    <xf numFmtId="0" fontId="0" fillId="0" borderId="0" xfId="0" applyAlignment="1">
      <alignment vertical="top"/>
    </xf>
    <xf numFmtId="0" fontId="0" fillId="0" borderId="0" xfId="0" applyAlignment="1"/>
    <xf numFmtId="0" fontId="0" fillId="0" borderId="0" xfId="0" applyAlignment="1">
      <alignment horizontal="left" vertical="top"/>
    </xf>
    <xf numFmtId="37" fontId="1" fillId="6" borderId="2" xfId="0" applyNumberFormat="1" applyFont="1" applyFill="1" applyBorder="1" applyAlignment="1">
      <alignment horizontal="right"/>
    </xf>
    <xf numFmtId="37" fontId="1" fillId="6" borderId="3" xfId="0" applyNumberFormat="1" applyFont="1" applyFill="1" applyBorder="1" applyAlignment="1">
      <alignment horizontal="right"/>
    </xf>
    <xf numFmtId="37" fontId="1" fillId="6" borderId="11" xfId="0" applyNumberFormat="1" applyFont="1" applyFill="1" applyBorder="1" applyAlignment="1" applyProtection="1">
      <alignment horizontal="right"/>
    </xf>
    <xf numFmtId="37" fontId="1" fillId="6" borderId="3" xfId="0" applyNumberFormat="1" applyFont="1" applyFill="1" applyBorder="1" applyAlignment="1" applyProtection="1">
      <alignment horizontal="right"/>
    </xf>
    <xf numFmtId="3" fontId="0" fillId="0" borderId="0" xfId="0" applyNumberFormat="1"/>
    <xf numFmtId="37" fontId="2" fillId="0" borderId="0" xfId="0" applyNumberFormat="1" applyFont="1" applyFill="1" applyBorder="1" applyAlignment="1" applyProtection="1">
      <alignment horizontal="left"/>
    </xf>
    <xf numFmtId="37" fontId="1" fillId="7" borderId="0" xfId="0" applyNumberFormat="1" applyFont="1" applyFill="1" applyBorder="1" applyAlignment="1">
      <alignment horizontal="right"/>
    </xf>
    <xf numFmtId="0" fontId="0" fillId="0" borderId="4" xfId="0" applyBorder="1"/>
    <xf numFmtId="37" fontId="1" fillId="7" borderId="0" xfId="0" applyNumberFormat="1" applyFont="1" applyFill="1" applyBorder="1" applyAlignment="1" applyProtection="1">
      <alignment horizontal="right"/>
    </xf>
    <xf numFmtId="37" fontId="1" fillId="7" borderId="11" xfId="0" applyNumberFormat="1" applyFont="1" applyFill="1" applyBorder="1" applyAlignment="1" applyProtection="1">
      <alignment horizontal="right"/>
    </xf>
    <xf numFmtId="37" fontId="1" fillId="7" borderId="3" xfId="0" applyNumberFormat="1" applyFont="1" applyFill="1" applyBorder="1" applyAlignment="1" applyProtection="1">
      <alignment horizontal="right"/>
    </xf>
    <xf numFmtId="3" fontId="4" fillId="0" borderId="0" xfId="0" applyNumberFormat="1" applyFont="1"/>
    <xf numFmtId="3" fontId="4" fillId="0" borderId="4" xfId="0" applyNumberFormat="1" applyFont="1" applyBorder="1"/>
    <xf numFmtId="165" fontId="2" fillId="0" borderId="26" xfId="1" applyNumberFormat="1" applyFont="1" applyFill="1" applyBorder="1" applyAlignment="1"/>
    <xf numFmtId="165" fontId="2" fillId="4" borderId="26" xfId="1" applyNumberFormat="1" applyFont="1" applyFill="1" applyBorder="1" applyAlignment="1"/>
    <xf numFmtId="37" fontId="2" fillId="0" borderId="18" xfId="0" applyNumberFormat="1" applyFont="1" applyFill="1" applyBorder="1" applyAlignment="1">
      <alignment horizontal="center"/>
    </xf>
    <xf numFmtId="37" fontId="2" fillId="0" borderId="17" xfId="0" applyNumberFormat="1" applyFont="1" applyFill="1" applyBorder="1" applyAlignment="1">
      <alignment horizontal="center"/>
    </xf>
    <xf numFmtId="37" fontId="16" fillId="0" borderId="23" xfId="0" applyNumberFormat="1" applyFont="1" applyFill="1" applyBorder="1" applyAlignment="1">
      <alignment horizontal="center"/>
    </xf>
    <xf numFmtId="37" fontId="2" fillId="0" borderId="20" xfId="0" applyNumberFormat="1" applyFont="1" applyFill="1" applyBorder="1" applyAlignment="1">
      <alignment horizontal="center"/>
    </xf>
    <xf numFmtId="3" fontId="2" fillId="0" borderId="0" xfId="0" applyNumberFormat="1" applyFont="1"/>
    <xf numFmtId="3" fontId="2" fillId="0" borderId="4" xfId="0" applyNumberFormat="1" applyFont="1" applyBorder="1"/>
    <xf numFmtId="0" fontId="0" fillId="0" borderId="2" xfId="0" applyBorder="1"/>
    <xf numFmtId="165" fontId="2" fillId="4" borderId="22" xfId="1" applyNumberFormat="1" applyFont="1" applyFill="1" applyBorder="1" applyAlignment="1">
      <alignment horizontal="right"/>
    </xf>
    <xf numFmtId="165" fontId="2" fillId="4" borderId="25" xfId="1" applyNumberFormat="1" applyFont="1" applyFill="1" applyBorder="1" applyAlignment="1">
      <alignment horizontal="right"/>
    </xf>
    <xf numFmtId="165" fontId="2" fillId="0" borderId="22" xfId="1" applyNumberFormat="1" applyFont="1" applyBorder="1" applyAlignment="1">
      <alignment horizontal="right"/>
    </xf>
    <xf numFmtId="165" fontId="2" fillId="0" borderId="25" xfId="1" applyNumberFormat="1" applyFont="1" applyFill="1" applyBorder="1" applyAlignment="1">
      <alignment horizontal="right"/>
    </xf>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16" fillId="0" borderId="0" xfId="0" applyNumberFormat="1" applyFont="1" applyBorder="1" applyAlignment="1" applyProtection="1">
      <alignment horizontal="left" vertical="top" wrapText="1"/>
    </xf>
    <xf numFmtId="37" fontId="17" fillId="0" borderId="0" xfId="0" applyNumberFormat="1" applyFont="1" applyBorder="1" applyAlignment="1" applyProtection="1">
      <alignment horizontal="left" vertical="top" wrapText="1"/>
    </xf>
    <xf numFmtId="37" fontId="2" fillId="0" borderId="0" xfId="0" applyNumberFormat="1" applyFont="1" applyBorder="1" applyAlignment="1" applyProtection="1">
      <alignment horizontal="left" vertical="top" wrapText="1"/>
    </xf>
    <xf numFmtId="0" fontId="0" fillId="0" borderId="0" xfId="0" applyFill="1" applyAlignment="1">
      <alignment vertical="top" wrapText="1"/>
    </xf>
    <xf numFmtId="37" fontId="2" fillId="0" borderId="0" xfId="0" applyNumberFormat="1" applyFont="1" applyBorder="1" applyAlignment="1">
      <alignment wrapText="1"/>
    </xf>
    <xf numFmtId="0" fontId="0" fillId="0" borderId="0" xfId="0" applyAlignment="1">
      <alignment wrapText="1"/>
    </xf>
    <xf numFmtId="37" fontId="16" fillId="0" borderId="0" xfId="0" applyNumberFormat="1" applyFont="1" applyFill="1" applyBorder="1" applyAlignment="1" applyProtection="1">
      <alignment vertical="top" wrapText="1"/>
    </xf>
  </cellXfs>
  <cellStyles count="5">
    <cellStyle name="Comma 2" xfId="2"/>
    <cellStyle name="Hyperlink" xfId="3" builtinId="8"/>
    <cellStyle name="Normal" xfId="0" builtinId="0"/>
    <cellStyle name="Normal 2" xfId="1"/>
    <cellStyle name="Normal 2 2" xfId="4"/>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Master's Degrees Awarded by Public and Private Colleges and Universities </a:t>
            </a:r>
          </a:p>
        </c:rich>
      </c:tx>
      <c:layout/>
      <c:overlay val="0"/>
    </c:title>
    <c:autoTitleDeleted val="0"/>
    <c:plotArea>
      <c:layout/>
      <c:barChart>
        <c:barDir val="col"/>
        <c:grouping val="clustered"/>
        <c:varyColors val="0"/>
        <c:ser>
          <c:idx val="0"/>
          <c:order val="0"/>
          <c:tx>
            <c:strRef>
              <c:f>'Table 56'!$A$8</c:f>
              <c:strCache>
                <c:ptCount val="1"/>
                <c:pt idx="0">
                  <c:v>50 states and D.C.</c:v>
                </c:pt>
              </c:strCache>
            </c:strRef>
          </c:tx>
          <c:spPr>
            <a:solidFill>
              <a:srgbClr val="003399"/>
            </a:solidFill>
            <a:ln>
              <a:solidFill>
                <a:prstClr val="black"/>
              </a:solidFill>
            </a:ln>
          </c:spPr>
          <c:invertIfNegative val="0"/>
          <c:cat>
            <c:multiLvlStrRef>
              <c:f>'Table 56'!$E$5:$P$7</c:f>
              <c:multiLvlStrCache>
                <c:ptCount val="12"/>
                <c:lvl>
                  <c:pt idx="0">
                    <c:v>2007-08</c:v>
                  </c:pt>
                  <c:pt idx="1">
                    <c:v>2012-13</c:v>
                  </c:pt>
                  <c:pt idx="2">
                    <c:v>2007-08</c:v>
                  </c:pt>
                  <c:pt idx="3">
                    <c:v>2012-13</c:v>
                  </c:pt>
                  <c:pt idx="4">
                    <c:v>2007-08</c:v>
                  </c:pt>
                  <c:pt idx="5">
                    <c:v>2012-13</c:v>
                  </c:pt>
                  <c:pt idx="6">
                    <c:v>2007-08</c:v>
                  </c:pt>
                  <c:pt idx="7">
                    <c:v>PBIs or HBIs3</c:v>
                  </c:pt>
                  <c:pt idx="8">
                    <c:v>2012-13</c:v>
                  </c:pt>
                  <c:pt idx="9">
                    <c:v>PBIs or HBIs3</c:v>
                  </c:pt>
                  <c:pt idx="10">
                    <c:v>2007-08</c:v>
                  </c:pt>
                  <c:pt idx="11">
                    <c:v>2012-13</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56'!$E$8:$P$8</c:f>
              <c:numCache>
                <c:formatCode>#,##0.0</c:formatCode>
                <c:ptCount val="12"/>
                <c:pt idx="0">
                  <c:v>47.89023574506264</c:v>
                </c:pt>
                <c:pt idx="1">
                  <c:v>47.438690668500215</c:v>
                </c:pt>
                <c:pt idx="2">
                  <c:v>60.492786523562536</c:v>
                </c:pt>
                <c:pt idx="3">
                  <c:v>59.713673478968019</c:v>
                </c:pt>
                <c:pt idx="4">
                  <c:v>11.618510305764556</c:v>
                </c:pt>
                <c:pt idx="5">
                  <c:v>13.004951137546634</c:v>
                </c:pt>
                <c:pt idx="6">
                  <c:v>11.760466192447714</c:v>
                </c:pt>
                <c:pt idx="7">
                  <c:v>15.746221881746639</c:v>
                </c:pt>
                <c:pt idx="8">
                  <c:v>12.822467956509346</c:v>
                </c:pt>
                <c:pt idx="9">
                  <c:v>14.941556758821042</c:v>
                </c:pt>
                <c:pt idx="10">
                  <c:v>6.6503269981285138</c:v>
                </c:pt>
                <c:pt idx="11">
                  <c:v>8.1397199375307157</c:v>
                </c:pt>
              </c:numCache>
            </c:numRef>
          </c:val>
        </c:ser>
        <c:ser>
          <c:idx val="1"/>
          <c:order val="1"/>
          <c:tx>
            <c:strRef>
              <c:f>'Table 56'!$A$9</c:f>
              <c:strCache>
                <c:ptCount val="1"/>
                <c:pt idx="0">
                  <c:v>SREB states</c:v>
                </c:pt>
              </c:strCache>
            </c:strRef>
          </c:tx>
          <c:spPr>
            <a:solidFill>
              <a:srgbClr val="990033"/>
            </a:solidFill>
            <a:ln>
              <a:solidFill>
                <a:prstClr val="black"/>
              </a:solidFill>
            </a:ln>
          </c:spPr>
          <c:invertIfNegative val="0"/>
          <c:cat>
            <c:multiLvlStrRef>
              <c:f>'Table 56'!$E$5:$P$7</c:f>
              <c:multiLvlStrCache>
                <c:ptCount val="12"/>
                <c:lvl>
                  <c:pt idx="0">
                    <c:v>2007-08</c:v>
                  </c:pt>
                  <c:pt idx="1">
                    <c:v>2012-13</c:v>
                  </c:pt>
                  <c:pt idx="2">
                    <c:v>2007-08</c:v>
                  </c:pt>
                  <c:pt idx="3">
                    <c:v>2012-13</c:v>
                  </c:pt>
                  <c:pt idx="4">
                    <c:v>2007-08</c:v>
                  </c:pt>
                  <c:pt idx="5">
                    <c:v>2012-13</c:v>
                  </c:pt>
                  <c:pt idx="6">
                    <c:v>2007-08</c:v>
                  </c:pt>
                  <c:pt idx="7">
                    <c:v>PBIs or HBIs3</c:v>
                  </c:pt>
                  <c:pt idx="8">
                    <c:v>2012-13</c:v>
                  </c:pt>
                  <c:pt idx="9">
                    <c:v>PBIs or HBIs3</c:v>
                  </c:pt>
                  <c:pt idx="10">
                    <c:v>2007-08</c:v>
                  </c:pt>
                  <c:pt idx="11">
                    <c:v>2012-13</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56'!$E$9:$P$9</c:f>
              <c:numCache>
                <c:formatCode>#,##0.0</c:formatCode>
                <c:ptCount val="12"/>
                <c:pt idx="0">
                  <c:v>68.166606393543319</c:v>
                </c:pt>
                <c:pt idx="1">
                  <c:v>63.979951172267278</c:v>
                </c:pt>
                <c:pt idx="2">
                  <c:v>60.242699776702423</c:v>
                </c:pt>
                <c:pt idx="3">
                  <c:v>59.658652193900551</c:v>
                </c:pt>
                <c:pt idx="4">
                  <c:v>10.290057230765697</c:v>
                </c:pt>
                <c:pt idx="5">
                  <c:v>10.495284597840691</c:v>
                </c:pt>
                <c:pt idx="6">
                  <c:v>16.578376090547902</c:v>
                </c:pt>
                <c:pt idx="7">
                  <c:v>26.765493102738315</c:v>
                </c:pt>
                <c:pt idx="8">
                  <c:v>18.100875977748888</c:v>
                </c:pt>
                <c:pt idx="9">
                  <c:v>27.44694003709046</c:v>
                </c:pt>
                <c:pt idx="10">
                  <c:v>7.2109280067719785</c:v>
                </c:pt>
                <c:pt idx="11">
                  <c:v>8.7560476565996712</c:v>
                </c:pt>
              </c:numCache>
            </c:numRef>
          </c:val>
        </c:ser>
        <c:ser>
          <c:idx val="2"/>
          <c:order val="2"/>
          <c:tx>
            <c:v>State</c:v>
          </c:tx>
          <c:spPr>
            <a:solidFill>
              <a:srgbClr val="006600"/>
            </a:solidFill>
            <a:ln>
              <a:solidFill>
                <a:prstClr val="black"/>
              </a:solidFill>
            </a:ln>
          </c:spPr>
          <c:invertIfNegative val="0"/>
          <c:cat>
            <c:multiLvlStrRef>
              <c:f>'Table 56'!$E$5:$P$7</c:f>
              <c:multiLvlStrCache>
                <c:ptCount val="12"/>
                <c:lvl>
                  <c:pt idx="0">
                    <c:v>2007-08</c:v>
                  </c:pt>
                  <c:pt idx="1">
                    <c:v>2012-13</c:v>
                  </c:pt>
                  <c:pt idx="2">
                    <c:v>2007-08</c:v>
                  </c:pt>
                  <c:pt idx="3">
                    <c:v>2012-13</c:v>
                  </c:pt>
                  <c:pt idx="4">
                    <c:v>2007-08</c:v>
                  </c:pt>
                  <c:pt idx="5">
                    <c:v>2012-13</c:v>
                  </c:pt>
                  <c:pt idx="6">
                    <c:v>2007-08</c:v>
                  </c:pt>
                  <c:pt idx="7">
                    <c:v>PBIs or HBIs3</c:v>
                  </c:pt>
                  <c:pt idx="8">
                    <c:v>2012-13</c:v>
                  </c:pt>
                  <c:pt idx="9">
                    <c:v>PBIs or HBIs3</c:v>
                  </c:pt>
                  <c:pt idx="10">
                    <c:v>2007-08</c:v>
                  </c:pt>
                  <c:pt idx="11">
                    <c:v>2012-13</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56'!$E$11:$P$11</c:f>
              <c:numCache>
                <c:formatCode>#,##0.0</c:formatCode>
                <c:ptCount val="12"/>
                <c:pt idx="0">
                  <c:v>87.456445993031366</c:v>
                </c:pt>
                <c:pt idx="1">
                  <c:v>77.523564695801198</c:v>
                </c:pt>
                <c:pt idx="2">
                  <c:v>62.294001318391565</c:v>
                </c:pt>
                <c:pt idx="3">
                  <c:v>60.377035132819188</c:v>
                </c:pt>
                <c:pt idx="4">
                  <c:v>6.9215557020435066</c:v>
                </c:pt>
                <c:pt idx="5">
                  <c:v>5.6041131105398456</c:v>
                </c:pt>
                <c:pt idx="6">
                  <c:v>27.658891504386901</c:v>
                </c:pt>
                <c:pt idx="7">
                  <c:v>16.208897485493228</c:v>
                </c:pt>
                <c:pt idx="8">
                  <c:v>24.940093932713506</c:v>
                </c:pt>
                <c:pt idx="9">
                  <c:v>28.324365872405842</c:v>
                </c:pt>
                <c:pt idx="10">
                  <c:v>1.6905628076182324</c:v>
                </c:pt>
                <c:pt idx="11">
                  <c:v>2.3483178376305953</c:v>
                </c:pt>
              </c:numCache>
            </c:numRef>
          </c:val>
        </c:ser>
        <c:dLbls>
          <c:showLegendKey val="0"/>
          <c:showVal val="1"/>
          <c:showCatName val="0"/>
          <c:showSerName val="0"/>
          <c:showPercent val="0"/>
          <c:showBubbleSize val="0"/>
        </c:dLbls>
        <c:gapWidth val="150"/>
        <c:axId val="106465152"/>
        <c:axId val="106466688"/>
      </c:barChart>
      <c:catAx>
        <c:axId val="106465152"/>
        <c:scaling>
          <c:orientation val="minMax"/>
        </c:scaling>
        <c:delete val="0"/>
        <c:axPos val="b"/>
        <c:majorGridlines/>
        <c:majorTickMark val="out"/>
        <c:minorTickMark val="none"/>
        <c:tickLblPos val="nextTo"/>
        <c:crossAx val="106466688"/>
        <c:crosses val="autoZero"/>
        <c:auto val="1"/>
        <c:lblAlgn val="ctr"/>
        <c:lblOffset val="100"/>
        <c:noMultiLvlLbl val="0"/>
      </c:catAx>
      <c:valAx>
        <c:axId val="106466688"/>
        <c:scaling>
          <c:orientation val="minMax"/>
        </c:scaling>
        <c:delete val="1"/>
        <c:axPos val="l"/>
        <c:numFmt formatCode="#,##0.0" sourceLinked="1"/>
        <c:majorTickMark val="out"/>
        <c:minorTickMark val="none"/>
        <c:tickLblPos val="none"/>
        <c:crossAx val="106465152"/>
        <c:crosses val="autoZero"/>
        <c:crossBetween val="between"/>
      </c:valAx>
    </c:plotArea>
    <c:legend>
      <c:legendPos val="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Master's Degrees Awarded by Public and Private Colleges and Universities </a:t>
            </a:r>
          </a:p>
        </c:rich>
      </c:tx>
      <c:layout/>
      <c:overlay val="0"/>
    </c:title>
    <c:autoTitleDeleted val="0"/>
    <c:plotArea>
      <c:layout>
        <c:manualLayout>
          <c:layoutTarget val="inner"/>
          <c:xMode val="edge"/>
          <c:yMode val="edge"/>
          <c:x val="2.5000000000000001E-2"/>
          <c:y val="0.17744652855661108"/>
          <c:w val="0.94484968326327634"/>
          <c:h val="0.77162757567386042"/>
        </c:manualLayout>
      </c:layout>
      <c:barChart>
        <c:barDir val="bar"/>
        <c:grouping val="clustered"/>
        <c:varyColors val="0"/>
        <c:ser>
          <c:idx val="0"/>
          <c:order val="0"/>
          <c:tx>
            <c:strRef>
              <c:f>'Table 56'!$A$8</c:f>
              <c:strCache>
                <c:ptCount val="1"/>
                <c:pt idx="0">
                  <c:v>50 states and D.C.</c:v>
                </c:pt>
              </c:strCache>
            </c:strRef>
          </c:tx>
          <c:spPr>
            <a:solidFill>
              <a:srgbClr val="003399"/>
            </a:solidFill>
            <a:ln>
              <a:solidFill>
                <a:prstClr val="black"/>
              </a:solidFill>
            </a:ln>
          </c:spPr>
          <c:invertIfNegative val="0"/>
          <c:val>
            <c:numRef>
              <c:f>'Table 56'!$D$8</c:f>
              <c:numCache>
                <c:formatCode>#,##0.0</c:formatCode>
                <c:ptCount val="1"/>
                <c:pt idx="0">
                  <c:v>15.626032691727451</c:v>
                </c:pt>
              </c:numCache>
            </c:numRef>
          </c:val>
        </c:ser>
        <c:ser>
          <c:idx val="1"/>
          <c:order val="1"/>
          <c:tx>
            <c:strRef>
              <c:f>'Table 56'!$A$9</c:f>
              <c:strCache>
                <c:ptCount val="1"/>
                <c:pt idx="0">
                  <c:v>SREB states</c:v>
                </c:pt>
              </c:strCache>
            </c:strRef>
          </c:tx>
          <c:spPr>
            <a:solidFill>
              <a:srgbClr val="990033"/>
            </a:solidFill>
            <a:ln>
              <a:solidFill>
                <a:prstClr val="black"/>
              </a:solidFill>
            </a:ln>
          </c:spPr>
          <c:invertIfNegative val="0"/>
          <c:val>
            <c:numRef>
              <c:f>'Table 56'!$D$9</c:f>
              <c:numCache>
                <c:formatCode>#,##0.0</c:formatCode>
                <c:ptCount val="1"/>
                <c:pt idx="0">
                  <c:v>28.613086730154357</c:v>
                </c:pt>
              </c:numCache>
            </c:numRef>
          </c:val>
        </c:ser>
        <c:ser>
          <c:idx val="2"/>
          <c:order val="2"/>
          <c:tx>
            <c:v>State</c:v>
          </c:tx>
          <c:spPr>
            <a:solidFill>
              <a:srgbClr val="006600"/>
            </a:solidFill>
            <a:ln>
              <a:solidFill>
                <a:prstClr val="black"/>
              </a:solidFill>
            </a:ln>
          </c:spPr>
          <c:invertIfNegative val="0"/>
          <c:val>
            <c:numRef>
              <c:f>'Table 56'!$D$11</c:f>
              <c:numCache>
                <c:formatCode>#,##0.0</c:formatCode>
                <c:ptCount val="1"/>
                <c:pt idx="0">
                  <c:v>9.8973537997928247</c:v>
                </c:pt>
              </c:numCache>
            </c:numRef>
          </c:val>
        </c:ser>
        <c:dLbls>
          <c:showLegendKey val="0"/>
          <c:showVal val="1"/>
          <c:showCatName val="0"/>
          <c:showSerName val="0"/>
          <c:showPercent val="0"/>
          <c:showBubbleSize val="0"/>
        </c:dLbls>
        <c:gapWidth val="150"/>
        <c:axId val="111041152"/>
        <c:axId val="111059328"/>
      </c:barChart>
      <c:catAx>
        <c:axId val="111041152"/>
        <c:scaling>
          <c:orientation val="maxMin"/>
        </c:scaling>
        <c:delete val="1"/>
        <c:axPos val="l"/>
        <c:majorTickMark val="out"/>
        <c:minorTickMark val="none"/>
        <c:tickLblPos val="none"/>
        <c:crossAx val="111059328"/>
        <c:crosses val="autoZero"/>
        <c:auto val="1"/>
        <c:lblAlgn val="ctr"/>
        <c:lblOffset val="100"/>
        <c:noMultiLvlLbl val="0"/>
      </c:catAx>
      <c:valAx>
        <c:axId val="111059328"/>
        <c:scaling>
          <c:orientation val="minMax"/>
        </c:scaling>
        <c:delete val="1"/>
        <c:axPos val="t"/>
        <c:numFmt formatCode="#,##0.0" sourceLinked="1"/>
        <c:majorTickMark val="out"/>
        <c:minorTickMark val="none"/>
        <c:tickLblPos val="none"/>
        <c:crossAx val="1110411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28574</xdr:rowOff>
    </xdr:from>
    <xdr:to>
      <xdr:col>40</xdr:col>
      <xdr:colOff>590549</xdr:colOff>
      <xdr:row>37</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238124</xdr:colOff>
      <xdr:row>5</xdr:row>
      <xdr:rowOff>95249</xdr:rowOff>
    </xdr:from>
    <xdr:to>
      <xdr:col>37</xdr:col>
      <xdr:colOff>476249</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457200</xdr:colOff>
      <xdr:row>38</xdr:row>
      <xdr:rowOff>133350</xdr:rowOff>
    </xdr:from>
    <xdr:to>
      <xdr:col>27</xdr:col>
      <xdr:colOff>238125</xdr:colOff>
      <xdr:row>50</xdr:row>
      <xdr:rowOff>24340</xdr:rowOff>
    </xdr:to>
    <xdr:sp macro="" textlink="">
      <xdr:nvSpPr>
        <xdr:cNvPr id="5" name="Oval Callout 4"/>
        <xdr:cNvSpPr/>
      </xdr:nvSpPr>
      <xdr:spPr>
        <a:xfrm>
          <a:off x="15801975" y="6524625"/>
          <a:ext cx="1609725" cy="1853140"/>
        </a:xfrm>
        <a:prstGeom prst="wedgeEllipseCallout">
          <a:avLst>
            <a:gd name="adj1" fmla="val -48181"/>
            <a:gd name="adj2" fmla="val -1066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123825</xdr:colOff>
      <xdr:row>36</xdr:row>
      <xdr:rowOff>57150</xdr:rowOff>
    </xdr:from>
    <xdr:to>
      <xdr:col>30</xdr:col>
      <xdr:colOff>514350</xdr:colOff>
      <xdr:row>47</xdr:row>
      <xdr:rowOff>110065</xdr:rowOff>
    </xdr:to>
    <xdr:sp macro="" textlink="">
      <xdr:nvSpPr>
        <xdr:cNvPr id="6" name="Oval Callout 5"/>
        <xdr:cNvSpPr/>
      </xdr:nvSpPr>
      <xdr:spPr>
        <a:xfrm>
          <a:off x="17907000" y="6124575"/>
          <a:ext cx="1609725" cy="1853140"/>
        </a:xfrm>
        <a:prstGeom prst="wedgeEllipseCallout">
          <a:avLst>
            <a:gd name="adj1" fmla="val -28654"/>
            <a:gd name="adj2" fmla="val -2037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1.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1.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nces.ed.go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3.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3.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76"/>
  <sheetViews>
    <sheetView showGridLines="0" tabSelected="1" view="pageBreakPreview" topLeftCell="A50" zoomScaleNormal="90" zoomScaleSheetLayoutView="100" workbookViewId="0">
      <selection activeCell="A72" sqref="A72:P72"/>
    </sheetView>
  </sheetViews>
  <sheetFormatPr defaultRowHeight="12.75"/>
  <cols>
    <col min="2" max="2" width="10.140625" customWidth="1"/>
    <col min="4" max="4" width="10.7109375" customWidth="1"/>
    <col min="12" max="12" width="13.7109375" customWidth="1"/>
    <col min="14" max="14" width="12.7109375" customWidth="1"/>
  </cols>
  <sheetData>
    <row r="1" spans="1:16">
      <c r="A1" s="160" t="s">
        <v>234</v>
      </c>
      <c r="B1" s="82"/>
      <c r="C1" s="82"/>
      <c r="D1" s="82"/>
      <c r="E1" s="83"/>
      <c r="F1" s="82"/>
      <c r="G1" s="83"/>
      <c r="H1" s="83"/>
      <c r="I1" s="83"/>
      <c r="J1" s="83"/>
      <c r="K1" s="83"/>
      <c r="L1" s="83"/>
      <c r="M1" s="83"/>
      <c r="N1" s="83"/>
      <c r="O1" s="83"/>
      <c r="P1" s="83"/>
    </row>
    <row r="2" spans="1:16" ht="14.25">
      <c r="A2" s="29" t="s">
        <v>201</v>
      </c>
      <c r="B2" s="82"/>
      <c r="C2" s="13"/>
      <c r="D2" s="82"/>
      <c r="E2" s="84"/>
      <c r="F2" s="29"/>
      <c r="G2" s="83"/>
      <c r="H2" s="83"/>
      <c r="I2" s="83"/>
      <c r="J2" s="83"/>
      <c r="K2" s="83"/>
      <c r="L2" s="83"/>
      <c r="M2" s="83"/>
      <c r="N2" s="83"/>
      <c r="O2" s="83"/>
      <c r="P2" s="83"/>
    </row>
    <row r="3" spans="1:16">
      <c r="A3" s="85"/>
      <c r="B3" s="85"/>
      <c r="C3" s="82"/>
      <c r="D3" s="82"/>
      <c r="E3" s="85"/>
      <c r="F3" s="85"/>
      <c r="G3" s="83"/>
      <c r="H3" s="83"/>
      <c r="I3" s="83"/>
      <c r="J3" s="83"/>
      <c r="K3" s="83"/>
      <c r="L3" s="83"/>
      <c r="M3" s="83"/>
      <c r="N3" s="83"/>
      <c r="O3" s="83"/>
      <c r="P3" s="83"/>
    </row>
    <row r="4" spans="1:16">
      <c r="A4" s="86"/>
      <c r="B4" s="86"/>
      <c r="C4" s="87" t="s">
        <v>202</v>
      </c>
      <c r="D4" s="88"/>
      <c r="E4" s="87" t="s">
        <v>203</v>
      </c>
      <c r="F4" s="87"/>
      <c r="G4" s="87"/>
      <c r="H4" s="87"/>
      <c r="I4" s="87"/>
      <c r="J4" s="87"/>
      <c r="K4" s="87"/>
      <c r="L4" s="87"/>
      <c r="M4" s="89"/>
      <c r="N4" s="87"/>
      <c r="O4" s="87"/>
      <c r="P4" s="87"/>
    </row>
    <row r="5" spans="1:16" ht="25.5">
      <c r="A5" s="90"/>
      <c r="B5" s="90"/>
      <c r="C5" s="90"/>
      <c r="D5" s="91" t="s">
        <v>204</v>
      </c>
      <c r="E5" s="92" t="s">
        <v>205</v>
      </c>
      <c r="F5" s="93"/>
      <c r="G5" s="94" t="s">
        <v>206</v>
      </c>
      <c r="H5" s="93"/>
      <c r="I5" s="94" t="s">
        <v>207</v>
      </c>
      <c r="J5" s="95"/>
      <c r="K5" s="93" t="s">
        <v>208</v>
      </c>
      <c r="L5" s="96"/>
      <c r="M5" s="93"/>
      <c r="N5" s="97"/>
      <c r="O5" s="93" t="s">
        <v>209</v>
      </c>
      <c r="P5" s="93"/>
    </row>
    <row r="6" spans="1:16">
      <c r="A6" s="90"/>
      <c r="B6" s="90"/>
      <c r="C6" s="98"/>
      <c r="D6" s="173" t="s">
        <v>236</v>
      </c>
      <c r="E6" s="13"/>
      <c r="F6" s="13"/>
      <c r="G6" s="99"/>
      <c r="H6" s="13"/>
      <c r="I6" s="99"/>
      <c r="J6" s="100"/>
      <c r="K6" s="101"/>
      <c r="L6" s="102" t="s">
        <v>210</v>
      </c>
      <c r="M6" s="101" t="s">
        <v>211</v>
      </c>
      <c r="N6" s="102" t="s">
        <v>210</v>
      </c>
      <c r="O6" s="13"/>
      <c r="P6" s="13"/>
    </row>
    <row r="7" spans="1:16" ht="14.25">
      <c r="A7" s="103"/>
      <c r="B7" s="103"/>
      <c r="C7" s="170" t="s">
        <v>235</v>
      </c>
      <c r="D7" s="170" t="s">
        <v>235</v>
      </c>
      <c r="E7" s="171" t="s">
        <v>40</v>
      </c>
      <c r="F7" s="170" t="s">
        <v>235</v>
      </c>
      <c r="G7" s="171" t="s">
        <v>40</v>
      </c>
      <c r="H7" s="170" t="s">
        <v>235</v>
      </c>
      <c r="I7" s="171" t="s">
        <v>40</v>
      </c>
      <c r="J7" s="170" t="s">
        <v>235</v>
      </c>
      <c r="K7" s="171" t="s">
        <v>40</v>
      </c>
      <c r="L7" s="172" t="s">
        <v>213</v>
      </c>
      <c r="M7" s="170" t="s">
        <v>235</v>
      </c>
      <c r="N7" s="172" t="s">
        <v>213</v>
      </c>
      <c r="O7" s="171" t="s">
        <v>40</v>
      </c>
      <c r="P7" s="170" t="s">
        <v>235</v>
      </c>
    </row>
    <row r="8" spans="1:16">
      <c r="A8" s="104" t="s">
        <v>42</v>
      </c>
      <c r="B8" s="104"/>
      <c r="C8" s="104">
        <f>'Total Master''s'!AT4</f>
        <v>724278</v>
      </c>
      <c r="D8" s="105">
        <f>+(('Total Master''s'!AT4-'Total Master''s'!AO4)/'Total Master''s'!AO4)*100</f>
        <v>15.626032691727451</v>
      </c>
      <c r="E8" s="106">
        <f>+(Public!R4/'Total Master''s'!AO4)*100</f>
        <v>47.89023574506264</v>
      </c>
      <c r="F8" s="105">
        <f>+(Public!W4/'Total Master''s'!AT4)*100</f>
        <v>47.438690668500215</v>
      </c>
      <c r="G8" s="106">
        <f>+(Gender!CF4/'Total Master''s'!AO4)*100</f>
        <v>60.492786523562536</v>
      </c>
      <c r="H8" s="105">
        <f>+(Gender!CK4/'Total Master''s'!AT4)*100</f>
        <v>59.713673478968019</v>
      </c>
      <c r="I8" s="106">
        <f>+('Hispanic &amp; Foreign'!AN4/'Total Master''s'!AO4)*100</f>
        <v>11.618510305764556</v>
      </c>
      <c r="J8" s="105">
        <f>+('Hispanic &amp; Foreign'!AS4/'Total Master''s'!AT4)*100</f>
        <v>13.004951137546634</v>
      </c>
      <c r="K8" s="106">
        <f>+(Black!W4/'All Races'!W4)*100</f>
        <v>11.760466192447714</v>
      </c>
      <c r="L8" s="105">
        <f>IF(Black!BN4&gt;0,((Black!BN4/Black!W4)*100), "NA")</f>
        <v>15.746221881746639</v>
      </c>
      <c r="M8" s="106">
        <f>+(Black!AB4/'All Races'!AB4)*100</f>
        <v>12.822467956509346</v>
      </c>
      <c r="N8" s="105">
        <f>IF(Black!BS4&gt;0,((Black!BS4/Black!AB4)*100), "NA")</f>
        <v>14.941556758821042</v>
      </c>
      <c r="O8" s="106">
        <f>('Hispanic &amp; Foreign'!R4/'All Races'!W4)*100</f>
        <v>6.6503269981285138</v>
      </c>
      <c r="P8" s="106">
        <f>('Hispanic &amp; Foreign'!W4/'All Races'!AB4)*100</f>
        <v>8.1397199375307157</v>
      </c>
    </row>
    <row r="9" spans="1:16">
      <c r="A9" s="107" t="s">
        <v>43</v>
      </c>
      <c r="B9" s="107"/>
      <c r="C9" s="107">
        <f>'Total Master''s'!AT5</f>
        <v>224053</v>
      </c>
      <c r="D9" s="108">
        <f>+(('Total Master''s'!AT5-'Total Master''s'!AO5)/'Total Master''s'!AO5)*100</f>
        <v>28.613086730154357</v>
      </c>
      <c r="E9" s="109">
        <f>+(Public!R5/'Total Master''s'!AO5)*100</f>
        <v>68.166606393543319</v>
      </c>
      <c r="F9" s="108">
        <f>+(Public!W5/'Total Master''s'!AT5)*100</f>
        <v>63.979951172267278</v>
      </c>
      <c r="G9" s="109">
        <f>+(Gender!CF5/'Total Master''s'!AO5)*100</f>
        <v>60.242699776702423</v>
      </c>
      <c r="H9" s="108">
        <f>+(Gender!CK5/'Total Master''s'!AT5)*100</f>
        <v>59.658652193900551</v>
      </c>
      <c r="I9" s="109">
        <f>+('Hispanic &amp; Foreign'!AN5/'Total Master''s'!AO5)*100</f>
        <v>10.290057230765697</v>
      </c>
      <c r="J9" s="108">
        <f>+('Hispanic &amp; Foreign'!AS5/'Total Master''s'!AT5)*100</f>
        <v>10.495284597840691</v>
      </c>
      <c r="K9" s="109">
        <f>+(Black!W5/'All Races'!W5)*100</f>
        <v>16.578376090547902</v>
      </c>
      <c r="L9" s="108">
        <f>IF(Black!BN5&gt;0,((Black!BN5/Black!W5)*100), "NA")</f>
        <v>26.765493102738315</v>
      </c>
      <c r="M9" s="109">
        <f>+(Black!AB5/'All Races'!AB5)*100</f>
        <v>18.100875977748888</v>
      </c>
      <c r="N9" s="108">
        <f>IF(Black!BS5&gt;0,((Black!BS5/Black!AB5)*100), "NA")</f>
        <v>27.44694003709046</v>
      </c>
      <c r="O9" s="109">
        <f>('Hispanic &amp; Foreign'!R5/'All Races'!W5)*100</f>
        <v>7.2109280067719785</v>
      </c>
      <c r="P9" s="110">
        <f>('Hispanic &amp; Foreign'!W5/'All Races'!AB5)*100</f>
        <v>8.7560476565996712</v>
      </c>
    </row>
    <row r="10" spans="1:16">
      <c r="A10" s="107" t="s">
        <v>212</v>
      </c>
      <c r="B10" s="107"/>
      <c r="C10" s="109">
        <f>'Total Master''s'!AT6</f>
        <v>30.9346687321719</v>
      </c>
      <c r="D10" s="108"/>
      <c r="E10" s="109"/>
      <c r="F10" s="108"/>
      <c r="G10" s="109"/>
      <c r="H10" s="108"/>
      <c r="I10" s="109"/>
      <c r="J10" s="108"/>
      <c r="K10" s="109"/>
      <c r="L10" s="108"/>
      <c r="M10" s="109"/>
      <c r="N10" s="108"/>
      <c r="O10" s="109"/>
      <c r="P10" s="110"/>
    </row>
    <row r="11" spans="1:16" ht="14.25">
      <c r="A11" s="111" t="s">
        <v>220</v>
      </c>
      <c r="B11" s="111"/>
      <c r="C11" s="111">
        <f>'Total Master''s'!AT7</f>
        <v>11670</v>
      </c>
      <c r="D11" s="112">
        <f>+(('Total Master''s'!AT7-'Total Master''s'!AO7)/'Total Master''s'!AO7)*100</f>
        <v>9.8973537997928247</v>
      </c>
      <c r="E11" s="113">
        <f>+(Public!R7/'Total Master''s'!AO7)*100</f>
        <v>87.456445993031366</v>
      </c>
      <c r="F11" s="112">
        <f>+(Public!W7/'Total Master''s'!AT7)*100</f>
        <v>77.523564695801198</v>
      </c>
      <c r="G11" s="113">
        <f>+(Gender!CF7/'Total Master''s'!AO7)*100</f>
        <v>62.294001318391565</v>
      </c>
      <c r="H11" s="112">
        <f>+(Gender!CK7/'Total Master''s'!AT7)*100</f>
        <v>60.377035132819188</v>
      </c>
      <c r="I11" s="113">
        <f>+('Hispanic &amp; Foreign'!AN7/'Total Master''s'!AO7)*100</f>
        <v>6.9215557020435066</v>
      </c>
      <c r="J11" s="112">
        <f>+('Hispanic &amp; Foreign'!AS7/'Total Master''s'!AT7)*100</f>
        <v>5.6041131105398456</v>
      </c>
      <c r="K11" s="113">
        <f>+(Black!W7/'All Races'!W7)*100</f>
        <v>27.658891504386901</v>
      </c>
      <c r="L11" s="112">
        <f>IF(Black!BN7&gt;0,((Black!BN7/Black!W7)*100), "NA")</f>
        <v>16.208897485493228</v>
      </c>
      <c r="M11" s="113">
        <f>+(Black!AB7/'All Races'!AB7)*100</f>
        <v>24.940093932713506</v>
      </c>
      <c r="N11" s="112">
        <f>IF(Black!BS7&gt;0,((Black!BS7/Black!AB7)*100), "NA")</f>
        <v>28.324365872405842</v>
      </c>
      <c r="O11" s="113">
        <f>('Hispanic &amp; Foreign'!R7/'All Races'!W7)*100</f>
        <v>1.6905628076182324</v>
      </c>
      <c r="P11" s="114">
        <f>('Hispanic &amp; Foreign'!W7/'All Races'!AB7)*100</f>
        <v>2.3483178376305953</v>
      </c>
    </row>
    <row r="12" spans="1:16">
      <c r="A12" s="111" t="s">
        <v>46</v>
      </c>
      <c r="B12" s="111"/>
      <c r="C12" s="111">
        <f>'Total Master''s'!AT8</f>
        <v>5225</v>
      </c>
      <c r="D12" s="112">
        <f>+(('Total Master''s'!AT8-'Total Master''s'!AO8)/'Total Master''s'!AO8)*100</f>
        <v>48.902821316614421</v>
      </c>
      <c r="E12" s="113">
        <f>+(Public!R8/'Total Master''s'!AO8)*100</f>
        <v>84.098033627814189</v>
      </c>
      <c r="F12" s="112">
        <f>+(Public!W8/'Total Master''s'!AT8)*100</f>
        <v>89.454545454545453</v>
      </c>
      <c r="G12" s="113">
        <f>+(Gender!CF8/'Total Master''s'!AO8)*100</f>
        <v>64.377315474494154</v>
      </c>
      <c r="H12" s="112">
        <f>+(Gender!CK8/'Total Master''s'!AT8)*100</f>
        <v>65.129186602870817</v>
      </c>
      <c r="I12" s="113">
        <f>+('Hispanic &amp; Foreign'!AN8/'Total Master''s'!AO8)*100</f>
        <v>9.945853519521231</v>
      </c>
      <c r="J12" s="112">
        <f>+('Hispanic &amp; Foreign'!AS8/'Total Master''s'!AT8)*100</f>
        <v>7.9425837320574164</v>
      </c>
      <c r="K12" s="113">
        <f>+(Black!W8/'All Races'!W8)*100</f>
        <v>12.540296582849775</v>
      </c>
      <c r="L12" s="112">
        <f>IF(Black!BN8&gt;0,((Black!BN8/Black!W8)*100), "NA")</f>
        <v>8.2262210796915163</v>
      </c>
      <c r="M12" s="113">
        <f>+(Black!AB8/'All Races'!AB8)*100</f>
        <v>11.414077362079897</v>
      </c>
      <c r="N12" s="112">
        <f>IF(Black!BS8&gt;0,((Black!BS8/Black!AB8)*100), "NA")</f>
        <v>5.1851851851851851</v>
      </c>
      <c r="O12" s="113">
        <f>('Hispanic &amp; Foreign'!R8/'All Races'!W8)*100</f>
        <v>1.9342359767891684</v>
      </c>
      <c r="P12" s="114">
        <f>('Hispanic &amp; Foreign'!W8/'All Races'!AB8)*100</f>
        <v>2.0925808497146479</v>
      </c>
    </row>
    <row r="13" spans="1:16">
      <c r="A13" s="111" t="s">
        <v>47</v>
      </c>
      <c r="B13" s="111"/>
      <c r="C13" s="111">
        <f>'Total Master''s'!AT9</f>
        <v>2753</v>
      </c>
      <c r="D13" s="112">
        <f>+(('Total Master''s'!AT9-'Total Master''s'!AO9)/'Total Master''s'!AO9)*100</f>
        <v>20.16586643387167</v>
      </c>
      <c r="E13" s="113">
        <f>+(Public!R9/'Total Master''s'!AO9)*100</f>
        <v>36.403317328677431</v>
      </c>
      <c r="F13" s="112">
        <f>+(Public!W9/'Total Master''s'!AT9)*100</f>
        <v>30.512168543407192</v>
      </c>
      <c r="G13" s="113">
        <f>+(Gender!CF9/'Total Master''s'!AO9)*100</f>
        <v>64.862505456132695</v>
      </c>
      <c r="H13" s="112">
        <f>+(Gender!CK9/'Total Master''s'!AT9)*100</f>
        <v>60.77006901561932</v>
      </c>
      <c r="I13" s="113">
        <f>+('Hispanic &amp; Foreign'!AN9/'Total Master''s'!AO9)*100</f>
        <v>7.0274989087734605</v>
      </c>
      <c r="J13" s="112">
        <f>+('Hispanic &amp; Foreign'!AS9/'Total Master''s'!AT9)*100</f>
        <v>11.58735924446059</v>
      </c>
      <c r="K13" s="113">
        <f>+(Black!W9/'All Races'!W9)*100</f>
        <v>17.938630999213217</v>
      </c>
      <c r="L13" s="112">
        <f>IF(Black!BN9&gt;0,((Black!BN9/Black!W9)*100), "NA")</f>
        <v>33.333333333333329</v>
      </c>
      <c r="M13" s="113">
        <f>+(Black!AB9/'All Races'!AB9)*100</f>
        <v>24.202822791427078</v>
      </c>
      <c r="N13" s="112">
        <f>IF(Black!BS9&gt;0,((Black!BS9/Black!AB9)*100), "NA")</f>
        <v>15.334773218142548</v>
      </c>
      <c r="O13" s="113">
        <f>('Hispanic &amp; Foreign'!R9/'All Races'!W9)*100</f>
        <v>2.2816679779701023</v>
      </c>
      <c r="P13" s="114">
        <f>('Hispanic &amp; Foreign'!W9/'All Races'!AB9)*100</f>
        <v>3.1364349189754308</v>
      </c>
    </row>
    <row r="14" spans="1:16">
      <c r="A14" s="111" t="s">
        <v>48</v>
      </c>
      <c r="B14" s="111"/>
      <c r="C14" s="111">
        <f>'Total Master''s'!AT10</f>
        <v>32437</v>
      </c>
      <c r="D14" s="112">
        <f>+(('Total Master''s'!AT10-'Total Master''s'!AO10)/'Total Master''s'!AO10)*100</f>
        <v>22.012413014858005</v>
      </c>
      <c r="E14" s="113">
        <f>+(Public!R10/'Total Master''s'!AO10)*100</f>
        <v>53.819823208576267</v>
      </c>
      <c r="F14" s="112">
        <f>+(Public!W10/'Total Master''s'!AT10)*100</f>
        <v>53.685605943829572</v>
      </c>
      <c r="G14" s="113">
        <f>+(Gender!CF10/'Total Master''s'!AO10)*100</f>
        <v>59.732932104570246</v>
      </c>
      <c r="H14" s="112">
        <f>+(Gender!CK10/'Total Master''s'!AT10)*100</f>
        <v>57.788944723618087</v>
      </c>
      <c r="I14" s="113">
        <f>+('Hispanic &amp; Foreign'!AN10/'Total Master''s'!AO10)*100</f>
        <v>9.7084822268196351</v>
      </c>
      <c r="J14" s="112">
        <f>+('Hispanic &amp; Foreign'!AS10/'Total Master''s'!AT10)*100</f>
        <v>10.86105373493233</v>
      </c>
      <c r="K14" s="113">
        <f>+(Black!W10/'All Races'!W10)*100</f>
        <v>15.947712418300652</v>
      </c>
      <c r="L14" s="112">
        <f>IF(Black!BN10&gt;0,((Black!BN10/Black!W10)*100), "NA")</f>
        <v>12.295081967213115</v>
      </c>
      <c r="M14" s="113">
        <f>+(Black!AB10/'All Races'!AB10)*100</f>
        <v>17.464993496059378</v>
      </c>
      <c r="N14" s="112">
        <f>IF(Black!BS10&gt;0,((Black!BS10/Black!AB10)*100), "NA")</f>
        <v>8.7842278203723989</v>
      </c>
      <c r="O14" s="113">
        <f>('Hispanic &amp; Foreign'!R10/'All Races'!W10)*100</f>
        <v>16.411990083389679</v>
      </c>
      <c r="P14" s="114">
        <f>('Hispanic &amp; Foreign'!W10/'All Races'!AB10)*100</f>
        <v>19.477389241717042</v>
      </c>
    </row>
    <row r="15" spans="1:16" ht="14.25">
      <c r="A15" s="115" t="s">
        <v>221</v>
      </c>
      <c r="B15" s="115"/>
      <c r="C15" s="107">
        <f>'Total Master''s'!AT11</f>
        <v>17478</v>
      </c>
      <c r="D15" s="108">
        <f>+(('Total Master''s'!AT11-'Total Master''s'!AO11)/'Total Master''s'!AO11)*100</f>
        <v>31.393775372124495</v>
      </c>
      <c r="E15" s="109">
        <f>+(Public!R11/'Total Master''s'!AO11)*100</f>
        <v>64.682002706359938</v>
      </c>
      <c r="F15" s="108">
        <f>+(Public!W11/'Total Master''s'!AT11)*100</f>
        <v>62.238242361826302</v>
      </c>
      <c r="G15" s="109">
        <f>+(Gender!CF11/'Total Master''s'!AO11)*100</f>
        <v>60.021049466245678</v>
      </c>
      <c r="H15" s="108">
        <f>+(Gender!CK11/'Total Master''s'!AT11)*100</f>
        <v>59.251630621352561</v>
      </c>
      <c r="I15" s="109">
        <f>+('Hispanic &amp; Foreign'!AN11/'Total Master''s'!AO11)*100</f>
        <v>11.667418433318298</v>
      </c>
      <c r="J15" s="108">
        <f>+('Hispanic &amp; Foreign'!AS11/'Total Master''s'!AT11)*100</f>
        <v>10.990960064080559</v>
      </c>
      <c r="K15" s="109">
        <f>+(Black!W11/'All Races'!W11)*100</f>
        <v>24.203535852104459</v>
      </c>
      <c r="L15" s="108">
        <f>IF(Black!BN11&gt;0,((Black!BN11/Black!W11)*100), "NA")</f>
        <v>39.302929180571006</v>
      </c>
      <c r="M15" s="109">
        <f>+(Black!AB11/'All Races'!AB11)*100</f>
        <v>27.652424387902062</v>
      </c>
      <c r="N15" s="108">
        <f>IF(Black!BS11&gt;0,((Black!BS11/Black!AB11)*100), "NA")</f>
        <v>44.221230158730158</v>
      </c>
      <c r="O15" s="109">
        <f>('Hispanic &amp; Foreign'!R11/'All Races'!W11)*100</f>
        <v>2.2884321995871848</v>
      </c>
      <c r="P15" s="110">
        <f>('Hispanic &amp; Foreign'!W11/'All Races'!AB11)*100</f>
        <v>3.5731431314724644</v>
      </c>
    </row>
    <row r="16" spans="1:16" ht="14.25">
      <c r="A16" s="115" t="s">
        <v>222</v>
      </c>
      <c r="B16" s="115"/>
      <c r="C16" s="107">
        <f>'Total Master''s'!AT12</f>
        <v>9484</v>
      </c>
      <c r="D16" s="108">
        <f>+(('Total Master''s'!AT12-'Total Master''s'!AO12)/'Total Master''s'!AO12)*100</f>
        <v>32.996774645912211</v>
      </c>
      <c r="E16" s="109">
        <f>+(Public!R12/'Total Master''s'!AO12)*100</f>
        <v>76.370775487308933</v>
      </c>
      <c r="F16" s="108">
        <f>+(Public!W12/'Total Master''s'!AT12)*100</f>
        <v>63.949810206663862</v>
      </c>
      <c r="G16" s="109">
        <f>+(Gender!CF12/'Total Master''s'!AO12)*100</f>
        <v>64.170523068293377</v>
      </c>
      <c r="H16" s="108">
        <f>+(Gender!CK12/'Total Master''s'!AT12)*100</f>
        <v>62.304934626739772</v>
      </c>
      <c r="I16" s="109">
        <f>+('Hispanic &amp; Foreign'!AN12/'Total Master''s'!AO12)*100</f>
        <v>8.1895947272472309</v>
      </c>
      <c r="J16" s="108">
        <f>+('Hispanic &amp; Foreign'!AS12/'Total Master''s'!AT12)*100</f>
        <v>6.0101223112610711</v>
      </c>
      <c r="K16" s="109">
        <f>+(Black!W12/'All Races'!W12)*100</f>
        <v>6.4323714331774946</v>
      </c>
      <c r="L16" s="108">
        <f>IF(Black!BN12&gt;0,((Black!BN12/Black!W12)*100), "NA")</f>
        <v>5.2631578947368416</v>
      </c>
      <c r="M16" s="109">
        <f>+(Black!AB12/'All Races'!AB12)*100</f>
        <v>7.7536656891495594</v>
      </c>
      <c r="N16" s="108">
        <f>IF(Black!BS12&gt;0,((Black!BS12/Black!AB12)*100), "NA")</f>
        <v>4.0847201210287443</v>
      </c>
      <c r="O16" s="109">
        <f>('Hispanic &amp; Foreign'!R12/'All Races'!W12)*100</f>
        <v>1.2735773013058198</v>
      </c>
      <c r="P16" s="110">
        <f>('Hispanic &amp; Foreign'!W12/'All Races'!AB12)*100</f>
        <v>1.5366568914956014</v>
      </c>
    </row>
    <row r="17" spans="1:16" ht="14.25">
      <c r="A17" s="115" t="s">
        <v>218</v>
      </c>
      <c r="B17" s="115"/>
      <c r="C17" s="107">
        <f>'Total Master''s'!AT13</f>
        <v>7552</v>
      </c>
      <c r="D17" s="108">
        <f>+(('Total Master''s'!AT13-'Total Master''s'!AO13)/'Total Master''s'!AO13)*100</f>
        <v>26.668903052666892</v>
      </c>
      <c r="E17" s="109">
        <f>+(Public!R13/'Total Master''s'!AO13)*100</f>
        <v>74.320697752432068</v>
      </c>
      <c r="F17" s="108">
        <f>+(Public!W13/'Total Master''s'!AT13)*100</f>
        <v>70.405190677966104</v>
      </c>
      <c r="G17" s="109">
        <f>+(Gender!CF13/'Total Master''s'!AO13)*100</f>
        <v>62.98222073129822</v>
      </c>
      <c r="H17" s="108">
        <f>+(Gender!CK13/'Total Master''s'!AT13)*100</f>
        <v>63.479872881355938</v>
      </c>
      <c r="I17" s="109">
        <f>+('Hispanic &amp; Foreign'!AN13/'Total Master''s'!AO13)*100</f>
        <v>12.898356256289837</v>
      </c>
      <c r="J17" s="108">
        <f>+('Hispanic &amp; Foreign'!AS13/'Total Master''s'!AT13)*100</f>
        <v>13.228283898305085</v>
      </c>
      <c r="K17" s="109">
        <f>+(Black!W13/'All Races'!W13)*100</f>
        <v>23.730528019421403</v>
      </c>
      <c r="L17" s="108">
        <f>IF(Black!BN13&gt;0,((Black!BN13/Black!W13)*100), "NA")</f>
        <v>50.468883205456095</v>
      </c>
      <c r="M17" s="109">
        <f>+(Black!AB13/'All Races'!AB13)*100</f>
        <v>23.034257748776511</v>
      </c>
      <c r="N17" s="108">
        <f>IF(Black!BS13&gt;0,((Black!BS13/Black!AB13)*100), "NA")</f>
        <v>40.651558073654392</v>
      </c>
      <c r="O17" s="109">
        <f>('Hispanic &amp; Foreign'!R13/'All Races'!W13)*100</f>
        <v>3.6010519927169735</v>
      </c>
      <c r="P17" s="110">
        <f>('Hispanic &amp; Foreign'!W13/'All Races'!AB13)*100</f>
        <v>3.8009787928221859</v>
      </c>
    </row>
    <row r="18" spans="1:16">
      <c r="A18" s="115" t="s">
        <v>52</v>
      </c>
      <c r="B18" s="115"/>
      <c r="C18" s="107">
        <f>'Total Master''s'!AT14</f>
        <v>18444</v>
      </c>
      <c r="D18" s="108">
        <f>+(('Total Master''s'!AT14-'Total Master''s'!AO14)/'Total Master''s'!AO14)*100</f>
        <v>25.794570999863591</v>
      </c>
      <c r="E18" s="109">
        <f>+(Public!R14/'Total Master''s'!AO14)*100</f>
        <v>52.980493793479745</v>
      </c>
      <c r="F18" s="108">
        <f>+(Public!W14/'Total Master''s'!AT14)*100</f>
        <v>58.636955107351987</v>
      </c>
      <c r="G18" s="109">
        <f>+(Gender!CF14/'Total Master''s'!AO14)*100</f>
        <v>59.364343200109126</v>
      </c>
      <c r="H18" s="108">
        <f>+(Gender!CK14/'Total Master''s'!AT14)*100</f>
        <v>58.859249620472788</v>
      </c>
      <c r="I18" s="109">
        <f>+('Hispanic &amp; Foreign'!AN14/'Total Master''s'!AO14)*100</f>
        <v>9.2347565134360927</v>
      </c>
      <c r="J18" s="108">
        <f>+('Hispanic &amp; Foreign'!AS14/'Total Master''s'!AT14)*100</f>
        <v>11.597267404033833</v>
      </c>
      <c r="K18" s="109">
        <f>+(Black!W14/'All Races'!W14)*100</f>
        <v>20.543496838147327</v>
      </c>
      <c r="L18" s="108">
        <f>IF(Black!BN14&gt;0,((Black!BN14/Black!W14)*100), "NA")</f>
        <v>23.086522462562396</v>
      </c>
      <c r="M18" s="109">
        <f>+(Black!AB14/'All Races'!AB14)*100</f>
        <v>24.569505838886325</v>
      </c>
      <c r="N18" s="108">
        <f>IF(Black!BS14&gt;0,((Black!BS14/Black!AB14)*100), "NA")</f>
        <v>22.341568206229862</v>
      </c>
      <c r="O18" s="109">
        <f>('Hispanic &amp; Foreign'!R14/'All Races'!W14)*100</f>
        <v>3.965134165099983</v>
      </c>
      <c r="P18" s="110">
        <f>('Hispanic &amp; Foreign'!W14/'All Races'!AB14)*100</f>
        <v>4.7370851751665892</v>
      </c>
    </row>
    <row r="19" spans="1:16">
      <c r="A19" s="111" t="s">
        <v>53</v>
      </c>
      <c r="B19" s="111"/>
      <c r="C19" s="111">
        <f>'Total Master''s'!AT15</f>
        <v>4804</v>
      </c>
      <c r="D19" s="112">
        <f>+(('Total Master''s'!AT15-'Total Master''s'!AO15)/'Total Master''s'!AO15)*100</f>
        <v>20.491597692500626</v>
      </c>
      <c r="E19" s="113">
        <f>+(Public!R15/'Total Master''s'!AO15)*100</f>
        <v>74.592425382493104</v>
      </c>
      <c r="F19" s="112">
        <f>+(Public!W15/'Total Master''s'!AT15)*100</f>
        <v>69.275603663613666</v>
      </c>
      <c r="G19" s="113">
        <f>+(Gender!CF15/'Total Master''s'!AO15)*100</f>
        <v>66.31552545773765</v>
      </c>
      <c r="H19" s="112">
        <f>+(Gender!CK15/'Total Master''s'!AT15)*100</f>
        <v>65.674437968359697</v>
      </c>
      <c r="I19" s="113">
        <f>+('Hispanic &amp; Foreign'!AN15/'Total Master''s'!AO15)*100</f>
        <v>7.022824178580386</v>
      </c>
      <c r="J19" s="112">
        <f>+('Hispanic &amp; Foreign'!AS15/'Total Master''s'!AT15)*100</f>
        <v>5.0374687760199839</v>
      </c>
      <c r="K19" s="113">
        <f>+(Black!W15/'All Races'!W15)*100</f>
        <v>33.451472191930208</v>
      </c>
      <c r="L19" s="112">
        <f>IF(Black!BN15&gt;0,((Black!BN15/Black!W15)*100), "NA")</f>
        <v>43.602281988590057</v>
      </c>
      <c r="M19" s="113">
        <f>+(Black!AB15/'All Races'!AB15)*100</f>
        <v>33.385650224215247</v>
      </c>
      <c r="N19" s="112">
        <f>IF(Black!BS15&gt;0,((Black!BS15/Black!AB15)*100), "NA")</f>
        <v>50.503693754197442</v>
      </c>
      <c r="O19" s="113">
        <f>('Hispanic &amp; Foreign'!R15/'All Races'!W15)*100</f>
        <v>1.1723009814612868</v>
      </c>
      <c r="P19" s="114">
        <f>('Hispanic &amp; Foreign'!W15/'All Races'!AB15)*100</f>
        <v>1.3452914798206279</v>
      </c>
    </row>
    <row r="20" spans="1:16">
      <c r="A20" s="111" t="s">
        <v>54</v>
      </c>
      <c r="B20" s="111"/>
      <c r="C20" s="111">
        <f>'Total Master''s'!AT16</f>
        <v>17301</v>
      </c>
      <c r="D20" s="112">
        <f>+(('Total Master''s'!AT16-'Total Master''s'!AO16)/'Total Master''s'!AO16)*100</f>
        <v>28.421912114014251</v>
      </c>
      <c r="E20" s="113">
        <f>+(Public!R16/'Total Master''s'!AO16)*100</f>
        <v>71.578087885985752</v>
      </c>
      <c r="F20" s="112">
        <f>+(Public!W16/'Total Master''s'!AT16)*100</f>
        <v>66.192705623952378</v>
      </c>
      <c r="G20" s="113">
        <f>+(Gender!CF16/'Total Master''s'!AO16)*100</f>
        <v>58.937054631828978</v>
      </c>
      <c r="H20" s="112">
        <f>+(Gender!CK16/'Total Master''s'!AT16)*100</f>
        <v>59.458990809779777</v>
      </c>
      <c r="I20" s="113">
        <f>+('Hispanic &amp; Foreign'!AN16/'Total Master''s'!AO16)*100</f>
        <v>8.4991092636579566</v>
      </c>
      <c r="J20" s="112">
        <f>+('Hispanic &amp; Foreign'!AS16/'Total Master''s'!AT16)*100</f>
        <v>8.9763597479914452</v>
      </c>
      <c r="K20" s="113">
        <f>+(Black!W16/'All Races'!W16)*100</f>
        <v>16.618790131801283</v>
      </c>
      <c r="L20" s="112">
        <f>IF(Black!BN16&gt;0,((Black!BN16/Black!W16)*100), "NA")</f>
        <v>47.686832740213525</v>
      </c>
      <c r="M20" s="113">
        <f>+(Black!AB16/'All Races'!AB16)*100</f>
        <v>16.656767636771598</v>
      </c>
      <c r="N20" s="112">
        <f>IF(Black!BS16&gt;0,((Black!BS16/Black!AB16)*100), "NA")</f>
        <v>47.622820919175915</v>
      </c>
      <c r="O20" s="113">
        <f>('Hispanic &amp; Foreign'!R16/'All Races'!W16)*100</f>
        <v>2.0446096654275094</v>
      </c>
      <c r="P20" s="114">
        <f>('Hispanic &amp; Foreign'!W16/'All Races'!AB16)*100</f>
        <v>3.1148947403154494</v>
      </c>
    </row>
    <row r="21" spans="1:16">
      <c r="A21" s="111" t="s">
        <v>55</v>
      </c>
      <c r="B21" s="111"/>
      <c r="C21" s="111">
        <f>'Total Master''s'!AT17</f>
        <v>6497</v>
      </c>
      <c r="D21" s="112">
        <f>+(('Total Master''s'!AT17-'Total Master''s'!AO17)/'Total Master''s'!AO17)*100</f>
        <v>19.540018399264028</v>
      </c>
      <c r="E21" s="113">
        <f>+(Public!R17/'Total Master''s'!AO17)*100</f>
        <v>76.209751609935608</v>
      </c>
      <c r="F21" s="112">
        <f>+(Public!W17/'Total Master''s'!AT17)*100</f>
        <v>77.266430660304749</v>
      </c>
      <c r="G21" s="113">
        <f>+(Gender!CF17/'Total Master''s'!AO17)*100</f>
        <v>57.865685372585098</v>
      </c>
      <c r="H21" s="112">
        <f>+(Gender!CK17/'Total Master''s'!AT17)*100</f>
        <v>56.164383561643838</v>
      </c>
      <c r="I21" s="113">
        <f>+('Hispanic &amp; Foreign'!AN17/'Total Master''s'!AO17)*100</f>
        <v>13.376264949402024</v>
      </c>
      <c r="J21" s="112">
        <f>+('Hispanic &amp; Foreign'!AS17/'Total Master''s'!AT17)*100</f>
        <v>13.021394489764507</v>
      </c>
      <c r="K21" s="113">
        <f>+(Black!W17/'All Races'!W17)*100</f>
        <v>8.2975064488392096</v>
      </c>
      <c r="L21" s="112">
        <f>IF(Black!BN17&gt;0,((Black!BN17/Black!W17)*100), "NA")</f>
        <v>6.9948186528497409</v>
      </c>
      <c r="M21" s="113">
        <f>+(Black!AB17/'All Races'!AB17)*100</f>
        <v>10.469314079422382</v>
      </c>
      <c r="N21" s="112">
        <f>IF(Black!BS17&gt;0,((Black!BS17/Black!AB17)*100), "NA")</f>
        <v>16.152450090744104</v>
      </c>
      <c r="O21" s="113">
        <f>('Hispanic &amp; Foreign'!R17/'All Races'!W17)*100</f>
        <v>3.3104041272570939</v>
      </c>
      <c r="P21" s="114">
        <f>('Hispanic &amp; Foreign'!W17/'All Races'!AB17)*100</f>
        <v>4.5601368041041228</v>
      </c>
    </row>
    <row r="22" spans="1:16">
      <c r="A22" s="111" t="s">
        <v>56</v>
      </c>
      <c r="B22" s="111"/>
      <c r="C22" s="111">
        <f>'Total Master''s'!AT18</f>
        <v>6120</v>
      </c>
      <c r="D22" s="112">
        <f>+(('Total Master''s'!AT18-'Total Master''s'!AO18)/'Total Master''s'!AO18)*100</f>
        <v>18.146718146718147</v>
      </c>
      <c r="E22" s="113">
        <f>+(Public!R18/'Total Master''s'!AO18)*100</f>
        <v>70.559845559845556</v>
      </c>
      <c r="F22" s="112">
        <f>+(Public!W18/'Total Master''s'!AT18)*100</f>
        <v>74.640522875816998</v>
      </c>
      <c r="G22" s="113">
        <f>+(Gender!CF18/'Total Master''s'!AO18)*100</f>
        <v>67.355212355212359</v>
      </c>
      <c r="H22" s="112">
        <f>+(Gender!CK18/'Total Master''s'!AT18)*100</f>
        <v>62.66339869281046</v>
      </c>
      <c r="I22" s="113">
        <f>+('Hispanic &amp; Foreign'!AN18/'Total Master''s'!AO18)*100</f>
        <v>5.4247104247104243</v>
      </c>
      <c r="J22" s="112">
        <f>+('Hispanic &amp; Foreign'!AS18/'Total Master''s'!AT18)*100</f>
        <v>9.7222222222222232</v>
      </c>
      <c r="K22" s="113">
        <f>+(Black!W18/'All Races'!W18)*100</f>
        <v>17.889009793253535</v>
      </c>
      <c r="L22" s="112">
        <f>IF(Black!BN18&gt;0,((Black!BN18/Black!W18)*100), "NA")</f>
        <v>22.749391727493919</v>
      </c>
      <c r="M22" s="113">
        <f>+(Black!AB18/'All Races'!AB18)*100</f>
        <v>18.181818181818183</v>
      </c>
      <c r="N22" s="112">
        <f>IF(Black!BS18&gt;0,((Black!BS18/Black!AB18)*100), "NA")</f>
        <v>36.687631027253673</v>
      </c>
      <c r="O22" s="113">
        <f>('Hispanic &amp; Foreign'!R18/'All Races'!W18)*100</f>
        <v>1.2840043525571272</v>
      </c>
      <c r="P22" s="114">
        <f>('Hispanic &amp; Foreign'!W18/'All Races'!AB18)*100</f>
        <v>1.7343243758338098</v>
      </c>
    </row>
    <row r="23" spans="1:16">
      <c r="A23" s="119" t="s">
        <v>57</v>
      </c>
      <c r="B23" s="119"/>
      <c r="C23" s="107">
        <f>'Total Master''s'!AT19</f>
        <v>11956</v>
      </c>
      <c r="D23" s="108">
        <f>+(('Total Master''s'!AT19-'Total Master''s'!AO19)/'Total Master''s'!AO19)*100</f>
        <v>31.010300241069473</v>
      </c>
      <c r="E23" s="109">
        <f>+(Public!R19/'Total Master''s'!AO19)*100</f>
        <v>56.410256410256409</v>
      </c>
      <c r="F23" s="108">
        <f>+(Public!W19/'Total Master''s'!AT19)*100</f>
        <v>49.364335898293746</v>
      </c>
      <c r="G23" s="109">
        <f>+(Gender!CF19/'Total Master''s'!AO19)*100</f>
        <v>63.664255971948279</v>
      </c>
      <c r="H23" s="108">
        <f>+(Gender!CK19/'Total Master''s'!AT19)*100</f>
        <v>64.310806289729001</v>
      </c>
      <c r="I23" s="109">
        <f>+('Hispanic &amp; Foreign'!AN19/'Total Master''s'!AO19)*100</f>
        <v>6.4321718167872008</v>
      </c>
      <c r="J23" s="108">
        <f>+('Hispanic &amp; Foreign'!AS19/'Total Master''s'!AT19)*100</f>
        <v>5.3696888591502168</v>
      </c>
      <c r="K23" s="109">
        <f>+(Black!W19/'All Races'!W19)*100</f>
        <v>14.427423405323959</v>
      </c>
      <c r="L23" s="108">
        <f>IF(Black!BN19&gt;0,((Black!BN19/Black!W19)*100), "NA")</f>
        <v>23.49869451697128</v>
      </c>
      <c r="M23" s="109">
        <f>+(Black!AB19/'All Races'!AB19)*100</f>
        <v>15.150653780557136</v>
      </c>
      <c r="N23" s="108">
        <f>IF(Black!BS19&gt;0,((Black!BS19/Black!AB19)*100), "NA")</f>
        <v>30.644152595372109</v>
      </c>
      <c r="O23" s="109">
        <f>('Hispanic &amp; Foreign'!R19/'All Races'!W19)*100</f>
        <v>1.5946760421898545</v>
      </c>
      <c r="P23" s="110">
        <f>('Hispanic &amp; Foreign'!W19/'All Races'!AB19)*100</f>
        <v>2.3024445707788517</v>
      </c>
    </row>
    <row r="24" spans="1:16">
      <c r="A24" s="119" t="s">
        <v>58</v>
      </c>
      <c r="B24" s="119"/>
      <c r="C24" s="107">
        <f>'Total Master''s'!AT20</f>
        <v>46464</v>
      </c>
      <c r="D24" s="108">
        <f>+(('Total Master''s'!AT20-'Total Master''s'!AO20)/'Total Master''s'!AO20)*100</f>
        <v>36.498237367802581</v>
      </c>
      <c r="E24" s="109">
        <f>+(Public!R20/'Total Master''s'!AO20)*100</f>
        <v>76.609870740305524</v>
      </c>
      <c r="F24" s="108">
        <f>+(Public!W20/'Total Master''s'!AT20)*100</f>
        <v>72.507747933884289</v>
      </c>
      <c r="G24" s="109">
        <f>+(Gender!CF20/'Total Master''s'!AO20)*100</f>
        <v>57.705640423031724</v>
      </c>
      <c r="H24" s="108">
        <f>+(Gender!CK20/'Total Master''s'!AT20)*100</f>
        <v>58.210657713498627</v>
      </c>
      <c r="I24" s="109">
        <f>+('Hispanic &amp; Foreign'!AN20/'Total Master''s'!AO20)*100</f>
        <v>15.255581668625146</v>
      </c>
      <c r="J24" s="108">
        <f>+('Hispanic &amp; Foreign'!AS20/'Total Master''s'!AT20)*100</f>
        <v>15.956439393939394</v>
      </c>
      <c r="K24" s="109">
        <f>+(Black!W20/'All Races'!W20)*100</f>
        <v>12.273656280253864</v>
      </c>
      <c r="L24" s="108">
        <f>IF(Black!BN20&gt;0,((Black!BN20/Black!W20)*100), "NA")</f>
        <v>27.928717499269645</v>
      </c>
      <c r="M24" s="109">
        <f>+(Black!AB20/'All Races'!AB20)*100</f>
        <v>13.190078259716142</v>
      </c>
      <c r="N24" s="108">
        <f>IF(Black!BS20&gt;0,((Black!BS20/Black!AB20)*100), "NA")</f>
        <v>16.190667739340306</v>
      </c>
      <c r="O24" s="109">
        <f>('Hispanic &amp; Foreign'!R20/'All Races'!W20)*100</f>
        <v>16.698339847251606</v>
      </c>
      <c r="P24" s="110">
        <f>('Hispanic &amp; Foreign'!W20/'All Races'!AB20)*100</f>
        <v>19.575540522615732</v>
      </c>
    </row>
    <row r="25" spans="1:16">
      <c r="A25" s="119" t="s">
        <v>59</v>
      </c>
      <c r="B25" s="119"/>
      <c r="C25" s="107">
        <f>'Total Master''s'!AT21</f>
        <v>22782</v>
      </c>
      <c r="D25" s="108">
        <f>+(('Total Master''s'!AT21-'Total Master''s'!AO21)/'Total Master''s'!AO21)*100</f>
        <v>51.788926644013586</v>
      </c>
      <c r="E25" s="109">
        <f>+(Public!R21/'Total Master''s'!AO21)*100</f>
        <v>72.842960890132588</v>
      </c>
      <c r="F25" s="108">
        <f>+(Public!W21/'Total Master''s'!AT21)*100</f>
        <v>51.479237994908253</v>
      </c>
      <c r="G25" s="109">
        <f>+(Gender!CF21/'Total Master''s'!AO21)*100</f>
        <v>59.524285428742751</v>
      </c>
      <c r="H25" s="108">
        <f>+(Gender!CK21/'Total Master''s'!AT21)*100</f>
        <v>58.467210956017915</v>
      </c>
      <c r="I25" s="109">
        <f>+('Hispanic &amp; Foreign'!AN21/'Total Master''s'!AO21)*100</f>
        <v>8.5881804250782867</v>
      </c>
      <c r="J25" s="108">
        <f>+('Hispanic &amp; Foreign'!AS21/'Total Master''s'!AT21)*100</f>
        <v>6.1715389342463345</v>
      </c>
      <c r="K25" s="109">
        <f>+(Black!W21/'All Races'!W21)*100</f>
        <v>13.519011109372556</v>
      </c>
      <c r="L25" s="108">
        <f>IF(Black!BN21&gt;0,((Black!BN21/Black!W21)*100), "NA")</f>
        <v>22.916666666666664</v>
      </c>
      <c r="M25" s="109">
        <f>+(Black!AB21/'All Races'!AB21)*100</f>
        <v>19.592648829781663</v>
      </c>
      <c r="N25" s="108">
        <f>IF(Black!BS21&gt;0,((Black!BS21/Black!AB21)*100), "NA")</f>
        <v>31.614110101549976</v>
      </c>
      <c r="O25" s="109">
        <f>('Hispanic &amp; Foreign'!R21/'All Races'!W21)*100</f>
        <v>2.8477546549835706</v>
      </c>
      <c r="P25" s="110">
        <f>('Hispanic &amp; Foreign'!W21/'All Races'!AB21)*100</f>
        <v>4.1049269595266766</v>
      </c>
    </row>
    <row r="26" spans="1:16" ht="14.25">
      <c r="A26" s="120" t="s">
        <v>223</v>
      </c>
      <c r="B26" s="120"/>
      <c r="C26" s="104">
        <f>'Total Master''s'!AT22</f>
        <v>3086</v>
      </c>
      <c r="D26" s="125">
        <f>+(('Total Master''s'!AT22-'Total Master''s'!AO22)/'Total Master''s'!AO22)*100</f>
        <v>-20.810880164228891</v>
      </c>
      <c r="E26" s="168">
        <f>+(Public!R22/'Total Master''s'!AO22)*100</f>
        <v>65.409289196818065</v>
      </c>
      <c r="F26" s="125">
        <f>+(Public!W22/'Total Master''s'!AT22)*100</f>
        <v>84.607906675307845</v>
      </c>
      <c r="G26" s="168">
        <f>+(Gender!CF22/'Total Master''s'!AO22)*100</f>
        <v>53.451372850910964</v>
      </c>
      <c r="H26" s="125">
        <f>+(Gender!CK22/'Total Master''s'!AT22)*100</f>
        <v>61.665586519766691</v>
      </c>
      <c r="I26" s="168">
        <f>+('Hispanic &amp; Foreign'!AN22/'Total Master''s'!AO22)*100</f>
        <v>8.6989992301770602</v>
      </c>
      <c r="J26" s="125">
        <f>+('Hispanic &amp; Foreign'!AS22/'Total Master''s'!AT22)*100</f>
        <v>8.9760207388204805</v>
      </c>
      <c r="K26" s="168">
        <f>+(Black!W22/'All Races'!W22)*100</f>
        <v>5.3042121684867398</v>
      </c>
      <c r="L26" s="125">
        <f>IF(Black!BN22&gt;0,((Black!BN22/Black!W22)*100), "NA")</f>
        <v>0.58823529411764708</v>
      </c>
      <c r="M26" s="168">
        <f>+(Black!AB22/'All Races'!AB22)*100</f>
        <v>5.4293415479399307</v>
      </c>
      <c r="N26" s="125" t="str">
        <f>IF(Black!BS22&gt;0,((Black!BS22/Black!AB22)*100), "NA")</f>
        <v>NA</v>
      </c>
      <c r="O26" s="168">
        <f>('Hispanic &amp; Foreign'!R22/'All Races'!W22)*100</f>
        <v>1.6536661466458658</v>
      </c>
      <c r="P26" s="106">
        <f>('Hispanic &amp; Foreign'!W22/'All Races'!AB22)*100</f>
        <v>2.5413939160569887</v>
      </c>
    </row>
    <row r="27" spans="1:16">
      <c r="A27" s="107" t="s">
        <v>61</v>
      </c>
      <c r="B27" s="107"/>
      <c r="C27" s="107">
        <f>'Total Master''s'!AT23</f>
        <v>144180</v>
      </c>
      <c r="D27" s="108">
        <f>+(('Total Master''s'!AT23-'Total Master''s'!AO23)/'Total Master''s'!AO23)*100</f>
        <v>9.9133987924620364</v>
      </c>
      <c r="E27" s="109">
        <f>+(Public!R23/'Total Master''s'!AO23)*100</f>
        <v>45.411508202720007</v>
      </c>
      <c r="F27" s="108">
        <f>+(Public!W23/'Total Master''s'!AT23)*100</f>
        <v>46.277569704535999</v>
      </c>
      <c r="G27" s="109">
        <f>+(Gender!CF23/'Total Master''s'!AO23)*100</f>
        <v>59.619137647130572</v>
      </c>
      <c r="H27" s="108">
        <f>+(Gender!CK23/'Total Master''s'!AT23)*100</f>
        <v>59.532528783465111</v>
      </c>
      <c r="I27" s="109">
        <f>+('Hispanic &amp; Foreign'!AN23/'Total Master''s'!AO23)*100</f>
        <v>10.500396413978166</v>
      </c>
      <c r="J27" s="108">
        <f>+('Hispanic &amp; Foreign'!AS23/'Total Master''s'!AT23)*100</f>
        <v>11.600776806769316</v>
      </c>
      <c r="K27" s="109">
        <f>+(Black!W23/'All Races'!W23)*100</f>
        <v>7.8452819967914662</v>
      </c>
      <c r="L27" s="108">
        <f>IF(Black!BN23&gt;0,((Black!BN23/Black!W23)*100), "NA")</f>
        <v>0.27884743062010359</v>
      </c>
      <c r="M27" s="109">
        <f>+(Black!AB23/'All Races'!AB23)*100</f>
        <v>8.4218654312112253</v>
      </c>
      <c r="N27" s="108">
        <f>IF(Black!BS23&gt;0,((Black!BS23/Black!AB23)*100), "NA")</f>
        <v>0.28453999367688898</v>
      </c>
      <c r="O27" s="109">
        <f>('Hispanic &amp; Foreign'!R23/'All Races'!W23)*100</f>
        <v>11.41946371648228</v>
      </c>
      <c r="P27" s="110">
        <f>('Hispanic &amp; Foreign'!W23/'All Races'!AB23)*100</f>
        <v>13.297121708336663</v>
      </c>
    </row>
    <row r="28" spans="1:16">
      <c r="A28" s="107" t="s">
        <v>212</v>
      </c>
      <c r="B28" s="107"/>
      <c r="C28" s="109">
        <f>'Total Master''s'!AT24</f>
        <v>19.906720899985917</v>
      </c>
      <c r="D28" s="108"/>
      <c r="E28" s="109"/>
      <c r="F28" s="108"/>
      <c r="G28" s="109"/>
      <c r="H28" s="108"/>
      <c r="I28" s="109"/>
      <c r="J28" s="108"/>
      <c r="K28" s="109"/>
      <c r="L28" s="143"/>
      <c r="M28" s="109"/>
      <c r="N28" s="144"/>
      <c r="O28" s="109"/>
      <c r="P28" s="110"/>
    </row>
    <row r="29" spans="1:16">
      <c r="A29" s="111" t="s">
        <v>62</v>
      </c>
      <c r="B29" s="111"/>
      <c r="C29" s="111">
        <f>'Total Master''s'!AT25</f>
        <v>724</v>
      </c>
      <c r="D29" s="112">
        <f>+(('Total Master''s'!AT25-'Total Master''s'!AO25)/'Total Master''s'!AO25)*100</f>
        <v>4.6242774566473983</v>
      </c>
      <c r="E29" s="113">
        <f>+(Public!R25/'Total Master''s'!AO25)*100</f>
        <v>87.283236994219649</v>
      </c>
      <c r="F29" s="112">
        <f>+(Public!W25/'Total Master''s'!AT25)*100</f>
        <v>93.784530386740329</v>
      </c>
      <c r="G29" s="113">
        <f>+(Gender!CF25/'Total Master''s'!AO25)*100</f>
        <v>59.682080924855498</v>
      </c>
      <c r="H29" s="112">
        <f>+(Gender!CK25/'Total Master''s'!AT25)*100</f>
        <v>66.02209944751381</v>
      </c>
      <c r="I29" s="113">
        <f>+('Hispanic &amp; Foreign'!AN25/'Total Master''s'!AO25)*100</f>
        <v>7.6589595375722546</v>
      </c>
      <c r="J29" s="112">
        <f>+('Hispanic &amp; Foreign'!AS25/'Total Master''s'!AT25)*100</f>
        <v>5.6629834254143647</v>
      </c>
      <c r="K29" s="113">
        <f>+(Black!W25/'All Races'!W25)*100</f>
        <v>2.7287319422150884</v>
      </c>
      <c r="L29" s="177" t="str">
        <f>IF(Black!BN25&gt;0,((Black!BN25/Black!W25)*100), "NA")</f>
        <v>NA</v>
      </c>
      <c r="M29" s="113">
        <f>+(Black!AB25/'All Races'!AB25)*100</f>
        <v>2.6984126984126986</v>
      </c>
      <c r="N29" s="177" t="str">
        <f>IF(Black!BS25&gt;0,((Black!BS25/Black!AB25)*100), "NA")</f>
        <v>NA</v>
      </c>
      <c r="O29" s="113">
        <f>('Hispanic &amp; Foreign'!R25/'All Races'!W25)*100</f>
        <v>4.0128410914927768</v>
      </c>
      <c r="P29" s="114">
        <f>('Hispanic &amp; Foreign'!W25/'All Races'!AB25)*100</f>
        <v>3.1746031746031744</v>
      </c>
    </row>
    <row r="30" spans="1:16" ht="14.25">
      <c r="A30" s="111" t="s">
        <v>219</v>
      </c>
      <c r="B30" s="111"/>
      <c r="C30" s="111">
        <f>'Total Master''s'!AT26</f>
        <v>29363</v>
      </c>
      <c r="D30" s="112">
        <f>+(('Total Master''s'!AT26-'Total Master''s'!AO26)/'Total Master''s'!AO26)*100</f>
        <v>4.6436208125445475</v>
      </c>
      <c r="E30" s="113">
        <f>+(Public!R26/'Total Master''s'!AO26)*100</f>
        <v>22.22736992159658</v>
      </c>
      <c r="F30" s="112">
        <f>+(Public!W26/'Total Master''s'!AT26)*100</f>
        <v>24.687531927936519</v>
      </c>
      <c r="G30" s="113">
        <f>+(Gender!CF26/'Total Master''s'!AO26)*100</f>
        <v>64.853884533143273</v>
      </c>
      <c r="H30" s="112">
        <f>+(Gender!CK26/'Total Master''s'!AT26)*100</f>
        <v>65.364574464462081</v>
      </c>
      <c r="I30" s="113">
        <f>+('Hispanic &amp; Foreign'!AN26/'Total Master''s'!AO26)*100</f>
        <v>8.8346400570206711</v>
      </c>
      <c r="J30" s="112">
        <f>+('Hispanic &amp; Foreign'!AS26/'Total Master''s'!AT26)*100</f>
        <v>7.053094029901577</v>
      </c>
      <c r="K30" s="113">
        <f>+(Black!W26/'All Races'!W26)*100</f>
        <v>18.215102974828376</v>
      </c>
      <c r="L30" s="177" t="str">
        <f>IF(Black!BN26&gt;0,((Black!BN26/Black!W26)*100), "NA")</f>
        <v>NA</v>
      </c>
      <c r="M30" s="113">
        <f>+(Black!AB26/'All Races'!AB26)*100</f>
        <v>20.441573381708775</v>
      </c>
      <c r="N30" s="177" t="str">
        <f>IF(Black!BS26&gt;0,((Black!BS26/Black!AB26)*100), "NA")</f>
        <v>NA</v>
      </c>
      <c r="O30" s="113">
        <f>('Hispanic &amp; Foreign'!R26/'All Races'!W26)*100</f>
        <v>9.1704805491990857</v>
      </c>
      <c r="P30" s="114">
        <f>('Hispanic &amp; Foreign'!W26/'All Races'!AB26)*100</f>
        <v>10.477412503871509</v>
      </c>
    </row>
    <row r="31" spans="1:16" ht="14.25">
      <c r="A31" s="111" t="s">
        <v>224</v>
      </c>
      <c r="B31" s="111"/>
      <c r="C31" s="111">
        <f>'Total Master''s'!AT27</f>
        <v>67638</v>
      </c>
      <c r="D31" s="112">
        <f>+(('Total Master''s'!AT27-'Total Master''s'!AO27)/'Total Master''s'!AO27)*100</f>
        <v>13.107023411371237</v>
      </c>
      <c r="E31" s="113">
        <f>+(Public!R27/'Total Master''s'!AO27)*100</f>
        <v>45.879598662207357</v>
      </c>
      <c r="F31" s="112">
        <f>+(Public!W27/'Total Master''s'!AT27)*100</f>
        <v>43.351370531358114</v>
      </c>
      <c r="G31" s="113">
        <f>+(Gender!CF27/'Total Master''s'!AO27)*100</f>
        <v>58.193979933110363</v>
      </c>
      <c r="H31" s="112">
        <f>+(Gender!CK27/'Total Master''s'!AT27)*100</f>
        <v>57.951151719447644</v>
      </c>
      <c r="I31" s="113">
        <f>+('Hispanic &amp; Foreign'!AN27/'Total Master''s'!AO27)*100</f>
        <v>13.07190635451505</v>
      </c>
      <c r="J31" s="112">
        <f>+('Hispanic &amp; Foreign'!AS27/'Total Master''s'!AT27)*100</f>
        <v>15.880126556077945</v>
      </c>
      <c r="K31" s="113">
        <f>+(Black!W27/'All Races'!W27)*100</f>
        <v>6.8774393201080812</v>
      </c>
      <c r="L31" s="177" t="str">
        <f>IF(Black!BN27&gt;0,((Black!BN27/Black!W27)*100), "NA")</f>
        <v>NA</v>
      </c>
      <c r="M31" s="113">
        <f>+(Black!AB27/'All Races'!AB27)*100</f>
        <v>6.8281063914251687</v>
      </c>
      <c r="N31" s="177" t="str">
        <f>IF(Black!BS27&gt;0,((Black!BS27/Black!AB27)*100), "NA")</f>
        <v>NA</v>
      </c>
      <c r="O31" s="113">
        <f>('Hispanic &amp; Foreign'!R27/'All Races'!W27)*100</f>
        <v>16.172836655042609</v>
      </c>
      <c r="P31" s="114">
        <f>('Hispanic &amp; Foreign'!W27/'All Races'!AB27)*100</f>
        <v>18.463676061929338</v>
      </c>
    </row>
    <row r="32" spans="1:16" ht="14.25">
      <c r="A32" s="111" t="s">
        <v>225</v>
      </c>
      <c r="B32" s="111"/>
      <c r="C32" s="111">
        <f>'Total Master''s'!AT28</f>
        <v>12661</v>
      </c>
      <c r="D32" s="112">
        <f>+(('Total Master''s'!AT28-'Total Master''s'!AO28)/'Total Master''s'!AO28)*100</f>
        <v>6.7178017532029664</v>
      </c>
      <c r="E32" s="113">
        <f>+(Public!R28/'Total Master''s'!AO28)*100</f>
        <v>44.554956169925823</v>
      </c>
      <c r="F32" s="112">
        <f>+(Public!W28/'Total Master''s'!AT28)*100</f>
        <v>54.608640707685019</v>
      </c>
      <c r="G32" s="113">
        <f>+(Gender!CF28/'Total Master''s'!AO28)*100</f>
        <v>57.737693863789616</v>
      </c>
      <c r="H32" s="112">
        <f>+(Gender!CK28/'Total Master''s'!AT28)*100</f>
        <v>58.289234657609981</v>
      </c>
      <c r="I32" s="113">
        <f>+('Hispanic &amp; Foreign'!AN28/'Total Master''s'!AO28)*100</f>
        <v>5.605192178017532</v>
      </c>
      <c r="J32" s="112">
        <f>+('Hispanic &amp; Foreign'!AS28/'Total Master''s'!AT28)*100</f>
        <v>7.7482031435115717</v>
      </c>
      <c r="K32" s="113">
        <f>+(Black!W28/'All Races'!W28)*100</f>
        <v>7.1521717323703475</v>
      </c>
      <c r="L32" s="177" t="str">
        <f>IF(Black!BN28&gt;0,((Black!BN28/Black!W28)*100), "NA")</f>
        <v>NA</v>
      </c>
      <c r="M32" s="113">
        <f>+(Black!AB28/'All Races'!AB28)*100</f>
        <v>4.6496021474451155</v>
      </c>
      <c r="N32" s="177" t="str">
        <f>IF(Black!BS28&gt;0,((Black!BS28/Black!AB28)*100), "NA")</f>
        <v>NA</v>
      </c>
      <c r="O32" s="113">
        <f>('Hispanic &amp; Foreign'!R28/'All Races'!W28)*100</f>
        <v>6.2894974420704184</v>
      </c>
      <c r="P32" s="114">
        <f>('Hispanic &amp; Foreign'!W28/'All Races'!AB28)*100</f>
        <v>7.918703863483846</v>
      </c>
    </row>
    <row r="33" spans="1:16">
      <c r="A33" s="115" t="s">
        <v>66</v>
      </c>
      <c r="B33" s="115"/>
      <c r="C33" s="107">
        <f>'Total Master''s'!AT29</f>
        <v>1978</v>
      </c>
      <c r="D33" s="108">
        <f>+(('Total Master''s'!AT29-'Total Master''s'!AO29)/'Total Master''s'!AO29)*100</f>
        <v>0.96988259315977532</v>
      </c>
      <c r="E33" s="109">
        <f>+(Public!R29/'Total Master''s'!AO29)*100</f>
        <v>59.673302705461971</v>
      </c>
      <c r="F33" s="108">
        <f>+(Public!W29/'Total Master''s'!AT29)*100</f>
        <v>55.358948432760371</v>
      </c>
      <c r="G33" s="109">
        <f>+(Gender!CF29/'Total Master''s'!AO29)*100</f>
        <v>61.255742725880545</v>
      </c>
      <c r="H33" s="108">
        <f>+(Gender!CK29/'Total Master''s'!AT29)*100</f>
        <v>63.852376137512636</v>
      </c>
      <c r="I33" s="109">
        <f>+('Hispanic &amp; Foreign'!AN29/'Total Master''s'!AO29)*100</f>
        <v>21.337417049515057</v>
      </c>
      <c r="J33" s="108">
        <f>+('Hispanic &amp; Foreign'!AS29/'Total Master''s'!AT29)*100</f>
        <v>14.509605662285136</v>
      </c>
      <c r="K33" s="109">
        <f>+(Black!W29/'All Races'!W29)*100</f>
        <v>2.3364485981308412</v>
      </c>
      <c r="L33" s="144" t="str">
        <f>IF(Black!BN29&gt;0,((Black!BN29/Black!W29)*100), "NA")</f>
        <v>NA</v>
      </c>
      <c r="M33" s="109">
        <f>+(Black!AB29/'All Races'!AB29)*100</f>
        <v>3.6328871892925432</v>
      </c>
      <c r="N33" s="144" t="str">
        <f>IF(Black!BS29&gt;0,((Black!BS29/Black!AB29)*100), "NA")</f>
        <v>NA</v>
      </c>
      <c r="O33" s="109">
        <f>('Hispanic &amp; Foreign'!R29/'All Races'!W29)*100</f>
        <v>3.3377837116154869</v>
      </c>
      <c r="P33" s="110">
        <f>('Hispanic &amp; Foreign'!W29/'All Races'!AB29)*100</f>
        <v>7.903123008285533</v>
      </c>
    </row>
    <row r="34" spans="1:16">
      <c r="A34" s="115" t="s">
        <v>67</v>
      </c>
      <c r="B34" s="115"/>
      <c r="C34" s="107">
        <f>'Total Master''s'!AT30</f>
        <v>2049</v>
      </c>
      <c r="D34" s="108">
        <f>+(('Total Master''s'!AT30-'Total Master''s'!AO30)/'Total Master''s'!AO30)*100</f>
        <v>30.012690355329951</v>
      </c>
      <c r="E34" s="109">
        <f>+(Public!R30/'Total Master''s'!AO30)*100</f>
        <v>86.167512690355323</v>
      </c>
      <c r="F34" s="108">
        <f>+(Public!W30/'Total Master''s'!AT30)*100</f>
        <v>85.944363103953151</v>
      </c>
      <c r="G34" s="109">
        <f>+(Gender!CF30/'Total Master''s'!AO30)*100</f>
        <v>52.220812182741113</v>
      </c>
      <c r="H34" s="108">
        <f>+(Gender!CK30/'Total Master''s'!AT30)*100</f>
        <v>54.953635919960952</v>
      </c>
      <c r="I34" s="109">
        <f>+('Hispanic &amp; Foreign'!AN30/'Total Master''s'!AO30)*100</f>
        <v>6.091370558375635</v>
      </c>
      <c r="J34" s="108">
        <f>+('Hispanic &amp; Foreign'!AS30/'Total Master''s'!AT30)*100</f>
        <v>6.9790141532454859</v>
      </c>
      <c r="K34" s="109">
        <f>+(Black!W30/'All Races'!W30)*100</f>
        <v>0.43763676148796499</v>
      </c>
      <c r="L34" s="144" t="str">
        <f>IF(Black!BN30&gt;0,((Black!BN30/Black!W30)*100), "NA")</f>
        <v>NA</v>
      </c>
      <c r="M34" s="109">
        <f>+(Black!AB30/'All Races'!AB30)*100</f>
        <v>1.2359550561797752</v>
      </c>
      <c r="N34" s="144" t="str">
        <f>IF(Black!BS30&gt;0,((Black!BS30/Black!AB30)*100), "NA")</f>
        <v>NA</v>
      </c>
      <c r="O34" s="109">
        <f>('Hispanic &amp; Foreign'!R30/'All Races'!W30)*100</f>
        <v>3.4281546316557256</v>
      </c>
      <c r="P34" s="110">
        <f>('Hispanic &amp; Foreign'!W30/'All Races'!AB30)*100</f>
        <v>4.382022471910112</v>
      </c>
    </row>
    <row r="35" spans="1:16">
      <c r="A35" s="115" t="s">
        <v>68</v>
      </c>
      <c r="B35" s="115"/>
      <c r="C35" s="107">
        <f>'Total Master''s'!AT31</f>
        <v>1280</v>
      </c>
      <c r="D35" s="108">
        <f>+(('Total Master''s'!AT31-'Total Master''s'!AO31)/'Total Master''s'!AO31)*100</f>
        <v>14.90125673249551</v>
      </c>
      <c r="E35" s="109">
        <f>+(Public!R31/'Total Master''s'!AO31)*100</f>
        <v>94.883303411131052</v>
      </c>
      <c r="F35" s="108">
        <f>+(Public!W31/'Total Master''s'!AT31)*100</f>
        <v>94.84375</v>
      </c>
      <c r="G35" s="109">
        <f>+(Gender!CF31/'Total Master''s'!AO31)*100</f>
        <v>55.11669658886894</v>
      </c>
      <c r="H35" s="108">
        <f>+(Gender!CK31/'Total Master''s'!AT31)*100</f>
        <v>60.859375000000007</v>
      </c>
      <c r="I35" s="109">
        <f>+('Hispanic &amp; Foreign'!AN31/'Total Master''s'!AO31)*100</f>
        <v>4.3985637342908435</v>
      </c>
      <c r="J35" s="108">
        <f>+('Hispanic &amp; Foreign'!AS31/'Total Master''s'!AT31)*100</f>
        <v>3.8281250000000004</v>
      </c>
      <c r="K35" s="109">
        <f>+(Black!W31/'All Races'!W31)*100</f>
        <v>0.43336944745395445</v>
      </c>
      <c r="L35" s="144" t="str">
        <f>IF(Black!BN31&gt;0,((Black!BN31/Black!W31)*100), "NA")</f>
        <v>NA</v>
      </c>
      <c r="M35" s="109">
        <f>+(Black!AB31/'All Races'!AB31)*100</f>
        <v>0.24896265560165973</v>
      </c>
      <c r="N35" s="144" t="str">
        <f>IF(Black!BS31&gt;0,((Black!BS31/Black!AB31)*100), "NA")</f>
        <v>NA</v>
      </c>
      <c r="O35" s="109">
        <f>('Hispanic &amp; Foreign'!R31/'All Races'!W31)*100</f>
        <v>0.8667388949079089</v>
      </c>
      <c r="P35" s="110">
        <f>('Hispanic &amp; Foreign'!W31/'All Races'!AB31)*100</f>
        <v>2.3236514522821579</v>
      </c>
    </row>
    <row r="36" spans="1:16">
      <c r="A36" s="115" t="s">
        <v>69</v>
      </c>
      <c r="B36" s="115"/>
      <c r="C36" s="107">
        <f>'Total Master''s'!AT32</f>
        <v>2246</v>
      </c>
      <c r="D36" s="108">
        <f>+(('Total Master''s'!AT32-'Total Master''s'!AO32)/'Total Master''s'!AO32)*100</f>
        <v>-12.538940809968846</v>
      </c>
      <c r="E36" s="109">
        <f>+(Public!R32/'Total Master''s'!AO32)*100</f>
        <v>77.10280373831776</v>
      </c>
      <c r="F36" s="108">
        <f>+(Public!W32/'Total Master''s'!AT32)*100</f>
        <v>75.378450578806763</v>
      </c>
      <c r="G36" s="109">
        <f>+(Gender!CF32/'Total Master''s'!AO32)*100</f>
        <v>63.200934579439249</v>
      </c>
      <c r="H36" s="108">
        <f>+(Gender!CK32/'Total Master''s'!AT32)*100</f>
        <v>58.771148708815666</v>
      </c>
      <c r="I36" s="109">
        <f>+('Hispanic &amp; Foreign'!AN32/'Total Master''s'!AO32)*100</f>
        <v>7.0482866043613699</v>
      </c>
      <c r="J36" s="108">
        <f>+('Hispanic &amp; Foreign'!AS32/'Total Master''s'!AT32)*100</f>
        <v>5.4318788958147817</v>
      </c>
      <c r="K36" s="109">
        <f>+(Black!W32/'All Races'!W32)*100</f>
        <v>8.5403726708074537</v>
      </c>
      <c r="L36" s="144" t="str">
        <f>IF(Black!BN32&gt;0,((Black!BN32/Black!W32)*100), "NA")</f>
        <v>NA</v>
      </c>
      <c r="M36" s="109">
        <f>+(Black!AB32/'All Races'!AB32)*100</f>
        <v>7.0148489503328211</v>
      </c>
      <c r="N36" s="144" t="str">
        <f>IF(Black!BS32&gt;0,((Black!BS32/Black!AB32)*100), "NA")</f>
        <v>NA</v>
      </c>
      <c r="O36" s="109">
        <f>('Hispanic &amp; Foreign'!R32/'All Races'!W32)*100</f>
        <v>6.8840579710144931</v>
      </c>
      <c r="P36" s="110">
        <f>('Hispanic &amp; Foreign'!W32/'All Races'!AB32)*100</f>
        <v>10.496671786994368</v>
      </c>
    </row>
    <row r="37" spans="1:16">
      <c r="A37" s="111" t="s">
        <v>70</v>
      </c>
      <c r="B37" s="111"/>
      <c r="C37" s="111">
        <f>'Total Master''s'!AT33</f>
        <v>3239</v>
      </c>
      <c r="D37" s="112">
        <f>+(('Total Master''s'!AT33-'Total Master''s'!AO33)/'Total Master''s'!AO33)*100</f>
        <v>-1.8484848484848486</v>
      </c>
      <c r="E37" s="113">
        <f>+(Public!R33/'Total Master''s'!AO33)*100</f>
        <v>79.060606060606062</v>
      </c>
      <c r="F37" s="112">
        <f>+(Public!W33/'Total Master''s'!AT33)*100</f>
        <v>88.175362766285886</v>
      </c>
      <c r="G37" s="113">
        <f>+(Gender!CF33/'Total Master''s'!AO33)*100</f>
        <v>62.696969696969695</v>
      </c>
      <c r="H37" s="112">
        <f>+(Gender!CK33/'Total Master''s'!AT33)*100</f>
        <v>61.716579191108366</v>
      </c>
      <c r="I37" s="113">
        <f>+('Hispanic &amp; Foreign'!AN33/'Total Master''s'!AO33)*100</f>
        <v>10.787878787878787</v>
      </c>
      <c r="J37" s="112">
        <f>+('Hispanic &amp; Foreign'!AS33/'Total Master''s'!AT33)*100</f>
        <v>8.4902747761654833</v>
      </c>
      <c r="K37" s="113">
        <f>+(Black!W33/'All Races'!W33)*100</f>
        <v>2.3051591657519208</v>
      </c>
      <c r="L37" s="177" t="str">
        <f>IF(Black!BN33&gt;0,((Black!BN33/Black!W33)*100), "NA")</f>
        <v>NA</v>
      </c>
      <c r="M37" s="113">
        <f>+(Black!AB33/'All Races'!AB33)*100</f>
        <v>2.8560830860534123</v>
      </c>
      <c r="N37" s="177" t="str">
        <f>IF(Black!BS33&gt;0,((Black!BS33/Black!AB33)*100), "NA")</f>
        <v>NA</v>
      </c>
      <c r="O37" s="113">
        <f>('Hispanic &amp; Foreign'!R33/'All Races'!W33)*100</f>
        <v>32.491767288693744</v>
      </c>
      <c r="P37" s="114">
        <f>('Hispanic &amp; Foreign'!W33/'All Races'!AB33)*100</f>
        <v>35.051928783382792</v>
      </c>
    </row>
    <row r="38" spans="1:16">
      <c r="A38" s="111" t="s">
        <v>71</v>
      </c>
      <c r="B38" s="111"/>
      <c r="C38" s="111">
        <f>'Total Master''s'!AT34</f>
        <v>7521</v>
      </c>
      <c r="D38" s="112">
        <f>+(('Total Master''s'!AT34-'Total Master''s'!AO34)/'Total Master''s'!AO34)*100</f>
        <v>26.276024177300201</v>
      </c>
      <c r="E38" s="113">
        <f>+(Public!R34/'Total Master''s'!AO34)*100</f>
        <v>63.482202820685018</v>
      </c>
      <c r="F38" s="112">
        <f>+(Public!W34/'Total Master''s'!AT34)*100</f>
        <v>55.0857598723574</v>
      </c>
      <c r="G38" s="113">
        <f>+(Gender!CF34/'Total Master''s'!AO34)*100</f>
        <v>61.836803223640025</v>
      </c>
      <c r="H38" s="112">
        <f>+(Gender!CK34/'Total Master''s'!AT34)*100</f>
        <v>63.010238000265915</v>
      </c>
      <c r="I38" s="113">
        <f>+('Hispanic &amp; Foreign'!AN34/'Total Master''s'!AO34)*100</f>
        <v>8.2269979852249833</v>
      </c>
      <c r="J38" s="112">
        <f>+('Hispanic &amp; Foreign'!AS34/'Total Master''s'!AT34)*100</f>
        <v>7.6053716261135484</v>
      </c>
      <c r="K38" s="113">
        <f>+(Black!W34/'All Races'!W34)*100</f>
        <v>1.8530085363314595</v>
      </c>
      <c r="L38" s="177" t="str">
        <f>IF(Black!BN34&gt;0,((Black!BN34/Black!W34)*100), "NA")</f>
        <v>NA</v>
      </c>
      <c r="M38" s="113">
        <f>+(Black!AB34/'All Races'!AB34)*100</f>
        <v>4.1193844240634228</v>
      </c>
      <c r="N38" s="177" t="str">
        <f>IF(Black!BS34&gt;0,((Black!BS34/Black!AB34)*100), "NA")</f>
        <v>NA</v>
      </c>
      <c r="O38" s="113">
        <f>('Hispanic &amp; Foreign'!R34/'All Races'!W34)*100</f>
        <v>3.8309389964605458</v>
      </c>
      <c r="P38" s="114">
        <f>('Hispanic &amp; Foreign'!W34/'All Races'!AB34)*100</f>
        <v>5.6427794186227267</v>
      </c>
    </row>
    <row r="39" spans="1:16" ht="14.25">
      <c r="A39" s="111" t="s">
        <v>226</v>
      </c>
      <c r="B39" s="111"/>
      <c r="C39" s="111">
        <f>'Total Master''s'!AT35</f>
        <v>5476</v>
      </c>
      <c r="D39" s="112">
        <f>+(('Total Master''s'!AT35-'Total Master''s'!AO35)/'Total Master''s'!AO35)*100</f>
        <v>8.3069620253164551</v>
      </c>
      <c r="E39" s="113">
        <f>+(Public!R35/'Total Master''s'!AO35)*100</f>
        <v>57.75316455696202</v>
      </c>
      <c r="F39" s="112">
        <f>+(Public!W35/'Total Master''s'!AT35)*100</f>
        <v>63.933528122717306</v>
      </c>
      <c r="G39" s="113">
        <f>+(Gender!CF35/'Total Master''s'!AO35)*100</f>
        <v>45.668512658227847</v>
      </c>
      <c r="H39" s="112">
        <f>+(Gender!CK35/'Total Master''s'!AT35)*100</f>
        <v>43.352812271731189</v>
      </c>
      <c r="I39" s="113">
        <f>+('Hispanic &amp; Foreign'!AN35/'Total Master''s'!AO35)*100</f>
        <v>5.4984177215189876</v>
      </c>
      <c r="J39" s="112">
        <f>+('Hispanic &amp; Foreign'!AS35/'Total Master''s'!AT35)*100</f>
        <v>7.8341855368882403</v>
      </c>
      <c r="K39" s="113">
        <f>+(Black!W35/'All Races'!W35)*100</f>
        <v>0.89490592014685633</v>
      </c>
      <c r="L39" s="177" t="str">
        <f>IF(Black!BN35&gt;0,((Black!BN35/Black!W35)*100), "NA")</f>
        <v>NA</v>
      </c>
      <c r="M39" s="113">
        <f>+(Black!AB35/'All Races'!AB35)*100</f>
        <v>0.98269600512710964</v>
      </c>
      <c r="N39" s="177" t="str">
        <f>IF(Black!BS35&gt;0,((Black!BS35/Black!AB35)*100), "NA")</f>
        <v>NA</v>
      </c>
      <c r="O39" s="113">
        <f>('Hispanic &amp; Foreign'!R35/'All Races'!W35)*100</f>
        <v>2.6388251491509864</v>
      </c>
      <c r="P39" s="114">
        <f>('Hispanic &amp; Foreign'!W35/'All Races'!AB35)*100</f>
        <v>4.6571245460371715</v>
      </c>
    </row>
    <row r="40" spans="1:16">
      <c r="A40" s="111" t="s">
        <v>73</v>
      </c>
      <c r="B40" s="111"/>
      <c r="C40" s="111">
        <f>'Total Master''s'!AT36</f>
        <v>9519</v>
      </c>
      <c r="D40" s="112">
        <f>+(('Total Master''s'!AT36-'Total Master''s'!AO36)/'Total Master''s'!AO36)*100</f>
        <v>8.0722070844686655</v>
      </c>
      <c r="E40" s="113">
        <f>+(Public!R36/'Total Master''s'!AO36)*100</f>
        <v>53.530881017257038</v>
      </c>
      <c r="F40" s="112">
        <f>+(Public!W36/'Total Master''s'!AT36)*100</f>
        <v>61.035823090660777</v>
      </c>
      <c r="G40" s="113">
        <f>+(Gender!CF36/'Total Master''s'!AO36)*100</f>
        <v>60.876475930971843</v>
      </c>
      <c r="H40" s="112">
        <f>+(Gender!CK36/'Total Master''s'!AT36)*100</f>
        <v>59.922260741674549</v>
      </c>
      <c r="I40" s="113">
        <f>+('Hispanic &amp; Foreign'!AN36/'Total Master''s'!AO36)*100</f>
        <v>9.8092643051771127</v>
      </c>
      <c r="J40" s="112">
        <f>+('Hispanic &amp; Foreign'!AS36/'Total Master''s'!AT36)*100</f>
        <v>9.9905452253387956</v>
      </c>
      <c r="K40" s="113">
        <f>+(Black!W36/'All Races'!W36)*100</f>
        <v>3.5440756870400962</v>
      </c>
      <c r="L40" s="177">
        <f>IF(Black!BN36&gt;0,((Black!BN36/Black!W36)*100), "NA")</f>
        <v>8.898305084745763</v>
      </c>
      <c r="M40" s="113">
        <f>+(Black!AB36/'All Races'!AB36)*100</f>
        <v>4.0141378439787934</v>
      </c>
      <c r="N40" s="177">
        <f>IF(Black!BS36&gt;0,((Black!BS36/Black!AB36)*100), "NA")</f>
        <v>8.4905660377358494</v>
      </c>
      <c r="O40" s="113">
        <f>('Hispanic &amp; Foreign'!R36/'All Races'!W36)*100</f>
        <v>4.0997146718726531</v>
      </c>
      <c r="P40" s="114">
        <f>('Hispanic &amp; Foreign'!W36/'All Races'!AB36)*100</f>
        <v>6.1474375157788437</v>
      </c>
    </row>
    <row r="41" spans="1:16">
      <c r="A41" s="121" t="s">
        <v>74</v>
      </c>
      <c r="B41" s="121"/>
      <c r="C41" s="121">
        <f>'Total Master''s'!AT37</f>
        <v>486</v>
      </c>
      <c r="D41" s="122">
        <f>+(('Total Master''s'!AT37-'Total Master''s'!AO37)/'Total Master''s'!AO37)*100</f>
        <v>14.893617021276595</v>
      </c>
      <c r="E41" s="169">
        <f>+(Public!R37/'Total Master''s'!AO37)*100</f>
        <v>98.581560283687935</v>
      </c>
      <c r="F41" s="122">
        <f>+(Public!W37/'Total Master''s'!AT37)*100</f>
        <v>100</v>
      </c>
      <c r="G41" s="169">
        <f>+(Gender!CF37/'Total Master''s'!AO37)*100</f>
        <v>61.938534278959814</v>
      </c>
      <c r="H41" s="122">
        <f>+(Gender!CK37/'Total Master''s'!AT37)*100</f>
        <v>58.024691358024697</v>
      </c>
      <c r="I41" s="169">
        <f>+('Hispanic &amp; Foreign'!AN37/'Total Master''s'!AO37)*100</f>
        <v>6.6193853427895979</v>
      </c>
      <c r="J41" s="122">
        <f>+('Hispanic &amp; Foreign'!AS37/'Total Master''s'!AT37)*100</f>
        <v>13.168724279835391</v>
      </c>
      <c r="K41" s="169">
        <f>+(Black!W37/'All Races'!W37)*100</f>
        <v>0.58139534883720934</v>
      </c>
      <c r="L41" s="178" t="str">
        <f>IF(Black!BN37&gt;0,((Black!BN37/Black!W37)*100), "NA")</f>
        <v>NA</v>
      </c>
      <c r="M41" s="169">
        <f>+(Black!AB37/'All Races'!AB37)*100</f>
        <v>0.51282051282051277</v>
      </c>
      <c r="N41" s="178" t="str">
        <f>IF(Black!BS37&gt;0,((Black!BS37/Black!AB37)*100), "NA")</f>
        <v>NA</v>
      </c>
      <c r="O41" s="123">
        <f>('Hispanic &amp; Foreign'!R37/'All Races'!W37)*100</f>
        <v>1.7441860465116279</v>
      </c>
      <c r="P41" s="123">
        <f>('Hispanic &amp; Foreign'!W37/'All Races'!AB37)*100</f>
        <v>4.6153846153846159</v>
      </c>
    </row>
    <row r="42" spans="1:16">
      <c r="A42" s="107" t="s">
        <v>75</v>
      </c>
      <c r="B42" s="107"/>
      <c r="C42" s="107">
        <f>'Total Master''s'!AT38</f>
        <v>167630</v>
      </c>
      <c r="D42" s="108">
        <f>+(('Total Master''s'!AT38-'Total Master''s'!AO38)/'Total Master''s'!AO38)*100</f>
        <v>7.1392049086028377</v>
      </c>
      <c r="E42" s="109">
        <f>+(Public!R38/'Total Master''s'!AO38)*100</f>
        <v>48.15416080787422</v>
      </c>
      <c r="F42" s="108">
        <f>+(Public!W38/'Total Master''s'!AT38)*100</f>
        <v>49.727375768060611</v>
      </c>
      <c r="G42" s="109">
        <f>+(Gender!CF38/'Total Master''s'!AO38)*100</f>
        <v>60.626997315607824</v>
      </c>
      <c r="H42" s="108">
        <f>+(Gender!CK38/'Total Master''s'!AT38)*100</f>
        <v>59.223289387341168</v>
      </c>
      <c r="I42" s="109">
        <f>+('Hispanic &amp; Foreign'!AN38/'Total Master''s'!AO38)*100</f>
        <v>11.166432314968681</v>
      </c>
      <c r="J42" s="108">
        <f>+('Hispanic &amp; Foreign'!AS38/'Total Master''s'!AT38)*100</f>
        <v>12.529380182544891</v>
      </c>
      <c r="K42" s="109">
        <f>+(Black!W38/'All Races'!W38)*100</f>
        <v>10.409789682165425</v>
      </c>
      <c r="L42" s="144">
        <f>IF(Black!BN38&gt;0,((Black!BN38/Black!W38)*100), "NA")</f>
        <v>3.5107587768969424</v>
      </c>
      <c r="M42" s="109">
        <f>+(Black!AB38/'All Races'!AB38)*100</f>
        <v>12.113926935603638</v>
      </c>
      <c r="N42" s="144">
        <f>IF(Black!BS38&gt;0,((Black!BS38/Black!AB38)*100), "NA")</f>
        <v>2.6218364993627481</v>
      </c>
      <c r="O42" s="109">
        <f>('Hispanic &amp; Foreign'!R38/'All Races'!W38)*100</f>
        <v>3.3622559652928414</v>
      </c>
      <c r="P42" s="110">
        <f>('Hispanic &amp; Foreign'!W38/'All Races'!AB38)*100</f>
        <v>4.2266775476594836</v>
      </c>
    </row>
    <row r="43" spans="1:16">
      <c r="A43" s="107" t="s">
        <v>212</v>
      </c>
      <c r="B43" s="107"/>
      <c r="C43" s="109">
        <f>'Total Master''s'!AT39</f>
        <v>23.144427968266328</v>
      </c>
      <c r="D43" s="108"/>
      <c r="E43" s="109"/>
      <c r="F43" s="108"/>
      <c r="G43" s="109"/>
      <c r="H43" s="108"/>
      <c r="I43" s="109"/>
      <c r="J43" s="108"/>
      <c r="K43" s="109"/>
      <c r="L43" s="144"/>
      <c r="M43" s="109"/>
      <c r="N43" s="144"/>
      <c r="O43" s="109"/>
      <c r="P43" s="110"/>
    </row>
    <row r="44" spans="1:16" ht="14.25">
      <c r="A44" s="111" t="s">
        <v>227</v>
      </c>
      <c r="B44" s="111"/>
      <c r="C44" s="111">
        <f>'Total Master''s'!AT40</f>
        <v>41866</v>
      </c>
      <c r="D44" s="112">
        <f>+(('Total Master''s'!AT40-'Total Master''s'!AO40)/'Total Master''s'!AO40)*100</f>
        <v>6.4236508299651742</v>
      </c>
      <c r="E44" s="113">
        <f>+(Public!R40/'Total Master''s'!AO40)*100</f>
        <v>31.192963725564958</v>
      </c>
      <c r="F44" s="112">
        <f>+(Public!W40/'Total Master''s'!AT40)*100</f>
        <v>29.458271628529115</v>
      </c>
      <c r="G44" s="113">
        <f>+(Gender!CF40/'Total Master''s'!AO40)*100</f>
        <v>59.467703805383962</v>
      </c>
      <c r="H44" s="112">
        <f>+(Gender!CK40/'Total Master''s'!AT40)*100</f>
        <v>58.818611761333784</v>
      </c>
      <c r="I44" s="113">
        <f>+('Hispanic &amp; Foreign'!AN40/'Total Master''s'!AO40)*100</f>
        <v>13.703957904369709</v>
      </c>
      <c r="J44" s="112">
        <f>+('Hispanic &amp; Foreign'!AS40/'Total Master''s'!AT40)*100</f>
        <v>15.303587636745808</v>
      </c>
      <c r="K44" s="113">
        <f>+(Black!W40/'All Races'!W40)*100</f>
        <v>12.896185543503048</v>
      </c>
      <c r="L44" s="177">
        <f>IF(Black!BN40&gt;0,((Black!BN40/Black!W40)*100), "NA")</f>
        <v>5.935842384440515</v>
      </c>
      <c r="M44" s="113">
        <f>+(Black!AB40/'All Races'!AB40)*100</f>
        <v>13.949819014324166</v>
      </c>
      <c r="N44" s="177">
        <f>IF(Black!BS40&gt;0,((Black!BS40/Black!AB40)*100), "NA")</f>
        <v>5.1896207584830334</v>
      </c>
      <c r="O44" s="113">
        <f>('Hispanic &amp; Foreign'!R40/'All Races'!W40)*100</f>
        <v>5.4855207010000324</v>
      </c>
      <c r="P44" s="114">
        <f>('Hispanic &amp; Foreign'!W40/'All Races'!AB40)*100</f>
        <v>6.8341428704018812</v>
      </c>
    </row>
    <row r="45" spans="1:16">
      <c r="A45" s="111" t="s">
        <v>77</v>
      </c>
      <c r="B45" s="111"/>
      <c r="C45" s="111">
        <f>'Total Master''s'!AT41</f>
        <v>14663</v>
      </c>
      <c r="D45" s="112">
        <f>+(('Total Master''s'!AT41-'Total Master''s'!AO41)/'Total Master''s'!AO41)*100</f>
        <v>19.114541023558083</v>
      </c>
      <c r="E45" s="113">
        <f>+(Public!R41/'Total Master''s'!AO41)*100</f>
        <v>62.558895207148659</v>
      </c>
      <c r="F45" s="112">
        <f>+(Public!W41/'Total Master''s'!AT41)*100</f>
        <v>65.395894428152488</v>
      </c>
      <c r="G45" s="113">
        <f>+(Gender!CF41/'Total Master''s'!AO41)*100</f>
        <v>55.35337124289196</v>
      </c>
      <c r="H45" s="112">
        <f>+(Gender!CK41/'Total Master''s'!AT41)*100</f>
        <v>55.773034167632815</v>
      </c>
      <c r="I45" s="113">
        <f>+('Hispanic &amp; Foreign'!AN41/'Total Master''s'!AO41)*100</f>
        <v>13.736799350121853</v>
      </c>
      <c r="J45" s="112">
        <f>+('Hispanic &amp; Foreign'!AS41/'Total Master''s'!AT41)*100</f>
        <v>14.362681579485781</v>
      </c>
      <c r="K45" s="113">
        <f>+(Black!W41/'All Races'!W41)*100</f>
        <v>9.0638340117144853</v>
      </c>
      <c r="L45" s="177">
        <f>IF(Black!BN41&gt;0,((Black!BN41/Black!W41)*100), "NA")</f>
        <v>3.943044906900329</v>
      </c>
      <c r="M45" s="113">
        <f>+(Black!AB41/'All Races'!AB41)*100</f>
        <v>8.3486085652391271</v>
      </c>
      <c r="N45" s="177">
        <f>IF(Black!BS41&gt;0,((Black!BS41/Black!AB41)*100), "NA")</f>
        <v>0.5988023952095809</v>
      </c>
      <c r="O45" s="113">
        <f>('Hispanic &amp; Foreign'!R41/'All Races'!W41)*100</f>
        <v>2.8492008339124393</v>
      </c>
      <c r="P45" s="114">
        <f>('Hispanic &amp; Foreign'!W41/'All Races'!AB41)*100</f>
        <v>3.5494084319280117</v>
      </c>
    </row>
    <row r="46" spans="1:16">
      <c r="A46" s="111" t="s">
        <v>78</v>
      </c>
      <c r="B46" s="111"/>
      <c r="C46" s="111">
        <f>'Total Master''s'!AT42</f>
        <v>12127</v>
      </c>
      <c r="D46" s="112">
        <f>+(('Total Master''s'!AT42-'Total Master''s'!AO42)/'Total Master''s'!AO42)*100</f>
        <v>130.68289899182045</v>
      </c>
      <c r="E46" s="113">
        <f>+(Public!R42/'Total Master''s'!AO42)*100</f>
        <v>50.047555640098921</v>
      </c>
      <c r="F46" s="112">
        <f>+(Public!W42/'Total Master''s'!AT42)*100</f>
        <v>22.214892388884309</v>
      </c>
      <c r="G46" s="113">
        <f>+(Gender!CF42/'Total Master''s'!AO42)*100</f>
        <v>59.729883964238162</v>
      </c>
      <c r="H46" s="112">
        <f>+(Gender!CK42/'Total Master''s'!AT42)*100</f>
        <v>67.38682279211676</v>
      </c>
      <c r="I46" s="113">
        <f>+('Hispanic &amp; Foreign'!AN42/'Total Master''s'!AO42)*100</f>
        <v>13.144378923340309</v>
      </c>
      <c r="J46" s="112">
        <f>+('Hispanic &amp; Foreign'!AS42/'Total Master''s'!AT42)*100</f>
        <v>6.3659602539787254</v>
      </c>
      <c r="K46" s="113">
        <f>+(Black!W42/'All Races'!W42)*100</f>
        <v>4.3755433207765861</v>
      </c>
      <c r="L46" s="177" t="str">
        <f>IF(Black!BN42&gt;0,((Black!BN42/Black!W42)*100), "NA")</f>
        <v>NA</v>
      </c>
      <c r="M46" s="113">
        <f>+(Black!AB42/'All Races'!AB42)*100</f>
        <v>26.294779938587514</v>
      </c>
      <c r="N46" s="177" t="str">
        <f>IF(Black!BS42&gt;0,((Black!BS42/Black!AB42)*100), "NA")</f>
        <v>NA</v>
      </c>
      <c r="O46" s="113">
        <f>('Hispanic &amp; Foreign'!R42/'All Races'!W42)*100</f>
        <v>2.028397565922921</v>
      </c>
      <c r="P46" s="114">
        <f>('Hispanic &amp; Foreign'!W42/'All Races'!AB42)*100</f>
        <v>5.6601842374616167</v>
      </c>
    </row>
    <row r="47" spans="1:16">
      <c r="A47" s="111" t="s">
        <v>79</v>
      </c>
      <c r="B47" s="111"/>
      <c r="C47" s="111">
        <f>'Total Master''s'!AT43</f>
        <v>6586</v>
      </c>
      <c r="D47" s="112">
        <f>+(('Total Master''s'!AT43-'Total Master''s'!AO43)/'Total Master''s'!AO43)*100</f>
        <v>5.0733886407147422</v>
      </c>
      <c r="E47" s="113">
        <f>+(Public!R43/'Total Master''s'!AO43)*100</f>
        <v>68.985322271857058</v>
      </c>
      <c r="F47" s="112">
        <f>+(Public!W43/'Total Master''s'!AT43)*100</f>
        <v>74.445794108715461</v>
      </c>
      <c r="G47" s="113">
        <f>+(Gender!CF43/'Total Master''s'!AO43)*100</f>
        <v>61.024250159540529</v>
      </c>
      <c r="H47" s="112">
        <f>+(Gender!CK43/'Total Master''s'!AT43)*100</f>
        <v>60.628606134224114</v>
      </c>
      <c r="I47" s="113">
        <f>+('Hispanic &amp; Foreign'!AN43/'Total Master''s'!AO43)*100</f>
        <v>10.976388002552648</v>
      </c>
      <c r="J47" s="112">
        <f>+('Hispanic &amp; Foreign'!AS43/'Total Master''s'!AT43)*100</f>
        <v>10.112359550561797</v>
      </c>
      <c r="K47" s="113">
        <f>+(Black!W43/'All Races'!W43)*100</f>
        <v>4.7901896915117845</v>
      </c>
      <c r="L47" s="177" t="str">
        <f>IF(Black!BN43&gt;0,((Black!BN43/Black!W43)*100), "NA")</f>
        <v>NA</v>
      </c>
      <c r="M47" s="113">
        <f>+(Black!AB43/'All Races'!AB43)*100</f>
        <v>5.4432624113475176</v>
      </c>
      <c r="N47" s="177" t="str">
        <f>IF(Black!BS43&gt;0,((Black!BS43/Black!AB43)*100), "NA")</f>
        <v>NA</v>
      </c>
      <c r="O47" s="113">
        <f>('Hispanic &amp; Foreign'!R43/'All Races'!W43)*100</f>
        <v>3.4489365778884848</v>
      </c>
      <c r="P47" s="114">
        <f>('Hispanic &amp; Foreign'!W43/'All Races'!AB43)*100</f>
        <v>4.5212765957446814</v>
      </c>
    </row>
    <row r="48" spans="1:16">
      <c r="A48" s="115" t="s">
        <v>80</v>
      </c>
      <c r="B48" s="115"/>
      <c r="C48" s="107">
        <f>'Total Master''s'!AT44</f>
        <v>21048</v>
      </c>
      <c r="D48" s="108">
        <f>+(('Total Master''s'!AT44-'Total Master''s'!AO44)/'Total Master''s'!AO44)*100</f>
        <v>0.6840468787371442</v>
      </c>
      <c r="E48" s="109">
        <f>+(Public!R44/'Total Master''s'!AO44)*100</f>
        <v>75.144702224348237</v>
      </c>
      <c r="F48" s="108">
        <f>+(Public!W44/'Total Master''s'!AT44)*100</f>
        <v>77.950399087799312</v>
      </c>
      <c r="G48" s="109">
        <f>+(Gender!CF44/'Total Master''s'!AO44)*100</f>
        <v>58.18225304950969</v>
      </c>
      <c r="H48" s="108">
        <f>+(Gender!CK44/'Total Master''s'!AT44)*100</f>
        <v>56.793994678829343</v>
      </c>
      <c r="I48" s="109">
        <f>+('Hispanic &amp; Foreign'!AN44/'Total Master''s'!AO44)*100</f>
        <v>12.528103324563503</v>
      </c>
      <c r="J48" s="108">
        <f>+('Hispanic &amp; Foreign'!AS44/'Total Master''s'!AT44)*100</f>
        <v>15.440896997339415</v>
      </c>
      <c r="K48" s="109">
        <f>+(Black!W44/'All Races'!W44)*100</f>
        <v>13.517441860465116</v>
      </c>
      <c r="L48" s="144">
        <f>IF(Black!BN44&gt;0,((Black!BN44/Black!W44)*100), "NA")</f>
        <v>4.817204301075269</v>
      </c>
      <c r="M48" s="109">
        <f>+(Black!AB44/'All Races'!AB44)*100</f>
        <v>12.606786900806835</v>
      </c>
      <c r="N48" s="144">
        <f>IF(Black!BS44&gt;0,((Black!BS44/Black!AB44)*100), "NA")</f>
        <v>5.6000000000000005</v>
      </c>
      <c r="O48" s="109">
        <f>('Hispanic &amp; Foreign'!R44/'All Races'!W44)*100</f>
        <v>2.9011627906976747</v>
      </c>
      <c r="P48" s="110">
        <f>('Hispanic &amp; Foreign'!W44/'All Races'!AB44)*100</f>
        <v>3.4943046986236355</v>
      </c>
    </row>
    <row r="49" spans="1:16" ht="14.25">
      <c r="A49" s="115" t="s">
        <v>228</v>
      </c>
      <c r="B49" s="115"/>
      <c r="C49" s="107">
        <f>'Total Master''s'!AT45</f>
        <v>10392</v>
      </c>
      <c r="D49" s="108">
        <f>+(('Total Master''s'!AT45-'Total Master''s'!AO45)/'Total Master''s'!AO45)*100</f>
        <v>-42.30512991339107</v>
      </c>
      <c r="E49" s="109">
        <f>+(Public!R45/'Total Master''s'!AO45)*100</f>
        <v>27.348434377081944</v>
      </c>
      <c r="F49" s="108">
        <f>+(Public!W45/'Total Master''s'!AT45)*100</f>
        <v>49.913394919168589</v>
      </c>
      <c r="G49" s="109">
        <f>+(Gender!CF45/'Total Master''s'!AO45)*100</f>
        <v>70.186542305129919</v>
      </c>
      <c r="H49" s="108">
        <f>+(Gender!CK45/'Total Master''s'!AT45)*100</f>
        <v>61.80715935334873</v>
      </c>
      <c r="I49" s="109">
        <f>+('Hispanic &amp; Foreign'!AN45/'Total Master''s'!AO45)*100</f>
        <v>5.2131912058627581</v>
      </c>
      <c r="J49" s="108">
        <f>+('Hispanic &amp; Foreign'!AS45/'Total Master''s'!AT45)*100</f>
        <v>9.0935334872979201</v>
      </c>
      <c r="K49" s="109">
        <f>+(Black!W45/'All Races'!W45)*100</f>
        <v>8.0403015947154195</v>
      </c>
      <c r="L49" s="144" t="str">
        <f>IF(Black!BN45&gt;0,((Black!BN45/Black!W45)*100), "NA")</f>
        <v>NA</v>
      </c>
      <c r="M49" s="109">
        <f>+(Black!AB45/'All Races'!AB45)*100</f>
        <v>4.5681063122923593</v>
      </c>
      <c r="N49" s="144" t="str">
        <f>IF(Black!BS45&gt;0,((Black!BS45/Black!AB45)*100), "NA")</f>
        <v>NA</v>
      </c>
      <c r="O49" s="109">
        <f>('Hispanic &amp; Foreign'!R45/'All Races'!W45)*100</f>
        <v>2.8424634683392274</v>
      </c>
      <c r="P49" s="110">
        <f>('Hispanic &amp; Foreign'!W45/'All Races'!AB45)*100</f>
        <v>2.0882771713336501</v>
      </c>
    </row>
    <row r="50" spans="1:16" ht="14.25">
      <c r="A50" s="115" t="s">
        <v>231</v>
      </c>
      <c r="B50" s="115"/>
      <c r="C50" s="107">
        <f>'Total Master''s'!AT46</f>
        <v>20105</v>
      </c>
      <c r="D50" s="108">
        <f>+(('Total Master''s'!AT46-'Total Master''s'!AO46)/'Total Master''s'!AO46)*100</f>
        <v>13.299520991828684</v>
      </c>
      <c r="E50" s="109">
        <f>+(Public!R46/'Total Master''s'!AO46)*100</f>
        <v>28.76866723020569</v>
      </c>
      <c r="F50" s="108">
        <f>+(Public!W46/'Total Master''s'!AT46)*100</f>
        <v>32.927132554091024</v>
      </c>
      <c r="G50" s="109">
        <f>+(Gender!CF46/'Total Master''s'!AO46)*100</f>
        <v>58.343195266272183</v>
      </c>
      <c r="H50" s="108">
        <f>+(Gender!CK46/'Total Master''s'!AT46)*100</f>
        <v>56.752051728425769</v>
      </c>
      <c r="I50" s="109">
        <f>+('Hispanic &amp; Foreign'!AN46/'Total Master''s'!AO46)*100</f>
        <v>9.969005353620739</v>
      </c>
      <c r="J50" s="108">
        <f>+('Hispanic &amp; Foreign'!AS46/'Total Master''s'!AT46)*100</f>
        <v>10.16662521760756</v>
      </c>
      <c r="K50" s="109">
        <f>+(Black!W46/'All Races'!W46)*100</f>
        <v>16.419426945742735</v>
      </c>
      <c r="L50" s="144">
        <f>IF(Black!BN46&gt;0,((Black!BN46/Black!W46)*100), "NA")</f>
        <v>0.99009900990099009</v>
      </c>
      <c r="M50" s="109">
        <f>+(Black!AB46/'All Races'!AB46)*100</f>
        <v>17.656785165938349</v>
      </c>
      <c r="N50" s="144">
        <f>IF(Black!BS46&gt;0,((Black!BS46/Black!AB46)*100), "NA")</f>
        <v>0.70234113712374591</v>
      </c>
      <c r="O50" s="109">
        <f>('Hispanic &amp; Foreign'!R46/'All Races'!W46)*100</f>
        <v>3.9761566077355552</v>
      </c>
      <c r="P50" s="110">
        <f>('Hispanic &amp; Foreign'!W46/'All Races'!AB46)*100</f>
        <v>3.8679579544112435</v>
      </c>
    </row>
    <row r="51" spans="1:16">
      <c r="A51" s="115" t="s">
        <v>83</v>
      </c>
      <c r="B51" s="115"/>
      <c r="C51" s="107">
        <f>'Total Master''s'!AT47</f>
        <v>5008</v>
      </c>
      <c r="D51" s="108">
        <f>+(('Total Master''s'!AT47-'Total Master''s'!AO47)/'Total Master''s'!AO47)*100</f>
        <v>20.732883317261329</v>
      </c>
      <c r="E51" s="109">
        <f>+(Public!R47/'Total Master''s'!AO47)*100</f>
        <v>58.244937319189972</v>
      </c>
      <c r="F51" s="108">
        <f>+(Public!W47/'Total Master''s'!AT47)*100</f>
        <v>54.492811501597451</v>
      </c>
      <c r="G51" s="109">
        <f>+(Gender!CF47/'Total Master''s'!AO47)*100</f>
        <v>61.186113789778204</v>
      </c>
      <c r="H51" s="108">
        <f>+(Gender!CK47/'Total Master''s'!AT47)*100</f>
        <v>61.321884984025552</v>
      </c>
      <c r="I51" s="109">
        <f>+('Hispanic &amp; Foreign'!AN47/'Total Master''s'!AO47)*100</f>
        <v>4.2671166827386688</v>
      </c>
      <c r="J51" s="108">
        <f>+('Hispanic &amp; Foreign'!AS47/'Total Master''s'!AT47)*100</f>
        <v>5.890575079872205</v>
      </c>
      <c r="K51" s="109">
        <f>+(Black!W47/'All Races'!W47)*100</f>
        <v>4.3702497285559172</v>
      </c>
      <c r="L51" s="144" t="str">
        <f>IF(Black!BN47&gt;0,((Black!BN47/Black!W47)*100), "NA")</f>
        <v>NA</v>
      </c>
      <c r="M51" s="109">
        <f>+(Black!AB47/'All Races'!AB47)*100</f>
        <v>5.554275178612583</v>
      </c>
      <c r="N51" s="144" t="str">
        <f>IF(Black!BS47&gt;0,((Black!BS47/Black!AB47)*100), "NA")</f>
        <v>NA</v>
      </c>
      <c r="O51" s="109">
        <f>('Hispanic &amp; Foreign'!R47/'All Races'!W47)*100</f>
        <v>2.008686210640608</v>
      </c>
      <c r="P51" s="110">
        <f>('Hispanic &amp; Foreign'!W47/'All Races'!AB47)*100</f>
        <v>2.6042867020050702</v>
      </c>
    </row>
    <row r="52" spans="1:16">
      <c r="A52" s="111" t="s">
        <v>84</v>
      </c>
      <c r="B52" s="111"/>
      <c r="C52" s="111">
        <f>'Total Master''s'!AT48</f>
        <v>1676</v>
      </c>
      <c r="D52" s="112">
        <f>+(('Total Master''s'!AT48-'Total Master''s'!AO48)/'Total Master''s'!AO48)*100</f>
        <v>26.395173453996986</v>
      </c>
      <c r="E52" s="113">
        <f>+(Public!R48/'Total Master''s'!AO48)*100</f>
        <v>73.529411764705884</v>
      </c>
      <c r="F52" s="112">
        <f>+(Public!W48/'Total Master''s'!AT48)*100</f>
        <v>75</v>
      </c>
      <c r="G52" s="113">
        <f>+(Gender!CF48/'Total Master''s'!AO48)*100</f>
        <v>56.938159879336347</v>
      </c>
      <c r="H52" s="112">
        <f>+(Gender!CK48/'Total Master''s'!AT48)*100</f>
        <v>61.873508353221965</v>
      </c>
      <c r="I52" s="113">
        <f>+('Hispanic &amp; Foreign'!AN48/'Total Master''s'!AO48)*100</f>
        <v>12.594268476621417</v>
      </c>
      <c r="J52" s="112">
        <f>+('Hispanic &amp; Foreign'!AS48/'Total Master''s'!AT48)*100</f>
        <v>13.18615751789976</v>
      </c>
      <c r="K52" s="113">
        <f>+(Black!W48/'All Races'!W48)*100</f>
        <v>1.8340611353711789</v>
      </c>
      <c r="L52" s="177" t="str">
        <f>IF(Black!BN48&gt;0,((Black!BN48/Black!W48)*100), "NA")</f>
        <v>NA</v>
      </c>
      <c r="M52" s="113">
        <f>+(Black!AB48/'All Races'!AB48)*100</f>
        <v>3.2</v>
      </c>
      <c r="N52" s="177" t="str">
        <f>IF(Black!BS48&gt;0,((Black!BS48/Black!AB48)*100), "NA")</f>
        <v>NA</v>
      </c>
      <c r="O52" s="113">
        <f>('Hispanic &amp; Foreign'!R48/'All Races'!W48)*100</f>
        <v>1.4847161572052401</v>
      </c>
      <c r="P52" s="114">
        <f>('Hispanic &amp; Foreign'!W48/'All Races'!AB48)*100</f>
        <v>2.4</v>
      </c>
    </row>
    <row r="53" spans="1:16">
      <c r="A53" s="111" t="s">
        <v>85</v>
      </c>
      <c r="B53" s="111"/>
      <c r="C53" s="111">
        <f>'Total Master''s'!AT49</f>
        <v>22994</v>
      </c>
      <c r="D53" s="112">
        <f>+(('Total Master''s'!AT49-'Total Master''s'!AO49)/'Total Master''s'!AO49)*100</f>
        <v>9.033145241595145</v>
      </c>
      <c r="E53" s="113">
        <f>+(Public!R49/'Total Master''s'!AO49)*100</f>
        <v>61.050784769311015</v>
      </c>
      <c r="F53" s="112">
        <f>+(Public!W49/'Total Master''s'!AT49)*100</f>
        <v>63.686179003218236</v>
      </c>
      <c r="G53" s="113">
        <f>+(Gender!CF49/'Total Master''s'!AO49)*100</f>
        <v>61.382711366115039</v>
      </c>
      <c r="H53" s="112">
        <f>+(Gender!CK49/'Total Master''s'!AT49)*100</f>
        <v>59.276332956423417</v>
      </c>
      <c r="I53" s="113">
        <f>+('Hispanic &amp; Foreign'!AN49/'Total Master''s'!AO49)*100</f>
        <v>12.304993124377637</v>
      </c>
      <c r="J53" s="112">
        <f>+('Hispanic &amp; Foreign'!AS49/'Total Master''s'!AT49)*100</f>
        <v>13.647038357832479</v>
      </c>
      <c r="K53" s="113">
        <f>+(Black!W49/'All Races'!W49)*100</f>
        <v>8.940513903555086</v>
      </c>
      <c r="L53" s="177">
        <f>IF(Black!BN49&gt;0,((Black!BN49/Black!W49)*100), "NA")</f>
        <v>3.8057742782152229</v>
      </c>
      <c r="M53" s="113">
        <f>+(Black!AB49/'All Races'!AB49)*100</f>
        <v>9.984491149259318</v>
      </c>
      <c r="N53" s="177">
        <f>IF(Black!BS49&gt;0,((Black!BS49/Black!AB49)*100), "NA")</f>
        <v>2.7316550615961437</v>
      </c>
      <c r="O53" s="113">
        <f>('Hispanic &amp; Foreign'!R49/'All Races'!W49)*100</f>
        <v>1.583949313621964</v>
      </c>
      <c r="P53" s="114">
        <f>('Hispanic &amp; Foreign'!W49/'All Races'!AB49)*100</f>
        <v>2.5348949141665331</v>
      </c>
    </row>
    <row r="54" spans="1:16">
      <c r="A54" s="111" t="s">
        <v>86</v>
      </c>
      <c r="B54" s="111"/>
      <c r="C54" s="111">
        <f>'Total Master''s'!AT50</f>
        <v>1512</v>
      </c>
      <c r="D54" s="112">
        <f>+(('Total Master''s'!AT50-'Total Master''s'!AO50)/'Total Master''s'!AO50)*100</f>
        <v>21.641190667739341</v>
      </c>
      <c r="E54" s="113">
        <f>+(Public!R50/'Total Master''s'!AO50)*100</f>
        <v>77.473853580048271</v>
      </c>
      <c r="F54" s="112">
        <f>+(Public!W50/'Total Master''s'!AT50)*100</f>
        <v>75.396825396825392</v>
      </c>
      <c r="G54" s="113">
        <f>+(Gender!CF50/'Total Master''s'!AO50)*100</f>
        <v>58.809332260659694</v>
      </c>
      <c r="H54" s="112">
        <f>+(Gender!CK50/'Total Master''s'!AT50)*100</f>
        <v>56.878306878306887</v>
      </c>
      <c r="I54" s="113">
        <f>+('Hispanic &amp; Foreign'!AN50/'Total Master''s'!AO50)*100</f>
        <v>8.4473049074818984</v>
      </c>
      <c r="J54" s="112">
        <f>+('Hispanic &amp; Foreign'!AS50/'Total Master''s'!AT50)*100</f>
        <v>6.9444444444444446</v>
      </c>
      <c r="K54" s="113">
        <f>+(Black!W50/'All Races'!W50)*100</f>
        <v>1.3748854262144821</v>
      </c>
      <c r="L54" s="177" t="str">
        <f>IF(Black!BN50&gt;0,((Black!BN50/Black!W50)*100), "NA")</f>
        <v>NA</v>
      </c>
      <c r="M54" s="113">
        <f>+(Black!AB50/'All Races'!AB50)*100</f>
        <v>2.6734104046242777</v>
      </c>
      <c r="N54" s="177" t="str">
        <f>IF(Black!BS50&gt;0,((Black!BS50/Black!AB50)*100), "NA")</f>
        <v>NA</v>
      </c>
      <c r="O54" s="113">
        <f>('Hispanic &amp; Foreign'!R50/'All Races'!W50)*100</f>
        <v>1.1915673693858846</v>
      </c>
      <c r="P54" s="114">
        <f>('Hispanic &amp; Foreign'!W50/'All Races'!AB50)*100</f>
        <v>1.9508670520231215</v>
      </c>
    </row>
    <row r="55" spans="1:16">
      <c r="A55" s="111" t="s">
        <v>87</v>
      </c>
      <c r="B55" s="111"/>
      <c r="C55" s="121">
        <f>'Total Master''s'!AT51</f>
        <v>9653</v>
      </c>
      <c r="D55" s="122">
        <f>+(('Total Master''s'!AT51-'Total Master''s'!AO51)/'Total Master''s'!AO51)*100</f>
        <v>9.4692674075754137</v>
      </c>
      <c r="E55" s="169">
        <f>+(Public!R51/'Total Master''s'!AO51)*100</f>
        <v>61.760036289408028</v>
      </c>
      <c r="F55" s="122">
        <f>+(Public!W51/'Total Master''s'!AT51)*100</f>
        <v>60.654718740287997</v>
      </c>
      <c r="G55" s="169">
        <f>+(Gender!CF51/'Total Master''s'!AO51)*100</f>
        <v>63.01882513041506</v>
      </c>
      <c r="H55" s="122">
        <f>+(Gender!CK51/'Total Master''s'!AT51)*100</f>
        <v>61.359162954521906</v>
      </c>
      <c r="I55" s="169">
        <f>+('Hispanic &amp; Foreign'!AN51/'Total Master''s'!AO51)*100</f>
        <v>7.2465411657972325</v>
      </c>
      <c r="J55" s="122">
        <f>+('Hispanic &amp; Foreign'!AS51/'Total Master''s'!AT51)*100</f>
        <v>10.918885320625712</v>
      </c>
      <c r="K55" s="169">
        <f>+(Black!W51/'All Races'!W51)*100</f>
        <v>3.7699923838537699</v>
      </c>
      <c r="L55" s="178" t="str">
        <f>IF(Black!BN51&gt;0,((Black!BN51/Black!W51)*100), "NA")</f>
        <v>NA</v>
      </c>
      <c r="M55" s="169">
        <f>+(Black!AB51/'All Races'!AB51)*100</f>
        <v>4.8506108624652233</v>
      </c>
      <c r="N55" s="178">
        <f>IF(Black!BS51&gt;0,((Black!BS51/Black!AB51)*100), "NA")</f>
        <v>0.24937655860349126</v>
      </c>
      <c r="O55" s="169">
        <f>('Hispanic &amp; Foreign'!R51/'All Races'!W51)*100</f>
        <v>2.1706016755521707</v>
      </c>
      <c r="P55" s="123">
        <f>('Hispanic &amp; Foreign'!W51/'All Races'!AB51)*100</f>
        <v>2.891012459175033</v>
      </c>
    </row>
    <row r="56" spans="1:16">
      <c r="A56" s="124" t="s">
        <v>88</v>
      </c>
      <c r="B56" s="124"/>
      <c r="C56" s="107">
        <f>'Total Master''s'!AT52</f>
        <v>177420</v>
      </c>
      <c r="D56" s="108">
        <f>+(('Total Master''s'!AT52-'Total Master''s'!AO52)/'Total Master''s'!AO52)*100</f>
        <v>14.843871368649991</v>
      </c>
      <c r="E56" s="109">
        <f>+(Public!R52/'Total Master''s'!AO52)*100</f>
        <v>29.949899021283205</v>
      </c>
      <c r="F56" s="108">
        <f>+(Public!W52/'Total Master''s'!AT52)*100</f>
        <v>28.223424642092208</v>
      </c>
      <c r="G56" s="109">
        <f>+(Gender!CF52/'Total Master''s'!AO52)*100</f>
        <v>61.435839676868106</v>
      </c>
      <c r="H56" s="108">
        <f>+(Gender!CK52/'Total Master''s'!AT52)*100</f>
        <v>60.534325329726066</v>
      </c>
      <c r="I56" s="109">
        <f>+('Hispanic &amp; Foreign'!AN52/'Total Master''s'!AO52)*100</f>
        <v>14.469084977473978</v>
      </c>
      <c r="J56" s="108">
        <f>+('Hispanic &amp; Foreign'!AS52/'Total Master''s'!AT52)*100</f>
        <v>17.616954120166834</v>
      </c>
      <c r="K56" s="109">
        <f>+(Black!W52/'All Races'!W52)*100</f>
        <v>9.2038391307085483</v>
      </c>
      <c r="L56" s="144">
        <f>IF(Black!BN52&gt;0,((Black!BN52/Black!W52)*100), "NA")</f>
        <v>4.6227521501172788</v>
      </c>
      <c r="M56" s="109">
        <f>+(Black!AB52/'All Races'!AB52)*100</f>
        <v>9.3411633723528542</v>
      </c>
      <c r="N56" s="144">
        <f>IF(Black!BS52&gt;0,((Black!BS52/Black!AB52)*100), "NA")</f>
        <v>4.8682222595266076</v>
      </c>
      <c r="O56" s="109">
        <f>('Hispanic &amp; Foreign'!R52/'All Races'!W52)*100</f>
        <v>5.7074236986264406</v>
      </c>
      <c r="P56" s="110">
        <f>('Hispanic &amp; Foreign'!W52/'All Races'!AB52)*100</f>
        <v>6.9325639196192652</v>
      </c>
    </row>
    <row r="57" spans="1:16">
      <c r="A57" s="115" t="s">
        <v>212</v>
      </c>
      <c r="B57" s="115"/>
      <c r="C57" s="109">
        <f>'Total Master''s'!AT53</f>
        <v>24.496118893574014</v>
      </c>
      <c r="D57" s="116"/>
      <c r="E57" s="117"/>
      <c r="F57" s="116"/>
      <c r="G57" s="117"/>
      <c r="H57" s="116"/>
      <c r="I57" s="117"/>
      <c r="J57" s="116"/>
      <c r="K57" s="117"/>
      <c r="L57" s="179"/>
      <c r="M57" s="117"/>
      <c r="N57" s="179"/>
      <c r="O57" s="117"/>
      <c r="P57" s="118"/>
    </row>
    <row r="58" spans="1:16">
      <c r="A58" s="111" t="s">
        <v>89</v>
      </c>
      <c r="B58" s="111"/>
      <c r="C58" s="111">
        <f>'Total Master''s'!AT54</f>
        <v>9570</v>
      </c>
      <c r="D58" s="112">
        <f>+(('Total Master''s'!AT54-'Total Master''s'!AO54)/'Total Master''s'!AO54)*100</f>
        <v>11.46051712089448</v>
      </c>
      <c r="E58" s="113">
        <f>+(Public!R54/'Total Master''s'!AO54)*100</f>
        <v>36.920568367109247</v>
      </c>
      <c r="F58" s="112">
        <f>+(Public!W54/'Total Master''s'!AT54)*100</f>
        <v>32.142110762800421</v>
      </c>
      <c r="G58" s="113">
        <f>+(Gender!CF54/'Total Master''s'!AO54)*100</f>
        <v>59.806662007919861</v>
      </c>
      <c r="H58" s="112">
        <f>+(Gender!CK54/'Total Master''s'!AT54)*100</f>
        <v>60</v>
      </c>
      <c r="I58" s="113">
        <f>+('Hispanic &amp; Foreign'!AN54/'Total Master''s'!AO54)*100</f>
        <v>14.348940135103657</v>
      </c>
      <c r="J58" s="112">
        <f>+('Hispanic &amp; Foreign'!AS54/'Total Master''s'!AT54)*100</f>
        <v>15.621734587251829</v>
      </c>
      <c r="K58" s="113">
        <f>+(Black!W54/'All Races'!W54)*100</f>
        <v>6.8996960486322187</v>
      </c>
      <c r="L58" s="177" t="str">
        <f>IF(Black!BN54&gt;0,((Black!BN54/Black!W54)*100), "NA")</f>
        <v>NA</v>
      </c>
      <c r="M58" s="113">
        <f>+(Black!AB54/'All Races'!AB54)*100</f>
        <v>7.6955662242304435</v>
      </c>
      <c r="N58" s="177" t="str">
        <f>IF(Black!BS54&gt;0,((Black!BS54/Black!AB54)*100), "NA")</f>
        <v>NA</v>
      </c>
      <c r="O58" s="113">
        <f>('Hispanic &amp; Foreign'!R54/'All Races'!W54)*100</f>
        <v>4.3920972644376901</v>
      </c>
      <c r="P58" s="114">
        <f>('Hispanic &amp; Foreign'!W54/'All Races'!AB54)*100</f>
        <v>5.3515955944648406</v>
      </c>
    </row>
    <row r="59" spans="1:16">
      <c r="A59" s="111" t="s">
        <v>90</v>
      </c>
      <c r="B59" s="111"/>
      <c r="C59" s="111">
        <f>'Total Master''s'!AT55</f>
        <v>1935</v>
      </c>
      <c r="D59" s="112">
        <f>+(('Total Master''s'!AT55-'Total Master''s'!AO55)/'Total Master''s'!AO55)*100</f>
        <v>16.496086694762191</v>
      </c>
      <c r="E59" s="113">
        <f>+(Public!R55/'Total Master''s'!AO55)*100</f>
        <v>56.351595424443104</v>
      </c>
      <c r="F59" s="112">
        <f>+(Public!W55/'Total Master''s'!AT55)*100</f>
        <v>45.788113695090438</v>
      </c>
      <c r="G59" s="113">
        <f>+(Gender!CF55/'Total Master''s'!AO55)*100</f>
        <v>69.295605057194464</v>
      </c>
      <c r="H59" s="112">
        <f>+(Gender!CK55/'Total Master''s'!AT55)*100</f>
        <v>72.248062015503876</v>
      </c>
      <c r="I59" s="113">
        <f>+('Hispanic &amp; Foreign'!AN55/'Total Master''s'!AO55)*100</f>
        <v>2.8296207104154125</v>
      </c>
      <c r="J59" s="112">
        <f>+('Hispanic &amp; Foreign'!AS55/'Total Master''s'!AT55)*100</f>
        <v>2.0671834625323</v>
      </c>
      <c r="K59" s="113">
        <f>+(Black!W55/'All Races'!W55)*100</f>
        <v>0.8904109589041096</v>
      </c>
      <c r="L59" s="177" t="str">
        <f>IF(Black!BN55&gt;0,((Black!BN55/Black!W55)*100), "NA")</f>
        <v>NA</v>
      </c>
      <c r="M59" s="113">
        <f>+(Black!AB55/'All Races'!AB55)*100</f>
        <v>2.1160822249093107</v>
      </c>
      <c r="N59" s="177" t="str">
        <f>IF(Black!BS55&gt;0,((Black!BS55/Black!AB55)*100), "NA")</f>
        <v>NA</v>
      </c>
      <c r="O59" s="113">
        <f>('Hispanic &amp; Foreign'!R55/'All Races'!W55)*100</f>
        <v>1.7808219178082192</v>
      </c>
      <c r="P59" s="114">
        <f>('Hispanic &amp; Foreign'!W55/'All Races'!AB55)*100</f>
        <v>1.5114873035066507</v>
      </c>
    </row>
    <row r="60" spans="1:16" ht="14.25">
      <c r="A60" s="111" t="s">
        <v>229</v>
      </c>
      <c r="B60" s="111"/>
      <c r="C60" s="111">
        <f>'Total Master''s'!AT56</f>
        <v>35329</v>
      </c>
      <c r="D60" s="112">
        <f>+(('Total Master''s'!AT56-'Total Master''s'!AO56)/'Total Master''s'!AO56)*100</f>
        <v>19.471779784248081</v>
      </c>
      <c r="E60" s="113">
        <f>+(Public!R56/'Total Master''s'!AO56)*100</f>
        <v>17.561124074261947</v>
      </c>
      <c r="F60" s="112">
        <f>+(Public!W56/'Total Master''s'!AT56)*100</f>
        <v>16.527498655495485</v>
      </c>
      <c r="G60" s="113">
        <f>+(Gender!CF56/'Total Master''s'!AO56)*100</f>
        <v>60.511988096445847</v>
      </c>
      <c r="H60" s="112">
        <f>+(Gender!CK56/'Total Master''s'!AT56)*100</f>
        <v>58.858161850038215</v>
      </c>
      <c r="I60" s="113">
        <f>+('Hispanic &amp; Foreign'!AN56/'Total Master''s'!AO56)*100</f>
        <v>14.537891853505123</v>
      </c>
      <c r="J60" s="112">
        <f>+('Hispanic &amp; Foreign'!AS56/'Total Master''s'!AT56)*100</f>
        <v>20.133601290724336</v>
      </c>
      <c r="K60" s="113">
        <f>+(Black!W56/'All Races'!W56)*100</f>
        <v>8.2506203473945412</v>
      </c>
      <c r="L60" s="177">
        <f>IF(Black!BN56&gt;0,((Black!BN56/Black!W56)*100), "NA")</f>
        <v>0.12531328320802004</v>
      </c>
      <c r="M60" s="113">
        <f>+(Black!AB56/'All Races'!AB56)*100</f>
        <v>7.3204076559781255</v>
      </c>
      <c r="N60" s="177">
        <f>IF(Black!BS56&gt;0,((Black!BS56/Black!AB56)*100), "NA")</f>
        <v>8.0928126768534234</v>
      </c>
      <c r="O60" s="113">
        <f>('Hispanic &amp; Foreign'!R56/'All Races'!W56)*100</f>
        <v>4.8232009925558312</v>
      </c>
      <c r="P60" s="114">
        <f>('Hispanic &amp; Foreign'!W56/'All Races'!AB56)*100</f>
        <v>5.8828403347419007</v>
      </c>
    </row>
    <row r="61" spans="1:16">
      <c r="A61" s="111" t="s">
        <v>92</v>
      </c>
      <c r="B61" s="111"/>
      <c r="C61" s="111">
        <f>'Total Master''s'!AT57</f>
        <v>3878</v>
      </c>
      <c r="D61" s="112">
        <f>+(('Total Master''s'!AT57-'Total Master''s'!AO57)/'Total Master''s'!AO57)*100</f>
        <v>21.758241758241759</v>
      </c>
      <c r="E61" s="113">
        <f>+(Public!R57/'Total Master''s'!AO57)*100</f>
        <v>36.012558869701728</v>
      </c>
      <c r="F61" s="112">
        <f>+(Public!W57/'Total Master''s'!AT57)*100</f>
        <v>29.138731304796288</v>
      </c>
      <c r="G61" s="113">
        <f>+(Gender!CF57/'Total Master''s'!AO57)*100</f>
        <v>58.524332810047099</v>
      </c>
      <c r="H61" s="112">
        <f>+(Gender!CK57/'Total Master''s'!AT57)*100</f>
        <v>57.684373388344511</v>
      </c>
      <c r="I61" s="113">
        <f>+('Hispanic &amp; Foreign'!AN57/'Total Master''s'!AO57)*100</f>
        <v>13.877551020408163</v>
      </c>
      <c r="J61" s="112">
        <f>+('Hispanic &amp; Foreign'!AS57/'Total Master''s'!AT57)*100</f>
        <v>14.543579164517793</v>
      </c>
      <c r="K61" s="113">
        <f>+(Black!W57/'All Races'!W57)*100</f>
        <v>1.6167379933428434</v>
      </c>
      <c r="L61" s="177" t="str">
        <f>IF(Black!BN57&gt;0,((Black!BN57/Black!W57)*100), "NA")</f>
        <v>NA</v>
      </c>
      <c r="M61" s="113">
        <f>+(Black!AB57/'All Races'!AB57)*100</f>
        <v>3.022875816993464</v>
      </c>
      <c r="N61" s="177" t="str">
        <f>IF(Black!BS57&gt;0,((Black!BS57/Black!AB57)*100), "NA")</f>
        <v>NA</v>
      </c>
      <c r="O61" s="113">
        <f>('Hispanic &amp; Foreign'!R57/'All Races'!W57)*100</f>
        <v>3.3761293390394673</v>
      </c>
      <c r="P61" s="114">
        <f>('Hispanic &amp; Foreign'!W57/'All Races'!AB57)*100</f>
        <v>2.5326797385620914</v>
      </c>
    </row>
    <row r="62" spans="1:16">
      <c r="A62" s="115" t="s">
        <v>93</v>
      </c>
      <c r="B62" s="115"/>
      <c r="C62" s="107">
        <f>'Total Master''s'!AT58</f>
        <v>14267</v>
      </c>
      <c r="D62" s="108">
        <f>+(('Total Master''s'!AT58-'Total Master''s'!AO58)/'Total Master''s'!AO58)*100</f>
        <v>7.9279824495045021</v>
      </c>
      <c r="E62" s="109">
        <f>+(Public!R58/'Total Master''s'!AO58)*100</f>
        <v>53.188592177925706</v>
      </c>
      <c r="F62" s="108">
        <f>+(Public!W58/'Total Master''s'!AT58)*100</f>
        <v>55.064134015560384</v>
      </c>
      <c r="G62" s="109">
        <f>+(Gender!CF58/'Total Master''s'!AO58)*100</f>
        <v>57.356834858915192</v>
      </c>
      <c r="H62" s="108">
        <f>+(Gender!CK58/'Total Master''s'!AT58)*100</f>
        <v>56.557089787621784</v>
      </c>
      <c r="I62" s="109">
        <f>+('Hispanic &amp; Foreign'!AN58/'Total Master''s'!AO58)*100</f>
        <v>14.668280505333234</v>
      </c>
      <c r="J62" s="108">
        <f>+('Hispanic &amp; Foreign'!AS58/'Total Master''s'!AT58)*100</f>
        <v>15.616457559402818</v>
      </c>
      <c r="K62" s="109">
        <f>+(Black!W58/'All Races'!W58)*100</f>
        <v>10.808800085024977</v>
      </c>
      <c r="L62" s="144">
        <f>IF(Black!BN58&gt;0,((Black!BN58/Black!W58)*100), "NA")</f>
        <v>0.19665683382497542</v>
      </c>
      <c r="M62" s="109">
        <f>+(Black!AB58/'All Races'!AB58)*100</f>
        <v>11.338552966701254</v>
      </c>
      <c r="N62" s="144">
        <f>IF(Black!BS58&gt;0,((Black!BS58/Black!AB58)*100), "NA")</f>
        <v>2.6622296173044924</v>
      </c>
      <c r="O62" s="109">
        <f>('Hispanic &amp; Foreign'!R58/'All Races'!W58)*100</f>
        <v>7.960463386119673</v>
      </c>
      <c r="P62" s="110">
        <f>('Hispanic &amp; Foreign'!W58/'All Races'!AB58)*100</f>
        <v>9.6688991604565615</v>
      </c>
    </row>
    <row r="63" spans="1:16" ht="14.25">
      <c r="A63" s="115" t="s">
        <v>230</v>
      </c>
      <c r="B63" s="115"/>
      <c r="C63" s="107">
        <f>'Total Master''s'!AT59</f>
        <v>70175</v>
      </c>
      <c r="D63" s="108">
        <f>+(('Total Master''s'!AT59-'Total Master''s'!AO59)/'Total Master''s'!AO59)*100</f>
        <v>9.9921630094043881</v>
      </c>
      <c r="E63" s="109">
        <f>+(Public!R59/'Total Master''s'!AO59)*100</f>
        <v>27.054858934169278</v>
      </c>
      <c r="F63" s="108">
        <f>+(Public!W59/'Total Master''s'!AT59)*100</f>
        <v>26.532240826505166</v>
      </c>
      <c r="G63" s="109">
        <f>+(Gender!CF59/'Total Master''s'!AO59)*100</f>
        <v>63.750783699059568</v>
      </c>
      <c r="H63" s="108">
        <f>+(Gender!CK59/'Total Master''s'!AT59)*100</f>
        <v>62.214463840399006</v>
      </c>
      <c r="I63" s="109">
        <f>+('Hispanic &amp; Foreign'!AN59/'Total Master''s'!AO59)*100</f>
        <v>16.543887147335422</v>
      </c>
      <c r="J63" s="108">
        <f>+('Hispanic &amp; Foreign'!AS59/'Total Master''s'!AT59)*100</f>
        <v>20.361952262201637</v>
      </c>
      <c r="K63" s="109">
        <f>+(Black!W59/'All Races'!W59)*100</f>
        <v>11.101773629970365</v>
      </c>
      <c r="L63" s="144">
        <f>IF(Black!BN59&gt;0,((Black!BN59/Black!W59)*100), "NA")</f>
        <v>4.3027888446215146</v>
      </c>
      <c r="M63" s="109">
        <f>+(Black!AB59/'All Races'!AB59)*100</f>
        <v>11.305050505050506</v>
      </c>
      <c r="N63" s="144">
        <f>IF(Black!BS59&gt;0,((Black!BS59/Black!AB59)*100), "NA")</f>
        <v>4.5746962115796999</v>
      </c>
      <c r="O63" s="109">
        <f>('Hispanic &amp; Foreign'!R59/'All Races'!W59)*100</f>
        <v>7.9503737449688181</v>
      </c>
      <c r="P63" s="110">
        <f>('Hispanic &amp; Foreign'!W59/'All Races'!AB59)*100</f>
        <v>9.4828282828282831</v>
      </c>
    </row>
    <row r="64" spans="1:16">
      <c r="A64" s="115" t="s">
        <v>95</v>
      </c>
      <c r="B64" s="115"/>
      <c r="C64" s="107">
        <f>'Total Master''s'!AT60</f>
        <v>36421</v>
      </c>
      <c r="D64" s="108">
        <f>+(('Total Master''s'!AT60-'Total Master''s'!AO60)/'Total Master''s'!AO60)*100</f>
        <v>21.711669562892659</v>
      </c>
      <c r="E64" s="109">
        <f>+(Public!R60/'Total Master''s'!AO60)*100</f>
        <v>34.450608207458892</v>
      </c>
      <c r="F64" s="108">
        <f>+(Public!W60/'Total Master''s'!AT60)*100</f>
        <v>30.954669009637296</v>
      </c>
      <c r="G64" s="109">
        <f>+(Gender!CF60/'Total Master''s'!AO60)*100</f>
        <v>60.105600855500597</v>
      </c>
      <c r="H64" s="108">
        <f>+(Gender!CK60/'Total Master''s'!AT60)*100</f>
        <v>61.033469701545805</v>
      </c>
      <c r="I64" s="109">
        <f>+('Hispanic &amp; Foreign'!AN60/'Total Master''s'!AO60)*100</f>
        <v>11.047988236866729</v>
      </c>
      <c r="J64" s="108">
        <f>+('Hispanic &amp; Foreign'!AS60/'Total Master''s'!AT60)*100</f>
        <v>13.54712940336619</v>
      </c>
      <c r="K64" s="109">
        <f>+(Black!W60/'All Races'!W60)*100</f>
        <v>8.3942833123160998</v>
      </c>
      <c r="L64" s="144">
        <f>IF(Black!BN60&gt;0,((Black!BN60/Black!W60)*100), "NA")</f>
        <v>12.669003505257887</v>
      </c>
      <c r="M64" s="109">
        <f>+(Black!AB60/'All Races'!AB60)*100</f>
        <v>8.9339995108486789</v>
      </c>
      <c r="N64" s="144">
        <f>IF(Black!BS60&gt;0,((Black!BS60/Black!AB60)*100), "NA")</f>
        <v>5.8271411810715685</v>
      </c>
      <c r="O64" s="109">
        <f>('Hispanic &amp; Foreign'!R60/'All Races'!W60)*100</f>
        <v>2.4001681378730559</v>
      </c>
      <c r="P64" s="110">
        <f>('Hispanic &amp; Foreign'!W60/'All Races'!AB60)*100</f>
        <v>3.6581531043639286</v>
      </c>
    </row>
    <row r="65" spans="1:16">
      <c r="A65" s="115" t="s">
        <v>96</v>
      </c>
      <c r="B65" s="115"/>
      <c r="C65" s="107">
        <f>'Total Master''s'!AT61</f>
        <v>2654</v>
      </c>
      <c r="D65" s="108">
        <f>+(('Total Master''s'!AT61-'Total Master''s'!AO61)/'Total Master''s'!AO61)*100</f>
        <v>18.482142857142858</v>
      </c>
      <c r="E65" s="109">
        <f>+(Public!R61/'Total Master''s'!AO61)*100</f>
        <v>32.589285714285715</v>
      </c>
      <c r="F65" s="108">
        <f>+(Public!W61/'Total Master''s'!AT61)*100</f>
        <v>31.725697061039941</v>
      </c>
      <c r="G65" s="109">
        <f>+(Gender!CF61/'Total Master''s'!AO61)*100</f>
        <v>58.928571428571431</v>
      </c>
      <c r="H65" s="108">
        <f>+(Gender!CK61/'Total Master''s'!AT61)*100</f>
        <v>57.8372268274303</v>
      </c>
      <c r="I65" s="109">
        <f>+('Hispanic &amp; Foreign'!AN61/'Total Master''s'!AO61)*100</f>
        <v>17.8125</v>
      </c>
      <c r="J65" s="108">
        <f>+('Hispanic &amp; Foreign'!AS61/'Total Master''s'!AT61)*100</f>
        <v>18.651092690278826</v>
      </c>
      <c r="K65" s="109">
        <f>+(Black!W61/'All Races'!W61)*100</f>
        <v>3.5639412997903559</v>
      </c>
      <c r="L65" s="144" t="str">
        <f>IF(Black!BN61&gt;0,((Black!BN61/Black!W61)*100), "NA")</f>
        <v>NA</v>
      </c>
      <c r="M65" s="109">
        <f>+(Black!AB61/'All Races'!AB61)*100</f>
        <v>3.79041248606466</v>
      </c>
      <c r="N65" s="144" t="str">
        <f>IF(Black!BS61&gt;0,((Black!BS61/Black!AB61)*100), "NA")</f>
        <v>NA</v>
      </c>
      <c r="O65" s="109">
        <f>('Hispanic &amp; Foreign'!R61/'All Races'!W61)*100</f>
        <v>3.3542976939203357</v>
      </c>
      <c r="P65" s="110">
        <f>('Hispanic &amp; Foreign'!W61/'All Races'!AB61)*100</f>
        <v>5.8528428093645486</v>
      </c>
    </row>
    <row r="66" spans="1:16">
      <c r="A66" s="104" t="s">
        <v>97</v>
      </c>
      <c r="B66" s="104"/>
      <c r="C66" s="104">
        <f>'Total Master''s'!AT62</f>
        <v>3191</v>
      </c>
      <c r="D66" s="125">
        <f>+(('Total Master''s'!AT62-'Total Master''s'!AO62)/'Total Master''s'!AO62)*100</f>
        <v>38.61859252823632</v>
      </c>
      <c r="E66" s="168">
        <f>+(Public!R62/'Total Master''s'!AO62)*100</f>
        <v>21.372719374456995</v>
      </c>
      <c r="F66" s="125">
        <f>+(Public!W62/'Total Master''s'!AT62)*100</f>
        <v>17.298652460043872</v>
      </c>
      <c r="G66" s="168">
        <f>+(Gender!CF62/'Total Master''s'!AO62)*100</f>
        <v>56.733275412684627</v>
      </c>
      <c r="H66" s="125">
        <f>+(Gender!CK62/'Total Master''s'!AT62)*100</f>
        <v>54.434346599811967</v>
      </c>
      <c r="I66" s="168">
        <f>+('Hispanic &amp; Foreign'!AN62/'Total Master''s'!AO62)*100</f>
        <v>5.8210251954821892</v>
      </c>
      <c r="J66" s="125">
        <f>+('Hispanic &amp; Foreign'!AS62/'Total Master''s'!AT62)*100</f>
        <v>3.0711375744280787</v>
      </c>
      <c r="K66" s="168">
        <f>+(Black!W62/'All Races'!W62)*100</f>
        <v>2.7233115468409586</v>
      </c>
      <c r="L66" s="180" t="str">
        <f>IF(Black!BN62&gt;0,((Black!BN62/Black!W62)*100), "NA")</f>
        <v>NA</v>
      </c>
      <c r="M66" s="168">
        <f>+(Black!AB62/'All Races'!AB62)*100</f>
        <v>4.1055718475073313</v>
      </c>
      <c r="N66" s="180" t="str">
        <f>IF(Black!BS62&gt;0,((Black!BS62/Black!AB62)*100), "NA")</f>
        <v>NA</v>
      </c>
      <c r="O66" s="168">
        <f>('Hispanic &amp; Foreign'!R62/'All Races'!W62)*100</f>
        <v>3.4313725490196081</v>
      </c>
      <c r="P66" s="106">
        <f>('Hispanic &amp; Foreign'!W62/'All Races'!AB62)*100</f>
        <v>4.9853372434017595</v>
      </c>
    </row>
    <row r="67" spans="1:16" ht="14.25">
      <c r="A67" s="126" t="s">
        <v>237</v>
      </c>
      <c r="B67" s="126"/>
      <c r="C67" s="121">
        <f>'Total Master''s'!AT63</f>
        <v>10995</v>
      </c>
      <c r="D67" s="122">
        <f>+(('Total Master''s'!AT63-'Total Master''s'!AO63)/'Total Master''s'!AO63)*100</f>
        <v>9.2290880190741102</v>
      </c>
      <c r="E67" s="169">
        <f>+(Public!R63/'Total Master''s'!AO63)*100</f>
        <v>0.51659050268229689</v>
      </c>
      <c r="F67" s="122">
        <f>+(Public!W63/'Total Master''s'!AT63)*100</f>
        <v>0.76398362892223737</v>
      </c>
      <c r="G67" s="169">
        <f>+(Gender!CF63/'Total Master''s'!AO63)*100</f>
        <v>59.646334194317504</v>
      </c>
      <c r="H67" s="122">
        <f>+(Gender!CK63/'Total Master''s'!AT63)*100</f>
        <v>57.444292860391087</v>
      </c>
      <c r="I67" s="169">
        <f>+('Hispanic &amp; Foreign'!AN63/'Total Master''s'!AO63)*100</f>
        <v>12.457778660838466</v>
      </c>
      <c r="J67" s="122">
        <f>+('Hispanic &amp; Foreign'!AS63/'Total Master''s'!AT63)*100</f>
        <v>15.388813096862211</v>
      </c>
      <c r="K67" s="169">
        <f>+(Black!W63/'All Races'!W63)*100</f>
        <v>28.592394929953301</v>
      </c>
      <c r="L67" s="178">
        <f>IF(Black!BN63&gt;0,((Black!BN63/Black!W63)*100), "NA")</f>
        <v>73.961735884274376</v>
      </c>
      <c r="M67" s="169">
        <f>+(Black!AB63/'All Races'!AB63)*100</f>
        <v>18.596402330884214</v>
      </c>
      <c r="N67" s="178">
        <f>IF(Black!BS63&gt;0,((Black!BS63/Black!AB63)*100), "NA")</f>
        <v>40.326975476839237</v>
      </c>
      <c r="O67" s="169">
        <f>('Hispanic &amp; Foreign'!R63/'All Races'!W63)*100</f>
        <v>4.4162775183455638</v>
      </c>
      <c r="P67" s="123">
        <f>('Hispanic &amp; Foreign'!W63/'All Races'!AB63)*100</f>
        <v>6.8026349125918415</v>
      </c>
    </row>
    <row r="68" spans="1:16" s="147" customFormat="1" ht="24" customHeight="1">
      <c r="A68" s="145" t="s">
        <v>214</v>
      </c>
      <c r="B68" s="145"/>
      <c r="C68" s="146"/>
      <c r="D68" s="145"/>
      <c r="E68" s="145"/>
      <c r="F68" s="145"/>
      <c r="G68" s="145"/>
      <c r="H68" s="145"/>
      <c r="I68" s="145"/>
      <c r="J68" s="145"/>
      <c r="K68" s="145"/>
      <c r="L68" s="145"/>
      <c r="M68" s="145"/>
      <c r="N68" s="145"/>
      <c r="O68" s="145"/>
      <c r="P68" s="145"/>
    </row>
    <row r="69" spans="1:16" s="152" customFormat="1" ht="21.75" customHeight="1">
      <c r="A69" s="148" t="s">
        <v>215</v>
      </c>
      <c r="B69" s="148"/>
      <c r="C69" s="149"/>
      <c r="D69" s="149"/>
      <c r="E69" s="150"/>
      <c r="F69" s="150"/>
      <c r="G69" s="151"/>
      <c r="H69" s="149"/>
      <c r="I69" s="151"/>
      <c r="J69" s="151"/>
      <c r="K69" s="151"/>
      <c r="L69" s="151"/>
      <c r="M69" s="151"/>
      <c r="N69" s="151"/>
      <c r="O69" s="151"/>
      <c r="P69" s="149"/>
    </row>
    <row r="70" spans="1:16" ht="63" customHeight="1">
      <c r="A70" s="182" t="s">
        <v>239</v>
      </c>
      <c r="B70" s="182"/>
      <c r="C70" s="182"/>
      <c r="D70" s="182"/>
      <c r="E70" s="182"/>
      <c r="F70" s="182"/>
      <c r="G70" s="182"/>
      <c r="H70" s="182"/>
      <c r="I70" s="182"/>
      <c r="J70" s="182"/>
      <c r="K70" s="182"/>
      <c r="L70" s="182"/>
      <c r="M70" s="182"/>
      <c r="N70" s="182"/>
      <c r="O70" s="182"/>
      <c r="P70" s="182"/>
    </row>
    <row r="71" spans="1:16" s="153" customFormat="1" ht="47.25" customHeight="1">
      <c r="A71" s="183" t="s">
        <v>241</v>
      </c>
      <c r="B71" s="183"/>
      <c r="C71" s="183"/>
      <c r="D71" s="183"/>
      <c r="E71" s="183"/>
      <c r="F71" s="183"/>
      <c r="G71" s="183"/>
      <c r="H71" s="183"/>
      <c r="I71" s="183"/>
      <c r="J71" s="183"/>
      <c r="K71" s="183"/>
      <c r="L71" s="183"/>
      <c r="M71" s="183"/>
      <c r="N71" s="183"/>
      <c r="O71" s="183"/>
      <c r="P71" s="183"/>
    </row>
    <row r="72" spans="1:16" s="154" customFormat="1" ht="50.25" customHeight="1">
      <c r="A72" s="185" t="s">
        <v>240</v>
      </c>
      <c r="B72" s="184"/>
      <c r="C72" s="184"/>
      <c r="D72" s="184"/>
      <c r="E72" s="184"/>
      <c r="F72" s="184"/>
      <c r="G72" s="184"/>
      <c r="H72" s="184"/>
      <c r="I72" s="184"/>
      <c r="J72" s="184"/>
      <c r="K72" s="184"/>
      <c r="L72" s="184"/>
      <c r="M72" s="184"/>
      <c r="N72" s="184"/>
      <c r="O72" s="184"/>
      <c r="P72" s="184"/>
    </row>
    <row r="73" spans="1:16" s="152" customFormat="1" ht="35.25" customHeight="1">
      <c r="A73" s="189" t="s">
        <v>243</v>
      </c>
      <c r="B73" s="186"/>
      <c r="C73" s="186"/>
      <c r="D73" s="186"/>
      <c r="E73" s="186"/>
      <c r="F73" s="186"/>
      <c r="G73" s="186"/>
      <c r="H73" s="186"/>
      <c r="I73" s="186"/>
      <c r="J73" s="186"/>
      <c r="K73" s="186"/>
      <c r="L73" s="186"/>
      <c r="M73" s="186"/>
      <c r="N73" s="186"/>
      <c r="O73" s="186"/>
      <c r="P73" s="186"/>
    </row>
    <row r="74" spans="1:16">
      <c r="A74" s="187" t="s">
        <v>242</v>
      </c>
      <c r="B74" s="188"/>
      <c r="C74" s="188"/>
      <c r="D74" s="188"/>
      <c r="E74" s="188"/>
      <c r="F74" s="188"/>
      <c r="G74" s="188"/>
      <c r="H74" s="188"/>
      <c r="I74" s="188"/>
      <c r="J74" s="188"/>
      <c r="K74" s="188"/>
      <c r="L74" s="188"/>
      <c r="M74" s="188"/>
      <c r="N74" s="188"/>
      <c r="O74" s="188"/>
      <c r="P74" s="188"/>
    </row>
    <row r="75" spans="1:16">
      <c r="A75" s="29"/>
      <c r="B75" s="83"/>
      <c r="C75" s="127"/>
      <c r="D75" s="83"/>
      <c r="E75" s="83"/>
      <c r="F75" s="83"/>
      <c r="G75" s="83"/>
      <c r="H75" s="83"/>
      <c r="I75" s="83"/>
      <c r="J75" s="83"/>
      <c r="K75" s="83"/>
      <c r="L75" s="83"/>
      <c r="M75" s="83"/>
      <c r="N75" s="83"/>
      <c r="O75" s="83"/>
      <c r="P75" s="127" t="s">
        <v>238</v>
      </c>
    </row>
    <row r="76" spans="1:16">
      <c r="A76" s="83"/>
      <c r="B76" s="83"/>
      <c r="C76" s="127"/>
      <c r="D76" s="83"/>
      <c r="E76" s="83"/>
      <c r="F76" s="83"/>
      <c r="G76" s="83"/>
      <c r="H76" s="83"/>
      <c r="I76" s="83"/>
      <c r="J76" s="83"/>
      <c r="K76" s="83"/>
      <c r="L76" s="83"/>
      <c r="M76" s="83"/>
      <c r="N76" s="83"/>
      <c r="O76" s="181"/>
      <c r="P76" s="181"/>
    </row>
  </sheetData>
  <mergeCells count="6">
    <mergeCell ref="O76:P76"/>
    <mergeCell ref="A70:P70"/>
    <mergeCell ref="A71:P71"/>
    <mergeCell ref="A72:P72"/>
    <mergeCell ref="A73:P73"/>
    <mergeCell ref="A74:P74"/>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AT91"/>
  <sheetViews>
    <sheetView workbookViewId="0">
      <pane xSplit="1" ySplit="4" topLeftCell="AR5" activePane="bottomRight" state="frozen"/>
      <selection pane="topRight" activeCell="B1" sqref="B1"/>
      <selection pane="bottomLeft" activeCell="A5" sqref="A5"/>
      <selection pane="bottomRight" activeCell="AT54" sqref="AT54:AT63"/>
    </sheetView>
  </sheetViews>
  <sheetFormatPr defaultRowHeight="12.75"/>
  <cols>
    <col min="1" max="1" width="18.85546875" customWidth="1"/>
  </cols>
  <sheetData>
    <row r="1" spans="1:46">
      <c r="A1" s="1" t="s">
        <v>0</v>
      </c>
      <c r="B1" s="2"/>
      <c r="C1" s="3"/>
      <c r="D1" s="3"/>
      <c r="E1" s="3"/>
      <c r="F1" s="3"/>
      <c r="G1" s="3"/>
      <c r="H1" s="3"/>
      <c r="I1" s="3"/>
      <c r="J1" s="3"/>
      <c r="K1" s="3"/>
      <c r="L1" s="3"/>
      <c r="M1" s="3"/>
      <c r="N1" s="3"/>
      <c r="O1" s="3"/>
      <c r="P1" s="4"/>
      <c r="Q1" s="3"/>
      <c r="R1" s="3"/>
      <c r="S1" s="3"/>
      <c r="T1" s="3"/>
      <c r="U1" s="3"/>
      <c r="V1" s="3"/>
      <c r="W1" s="3"/>
      <c r="X1" s="3"/>
      <c r="Y1" s="3"/>
      <c r="Z1" s="5"/>
      <c r="AA1" s="3"/>
      <c r="AB1" s="6"/>
      <c r="AC1" s="3"/>
      <c r="AD1" s="3"/>
      <c r="AE1" s="3"/>
      <c r="AF1" s="3"/>
      <c r="AG1" s="3"/>
      <c r="AH1" s="3"/>
      <c r="AI1" s="3"/>
      <c r="AJ1" s="3"/>
      <c r="AK1" s="3"/>
      <c r="AL1" s="3"/>
      <c r="AM1" s="3"/>
      <c r="AN1" s="3"/>
      <c r="AO1" s="3"/>
      <c r="AP1" s="3"/>
      <c r="AQ1" s="3"/>
      <c r="AR1" s="3"/>
    </row>
    <row r="2" spans="1:46">
      <c r="A2" s="3"/>
      <c r="B2" s="6"/>
      <c r="C2" s="3"/>
      <c r="D2" s="3"/>
      <c r="E2" s="3"/>
      <c r="F2" s="3"/>
      <c r="G2" s="3"/>
      <c r="H2" s="3"/>
      <c r="I2" s="3"/>
      <c r="J2" s="3"/>
      <c r="K2" s="3"/>
      <c r="L2" s="3"/>
      <c r="M2" s="3"/>
      <c r="N2" s="3"/>
      <c r="O2" s="3"/>
      <c r="P2" s="3"/>
      <c r="Q2" s="3"/>
      <c r="R2" s="3"/>
      <c r="S2" s="3"/>
      <c r="T2" s="3"/>
      <c r="U2" s="3"/>
      <c r="V2" s="3"/>
      <c r="W2" s="3"/>
      <c r="X2" s="3"/>
      <c r="Y2" s="3"/>
      <c r="Z2" s="5"/>
      <c r="AA2" s="3"/>
      <c r="AB2" s="6"/>
      <c r="AC2" s="3"/>
      <c r="AD2" s="3"/>
      <c r="AE2" s="3"/>
      <c r="AF2" s="3"/>
      <c r="AG2" s="3"/>
      <c r="AH2" s="3"/>
      <c r="AI2" s="3"/>
      <c r="AJ2" s="3"/>
      <c r="AK2" s="3"/>
      <c r="AL2" s="3"/>
      <c r="AM2" s="3"/>
      <c r="AN2" s="3"/>
      <c r="AO2" s="3"/>
      <c r="AP2" s="3"/>
      <c r="AQ2" s="3"/>
      <c r="AR2" s="3"/>
    </row>
    <row r="3" spans="1:46">
      <c r="A3" s="7"/>
      <c r="B3" s="8" t="s">
        <v>1</v>
      </c>
      <c r="C3" s="9" t="s">
        <v>2</v>
      </c>
      <c r="D3" s="9" t="s">
        <v>3</v>
      </c>
      <c r="E3" s="9" t="s">
        <v>4</v>
      </c>
      <c r="F3" s="9" t="s">
        <v>5</v>
      </c>
      <c r="G3" s="9" t="s">
        <v>6</v>
      </c>
      <c r="H3" s="9" t="s">
        <v>7</v>
      </c>
      <c r="I3" s="9" t="s">
        <v>8</v>
      </c>
      <c r="J3" s="9" t="s">
        <v>9</v>
      </c>
      <c r="K3" s="9" t="s">
        <v>10</v>
      </c>
      <c r="L3" s="9" t="s">
        <v>11</v>
      </c>
      <c r="M3" s="9" t="s">
        <v>12</v>
      </c>
      <c r="N3" s="9" t="s">
        <v>13</v>
      </c>
      <c r="O3" s="9" t="s">
        <v>14</v>
      </c>
      <c r="P3" s="9" t="s">
        <v>15</v>
      </c>
      <c r="Q3" s="9" t="s">
        <v>16</v>
      </c>
      <c r="R3" s="9" t="s">
        <v>17</v>
      </c>
      <c r="S3" s="9" t="s">
        <v>18</v>
      </c>
      <c r="T3" s="9" t="s">
        <v>19</v>
      </c>
      <c r="U3" s="9" t="s">
        <v>20</v>
      </c>
      <c r="V3" s="9" t="s">
        <v>21</v>
      </c>
      <c r="W3" s="9" t="s">
        <v>22</v>
      </c>
      <c r="X3" s="9" t="s">
        <v>23</v>
      </c>
      <c r="Y3" s="9" t="s">
        <v>24</v>
      </c>
      <c r="Z3" s="10" t="s">
        <v>25</v>
      </c>
      <c r="AA3" s="9" t="s">
        <v>26</v>
      </c>
      <c r="AB3" s="9" t="s">
        <v>27</v>
      </c>
      <c r="AC3" s="9" t="s">
        <v>28</v>
      </c>
      <c r="AD3" s="9" t="s">
        <v>29</v>
      </c>
      <c r="AE3" s="9" t="s">
        <v>30</v>
      </c>
      <c r="AF3" s="9" t="s">
        <v>31</v>
      </c>
      <c r="AG3" s="9" t="s">
        <v>32</v>
      </c>
      <c r="AH3" s="9" t="s">
        <v>33</v>
      </c>
      <c r="AI3" s="9" t="s">
        <v>34</v>
      </c>
      <c r="AJ3" s="10" t="s">
        <v>35</v>
      </c>
      <c r="AK3" s="10" t="s">
        <v>36</v>
      </c>
      <c r="AL3" s="10" t="s">
        <v>37</v>
      </c>
      <c r="AM3" s="155" t="s">
        <v>38</v>
      </c>
      <c r="AN3" s="9" t="s">
        <v>39</v>
      </c>
      <c r="AO3" s="9" t="s">
        <v>40</v>
      </c>
      <c r="AP3" s="9" t="s">
        <v>41</v>
      </c>
      <c r="AQ3" s="9" t="s">
        <v>216</v>
      </c>
      <c r="AR3" s="155" t="s">
        <v>217</v>
      </c>
      <c r="AS3" s="161" t="s">
        <v>232</v>
      </c>
      <c r="AT3" s="161" t="s">
        <v>235</v>
      </c>
    </row>
    <row r="4" spans="1:46">
      <c r="A4" s="11" t="s">
        <v>42</v>
      </c>
      <c r="B4" s="12">
        <v>78269</v>
      </c>
      <c r="C4" s="12">
        <f t="shared" ref="C4:AP4" si="0">C5+C23+C38+C52+C63</f>
        <v>207398</v>
      </c>
      <c r="D4" s="12">
        <f t="shared" si="0"/>
        <v>229551</v>
      </c>
      <c r="E4" s="12">
        <f t="shared" si="0"/>
        <v>250595</v>
      </c>
      <c r="F4" s="12">
        <f t="shared" si="0"/>
        <v>262338</v>
      </c>
      <c r="G4" s="12">
        <f t="shared" si="0"/>
        <v>276131</v>
      </c>
      <c r="H4" s="12">
        <f t="shared" si="0"/>
        <v>291474</v>
      </c>
      <c r="I4" s="12">
        <f t="shared" si="0"/>
        <v>310921</v>
      </c>
      <c r="J4" s="12">
        <f t="shared" si="0"/>
        <v>316222</v>
      </c>
      <c r="K4" s="12">
        <f t="shared" si="0"/>
        <v>310689</v>
      </c>
      <c r="L4" s="12">
        <f t="shared" si="0"/>
        <v>300178</v>
      </c>
      <c r="M4" s="12">
        <f t="shared" si="0"/>
        <v>297052</v>
      </c>
      <c r="N4" s="12">
        <f t="shared" si="0"/>
        <v>294813</v>
      </c>
      <c r="O4" s="12">
        <f t="shared" si="0"/>
        <v>294671</v>
      </c>
      <c r="P4" s="12">
        <f t="shared" si="0"/>
        <v>288713</v>
      </c>
      <c r="Q4" s="12">
        <f t="shared" si="0"/>
        <v>282905</v>
      </c>
      <c r="R4" s="12">
        <f t="shared" si="0"/>
        <v>284985</v>
      </c>
      <c r="S4" s="12">
        <f t="shared" si="0"/>
        <v>287316</v>
      </c>
      <c r="T4" s="12">
        <f t="shared" si="0"/>
        <v>288127</v>
      </c>
      <c r="U4" s="12">
        <f t="shared" si="0"/>
        <v>297405</v>
      </c>
      <c r="V4" s="12">
        <f t="shared" si="0"/>
        <v>308210</v>
      </c>
      <c r="W4" s="12">
        <f t="shared" si="0"/>
        <v>323113</v>
      </c>
      <c r="X4" s="12">
        <f t="shared" si="0"/>
        <v>336032</v>
      </c>
      <c r="Y4" s="12">
        <f t="shared" si="0"/>
        <v>351642</v>
      </c>
      <c r="Z4" s="12">
        <f t="shared" si="0"/>
        <v>368297</v>
      </c>
      <c r="AA4" s="12">
        <f t="shared" si="0"/>
        <v>385755</v>
      </c>
      <c r="AB4" s="12">
        <f t="shared" si="0"/>
        <v>396374</v>
      </c>
      <c r="AC4" s="12">
        <f t="shared" si="0"/>
        <v>405099</v>
      </c>
      <c r="AD4" s="12">
        <f t="shared" si="0"/>
        <v>418039</v>
      </c>
      <c r="AE4" s="12">
        <f t="shared" si="0"/>
        <v>430164</v>
      </c>
      <c r="AF4" s="12">
        <f t="shared" si="0"/>
        <v>439986</v>
      </c>
      <c r="AG4" s="12">
        <f t="shared" si="0"/>
        <v>457056</v>
      </c>
      <c r="AH4" s="12">
        <f t="shared" si="0"/>
        <v>468476</v>
      </c>
      <c r="AI4" s="12">
        <f t="shared" si="0"/>
        <v>482118</v>
      </c>
      <c r="AJ4" s="12">
        <f t="shared" si="0"/>
        <v>513339</v>
      </c>
      <c r="AK4" s="12">
        <f t="shared" si="0"/>
        <v>558668</v>
      </c>
      <c r="AL4" s="12">
        <f t="shared" si="0"/>
        <v>574618</v>
      </c>
      <c r="AM4" s="12">
        <f t="shared" si="0"/>
        <v>570155</v>
      </c>
      <c r="AN4" s="12">
        <f t="shared" si="0"/>
        <v>604607</v>
      </c>
      <c r="AO4" s="12">
        <f t="shared" si="0"/>
        <v>626397</v>
      </c>
      <c r="AP4" s="12">
        <f t="shared" si="0"/>
        <v>659259</v>
      </c>
      <c r="AQ4" s="12">
        <f t="shared" ref="AQ4:AR4" si="1">AQ5+AQ23+AQ38+AQ52+AQ63</f>
        <v>689387</v>
      </c>
      <c r="AR4" s="12">
        <f t="shared" si="1"/>
        <v>691772</v>
      </c>
      <c r="AS4" s="12">
        <f t="shared" ref="AS4:AT4" si="2">AS5+AS23+AS38+AS52+AS63</f>
        <v>730330</v>
      </c>
      <c r="AT4" s="12">
        <f t="shared" si="2"/>
        <v>724278</v>
      </c>
    </row>
    <row r="5" spans="1:46">
      <c r="A5" s="14" t="s">
        <v>43</v>
      </c>
      <c r="B5" s="15">
        <f>SUM(B7:B22)</f>
        <v>16022</v>
      </c>
      <c r="C5" s="15">
        <f t="shared" ref="C5:AP5" si="3">SUM(C7:C22)</f>
        <v>43698</v>
      </c>
      <c r="D5" s="15">
        <f t="shared" si="3"/>
        <v>49529</v>
      </c>
      <c r="E5" s="15">
        <f t="shared" si="3"/>
        <v>56460</v>
      </c>
      <c r="F5" s="15">
        <f t="shared" si="3"/>
        <v>62283</v>
      </c>
      <c r="G5" s="15">
        <f t="shared" si="3"/>
        <v>68635</v>
      </c>
      <c r="H5" s="15">
        <f t="shared" si="3"/>
        <v>75041</v>
      </c>
      <c r="I5" s="15">
        <f t="shared" si="3"/>
        <v>83642</v>
      </c>
      <c r="J5" s="15">
        <f t="shared" si="3"/>
        <v>86129</v>
      </c>
      <c r="K5" s="15">
        <f t="shared" si="3"/>
        <v>86092</v>
      </c>
      <c r="L5" s="15">
        <f t="shared" si="3"/>
        <v>82751</v>
      </c>
      <c r="M5" s="15">
        <f t="shared" si="3"/>
        <v>81291</v>
      </c>
      <c r="N5" s="15">
        <f t="shared" si="3"/>
        <v>79621</v>
      </c>
      <c r="O5" s="15">
        <f t="shared" si="3"/>
        <v>78489</v>
      </c>
      <c r="P5" s="15">
        <f t="shared" si="3"/>
        <v>76615</v>
      </c>
      <c r="Q5" s="15">
        <f t="shared" si="3"/>
        <v>74702</v>
      </c>
      <c r="R5" s="15">
        <f t="shared" si="3"/>
        <v>76880</v>
      </c>
      <c r="S5" s="15">
        <f t="shared" si="3"/>
        <v>78131</v>
      </c>
      <c r="T5" s="15">
        <f t="shared" si="3"/>
        <v>76980</v>
      </c>
      <c r="U5" s="15">
        <f t="shared" si="3"/>
        <v>80880</v>
      </c>
      <c r="V5" s="15">
        <f t="shared" si="3"/>
        <v>81979</v>
      </c>
      <c r="W5" s="15">
        <f t="shared" si="3"/>
        <v>86394</v>
      </c>
      <c r="X5" s="15">
        <f t="shared" si="3"/>
        <v>89951</v>
      </c>
      <c r="Y5" s="15">
        <f t="shared" si="3"/>
        <v>95166</v>
      </c>
      <c r="Z5" s="15">
        <f t="shared" si="3"/>
        <v>101811</v>
      </c>
      <c r="AA5" s="15">
        <f t="shared" si="3"/>
        <v>107412</v>
      </c>
      <c r="AB5" s="15">
        <f t="shared" si="3"/>
        <v>112530</v>
      </c>
      <c r="AC5" s="15">
        <f t="shared" si="3"/>
        <v>114395</v>
      </c>
      <c r="AD5" s="15">
        <f t="shared" si="3"/>
        <v>120311</v>
      </c>
      <c r="AE5" s="15">
        <f t="shared" si="3"/>
        <v>123519</v>
      </c>
      <c r="AF5" s="15">
        <f t="shared" si="3"/>
        <v>125100</v>
      </c>
      <c r="AG5" s="15">
        <f t="shared" si="3"/>
        <v>130504</v>
      </c>
      <c r="AH5" s="15">
        <f t="shared" si="3"/>
        <v>132294</v>
      </c>
      <c r="AI5" s="15">
        <f t="shared" si="3"/>
        <v>135473</v>
      </c>
      <c r="AJ5" s="15">
        <f t="shared" si="3"/>
        <v>142514</v>
      </c>
      <c r="AK5" s="15">
        <f t="shared" si="3"/>
        <v>156061</v>
      </c>
      <c r="AL5" s="15">
        <f t="shared" si="3"/>
        <v>161130</v>
      </c>
      <c r="AM5" s="15">
        <f t="shared" si="3"/>
        <v>163590</v>
      </c>
      <c r="AN5" s="15">
        <f t="shared" si="3"/>
        <v>167378</v>
      </c>
      <c r="AO5" s="15">
        <f t="shared" si="3"/>
        <v>174207</v>
      </c>
      <c r="AP5" s="15">
        <f t="shared" si="3"/>
        <v>185980</v>
      </c>
      <c r="AQ5" s="15">
        <f t="shared" ref="AQ5:AR5" si="4">SUM(AQ7:AQ22)</f>
        <v>197484</v>
      </c>
      <c r="AR5" s="15">
        <f t="shared" si="4"/>
        <v>209611</v>
      </c>
      <c r="AS5" s="15">
        <f t="shared" ref="AS5:AT5" si="5">SUM(AS7:AS22)</f>
        <v>220507</v>
      </c>
      <c r="AT5" s="15">
        <f t="shared" si="5"/>
        <v>224053</v>
      </c>
    </row>
    <row r="6" spans="1:46">
      <c r="A6" s="16" t="s">
        <v>44</v>
      </c>
      <c r="B6" s="17">
        <f>(B5/B4)*100</f>
        <v>20.470428905441491</v>
      </c>
      <c r="C6" s="17">
        <f t="shared" ref="C6:AP6" si="6">(C5/C4)*100</f>
        <v>21.069634229838282</v>
      </c>
      <c r="D6" s="17">
        <f t="shared" si="6"/>
        <v>21.576468845703133</v>
      </c>
      <c r="E6" s="17">
        <f t="shared" si="6"/>
        <v>22.530377701071451</v>
      </c>
      <c r="F6" s="17">
        <f t="shared" si="6"/>
        <v>23.741509045582418</v>
      </c>
      <c r="G6" s="17">
        <f t="shared" si="6"/>
        <v>24.855956049845908</v>
      </c>
      <c r="H6" s="17">
        <f t="shared" si="6"/>
        <v>25.745349499440774</v>
      </c>
      <c r="I6" s="17">
        <f t="shared" si="6"/>
        <v>26.901367228331313</v>
      </c>
      <c r="J6" s="17">
        <f t="shared" si="6"/>
        <v>27.236877889583898</v>
      </c>
      <c r="K6" s="17">
        <f t="shared" si="6"/>
        <v>27.710025137677867</v>
      </c>
      <c r="L6" s="17">
        <f t="shared" si="6"/>
        <v>27.567310062696134</v>
      </c>
      <c r="M6" s="17">
        <f t="shared" si="6"/>
        <v>27.365915731925721</v>
      </c>
      <c r="N6" s="17">
        <f t="shared" si="6"/>
        <v>27.007289366479771</v>
      </c>
      <c r="O6" s="17">
        <f t="shared" si="6"/>
        <v>26.636146753497968</v>
      </c>
      <c r="P6" s="17">
        <f t="shared" si="6"/>
        <v>26.536733711332705</v>
      </c>
      <c r="Q6" s="17">
        <f t="shared" si="6"/>
        <v>26.4053304112688</v>
      </c>
      <c r="R6" s="17">
        <f t="shared" si="6"/>
        <v>26.976858431145502</v>
      </c>
      <c r="S6" s="17">
        <f t="shared" si="6"/>
        <v>27.19340377841819</v>
      </c>
      <c r="T6" s="17">
        <f t="shared" si="6"/>
        <v>26.717385042012726</v>
      </c>
      <c r="U6" s="17">
        <f t="shared" si="6"/>
        <v>27.195238815756291</v>
      </c>
      <c r="V6" s="17">
        <f t="shared" si="6"/>
        <v>26.598423153045005</v>
      </c>
      <c r="W6" s="17">
        <f t="shared" si="6"/>
        <v>26.738014255074848</v>
      </c>
      <c r="X6" s="17">
        <f t="shared" si="6"/>
        <v>26.768581563660604</v>
      </c>
      <c r="Y6" s="17">
        <f t="shared" si="6"/>
        <v>27.063320081218968</v>
      </c>
      <c r="Z6" s="17">
        <f t="shared" si="6"/>
        <v>27.643722321930397</v>
      </c>
      <c r="AA6" s="17">
        <f t="shared" si="6"/>
        <v>27.844616401602053</v>
      </c>
      <c r="AB6" s="17">
        <f t="shared" si="6"/>
        <v>28.389854026752509</v>
      </c>
      <c r="AC6" s="17">
        <f t="shared" si="6"/>
        <v>28.238776200385583</v>
      </c>
      <c r="AD6" s="17">
        <f t="shared" si="6"/>
        <v>28.779850683787878</v>
      </c>
      <c r="AE6" s="17">
        <f t="shared" si="6"/>
        <v>28.714397299634559</v>
      </c>
      <c r="AF6" s="17">
        <f t="shared" si="6"/>
        <v>28.432722859363707</v>
      </c>
      <c r="AG6" s="17">
        <f t="shared" si="6"/>
        <v>28.553175103269623</v>
      </c>
      <c r="AH6" s="17">
        <f t="shared" si="6"/>
        <v>28.239226769354246</v>
      </c>
      <c r="AI6" s="17">
        <f t="shared" si="6"/>
        <v>28.099552391738118</v>
      </c>
      <c r="AJ6" s="17">
        <f t="shared" si="6"/>
        <v>27.762161067053153</v>
      </c>
      <c r="AK6" s="17">
        <f t="shared" si="6"/>
        <v>27.934479869976443</v>
      </c>
      <c r="AL6" s="17">
        <f t="shared" si="6"/>
        <v>28.041237831046018</v>
      </c>
      <c r="AM6" s="17">
        <f t="shared" si="6"/>
        <v>28.692197735703452</v>
      </c>
      <c r="AN6" s="17">
        <f t="shared" si="6"/>
        <v>27.683768133680225</v>
      </c>
      <c r="AO6" s="17">
        <f t="shared" si="6"/>
        <v>27.810956949027531</v>
      </c>
      <c r="AP6" s="17">
        <f t="shared" si="6"/>
        <v>28.21046053220358</v>
      </c>
      <c r="AQ6" s="17">
        <f t="shared" ref="AQ6:AR6" si="7">(AQ5/AQ4)*100</f>
        <v>28.646319121190274</v>
      </c>
      <c r="AR6" s="17">
        <f t="shared" si="7"/>
        <v>30.300590367924691</v>
      </c>
      <c r="AS6" s="17">
        <f t="shared" ref="AS6:AT6" si="8">(AS5/AS4)*100</f>
        <v>30.192789560883437</v>
      </c>
      <c r="AT6" s="17">
        <f t="shared" si="8"/>
        <v>30.9346687321719</v>
      </c>
    </row>
    <row r="7" spans="1:46">
      <c r="A7" s="14" t="s">
        <v>45</v>
      </c>
      <c r="B7" s="18">
        <v>963</v>
      </c>
      <c r="C7" s="18">
        <v>2344</v>
      </c>
      <c r="D7" s="18">
        <v>2561</v>
      </c>
      <c r="E7" s="18">
        <v>3261</v>
      </c>
      <c r="F7" s="18">
        <v>3814</v>
      </c>
      <c r="G7" s="18">
        <v>4262</v>
      </c>
      <c r="H7" s="18">
        <v>5180</v>
      </c>
      <c r="I7" s="18">
        <v>6116</v>
      </c>
      <c r="J7" s="18">
        <v>5757</v>
      </c>
      <c r="K7" s="18">
        <v>6139</v>
      </c>
      <c r="L7" s="18">
        <v>6020</v>
      </c>
      <c r="M7" s="18">
        <v>5527</v>
      </c>
      <c r="N7" s="18">
        <v>5271</v>
      </c>
      <c r="O7" s="18">
        <v>4863</v>
      </c>
      <c r="P7" s="18">
        <v>4819</v>
      </c>
      <c r="Q7" s="18">
        <v>4101</v>
      </c>
      <c r="R7" s="18">
        <v>4372</v>
      </c>
      <c r="S7" s="18">
        <v>4096</v>
      </c>
      <c r="T7" s="18">
        <v>3946</v>
      </c>
      <c r="U7" s="18">
        <v>4559</v>
      </c>
      <c r="V7" s="18">
        <v>4233</v>
      </c>
      <c r="W7" s="18">
        <v>4510</v>
      </c>
      <c r="X7" s="18">
        <v>5162</v>
      </c>
      <c r="Y7" s="18">
        <v>5544</v>
      </c>
      <c r="Z7" s="18">
        <v>5636</v>
      </c>
      <c r="AA7" s="18">
        <v>5763</v>
      </c>
      <c r="AB7" s="18">
        <v>5983</v>
      </c>
      <c r="AC7" s="18">
        <v>6473</v>
      </c>
      <c r="AD7" s="18">
        <v>7478</v>
      </c>
      <c r="AE7" s="18">
        <v>6318</v>
      </c>
      <c r="AF7" s="18">
        <v>6605</v>
      </c>
      <c r="AG7" s="18">
        <v>8021</v>
      </c>
      <c r="AH7" s="18">
        <v>8138</v>
      </c>
      <c r="AI7" s="18">
        <v>8284</v>
      </c>
      <c r="AJ7" s="18">
        <v>8441</v>
      </c>
      <c r="AK7" s="18">
        <v>9059</v>
      </c>
      <c r="AL7" s="18">
        <v>9993</v>
      </c>
      <c r="AM7" s="18">
        <v>10295</v>
      </c>
      <c r="AN7" s="18">
        <v>9757</v>
      </c>
      <c r="AO7" s="18">
        <v>10619</v>
      </c>
      <c r="AP7" s="18">
        <v>10693</v>
      </c>
      <c r="AQ7" s="18">
        <v>11253</v>
      </c>
      <c r="AR7" s="6">
        <v>10654</v>
      </c>
      <c r="AS7">
        <v>11402</v>
      </c>
      <c r="AT7">
        <v>11670</v>
      </c>
    </row>
    <row r="8" spans="1:46">
      <c r="A8" s="14" t="s">
        <v>46</v>
      </c>
      <c r="B8" s="18">
        <v>621</v>
      </c>
      <c r="C8" s="18">
        <v>1159</v>
      </c>
      <c r="D8" s="18">
        <v>1185</v>
      </c>
      <c r="E8" s="18">
        <v>1243</v>
      </c>
      <c r="F8" s="18">
        <v>1307</v>
      </c>
      <c r="G8" s="18">
        <v>1234</v>
      </c>
      <c r="H8" s="18">
        <v>1408</v>
      </c>
      <c r="I8" s="18">
        <v>1640</v>
      </c>
      <c r="J8" s="18">
        <v>1800</v>
      </c>
      <c r="K8" s="18">
        <v>1772</v>
      </c>
      <c r="L8" s="18">
        <v>1680</v>
      </c>
      <c r="M8" s="18">
        <v>1754</v>
      </c>
      <c r="N8" s="18">
        <v>1794</v>
      </c>
      <c r="O8" s="18">
        <v>1854</v>
      </c>
      <c r="P8" s="18">
        <v>1771</v>
      </c>
      <c r="Q8" s="18">
        <v>1690</v>
      </c>
      <c r="R8" s="18">
        <v>1731</v>
      </c>
      <c r="S8" s="18">
        <v>1697</v>
      </c>
      <c r="T8" s="18">
        <v>1883</v>
      </c>
      <c r="U8" s="18">
        <v>1746</v>
      </c>
      <c r="V8" s="18">
        <v>1801</v>
      </c>
      <c r="W8" s="18">
        <v>1700</v>
      </c>
      <c r="X8" s="18">
        <v>1649</v>
      </c>
      <c r="Y8" s="18">
        <v>1774</v>
      </c>
      <c r="Z8" s="18">
        <v>1836</v>
      </c>
      <c r="AA8" s="18">
        <v>1995</v>
      </c>
      <c r="AB8" s="18">
        <v>2041</v>
      </c>
      <c r="AC8" s="18">
        <v>1973</v>
      </c>
      <c r="AD8" s="18">
        <v>2199</v>
      </c>
      <c r="AE8" s="18">
        <v>2181</v>
      </c>
      <c r="AF8" s="18">
        <v>2271</v>
      </c>
      <c r="AG8" s="18">
        <v>2377</v>
      </c>
      <c r="AH8" s="18">
        <v>2267</v>
      </c>
      <c r="AI8" s="18">
        <v>2470</v>
      </c>
      <c r="AJ8" s="18">
        <v>2443</v>
      </c>
      <c r="AK8" s="18">
        <v>2597</v>
      </c>
      <c r="AL8" s="18">
        <v>2851</v>
      </c>
      <c r="AM8" s="18">
        <v>3097</v>
      </c>
      <c r="AN8" s="18">
        <v>3257</v>
      </c>
      <c r="AO8" s="18">
        <v>3509</v>
      </c>
      <c r="AP8" s="18">
        <v>3774</v>
      </c>
      <c r="AQ8" s="18">
        <v>4126</v>
      </c>
      <c r="AR8" s="6">
        <v>4793</v>
      </c>
      <c r="AS8">
        <v>5320</v>
      </c>
      <c r="AT8">
        <v>5225</v>
      </c>
    </row>
    <row r="9" spans="1:46">
      <c r="A9" s="14" t="s">
        <v>47</v>
      </c>
      <c r="B9" s="18"/>
      <c r="C9" s="18">
        <v>364</v>
      </c>
      <c r="D9" s="18">
        <v>472</v>
      </c>
      <c r="E9" s="18">
        <v>511</v>
      </c>
      <c r="F9" s="18">
        <v>491</v>
      </c>
      <c r="G9" s="18">
        <v>464</v>
      </c>
      <c r="H9" s="18">
        <v>485</v>
      </c>
      <c r="I9" s="18">
        <v>459</v>
      </c>
      <c r="J9" s="18">
        <v>362</v>
      </c>
      <c r="K9" s="18">
        <v>495</v>
      </c>
      <c r="L9" s="18">
        <v>453</v>
      </c>
      <c r="M9" s="18">
        <v>468</v>
      </c>
      <c r="N9" s="18">
        <v>452</v>
      </c>
      <c r="O9" s="18">
        <v>508</v>
      </c>
      <c r="P9" s="18">
        <v>495</v>
      </c>
      <c r="Q9" s="18">
        <v>570</v>
      </c>
      <c r="R9" s="18">
        <v>552</v>
      </c>
      <c r="S9" s="18">
        <v>568</v>
      </c>
      <c r="T9" s="18">
        <v>586</v>
      </c>
      <c r="U9" s="18">
        <v>649</v>
      </c>
      <c r="V9" s="18">
        <v>691</v>
      </c>
      <c r="W9" s="18">
        <v>791</v>
      </c>
      <c r="X9" s="18">
        <v>809</v>
      </c>
      <c r="Y9" s="18">
        <v>857</v>
      </c>
      <c r="Z9" s="18">
        <v>954</v>
      </c>
      <c r="AA9" s="18">
        <v>955</v>
      </c>
      <c r="AB9" s="18">
        <v>1102</v>
      </c>
      <c r="AC9" s="18">
        <v>1250</v>
      </c>
      <c r="AD9" s="18">
        <v>1184</v>
      </c>
      <c r="AE9" s="18">
        <v>1439</v>
      </c>
      <c r="AF9" s="18">
        <v>1507</v>
      </c>
      <c r="AG9" s="18">
        <v>1450</v>
      </c>
      <c r="AH9" s="18">
        <v>1479</v>
      </c>
      <c r="AI9" s="18">
        <v>1549</v>
      </c>
      <c r="AJ9" s="18">
        <v>1763</v>
      </c>
      <c r="AK9" s="18">
        <v>1940</v>
      </c>
      <c r="AL9" s="18">
        <v>2031</v>
      </c>
      <c r="AM9" s="18">
        <v>2114</v>
      </c>
      <c r="AN9" s="18">
        <v>2292</v>
      </c>
      <c r="AO9" s="18">
        <v>2291</v>
      </c>
      <c r="AP9" s="18">
        <v>2378</v>
      </c>
      <c r="AQ9" s="18">
        <v>2424</v>
      </c>
      <c r="AR9" s="6">
        <v>2705</v>
      </c>
      <c r="AS9">
        <v>2680</v>
      </c>
      <c r="AT9">
        <v>2753</v>
      </c>
    </row>
    <row r="10" spans="1:46">
      <c r="A10" s="14" t="s">
        <v>48</v>
      </c>
      <c r="B10" s="18">
        <v>1058</v>
      </c>
      <c r="C10" s="18">
        <v>4327</v>
      </c>
      <c r="D10" s="18">
        <v>5069</v>
      </c>
      <c r="E10" s="18">
        <v>5799</v>
      </c>
      <c r="F10" s="18">
        <v>6010</v>
      </c>
      <c r="G10" s="18">
        <v>6530</v>
      </c>
      <c r="H10" s="18">
        <v>7258</v>
      </c>
      <c r="I10" s="18">
        <v>8227</v>
      </c>
      <c r="J10" s="18">
        <v>8535</v>
      </c>
      <c r="K10" s="18">
        <v>8990</v>
      </c>
      <c r="L10" s="18">
        <v>9435</v>
      </c>
      <c r="M10" s="18">
        <v>8299</v>
      </c>
      <c r="N10" s="18">
        <v>8716</v>
      </c>
      <c r="O10" s="18">
        <v>8824</v>
      </c>
      <c r="P10" s="18">
        <v>8326</v>
      </c>
      <c r="Q10" s="18">
        <v>7615</v>
      </c>
      <c r="R10" s="18">
        <v>8599</v>
      </c>
      <c r="S10" s="18">
        <v>9112</v>
      </c>
      <c r="T10" s="18">
        <v>9044</v>
      </c>
      <c r="U10" s="18">
        <v>9828</v>
      </c>
      <c r="V10" s="18">
        <v>10256</v>
      </c>
      <c r="W10" s="18">
        <v>10802</v>
      </c>
      <c r="X10" s="18">
        <v>11295</v>
      </c>
      <c r="Y10" s="18">
        <v>11864</v>
      </c>
      <c r="Z10" s="18">
        <v>13145</v>
      </c>
      <c r="AA10" s="18">
        <v>14056</v>
      </c>
      <c r="AB10" s="18">
        <v>14793</v>
      </c>
      <c r="AC10" s="18">
        <v>15312</v>
      </c>
      <c r="AD10" s="18">
        <v>16244</v>
      </c>
      <c r="AE10" s="18">
        <v>16677</v>
      </c>
      <c r="AF10" s="18">
        <v>17113</v>
      </c>
      <c r="AG10" s="18">
        <v>17901</v>
      </c>
      <c r="AH10" s="18">
        <v>19482</v>
      </c>
      <c r="AI10" s="18">
        <v>20294</v>
      </c>
      <c r="AJ10" s="18">
        <v>21367</v>
      </c>
      <c r="AK10" s="18">
        <v>23175</v>
      </c>
      <c r="AL10" s="18">
        <v>24014</v>
      </c>
      <c r="AM10" s="18">
        <v>24041</v>
      </c>
      <c r="AN10" s="18">
        <v>25573</v>
      </c>
      <c r="AO10" s="18">
        <v>26585</v>
      </c>
      <c r="AP10" s="18">
        <v>28377</v>
      </c>
      <c r="AQ10" s="18">
        <v>29616</v>
      </c>
      <c r="AR10" s="6">
        <v>31766</v>
      </c>
      <c r="AS10">
        <v>33414</v>
      </c>
      <c r="AT10">
        <v>32437</v>
      </c>
    </row>
    <row r="11" spans="1:46">
      <c r="A11" s="14" t="s">
        <v>49</v>
      </c>
      <c r="B11" s="18">
        <v>690</v>
      </c>
      <c r="C11" s="18">
        <v>3278</v>
      </c>
      <c r="D11" s="18">
        <v>4541</v>
      </c>
      <c r="E11" s="18">
        <v>4911</v>
      </c>
      <c r="F11" s="18">
        <v>5751</v>
      </c>
      <c r="G11" s="18">
        <v>6819</v>
      </c>
      <c r="H11" s="18">
        <v>7360</v>
      </c>
      <c r="I11" s="18">
        <v>8168</v>
      </c>
      <c r="J11" s="18">
        <v>8233</v>
      </c>
      <c r="K11" s="18">
        <v>7539</v>
      </c>
      <c r="L11" s="18">
        <v>7133</v>
      </c>
      <c r="M11" s="18">
        <v>6820</v>
      </c>
      <c r="N11" s="18">
        <v>6414</v>
      </c>
      <c r="O11" s="18">
        <v>6540</v>
      </c>
      <c r="P11" s="18">
        <v>6208</v>
      </c>
      <c r="Q11" s="18">
        <v>6289</v>
      </c>
      <c r="R11" s="18">
        <v>6267</v>
      </c>
      <c r="S11" s="18">
        <v>6099</v>
      </c>
      <c r="T11" s="18">
        <v>5652</v>
      </c>
      <c r="U11" s="18">
        <v>5883</v>
      </c>
      <c r="V11" s="18">
        <v>6099</v>
      </c>
      <c r="W11" s="18">
        <v>6427</v>
      </c>
      <c r="X11" s="18">
        <v>6566</v>
      </c>
      <c r="Y11" s="18">
        <v>7022</v>
      </c>
      <c r="Z11" s="18">
        <v>7958</v>
      </c>
      <c r="AA11" s="18">
        <v>8326</v>
      </c>
      <c r="AB11" s="18">
        <v>8644</v>
      </c>
      <c r="AC11" s="18">
        <v>9240</v>
      </c>
      <c r="AD11" s="18">
        <v>9677</v>
      </c>
      <c r="AE11" s="18">
        <v>10671</v>
      </c>
      <c r="AF11" s="18">
        <v>10586</v>
      </c>
      <c r="AG11" s="18">
        <v>10410</v>
      </c>
      <c r="AH11" s="18">
        <v>10761</v>
      </c>
      <c r="AI11" s="18">
        <v>12052</v>
      </c>
      <c r="AJ11" s="18">
        <v>12055</v>
      </c>
      <c r="AK11" s="18">
        <v>14442</v>
      </c>
      <c r="AL11" s="18">
        <v>13111</v>
      </c>
      <c r="AM11" s="18">
        <v>12490</v>
      </c>
      <c r="AN11" s="18">
        <v>12337</v>
      </c>
      <c r="AO11" s="18">
        <v>13302</v>
      </c>
      <c r="AP11" s="18">
        <v>15004</v>
      </c>
      <c r="AQ11" s="18">
        <v>15961</v>
      </c>
      <c r="AR11" s="6">
        <v>17125</v>
      </c>
      <c r="AS11">
        <v>17349</v>
      </c>
      <c r="AT11">
        <v>17478</v>
      </c>
    </row>
    <row r="12" spans="1:46">
      <c r="A12" s="14" t="s">
        <v>50</v>
      </c>
      <c r="B12" s="18">
        <v>882</v>
      </c>
      <c r="C12" s="18">
        <v>2560</v>
      </c>
      <c r="D12" s="18">
        <v>2765</v>
      </c>
      <c r="E12" s="18">
        <v>3424</v>
      </c>
      <c r="F12" s="18">
        <v>3636</v>
      </c>
      <c r="G12" s="18">
        <v>4231</v>
      </c>
      <c r="H12" s="18">
        <v>4517</v>
      </c>
      <c r="I12" s="18">
        <v>4877</v>
      </c>
      <c r="J12" s="18">
        <v>4900</v>
      </c>
      <c r="K12" s="18">
        <v>4976</v>
      </c>
      <c r="L12" s="18">
        <v>5006</v>
      </c>
      <c r="M12" s="18">
        <v>5210</v>
      </c>
      <c r="N12" s="18">
        <v>4518</v>
      </c>
      <c r="O12" s="18">
        <v>4161</v>
      </c>
      <c r="P12" s="18">
        <v>3703</v>
      </c>
      <c r="Q12" s="18">
        <v>3620</v>
      </c>
      <c r="R12" s="18">
        <v>3419</v>
      </c>
      <c r="S12" s="18">
        <v>3473</v>
      </c>
      <c r="T12" s="18">
        <v>3256</v>
      </c>
      <c r="U12" s="18">
        <v>3333</v>
      </c>
      <c r="V12" s="18">
        <v>3491</v>
      </c>
      <c r="W12" s="18">
        <v>3681</v>
      </c>
      <c r="X12" s="18">
        <v>3968</v>
      </c>
      <c r="Y12" s="18">
        <v>4059</v>
      </c>
      <c r="Z12" s="18">
        <v>4195</v>
      </c>
      <c r="AA12" s="18">
        <v>4028</v>
      </c>
      <c r="AB12" s="18">
        <v>4219</v>
      </c>
      <c r="AC12" s="18">
        <v>4493</v>
      </c>
      <c r="AD12" s="18">
        <v>4553</v>
      </c>
      <c r="AE12" s="18">
        <v>4773</v>
      </c>
      <c r="AF12" s="18">
        <v>4868</v>
      </c>
      <c r="AG12" s="18">
        <v>4795</v>
      </c>
      <c r="AH12" s="18">
        <v>4820</v>
      </c>
      <c r="AI12" s="18">
        <v>4914</v>
      </c>
      <c r="AJ12" s="18">
        <v>5430</v>
      </c>
      <c r="AK12" s="18">
        <v>6190</v>
      </c>
      <c r="AL12" s="18">
        <v>6564</v>
      </c>
      <c r="AM12" s="18">
        <v>6896</v>
      </c>
      <c r="AN12" s="18">
        <v>7322</v>
      </c>
      <c r="AO12" s="18">
        <v>7131</v>
      </c>
      <c r="AP12" s="18">
        <v>7510</v>
      </c>
      <c r="AQ12" s="18">
        <v>7961</v>
      </c>
      <c r="AR12" s="6">
        <v>8136</v>
      </c>
      <c r="AS12">
        <v>9129</v>
      </c>
      <c r="AT12">
        <v>9484</v>
      </c>
    </row>
    <row r="13" spans="1:46">
      <c r="A13" s="14" t="s">
        <v>51</v>
      </c>
      <c r="B13" s="18">
        <v>986</v>
      </c>
      <c r="C13" s="18">
        <v>3086</v>
      </c>
      <c r="D13" s="18">
        <v>3343</v>
      </c>
      <c r="E13" s="18">
        <v>3699</v>
      </c>
      <c r="F13" s="18">
        <v>4204</v>
      </c>
      <c r="G13" s="18">
        <v>4235</v>
      </c>
      <c r="H13" s="18">
        <v>4326</v>
      </c>
      <c r="I13" s="18">
        <v>4339</v>
      </c>
      <c r="J13" s="18">
        <v>4442</v>
      </c>
      <c r="K13" s="18">
        <v>4458</v>
      </c>
      <c r="L13" s="18">
        <v>4053</v>
      </c>
      <c r="M13" s="18">
        <v>4190</v>
      </c>
      <c r="N13" s="18">
        <v>3925</v>
      </c>
      <c r="O13" s="18">
        <v>3855</v>
      </c>
      <c r="P13" s="18">
        <v>4006</v>
      </c>
      <c r="Q13" s="18">
        <v>3917</v>
      </c>
      <c r="R13" s="18">
        <v>4100</v>
      </c>
      <c r="S13" s="18">
        <v>4109</v>
      </c>
      <c r="T13" s="18">
        <v>3972</v>
      </c>
      <c r="U13" s="18">
        <v>3941</v>
      </c>
      <c r="V13" s="18">
        <v>3859</v>
      </c>
      <c r="W13" s="18">
        <v>3993</v>
      </c>
      <c r="X13" s="18">
        <v>4100</v>
      </c>
      <c r="Y13" s="18">
        <v>4235</v>
      </c>
      <c r="Z13" s="18">
        <v>4723</v>
      </c>
      <c r="AA13" s="18">
        <v>5205</v>
      </c>
      <c r="AB13" s="18">
        <v>5346</v>
      </c>
      <c r="AC13" s="18">
        <v>5229</v>
      </c>
      <c r="AD13" s="18">
        <v>5515</v>
      </c>
      <c r="AE13" s="18">
        <v>5674</v>
      </c>
      <c r="AF13" s="18">
        <v>5899</v>
      </c>
      <c r="AG13" s="18">
        <v>5882</v>
      </c>
      <c r="AH13" s="18">
        <v>5860</v>
      </c>
      <c r="AI13" s="18">
        <v>5855</v>
      </c>
      <c r="AJ13" s="18">
        <v>5813</v>
      </c>
      <c r="AK13" s="18">
        <v>6414</v>
      </c>
      <c r="AL13" s="18">
        <v>6874</v>
      </c>
      <c r="AM13" s="18">
        <v>6476</v>
      </c>
      <c r="AN13" s="18">
        <v>6335</v>
      </c>
      <c r="AO13" s="18">
        <v>5962</v>
      </c>
      <c r="AP13" s="18">
        <v>6210</v>
      </c>
      <c r="AQ13" s="18">
        <v>6641</v>
      </c>
      <c r="AR13" s="6">
        <v>7017</v>
      </c>
      <c r="AS13">
        <v>7275</v>
      </c>
      <c r="AT13">
        <v>7552</v>
      </c>
    </row>
    <row r="14" spans="1:46">
      <c r="A14" s="14" t="s">
        <v>52</v>
      </c>
      <c r="B14" s="18">
        <v>766</v>
      </c>
      <c r="C14" s="18">
        <v>2984</v>
      </c>
      <c r="D14" s="18">
        <v>3226</v>
      </c>
      <c r="E14" s="18">
        <v>3660</v>
      </c>
      <c r="F14" s="18">
        <v>4119</v>
      </c>
      <c r="G14" s="18">
        <v>4294</v>
      </c>
      <c r="H14" s="18">
        <v>5059</v>
      </c>
      <c r="I14" s="18">
        <v>5379</v>
      </c>
      <c r="J14" s="18">
        <v>5456</v>
      </c>
      <c r="K14" s="18">
        <v>5366</v>
      </c>
      <c r="L14" s="18">
        <v>5135</v>
      </c>
      <c r="M14" s="18">
        <v>5098</v>
      </c>
      <c r="N14" s="18">
        <v>5232</v>
      </c>
      <c r="O14" s="18">
        <v>5109</v>
      </c>
      <c r="P14" s="18">
        <v>5066</v>
      </c>
      <c r="Q14" s="18">
        <v>4994</v>
      </c>
      <c r="R14" s="18">
        <v>5217</v>
      </c>
      <c r="S14" s="18">
        <v>5128</v>
      </c>
      <c r="T14" s="18">
        <v>5334</v>
      </c>
      <c r="U14" s="18">
        <v>5394</v>
      </c>
      <c r="V14" s="18">
        <v>5949</v>
      </c>
      <c r="W14" s="18">
        <v>6448</v>
      </c>
      <c r="X14" s="18">
        <v>6924</v>
      </c>
      <c r="Y14" s="18">
        <v>7496</v>
      </c>
      <c r="Z14" s="18">
        <v>7982</v>
      </c>
      <c r="AA14" s="18">
        <v>8182</v>
      </c>
      <c r="AB14" s="18">
        <v>8991</v>
      </c>
      <c r="AC14" s="18">
        <v>9807</v>
      </c>
      <c r="AD14" s="18">
        <v>9909</v>
      </c>
      <c r="AE14" s="18">
        <v>10130</v>
      </c>
      <c r="AF14" s="18">
        <v>10628</v>
      </c>
      <c r="AG14" s="18">
        <v>10687</v>
      </c>
      <c r="AH14" s="18">
        <v>10872</v>
      </c>
      <c r="AI14" s="18">
        <v>11591</v>
      </c>
      <c r="AJ14" s="18">
        <v>12057</v>
      </c>
      <c r="AK14" s="18">
        <v>12999</v>
      </c>
      <c r="AL14" s="18">
        <v>13163</v>
      </c>
      <c r="AM14" s="18">
        <v>13438</v>
      </c>
      <c r="AN14" s="18">
        <v>14169</v>
      </c>
      <c r="AO14" s="18">
        <v>14662</v>
      </c>
      <c r="AP14" s="18">
        <v>15190</v>
      </c>
      <c r="AQ14" s="18">
        <v>15723</v>
      </c>
      <c r="AR14" s="6">
        <v>16975</v>
      </c>
      <c r="AS14">
        <v>17845</v>
      </c>
      <c r="AT14">
        <v>18444</v>
      </c>
    </row>
    <row r="15" spans="1:46">
      <c r="A15" s="14" t="s">
        <v>53</v>
      </c>
      <c r="B15" s="18">
        <v>592</v>
      </c>
      <c r="C15" s="18">
        <v>1433</v>
      </c>
      <c r="D15" s="18">
        <v>1656</v>
      </c>
      <c r="E15" s="18">
        <v>1873</v>
      </c>
      <c r="F15" s="18">
        <v>2166</v>
      </c>
      <c r="G15" s="18">
        <v>2465</v>
      </c>
      <c r="H15" s="18">
        <v>2850</v>
      </c>
      <c r="I15" s="18">
        <v>3299</v>
      </c>
      <c r="J15" s="18">
        <v>3665</v>
      </c>
      <c r="K15" s="18">
        <v>3518</v>
      </c>
      <c r="L15" s="18">
        <v>2982</v>
      </c>
      <c r="M15" s="18">
        <v>2845</v>
      </c>
      <c r="N15" s="18">
        <v>2769</v>
      </c>
      <c r="O15" s="18">
        <v>2563</v>
      </c>
      <c r="P15" s="18">
        <v>2174</v>
      </c>
      <c r="Q15" s="18">
        <v>2062</v>
      </c>
      <c r="R15" s="18">
        <v>2271</v>
      </c>
      <c r="S15" s="18">
        <v>2288</v>
      </c>
      <c r="T15" s="18">
        <v>2037</v>
      </c>
      <c r="U15" s="18">
        <v>2082</v>
      </c>
      <c r="V15" s="18">
        <v>2108</v>
      </c>
      <c r="W15" s="18">
        <v>2370</v>
      </c>
      <c r="X15" s="18">
        <v>2511</v>
      </c>
      <c r="Y15" s="18">
        <v>2547</v>
      </c>
      <c r="Z15" s="18">
        <v>2672</v>
      </c>
      <c r="AA15" s="18">
        <v>2630</v>
      </c>
      <c r="AB15" s="18">
        <v>2621</v>
      </c>
      <c r="AC15" s="18">
        <v>2710</v>
      </c>
      <c r="AD15" s="18">
        <v>3245</v>
      </c>
      <c r="AE15" s="18">
        <v>3405</v>
      </c>
      <c r="AF15" s="18">
        <v>3448</v>
      </c>
      <c r="AG15" s="18">
        <v>3263</v>
      </c>
      <c r="AH15" s="18">
        <v>3340</v>
      </c>
      <c r="AI15" s="18">
        <v>3386</v>
      </c>
      <c r="AJ15" s="18">
        <v>3417</v>
      </c>
      <c r="AK15" s="18">
        <v>3668</v>
      </c>
      <c r="AL15" s="18">
        <v>3877</v>
      </c>
      <c r="AM15" s="18">
        <v>3834</v>
      </c>
      <c r="AN15" s="18">
        <v>3949</v>
      </c>
      <c r="AO15" s="18">
        <v>3987</v>
      </c>
      <c r="AP15" s="18">
        <v>4160</v>
      </c>
      <c r="AQ15" s="18">
        <v>4203</v>
      </c>
      <c r="AR15" s="6">
        <v>4676</v>
      </c>
      <c r="AS15">
        <v>4809</v>
      </c>
      <c r="AT15">
        <v>4804</v>
      </c>
    </row>
    <row r="16" spans="1:46">
      <c r="A16" s="14" t="s">
        <v>54</v>
      </c>
      <c r="B16" s="18">
        <v>1522</v>
      </c>
      <c r="C16" s="18">
        <v>3216</v>
      </c>
      <c r="D16" s="18">
        <v>3443</v>
      </c>
      <c r="E16" s="18">
        <v>3909</v>
      </c>
      <c r="F16" s="18">
        <v>4215</v>
      </c>
      <c r="G16" s="18">
        <v>4530</v>
      </c>
      <c r="H16" s="18">
        <v>4480</v>
      </c>
      <c r="I16" s="18">
        <v>4957</v>
      </c>
      <c r="J16" s="18">
        <v>5596</v>
      </c>
      <c r="K16" s="18">
        <v>5740</v>
      </c>
      <c r="L16" s="18">
        <v>5537</v>
      </c>
      <c r="M16" s="18">
        <v>5252</v>
      </c>
      <c r="N16" s="18">
        <v>5289</v>
      </c>
      <c r="O16" s="18">
        <v>5573</v>
      </c>
      <c r="P16" s="18">
        <v>5465</v>
      </c>
      <c r="Q16" s="18">
        <v>5356</v>
      </c>
      <c r="R16" s="18">
        <v>5291</v>
      </c>
      <c r="S16" s="18">
        <v>5665</v>
      </c>
      <c r="T16" s="18">
        <v>5678</v>
      </c>
      <c r="U16" s="18">
        <v>5938</v>
      </c>
      <c r="V16" s="18">
        <v>5872</v>
      </c>
      <c r="W16" s="18">
        <v>6015</v>
      </c>
      <c r="X16" s="18">
        <v>6185</v>
      </c>
      <c r="Y16" s="18">
        <v>6644</v>
      </c>
      <c r="Z16" s="18">
        <v>6864</v>
      </c>
      <c r="AA16" s="18">
        <v>7276</v>
      </c>
      <c r="AB16" s="18">
        <v>7430</v>
      </c>
      <c r="AC16" s="18">
        <v>7768</v>
      </c>
      <c r="AD16" s="18">
        <v>8181</v>
      </c>
      <c r="AE16" s="18">
        <v>8125</v>
      </c>
      <c r="AF16" s="18">
        <v>8919</v>
      </c>
      <c r="AG16" s="18">
        <v>9636</v>
      </c>
      <c r="AH16" s="18">
        <v>9419</v>
      </c>
      <c r="AI16" s="18">
        <v>9377</v>
      </c>
      <c r="AJ16" s="18">
        <v>10143</v>
      </c>
      <c r="AK16" s="18">
        <v>11376</v>
      </c>
      <c r="AL16" s="18">
        <v>11534</v>
      </c>
      <c r="AM16" s="18">
        <v>12347</v>
      </c>
      <c r="AN16" s="18">
        <v>12921</v>
      </c>
      <c r="AO16" s="18">
        <v>13472</v>
      </c>
      <c r="AP16" s="18">
        <v>14365</v>
      </c>
      <c r="AQ16" s="18">
        <v>14883</v>
      </c>
      <c r="AR16" s="6">
        <v>16226</v>
      </c>
      <c r="AS16">
        <v>16948</v>
      </c>
      <c r="AT16">
        <v>17301</v>
      </c>
    </row>
    <row r="17" spans="1:46">
      <c r="A17" s="14" t="s">
        <v>55</v>
      </c>
      <c r="B17" s="18">
        <v>1293</v>
      </c>
      <c r="C17" s="18">
        <v>2892</v>
      </c>
      <c r="D17" s="18">
        <v>2898</v>
      </c>
      <c r="E17" s="18">
        <v>3228</v>
      </c>
      <c r="F17" s="18">
        <v>3278</v>
      </c>
      <c r="G17" s="18">
        <v>3758</v>
      </c>
      <c r="H17" s="18">
        <v>3850</v>
      </c>
      <c r="I17" s="18">
        <v>4082</v>
      </c>
      <c r="J17" s="18">
        <v>4030</v>
      </c>
      <c r="K17" s="18">
        <v>3885</v>
      </c>
      <c r="L17" s="18">
        <v>3667</v>
      </c>
      <c r="M17" s="18">
        <v>3485</v>
      </c>
      <c r="N17" s="18">
        <v>3508</v>
      </c>
      <c r="O17" s="18">
        <v>3478</v>
      </c>
      <c r="P17" s="18">
        <v>3462</v>
      </c>
      <c r="Q17" s="18">
        <v>3493</v>
      </c>
      <c r="R17" s="18">
        <v>3729</v>
      </c>
      <c r="S17" s="18">
        <v>3800</v>
      </c>
      <c r="T17" s="18">
        <v>3935</v>
      </c>
      <c r="U17" s="18">
        <v>4118</v>
      </c>
      <c r="V17" s="18">
        <v>4112</v>
      </c>
      <c r="W17" s="18">
        <v>3943</v>
      </c>
      <c r="X17" s="18">
        <v>3717</v>
      </c>
      <c r="Y17" s="18">
        <v>4267</v>
      </c>
      <c r="Z17" s="18">
        <v>4457</v>
      </c>
      <c r="AA17" s="18">
        <v>4954</v>
      </c>
      <c r="AB17" s="18">
        <v>4928</v>
      </c>
      <c r="AC17" s="18">
        <v>3856</v>
      </c>
      <c r="AD17" s="18">
        <v>4447</v>
      </c>
      <c r="AE17" s="18">
        <v>5310</v>
      </c>
      <c r="AF17" s="18">
        <v>4799</v>
      </c>
      <c r="AG17" s="18">
        <v>5359</v>
      </c>
      <c r="AH17" s="18">
        <v>5232</v>
      </c>
      <c r="AI17" s="18">
        <v>5225</v>
      </c>
      <c r="AJ17" s="18">
        <v>5495</v>
      </c>
      <c r="AK17" s="18">
        <v>5607</v>
      </c>
      <c r="AL17" s="18">
        <v>5719</v>
      </c>
      <c r="AM17" s="18">
        <v>5389</v>
      </c>
      <c r="AN17" s="18">
        <v>5386</v>
      </c>
      <c r="AO17" s="18">
        <v>5435</v>
      </c>
      <c r="AP17" s="18">
        <v>5907</v>
      </c>
      <c r="AQ17" s="18">
        <v>5947</v>
      </c>
      <c r="AR17" s="6">
        <v>6356</v>
      </c>
      <c r="AS17">
        <v>6481</v>
      </c>
      <c r="AT17">
        <v>6497</v>
      </c>
    </row>
    <row r="18" spans="1:46">
      <c r="A18" s="14" t="s">
        <v>56</v>
      </c>
      <c r="B18" s="18">
        <v>348</v>
      </c>
      <c r="C18" s="18">
        <v>769</v>
      </c>
      <c r="D18" s="18">
        <v>1092</v>
      </c>
      <c r="E18" s="18">
        <v>1398</v>
      </c>
      <c r="F18" s="18">
        <v>1791</v>
      </c>
      <c r="G18" s="18">
        <v>2402</v>
      </c>
      <c r="H18" s="18">
        <v>3116</v>
      </c>
      <c r="I18" s="18">
        <v>3737</v>
      </c>
      <c r="J18" s="18">
        <v>3810</v>
      </c>
      <c r="K18" s="18">
        <v>3559</v>
      </c>
      <c r="L18" s="18">
        <v>3461</v>
      </c>
      <c r="M18" s="18">
        <v>3268</v>
      </c>
      <c r="N18" s="18">
        <v>2985</v>
      </c>
      <c r="O18" s="18">
        <v>3037</v>
      </c>
      <c r="P18" s="18">
        <v>3165</v>
      </c>
      <c r="Q18" s="18">
        <v>2995</v>
      </c>
      <c r="R18" s="18">
        <v>3065</v>
      </c>
      <c r="S18" s="18">
        <v>3098</v>
      </c>
      <c r="T18" s="18">
        <v>3269</v>
      </c>
      <c r="U18" s="18">
        <v>3535</v>
      </c>
      <c r="V18" s="18">
        <v>3269</v>
      </c>
      <c r="W18" s="18">
        <v>3828</v>
      </c>
      <c r="X18" s="18">
        <v>3935</v>
      </c>
      <c r="Y18" s="18">
        <v>3911</v>
      </c>
      <c r="Z18" s="18">
        <v>4245</v>
      </c>
      <c r="AA18" s="18">
        <v>4452</v>
      </c>
      <c r="AB18" s="18">
        <v>4525</v>
      </c>
      <c r="AC18" s="18">
        <v>4456</v>
      </c>
      <c r="AD18" s="18">
        <v>4593</v>
      </c>
      <c r="AE18" s="18">
        <v>4615</v>
      </c>
      <c r="AF18" s="18">
        <v>4653</v>
      </c>
      <c r="AG18" s="18">
        <v>4533</v>
      </c>
      <c r="AH18" s="18">
        <v>4588</v>
      </c>
      <c r="AI18" s="18">
        <v>4155</v>
      </c>
      <c r="AJ18" s="18">
        <v>4496</v>
      </c>
      <c r="AK18" s="18">
        <v>4765</v>
      </c>
      <c r="AL18" s="18">
        <v>5007</v>
      </c>
      <c r="AM18" s="18">
        <v>5076</v>
      </c>
      <c r="AN18" s="18">
        <v>5112</v>
      </c>
      <c r="AO18" s="18">
        <v>5180</v>
      </c>
      <c r="AP18" s="18">
        <v>5015</v>
      </c>
      <c r="AQ18" s="18">
        <v>5512</v>
      </c>
      <c r="AR18" s="6">
        <v>5849</v>
      </c>
      <c r="AS18">
        <v>5972</v>
      </c>
      <c r="AT18">
        <v>6120</v>
      </c>
    </row>
    <row r="19" spans="1:46">
      <c r="A19" s="14" t="s">
        <v>57</v>
      </c>
      <c r="B19" s="18">
        <v>1474</v>
      </c>
      <c r="C19" s="18">
        <v>3054</v>
      </c>
      <c r="D19" s="18">
        <v>3236</v>
      </c>
      <c r="E19" s="18">
        <v>3868</v>
      </c>
      <c r="F19" s="18">
        <v>4280</v>
      </c>
      <c r="G19" s="18">
        <v>4621</v>
      </c>
      <c r="H19" s="18">
        <v>4719</v>
      </c>
      <c r="I19" s="18">
        <v>5310</v>
      </c>
      <c r="J19" s="18">
        <v>5300</v>
      </c>
      <c r="K19" s="18">
        <v>4958</v>
      </c>
      <c r="L19" s="18">
        <v>4599</v>
      </c>
      <c r="M19" s="18">
        <v>4876</v>
      </c>
      <c r="N19" s="18">
        <v>4685</v>
      </c>
      <c r="O19" s="18">
        <v>4396</v>
      </c>
      <c r="P19" s="18">
        <v>4230</v>
      </c>
      <c r="Q19" s="18">
        <v>3828</v>
      </c>
      <c r="R19" s="18">
        <v>4133</v>
      </c>
      <c r="S19" s="18">
        <v>4008</v>
      </c>
      <c r="T19" s="18">
        <v>4000</v>
      </c>
      <c r="U19" s="18">
        <v>4435</v>
      </c>
      <c r="V19" s="18">
        <v>4840</v>
      </c>
      <c r="W19" s="18">
        <v>4839</v>
      </c>
      <c r="X19" s="18">
        <v>4716</v>
      </c>
      <c r="Y19" s="18">
        <v>4946</v>
      </c>
      <c r="Z19" s="18">
        <v>5016</v>
      </c>
      <c r="AA19" s="18">
        <v>5740</v>
      </c>
      <c r="AB19" s="18">
        <v>6193</v>
      </c>
      <c r="AC19" s="18">
        <v>6251</v>
      </c>
      <c r="AD19" s="18">
        <v>6886</v>
      </c>
      <c r="AE19" s="18">
        <v>7072</v>
      </c>
      <c r="AF19" s="18">
        <v>7174</v>
      </c>
      <c r="AG19" s="18">
        <v>7820</v>
      </c>
      <c r="AH19" s="18">
        <v>8093</v>
      </c>
      <c r="AI19" s="18">
        <v>7971</v>
      </c>
      <c r="AJ19" s="18">
        <v>8136</v>
      </c>
      <c r="AK19" s="18">
        <v>8304</v>
      </c>
      <c r="AL19" s="18">
        <v>8530</v>
      </c>
      <c r="AM19" s="18">
        <v>9047</v>
      </c>
      <c r="AN19" s="18">
        <v>9031</v>
      </c>
      <c r="AO19" s="18">
        <v>9126</v>
      </c>
      <c r="AP19" s="18">
        <v>10144</v>
      </c>
      <c r="AQ19" s="18">
        <v>10459</v>
      </c>
      <c r="AR19" s="6">
        <v>11099</v>
      </c>
      <c r="AS19">
        <v>11929</v>
      </c>
      <c r="AT19">
        <v>11956</v>
      </c>
    </row>
    <row r="20" spans="1:46">
      <c r="A20" s="14" t="s">
        <v>58</v>
      </c>
      <c r="B20" s="18">
        <v>3593</v>
      </c>
      <c r="C20" s="18">
        <v>8489</v>
      </c>
      <c r="D20" s="18">
        <v>9603</v>
      </c>
      <c r="E20" s="18">
        <v>10583</v>
      </c>
      <c r="F20" s="18">
        <v>11535</v>
      </c>
      <c r="G20" s="18">
        <v>12712</v>
      </c>
      <c r="H20" s="18">
        <v>13803</v>
      </c>
      <c r="I20" s="18">
        <v>15549</v>
      </c>
      <c r="J20" s="18">
        <v>16738</v>
      </c>
      <c r="K20" s="18">
        <v>16774</v>
      </c>
      <c r="L20" s="18">
        <v>16236</v>
      </c>
      <c r="M20" s="18">
        <v>16750</v>
      </c>
      <c r="N20" s="18">
        <v>16521</v>
      </c>
      <c r="O20" s="18">
        <v>16185</v>
      </c>
      <c r="P20" s="18">
        <v>16250</v>
      </c>
      <c r="Q20" s="18">
        <v>16925</v>
      </c>
      <c r="R20" s="18">
        <v>17147</v>
      </c>
      <c r="S20" s="18">
        <v>17702</v>
      </c>
      <c r="T20" s="18">
        <v>17164</v>
      </c>
      <c r="U20" s="18">
        <v>17559</v>
      </c>
      <c r="V20" s="18">
        <v>17163</v>
      </c>
      <c r="W20" s="18">
        <v>18148</v>
      </c>
      <c r="X20" s="18">
        <v>18794</v>
      </c>
      <c r="Y20" s="18">
        <v>19749</v>
      </c>
      <c r="Z20" s="18">
        <v>20887</v>
      </c>
      <c r="AA20" s="18">
        <v>21838</v>
      </c>
      <c r="AB20" s="18">
        <v>22740</v>
      </c>
      <c r="AC20" s="18">
        <v>22588</v>
      </c>
      <c r="AD20" s="18">
        <v>22837</v>
      </c>
      <c r="AE20" s="18">
        <v>23632</v>
      </c>
      <c r="AF20" s="18">
        <v>23234</v>
      </c>
      <c r="AG20" s="18">
        <v>24756</v>
      </c>
      <c r="AH20" s="18">
        <v>24687</v>
      </c>
      <c r="AI20" s="18">
        <v>25416</v>
      </c>
      <c r="AJ20" s="18">
        <v>27728</v>
      </c>
      <c r="AK20" s="18">
        <v>30748</v>
      </c>
      <c r="AL20" s="18">
        <v>32391</v>
      </c>
      <c r="AM20" s="18">
        <v>32606</v>
      </c>
      <c r="AN20" s="18">
        <v>32802</v>
      </c>
      <c r="AO20" s="18">
        <v>34040</v>
      </c>
      <c r="AP20" s="18">
        <v>36345</v>
      </c>
      <c r="AQ20" s="18">
        <v>39739</v>
      </c>
      <c r="AR20" s="6">
        <v>42039</v>
      </c>
      <c r="AS20">
        <v>45307</v>
      </c>
      <c r="AT20">
        <v>46464</v>
      </c>
    </row>
    <row r="21" spans="1:46">
      <c r="A21" s="14" t="s">
        <v>59</v>
      </c>
      <c r="B21" s="18">
        <v>652</v>
      </c>
      <c r="C21" s="18">
        <v>2564</v>
      </c>
      <c r="D21" s="18">
        <v>3174</v>
      </c>
      <c r="E21" s="18">
        <v>3600</v>
      </c>
      <c r="F21" s="18">
        <v>3990</v>
      </c>
      <c r="G21" s="18">
        <v>4303</v>
      </c>
      <c r="H21" s="18">
        <v>4661</v>
      </c>
      <c r="I21" s="18">
        <v>5284</v>
      </c>
      <c r="J21" s="18">
        <v>5346</v>
      </c>
      <c r="K21" s="18">
        <v>5669</v>
      </c>
      <c r="L21" s="18">
        <v>5178</v>
      </c>
      <c r="M21" s="18">
        <v>5282</v>
      </c>
      <c r="N21" s="18">
        <v>5488</v>
      </c>
      <c r="O21" s="18">
        <v>5485</v>
      </c>
      <c r="P21" s="18">
        <v>5463</v>
      </c>
      <c r="Q21" s="18">
        <v>5302</v>
      </c>
      <c r="R21" s="18">
        <v>5208</v>
      </c>
      <c r="S21" s="18">
        <v>5468</v>
      </c>
      <c r="T21" s="18">
        <v>5473</v>
      </c>
      <c r="U21" s="18">
        <v>6056</v>
      </c>
      <c r="V21" s="18">
        <v>6545</v>
      </c>
      <c r="W21" s="18">
        <v>7159</v>
      </c>
      <c r="X21" s="18">
        <v>7913</v>
      </c>
      <c r="Y21" s="18">
        <v>8339</v>
      </c>
      <c r="Z21" s="18">
        <v>9325</v>
      </c>
      <c r="AA21" s="18">
        <v>9980</v>
      </c>
      <c r="AB21" s="18">
        <v>10706</v>
      </c>
      <c r="AC21" s="18">
        <v>10806</v>
      </c>
      <c r="AD21" s="18">
        <v>11129</v>
      </c>
      <c r="AE21" s="18">
        <v>10935</v>
      </c>
      <c r="AF21" s="18">
        <v>10955</v>
      </c>
      <c r="AG21" s="18">
        <v>11149</v>
      </c>
      <c r="AH21" s="18">
        <v>10867</v>
      </c>
      <c r="AI21" s="18">
        <v>10689</v>
      </c>
      <c r="AJ21" s="18">
        <v>11251</v>
      </c>
      <c r="AK21" s="18">
        <v>11948</v>
      </c>
      <c r="AL21" s="18">
        <v>12736</v>
      </c>
      <c r="AM21" s="18">
        <v>13414</v>
      </c>
      <c r="AN21" s="18">
        <v>13833</v>
      </c>
      <c r="AO21" s="18">
        <v>15009</v>
      </c>
      <c r="AP21" s="18">
        <v>16688</v>
      </c>
      <c r="AQ21" s="18">
        <v>17973</v>
      </c>
      <c r="AR21" s="6">
        <v>20697</v>
      </c>
      <c r="AS21">
        <v>21516</v>
      </c>
      <c r="AT21">
        <v>22782</v>
      </c>
    </row>
    <row r="22" spans="1:46">
      <c r="A22" s="19" t="s">
        <v>60</v>
      </c>
      <c r="B22" s="20">
        <v>582</v>
      </c>
      <c r="C22" s="20">
        <v>1179</v>
      </c>
      <c r="D22" s="20">
        <v>1265</v>
      </c>
      <c r="E22" s="20">
        <v>1493</v>
      </c>
      <c r="F22" s="20">
        <v>1696</v>
      </c>
      <c r="G22" s="20">
        <v>1775</v>
      </c>
      <c r="H22" s="20">
        <v>1969</v>
      </c>
      <c r="I22" s="20">
        <v>2219</v>
      </c>
      <c r="J22" s="20">
        <v>2159</v>
      </c>
      <c r="K22" s="20">
        <v>2254</v>
      </c>
      <c r="L22" s="20">
        <v>2176</v>
      </c>
      <c r="M22" s="20">
        <v>2167</v>
      </c>
      <c r="N22" s="20">
        <v>2054</v>
      </c>
      <c r="O22" s="20">
        <v>2058</v>
      </c>
      <c r="P22" s="20">
        <v>2012</v>
      </c>
      <c r="Q22" s="20">
        <v>1945</v>
      </c>
      <c r="R22" s="20">
        <v>1779</v>
      </c>
      <c r="S22" s="20">
        <v>1820</v>
      </c>
      <c r="T22" s="20">
        <v>1751</v>
      </c>
      <c r="U22" s="20">
        <v>1824</v>
      </c>
      <c r="V22" s="20">
        <v>1691</v>
      </c>
      <c r="W22" s="20">
        <v>1740</v>
      </c>
      <c r="X22" s="20">
        <v>1707</v>
      </c>
      <c r="Y22" s="20">
        <v>1912</v>
      </c>
      <c r="Z22" s="20">
        <v>1916</v>
      </c>
      <c r="AA22" s="20">
        <v>2032</v>
      </c>
      <c r="AB22" s="20">
        <v>2268</v>
      </c>
      <c r="AC22" s="20">
        <v>2183</v>
      </c>
      <c r="AD22" s="20">
        <v>2234</v>
      </c>
      <c r="AE22" s="20">
        <v>2562</v>
      </c>
      <c r="AF22" s="20">
        <v>2441</v>
      </c>
      <c r="AG22" s="20">
        <v>2465</v>
      </c>
      <c r="AH22" s="20">
        <v>2389</v>
      </c>
      <c r="AI22" s="20">
        <v>2245</v>
      </c>
      <c r="AJ22" s="20">
        <v>2479</v>
      </c>
      <c r="AK22" s="20">
        <v>2829</v>
      </c>
      <c r="AL22" s="20">
        <v>2735</v>
      </c>
      <c r="AM22" s="20">
        <v>3030</v>
      </c>
      <c r="AN22" s="20">
        <v>3302</v>
      </c>
      <c r="AO22" s="20">
        <v>3897</v>
      </c>
      <c r="AP22" s="20">
        <v>4220</v>
      </c>
      <c r="AQ22" s="20">
        <v>5063</v>
      </c>
      <c r="AR22" s="6">
        <v>3498</v>
      </c>
      <c r="AS22" s="162">
        <v>3131</v>
      </c>
      <c r="AT22" s="141">
        <v>3086</v>
      </c>
    </row>
    <row r="23" spans="1:46">
      <c r="A23" s="21" t="s">
        <v>61</v>
      </c>
      <c r="B23" s="22">
        <f t="shared" ref="B23:AP23" si="9">SUM(B25:B37)</f>
        <v>0</v>
      </c>
      <c r="C23" s="22">
        <f t="shared" si="9"/>
        <v>37352</v>
      </c>
      <c r="D23" s="22">
        <f t="shared" si="9"/>
        <v>40904</v>
      </c>
      <c r="E23" s="22">
        <f t="shared" si="9"/>
        <v>43366</v>
      </c>
      <c r="F23" s="22">
        <f t="shared" si="9"/>
        <v>44056</v>
      </c>
      <c r="G23" s="22">
        <f t="shared" si="9"/>
        <v>46722</v>
      </c>
      <c r="H23" s="22">
        <f t="shared" si="9"/>
        <v>49397</v>
      </c>
      <c r="I23" s="22">
        <f t="shared" si="9"/>
        <v>54557</v>
      </c>
      <c r="J23" s="22">
        <f t="shared" si="9"/>
        <v>55432</v>
      </c>
      <c r="K23" s="22">
        <f t="shared" si="9"/>
        <v>55915</v>
      </c>
      <c r="L23" s="22">
        <f t="shared" si="9"/>
        <v>54856</v>
      </c>
      <c r="M23" s="22">
        <f t="shared" si="9"/>
        <v>54773</v>
      </c>
      <c r="N23" s="22">
        <f t="shared" si="9"/>
        <v>54688</v>
      </c>
      <c r="O23" s="22">
        <f t="shared" si="9"/>
        <v>53855</v>
      </c>
      <c r="P23" s="22">
        <f t="shared" si="9"/>
        <v>54083</v>
      </c>
      <c r="Q23" s="22">
        <f t="shared" si="9"/>
        <v>54187</v>
      </c>
      <c r="R23" s="22">
        <f t="shared" si="9"/>
        <v>54103</v>
      </c>
      <c r="S23" s="22">
        <f t="shared" si="9"/>
        <v>54605</v>
      </c>
      <c r="T23" s="22">
        <f t="shared" si="9"/>
        <v>54641</v>
      </c>
      <c r="U23" s="22">
        <f t="shared" si="9"/>
        <v>55867</v>
      </c>
      <c r="V23" s="22">
        <f t="shared" si="9"/>
        <v>57646</v>
      </c>
      <c r="W23" s="22">
        <f t="shared" si="9"/>
        <v>61377</v>
      </c>
      <c r="X23" s="22">
        <f t="shared" si="9"/>
        <v>64050</v>
      </c>
      <c r="Y23" s="22">
        <f t="shared" si="9"/>
        <v>65234</v>
      </c>
      <c r="Z23" s="22">
        <f t="shared" si="9"/>
        <v>69230</v>
      </c>
      <c r="AA23" s="22">
        <f t="shared" si="9"/>
        <v>73026</v>
      </c>
      <c r="AB23" s="22">
        <f t="shared" si="9"/>
        <v>74228</v>
      </c>
      <c r="AC23" s="22">
        <f t="shared" si="9"/>
        <v>75218</v>
      </c>
      <c r="AD23" s="22">
        <f t="shared" si="9"/>
        <v>76252</v>
      </c>
      <c r="AE23" s="22">
        <f t="shared" si="9"/>
        <v>79744</v>
      </c>
      <c r="AF23" s="22">
        <f t="shared" si="9"/>
        <v>84214</v>
      </c>
      <c r="AG23" s="22">
        <f t="shared" si="9"/>
        <v>87405</v>
      </c>
      <c r="AH23" s="22">
        <f t="shared" si="9"/>
        <v>89797</v>
      </c>
      <c r="AI23" s="22">
        <f t="shared" si="9"/>
        <v>92402</v>
      </c>
      <c r="AJ23" s="22">
        <f t="shared" si="9"/>
        <v>97582</v>
      </c>
      <c r="AK23" s="22">
        <f t="shared" ref="AK23" si="10">SUM(AK25:AK37)</f>
        <v>108962</v>
      </c>
      <c r="AL23" s="22">
        <f t="shared" si="9"/>
        <v>115329</v>
      </c>
      <c r="AM23" s="22">
        <f t="shared" si="9"/>
        <v>107693</v>
      </c>
      <c r="AN23" s="22">
        <f t="shared" si="9"/>
        <v>126590</v>
      </c>
      <c r="AO23" s="22">
        <f t="shared" si="9"/>
        <v>131176</v>
      </c>
      <c r="AP23" s="22">
        <f t="shared" si="9"/>
        <v>137818</v>
      </c>
      <c r="AQ23" s="22">
        <f t="shared" ref="AQ23:AR23" si="11">SUM(AQ25:AQ37)</f>
        <v>146469</v>
      </c>
      <c r="AR23" s="22">
        <f t="shared" si="11"/>
        <v>128994</v>
      </c>
      <c r="AS23" s="22">
        <f t="shared" ref="AS23:AT23" si="12">SUM(AS25:AS37)</f>
        <v>149803</v>
      </c>
      <c r="AT23" s="22">
        <f t="shared" si="12"/>
        <v>144180</v>
      </c>
    </row>
    <row r="24" spans="1:46">
      <c r="A24" s="16" t="s">
        <v>44</v>
      </c>
      <c r="B24" s="17">
        <f t="shared" ref="B24:AP24" si="13">(B23/B4)*100</f>
        <v>0</v>
      </c>
      <c r="C24" s="17">
        <f t="shared" si="13"/>
        <v>18.00981687383678</v>
      </c>
      <c r="D24" s="17">
        <f t="shared" si="13"/>
        <v>17.819133874389571</v>
      </c>
      <c r="E24" s="17">
        <f t="shared" si="13"/>
        <v>17.305213591651871</v>
      </c>
      <c r="F24" s="17">
        <f t="shared" si="13"/>
        <v>16.79360214684872</v>
      </c>
      <c r="G24" s="17">
        <f t="shared" si="13"/>
        <v>16.920229890885125</v>
      </c>
      <c r="H24" s="17">
        <f t="shared" si="13"/>
        <v>16.947309193958983</v>
      </c>
      <c r="I24" s="17">
        <f t="shared" si="13"/>
        <v>17.546900981278203</v>
      </c>
      <c r="J24" s="17">
        <f t="shared" si="13"/>
        <v>17.529457153518731</v>
      </c>
      <c r="K24" s="17">
        <f t="shared" si="13"/>
        <v>17.997096775231824</v>
      </c>
      <c r="L24" s="17">
        <f t="shared" si="13"/>
        <v>18.2744904689884</v>
      </c>
      <c r="M24" s="17">
        <f t="shared" si="13"/>
        <v>18.43885918963683</v>
      </c>
      <c r="N24" s="17">
        <f t="shared" si="13"/>
        <v>18.550063938835805</v>
      </c>
      <c r="O24" s="17">
        <f t="shared" si="13"/>
        <v>18.27631494106987</v>
      </c>
      <c r="P24" s="17">
        <f t="shared" si="13"/>
        <v>18.732443637799477</v>
      </c>
      <c r="Q24" s="17">
        <f t="shared" si="13"/>
        <v>19.153779537300508</v>
      </c>
      <c r="R24" s="17">
        <f t="shared" si="13"/>
        <v>18.984507956559117</v>
      </c>
      <c r="S24" s="17">
        <f t="shared" si="13"/>
        <v>19.005206810619665</v>
      </c>
      <c r="T24" s="17">
        <f t="shared" si="13"/>
        <v>18.964206756048547</v>
      </c>
      <c r="U24" s="17">
        <f t="shared" si="13"/>
        <v>18.784822044014053</v>
      </c>
      <c r="V24" s="17">
        <f t="shared" si="13"/>
        <v>18.703481392557023</v>
      </c>
      <c r="W24" s="17">
        <f t="shared" si="13"/>
        <v>18.995521690554078</v>
      </c>
      <c r="X24" s="17">
        <f t="shared" si="13"/>
        <v>19.060684696695553</v>
      </c>
      <c r="Y24" s="17">
        <f t="shared" si="13"/>
        <v>18.55125383202234</v>
      </c>
      <c r="Z24" s="17">
        <f t="shared" si="13"/>
        <v>18.797329329318458</v>
      </c>
      <c r="AA24" s="17">
        <f t="shared" si="13"/>
        <v>18.930668429443561</v>
      </c>
      <c r="AB24" s="17">
        <f t="shared" si="13"/>
        <v>18.726758061830491</v>
      </c>
      <c r="AC24" s="17">
        <f t="shared" si="13"/>
        <v>18.56780688177458</v>
      </c>
      <c r="AD24" s="17">
        <f t="shared" si="13"/>
        <v>18.240403407337595</v>
      </c>
      <c r="AE24" s="17">
        <f t="shared" si="13"/>
        <v>18.538045954566165</v>
      </c>
      <c r="AF24" s="17">
        <f t="shared" si="13"/>
        <v>19.140154459460074</v>
      </c>
      <c r="AG24" s="17">
        <f t="shared" si="13"/>
        <v>19.123477210670028</v>
      </c>
      <c r="AH24" s="17">
        <f t="shared" si="13"/>
        <v>19.16789760841537</v>
      </c>
      <c r="AI24" s="17">
        <f t="shared" si="13"/>
        <v>19.165847365167863</v>
      </c>
      <c r="AJ24" s="17">
        <f t="shared" si="13"/>
        <v>19.009270676882139</v>
      </c>
      <c r="AK24" s="17">
        <f t="shared" si="13"/>
        <v>19.503891398827211</v>
      </c>
      <c r="AL24" s="17">
        <f t="shared" si="13"/>
        <v>20.070551218374639</v>
      </c>
      <c r="AM24" s="17">
        <f t="shared" si="13"/>
        <v>18.888372460120493</v>
      </c>
      <c r="AN24" s="17">
        <f t="shared" si="13"/>
        <v>20.937567709272304</v>
      </c>
      <c r="AO24" s="17">
        <f t="shared" si="13"/>
        <v>20.941351890254904</v>
      </c>
      <c r="AP24" s="17">
        <f t="shared" si="13"/>
        <v>20.904985749151699</v>
      </c>
      <c r="AQ24" s="17">
        <f t="shared" ref="AQ24:AR24" si="14">(AQ23/AQ4)*100</f>
        <v>21.246266610771599</v>
      </c>
      <c r="AR24" s="17">
        <f t="shared" si="14"/>
        <v>18.646895219812308</v>
      </c>
      <c r="AS24" s="17">
        <f t="shared" ref="AS24:AT24" si="15">(AS23/AS4)*100</f>
        <v>20.511686497884519</v>
      </c>
      <c r="AT24" s="17">
        <f t="shared" si="15"/>
        <v>19.906720899985917</v>
      </c>
    </row>
    <row r="25" spans="1:46">
      <c r="A25" s="23" t="s">
        <v>62</v>
      </c>
      <c r="B25" s="18"/>
      <c r="C25" s="18">
        <v>174</v>
      </c>
      <c r="D25" s="18">
        <v>231</v>
      </c>
      <c r="E25" s="18">
        <v>258</v>
      </c>
      <c r="F25" s="18">
        <v>250</v>
      </c>
      <c r="G25" s="18">
        <v>211</v>
      </c>
      <c r="H25" s="18">
        <v>243</v>
      </c>
      <c r="I25" s="18">
        <v>211</v>
      </c>
      <c r="J25" s="18">
        <v>195</v>
      </c>
      <c r="K25" s="18">
        <v>160</v>
      </c>
      <c r="L25" s="18">
        <v>175</v>
      </c>
      <c r="M25" s="18">
        <v>184</v>
      </c>
      <c r="N25" s="18">
        <v>190</v>
      </c>
      <c r="O25" s="18">
        <v>199</v>
      </c>
      <c r="P25" s="18">
        <v>256</v>
      </c>
      <c r="Q25" s="18">
        <v>252</v>
      </c>
      <c r="R25" s="18">
        <v>280</v>
      </c>
      <c r="S25" s="18">
        <v>300</v>
      </c>
      <c r="T25" s="18">
        <v>320</v>
      </c>
      <c r="U25" s="18">
        <v>318</v>
      </c>
      <c r="V25" s="18">
        <v>286</v>
      </c>
      <c r="W25" s="18">
        <v>324</v>
      </c>
      <c r="X25" s="18">
        <v>294</v>
      </c>
      <c r="Y25" s="18">
        <v>367</v>
      </c>
      <c r="Z25" s="18">
        <v>363</v>
      </c>
      <c r="AA25" s="18">
        <v>422</v>
      </c>
      <c r="AB25" s="18">
        <v>463</v>
      </c>
      <c r="AC25" s="18">
        <v>474</v>
      </c>
      <c r="AD25" s="18">
        <v>516</v>
      </c>
      <c r="AE25" s="18">
        <v>484</v>
      </c>
      <c r="AF25" s="18">
        <v>480</v>
      </c>
      <c r="AG25" s="18">
        <v>517</v>
      </c>
      <c r="AH25" s="18">
        <v>406</v>
      </c>
      <c r="AI25" s="18">
        <v>432</v>
      </c>
      <c r="AJ25" s="18">
        <v>506</v>
      </c>
      <c r="AK25" s="18">
        <v>585</v>
      </c>
      <c r="AL25" s="18">
        <v>655</v>
      </c>
      <c r="AM25" s="18">
        <v>582</v>
      </c>
      <c r="AN25" s="18">
        <v>716</v>
      </c>
      <c r="AO25" s="18">
        <v>692</v>
      </c>
      <c r="AP25" s="18">
        <v>604</v>
      </c>
      <c r="AQ25" s="18">
        <v>681</v>
      </c>
      <c r="AR25" s="6">
        <v>693</v>
      </c>
      <c r="AS25">
        <v>703</v>
      </c>
      <c r="AT25">
        <v>724</v>
      </c>
    </row>
    <row r="26" spans="1:46">
      <c r="A26" s="23" t="s">
        <v>63</v>
      </c>
      <c r="B26" s="18"/>
      <c r="C26" s="18">
        <v>2825</v>
      </c>
      <c r="D26" s="18">
        <v>3155</v>
      </c>
      <c r="E26" s="18">
        <v>3550</v>
      </c>
      <c r="F26" s="18">
        <v>3530</v>
      </c>
      <c r="G26" s="18">
        <v>3678</v>
      </c>
      <c r="H26" s="18">
        <v>3866</v>
      </c>
      <c r="I26" s="18">
        <v>4278</v>
      </c>
      <c r="J26" s="18">
        <v>4327</v>
      </c>
      <c r="K26" s="18">
        <v>4097</v>
      </c>
      <c r="L26" s="18">
        <v>3940</v>
      </c>
      <c r="M26" s="18">
        <v>3890</v>
      </c>
      <c r="N26" s="18">
        <v>4350</v>
      </c>
      <c r="O26" s="18">
        <v>3890</v>
      </c>
      <c r="P26" s="18">
        <v>4020</v>
      </c>
      <c r="Q26" s="18">
        <v>4288</v>
      </c>
      <c r="R26" s="18">
        <v>4891</v>
      </c>
      <c r="S26" s="18">
        <v>4868</v>
      </c>
      <c r="T26" s="18">
        <v>4826</v>
      </c>
      <c r="U26" s="18">
        <v>4970</v>
      </c>
      <c r="V26" s="18">
        <v>4884</v>
      </c>
      <c r="W26" s="18">
        <v>5178</v>
      </c>
      <c r="X26" s="18">
        <v>7597</v>
      </c>
      <c r="Y26" s="18">
        <v>5093</v>
      </c>
      <c r="Z26" s="18">
        <v>5694</v>
      </c>
      <c r="AA26" s="18">
        <v>6399</v>
      </c>
      <c r="AB26" s="18">
        <v>6498</v>
      </c>
      <c r="AC26" s="18">
        <v>6868</v>
      </c>
      <c r="AD26" s="18">
        <v>7646</v>
      </c>
      <c r="AE26" s="18">
        <v>7753</v>
      </c>
      <c r="AF26" s="18">
        <v>9683</v>
      </c>
      <c r="AG26" s="18">
        <v>10234</v>
      </c>
      <c r="AH26" s="18">
        <v>10537</v>
      </c>
      <c r="AI26" s="18">
        <v>11248</v>
      </c>
      <c r="AJ26" s="18">
        <v>12618</v>
      </c>
      <c r="AK26" s="18">
        <v>17428</v>
      </c>
      <c r="AL26" s="18">
        <v>19882</v>
      </c>
      <c r="AM26" s="18">
        <v>10326</v>
      </c>
      <c r="AN26" s="18">
        <v>27831</v>
      </c>
      <c r="AO26" s="18">
        <v>28060</v>
      </c>
      <c r="AP26" s="18">
        <v>30586</v>
      </c>
      <c r="AQ26" s="18">
        <v>34860</v>
      </c>
      <c r="AR26" s="6">
        <v>16165</v>
      </c>
      <c r="AS26">
        <v>34893</v>
      </c>
      <c r="AT26">
        <v>29363</v>
      </c>
    </row>
    <row r="27" spans="1:46">
      <c r="A27" s="23" t="s">
        <v>64</v>
      </c>
      <c r="B27" s="18"/>
      <c r="C27" s="18">
        <v>19467</v>
      </c>
      <c r="D27" s="18">
        <v>21097</v>
      </c>
      <c r="E27" s="18">
        <v>22265</v>
      </c>
      <c r="F27" s="18">
        <v>22881</v>
      </c>
      <c r="G27" s="18">
        <v>24567</v>
      </c>
      <c r="H27" s="18">
        <v>27611</v>
      </c>
      <c r="I27" s="18">
        <v>30828</v>
      </c>
      <c r="J27" s="18">
        <v>31160</v>
      </c>
      <c r="K27" s="18">
        <v>31711</v>
      </c>
      <c r="L27" s="18">
        <v>31255</v>
      </c>
      <c r="M27" s="18">
        <v>31161</v>
      </c>
      <c r="N27" s="18">
        <v>30626</v>
      </c>
      <c r="O27" s="18">
        <v>30528</v>
      </c>
      <c r="P27" s="18">
        <v>31190</v>
      </c>
      <c r="Q27" s="18">
        <v>31767</v>
      </c>
      <c r="R27" s="18">
        <v>30790</v>
      </c>
      <c r="S27" s="18">
        <v>31136</v>
      </c>
      <c r="T27" s="18">
        <v>31246</v>
      </c>
      <c r="U27" s="18">
        <v>31506</v>
      </c>
      <c r="V27" s="18">
        <v>33060</v>
      </c>
      <c r="W27" s="18">
        <v>34489</v>
      </c>
      <c r="X27" s="18">
        <v>34419</v>
      </c>
      <c r="Y27" s="18">
        <v>35429</v>
      </c>
      <c r="Z27" s="18">
        <v>37046</v>
      </c>
      <c r="AA27" s="18">
        <v>38708</v>
      </c>
      <c r="AB27" s="18">
        <v>38065</v>
      </c>
      <c r="AC27" s="18">
        <v>38088</v>
      </c>
      <c r="AD27" s="18">
        <v>38338</v>
      </c>
      <c r="AE27" s="18">
        <v>40606</v>
      </c>
      <c r="AF27" s="18">
        <v>42700</v>
      </c>
      <c r="AG27" s="18">
        <v>44257</v>
      </c>
      <c r="AH27" s="18">
        <v>45933</v>
      </c>
      <c r="AI27" s="18">
        <v>47699</v>
      </c>
      <c r="AJ27" s="18">
        <v>48672</v>
      </c>
      <c r="AK27" s="18">
        <v>53204</v>
      </c>
      <c r="AL27" s="18">
        <v>54254</v>
      </c>
      <c r="AM27" s="18">
        <v>56029</v>
      </c>
      <c r="AN27" s="18">
        <v>56797</v>
      </c>
      <c r="AO27" s="18">
        <v>59800</v>
      </c>
      <c r="AP27" s="18">
        <v>62413</v>
      </c>
      <c r="AQ27" s="18">
        <v>64765</v>
      </c>
      <c r="AR27" s="6">
        <v>65810</v>
      </c>
      <c r="AS27">
        <v>66683</v>
      </c>
      <c r="AT27">
        <v>67638</v>
      </c>
    </row>
    <row r="28" spans="1:46">
      <c r="A28" s="23" t="s">
        <v>65</v>
      </c>
      <c r="B28" s="18"/>
      <c r="C28" s="18">
        <v>3330</v>
      </c>
      <c r="D28" s="18">
        <v>3571</v>
      </c>
      <c r="E28" s="18">
        <v>3593</v>
      </c>
      <c r="F28" s="18">
        <v>3857</v>
      </c>
      <c r="G28" s="18">
        <v>4262</v>
      </c>
      <c r="H28" s="18">
        <v>3940</v>
      </c>
      <c r="I28" s="18">
        <v>5186</v>
      </c>
      <c r="J28" s="18">
        <v>5130</v>
      </c>
      <c r="K28" s="18">
        <v>5353</v>
      </c>
      <c r="L28" s="18">
        <v>4853</v>
      </c>
      <c r="M28" s="18">
        <v>4953</v>
      </c>
      <c r="N28" s="18">
        <v>4811</v>
      </c>
      <c r="O28" s="18">
        <v>4429</v>
      </c>
      <c r="P28" s="18">
        <v>4216</v>
      </c>
      <c r="Q28" s="18">
        <v>4084</v>
      </c>
      <c r="R28" s="18">
        <v>4098</v>
      </c>
      <c r="S28" s="18">
        <v>4117</v>
      </c>
      <c r="T28" s="18">
        <v>4088</v>
      </c>
      <c r="U28" s="18">
        <v>4397</v>
      </c>
      <c r="V28" s="18">
        <v>4574</v>
      </c>
      <c r="W28" s="18">
        <v>5099</v>
      </c>
      <c r="X28" s="18">
        <v>5241</v>
      </c>
      <c r="Y28" s="18">
        <v>5655</v>
      </c>
      <c r="Z28" s="18">
        <v>6391</v>
      </c>
      <c r="AA28" s="18">
        <v>6859</v>
      </c>
      <c r="AB28" s="18">
        <v>7111</v>
      </c>
      <c r="AC28" s="18">
        <v>6853</v>
      </c>
      <c r="AD28" s="18">
        <v>7613</v>
      </c>
      <c r="AE28" s="18">
        <v>8160</v>
      </c>
      <c r="AF28" s="18">
        <v>8079</v>
      </c>
      <c r="AG28" s="18">
        <v>8408</v>
      </c>
      <c r="AH28" s="18">
        <v>8398</v>
      </c>
      <c r="AI28" s="18">
        <v>8565</v>
      </c>
      <c r="AJ28" s="18">
        <v>9252</v>
      </c>
      <c r="AK28" s="18">
        <v>9918</v>
      </c>
      <c r="AL28" s="18">
        <v>10921</v>
      </c>
      <c r="AM28" s="18">
        <v>10702</v>
      </c>
      <c r="AN28" s="18">
        <v>11672</v>
      </c>
      <c r="AO28" s="18">
        <v>11864</v>
      </c>
      <c r="AP28" s="18">
        <v>12841</v>
      </c>
      <c r="AQ28" s="18">
        <v>13054</v>
      </c>
      <c r="AR28" s="6">
        <v>12141</v>
      </c>
      <c r="AS28">
        <v>12981</v>
      </c>
      <c r="AT28">
        <v>12661</v>
      </c>
    </row>
    <row r="29" spans="1:46">
      <c r="A29" s="23" t="s">
        <v>66</v>
      </c>
      <c r="B29" s="18"/>
      <c r="C29" s="18">
        <v>1017</v>
      </c>
      <c r="D29" s="18">
        <v>1104</v>
      </c>
      <c r="E29" s="18">
        <v>1554</v>
      </c>
      <c r="F29" s="18">
        <v>1661</v>
      </c>
      <c r="G29" s="18">
        <v>1423</v>
      </c>
      <c r="H29" s="18">
        <v>1298</v>
      </c>
      <c r="I29" s="18">
        <v>1131</v>
      </c>
      <c r="J29" s="18">
        <v>1019</v>
      </c>
      <c r="K29" s="18">
        <v>1046</v>
      </c>
      <c r="L29" s="18">
        <v>1105</v>
      </c>
      <c r="M29" s="18">
        <v>1009</v>
      </c>
      <c r="N29" s="18">
        <v>1008</v>
      </c>
      <c r="O29" s="18">
        <v>1052</v>
      </c>
      <c r="P29" s="18">
        <v>992</v>
      </c>
      <c r="Q29" s="18">
        <v>1008</v>
      </c>
      <c r="R29" s="18">
        <v>967</v>
      </c>
      <c r="S29" s="18">
        <v>911</v>
      </c>
      <c r="T29" s="18">
        <v>925</v>
      </c>
      <c r="U29" s="18">
        <v>969</v>
      </c>
      <c r="V29" s="18">
        <v>1017</v>
      </c>
      <c r="W29" s="18">
        <v>1007</v>
      </c>
      <c r="X29" s="18">
        <v>1086</v>
      </c>
      <c r="Y29" s="18">
        <v>1199</v>
      </c>
      <c r="Z29" s="18">
        <v>1383</v>
      </c>
      <c r="AA29" s="18">
        <v>1369</v>
      </c>
      <c r="AB29" s="18">
        <v>1520</v>
      </c>
      <c r="AC29" s="18">
        <v>1579</v>
      </c>
      <c r="AD29" s="18">
        <v>1698</v>
      </c>
      <c r="AE29" s="18">
        <v>1529</v>
      </c>
      <c r="AF29" s="18">
        <v>1745</v>
      </c>
      <c r="AG29" s="18">
        <v>1724</v>
      </c>
      <c r="AH29" s="18">
        <v>1704</v>
      </c>
      <c r="AI29" s="18">
        <v>1543</v>
      </c>
      <c r="AJ29" s="18">
        <v>1728</v>
      </c>
      <c r="AK29" s="18">
        <v>1900</v>
      </c>
      <c r="AL29" s="18">
        <v>2025</v>
      </c>
      <c r="AM29" s="18">
        <v>1991</v>
      </c>
      <c r="AN29" s="18">
        <v>1922</v>
      </c>
      <c r="AO29" s="18">
        <v>1959</v>
      </c>
      <c r="AP29" s="18">
        <v>1993</v>
      </c>
      <c r="AQ29" s="18">
        <v>2019</v>
      </c>
      <c r="AR29" s="6">
        <v>2062</v>
      </c>
      <c r="AS29">
        <v>2115</v>
      </c>
      <c r="AT29">
        <v>1978</v>
      </c>
    </row>
    <row r="30" spans="1:46">
      <c r="A30" s="23" t="s">
        <v>67</v>
      </c>
      <c r="B30" s="18"/>
      <c r="C30" s="18">
        <v>385</v>
      </c>
      <c r="D30" s="18">
        <v>462</v>
      </c>
      <c r="E30" s="18">
        <v>507</v>
      </c>
      <c r="F30" s="18">
        <v>551</v>
      </c>
      <c r="G30" s="18">
        <v>567</v>
      </c>
      <c r="H30" s="18">
        <v>599</v>
      </c>
      <c r="I30" s="18">
        <v>615</v>
      </c>
      <c r="J30" s="18">
        <v>659</v>
      </c>
      <c r="K30" s="18">
        <v>676</v>
      </c>
      <c r="L30" s="18">
        <v>613</v>
      </c>
      <c r="M30" s="18">
        <v>660</v>
      </c>
      <c r="N30" s="18">
        <v>684</v>
      </c>
      <c r="O30" s="18">
        <v>651</v>
      </c>
      <c r="P30" s="18">
        <v>633</v>
      </c>
      <c r="Q30" s="18">
        <v>602</v>
      </c>
      <c r="R30" s="18">
        <v>596</v>
      </c>
      <c r="S30" s="18">
        <v>644</v>
      </c>
      <c r="T30" s="18">
        <v>722</v>
      </c>
      <c r="U30" s="18">
        <v>703</v>
      </c>
      <c r="V30" s="18">
        <v>706</v>
      </c>
      <c r="W30" s="18">
        <v>790</v>
      </c>
      <c r="X30" s="18">
        <v>778</v>
      </c>
      <c r="Y30" s="18">
        <v>921</v>
      </c>
      <c r="Z30" s="18">
        <v>1005</v>
      </c>
      <c r="AA30" s="18">
        <v>1017</v>
      </c>
      <c r="AB30" s="18">
        <v>1077</v>
      </c>
      <c r="AC30" s="18">
        <v>1103</v>
      </c>
      <c r="AD30" s="18">
        <v>1057</v>
      </c>
      <c r="AE30" s="18">
        <v>1026</v>
      </c>
      <c r="AF30" s="18">
        <v>1138</v>
      </c>
      <c r="AG30" s="18">
        <v>1127</v>
      </c>
      <c r="AH30" s="18">
        <v>1072</v>
      </c>
      <c r="AI30" s="18">
        <v>1241</v>
      </c>
      <c r="AJ30" s="18">
        <v>1487</v>
      </c>
      <c r="AK30" s="18">
        <v>1116</v>
      </c>
      <c r="AL30" s="18">
        <v>1623</v>
      </c>
      <c r="AM30" s="18">
        <v>1660</v>
      </c>
      <c r="AN30" s="18">
        <v>1609</v>
      </c>
      <c r="AO30" s="18">
        <v>1576</v>
      </c>
      <c r="AP30" s="18">
        <v>1591</v>
      </c>
      <c r="AQ30" s="18">
        <v>1680</v>
      </c>
      <c r="AR30" s="6">
        <v>1790</v>
      </c>
      <c r="AS30">
        <v>2041</v>
      </c>
      <c r="AT30">
        <v>2049</v>
      </c>
    </row>
    <row r="31" spans="1:46">
      <c r="A31" s="23" t="s">
        <v>68</v>
      </c>
      <c r="B31" s="18"/>
      <c r="C31" s="18">
        <v>586</v>
      </c>
      <c r="D31" s="18">
        <v>682</v>
      </c>
      <c r="E31" s="18">
        <v>662</v>
      </c>
      <c r="F31" s="18">
        <v>665</v>
      </c>
      <c r="G31" s="18">
        <v>672</v>
      </c>
      <c r="H31" s="18">
        <v>613</v>
      </c>
      <c r="I31" s="18">
        <v>680</v>
      </c>
      <c r="J31" s="18">
        <v>672</v>
      </c>
      <c r="K31" s="18">
        <v>635</v>
      </c>
      <c r="L31" s="18">
        <v>606</v>
      </c>
      <c r="M31" s="18">
        <v>638</v>
      </c>
      <c r="N31" s="18">
        <v>669</v>
      </c>
      <c r="O31" s="18">
        <v>574</v>
      </c>
      <c r="P31" s="18">
        <v>686</v>
      </c>
      <c r="Q31" s="18">
        <v>643</v>
      </c>
      <c r="R31" s="18">
        <v>701</v>
      </c>
      <c r="S31" s="18">
        <v>740</v>
      </c>
      <c r="T31" s="18">
        <v>765</v>
      </c>
      <c r="U31" s="18">
        <v>724</v>
      </c>
      <c r="V31" s="18">
        <v>674</v>
      </c>
      <c r="W31" s="18">
        <v>709</v>
      </c>
      <c r="X31" s="18">
        <v>753</v>
      </c>
      <c r="Y31" s="18">
        <v>730</v>
      </c>
      <c r="Z31" s="18">
        <v>756</v>
      </c>
      <c r="AA31" s="18">
        <v>803</v>
      </c>
      <c r="AB31" s="18">
        <v>857</v>
      </c>
      <c r="AC31" s="18">
        <v>852</v>
      </c>
      <c r="AD31" s="18">
        <v>861</v>
      </c>
      <c r="AE31" s="18">
        <v>822</v>
      </c>
      <c r="AF31" s="18">
        <v>888</v>
      </c>
      <c r="AG31" s="18">
        <v>951</v>
      </c>
      <c r="AH31" s="18">
        <v>977</v>
      </c>
      <c r="AI31" s="18">
        <v>990</v>
      </c>
      <c r="AJ31" s="18">
        <v>979</v>
      </c>
      <c r="AK31" s="18">
        <v>1087</v>
      </c>
      <c r="AL31" s="18">
        <v>1122</v>
      </c>
      <c r="AM31" s="18">
        <v>1103</v>
      </c>
      <c r="AN31" s="18">
        <v>1159</v>
      </c>
      <c r="AO31" s="18">
        <v>1114</v>
      </c>
      <c r="AP31" s="18">
        <v>1167</v>
      </c>
      <c r="AQ31" s="18">
        <v>1140</v>
      </c>
      <c r="AR31" s="6">
        <v>1201</v>
      </c>
      <c r="AS31">
        <v>1286</v>
      </c>
      <c r="AT31">
        <v>1280</v>
      </c>
    </row>
    <row r="32" spans="1:46">
      <c r="A32" s="23" t="s">
        <v>69</v>
      </c>
      <c r="B32" s="18"/>
      <c r="C32" s="18">
        <v>222</v>
      </c>
      <c r="D32" s="18">
        <v>260</v>
      </c>
      <c r="E32" s="18">
        <v>303</v>
      </c>
      <c r="F32" s="18">
        <v>326</v>
      </c>
      <c r="G32" s="18">
        <v>461</v>
      </c>
      <c r="H32" s="18">
        <v>443</v>
      </c>
      <c r="I32" s="18">
        <v>469</v>
      </c>
      <c r="J32" s="18">
        <v>476</v>
      </c>
      <c r="K32" s="18">
        <v>479</v>
      </c>
      <c r="L32" s="18">
        <v>426</v>
      </c>
      <c r="M32" s="18">
        <v>425</v>
      </c>
      <c r="N32" s="18">
        <v>461</v>
      </c>
      <c r="O32" s="18">
        <v>470</v>
      </c>
      <c r="P32" s="18">
        <v>457</v>
      </c>
      <c r="Q32" s="18">
        <v>452</v>
      </c>
      <c r="R32" s="18">
        <v>425</v>
      </c>
      <c r="S32" s="18">
        <v>431</v>
      </c>
      <c r="T32" s="18">
        <v>419</v>
      </c>
      <c r="U32" s="18">
        <v>434</v>
      </c>
      <c r="V32" s="18">
        <v>502</v>
      </c>
      <c r="W32" s="18">
        <v>543</v>
      </c>
      <c r="X32" s="18">
        <v>613</v>
      </c>
      <c r="Y32" s="18">
        <v>710</v>
      </c>
      <c r="Z32" s="18">
        <v>845</v>
      </c>
      <c r="AA32" s="18">
        <v>922</v>
      </c>
      <c r="AB32" s="18">
        <v>897</v>
      </c>
      <c r="AC32" s="18">
        <v>986</v>
      </c>
      <c r="AD32" s="18">
        <v>1023</v>
      </c>
      <c r="AE32" s="18">
        <v>1301</v>
      </c>
      <c r="AF32" s="18">
        <v>1332</v>
      </c>
      <c r="AG32" s="18">
        <v>1453</v>
      </c>
      <c r="AH32" s="18">
        <v>1517</v>
      </c>
      <c r="AI32" s="18">
        <v>1501</v>
      </c>
      <c r="AJ32" s="18">
        <v>1527</v>
      </c>
      <c r="AK32" s="18">
        <v>1796</v>
      </c>
      <c r="AL32" s="18">
        <v>2042</v>
      </c>
      <c r="AM32" s="18">
        <v>2152</v>
      </c>
      <c r="AN32" s="18">
        <v>2059</v>
      </c>
      <c r="AO32" s="18">
        <v>2568</v>
      </c>
      <c r="AP32" s="18">
        <v>2505</v>
      </c>
      <c r="AQ32" s="18">
        <v>2576</v>
      </c>
      <c r="AR32" s="6">
        <v>2720</v>
      </c>
      <c r="AS32">
        <v>2604</v>
      </c>
      <c r="AT32">
        <v>2246</v>
      </c>
    </row>
    <row r="33" spans="1:46">
      <c r="A33" s="23" t="s">
        <v>70</v>
      </c>
      <c r="B33" s="18"/>
      <c r="C33" s="18">
        <v>1282</v>
      </c>
      <c r="D33" s="18">
        <v>1319</v>
      </c>
      <c r="E33" s="18">
        <v>1508</v>
      </c>
      <c r="F33" s="18">
        <v>1584</v>
      </c>
      <c r="G33" s="18">
        <v>1620</v>
      </c>
      <c r="H33" s="18">
        <v>1391</v>
      </c>
      <c r="I33" s="18">
        <v>1619</v>
      </c>
      <c r="J33" s="18">
        <v>1714</v>
      </c>
      <c r="K33" s="18">
        <v>1791</v>
      </c>
      <c r="L33" s="18">
        <v>1739</v>
      </c>
      <c r="M33" s="18">
        <v>1741</v>
      </c>
      <c r="N33" s="18">
        <v>1773</v>
      </c>
      <c r="O33" s="18">
        <v>1783</v>
      </c>
      <c r="P33" s="18">
        <v>1699</v>
      </c>
      <c r="Q33" s="18">
        <v>1764</v>
      </c>
      <c r="R33" s="18">
        <v>1703</v>
      </c>
      <c r="S33" s="18">
        <v>1771</v>
      </c>
      <c r="T33" s="18">
        <v>1732</v>
      </c>
      <c r="U33" s="18">
        <v>1798</v>
      </c>
      <c r="V33" s="18">
        <v>1868</v>
      </c>
      <c r="W33" s="18">
        <v>1838</v>
      </c>
      <c r="X33" s="18">
        <v>1916</v>
      </c>
      <c r="Y33" s="18">
        <v>2224</v>
      </c>
      <c r="Z33" s="18">
        <v>2142</v>
      </c>
      <c r="AA33" s="18">
        <v>2348</v>
      </c>
      <c r="AB33" s="18">
        <v>2438</v>
      </c>
      <c r="AC33" s="18">
        <v>2579</v>
      </c>
      <c r="AD33" s="18">
        <v>2635</v>
      </c>
      <c r="AE33" s="18">
        <v>2564</v>
      </c>
      <c r="AF33" s="18">
        <v>2537</v>
      </c>
      <c r="AG33" s="18">
        <v>2666</v>
      </c>
      <c r="AH33" s="18">
        <v>2596</v>
      </c>
      <c r="AI33" s="18">
        <v>2616</v>
      </c>
      <c r="AJ33" s="18">
        <v>2622</v>
      </c>
      <c r="AK33" s="18">
        <v>2983</v>
      </c>
      <c r="AL33" s="18">
        <v>3219</v>
      </c>
      <c r="AM33" s="18">
        <v>3347</v>
      </c>
      <c r="AN33" s="18">
        <v>3105</v>
      </c>
      <c r="AO33" s="18">
        <v>3300</v>
      </c>
      <c r="AP33" s="18">
        <v>3203</v>
      </c>
      <c r="AQ33" s="18">
        <v>3057</v>
      </c>
      <c r="AR33" s="6">
        <v>3266</v>
      </c>
      <c r="AS33">
        <v>3259</v>
      </c>
      <c r="AT33">
        <v>3239</v>
      </c>
    </row>
    <row r="34" spans="1:46">
      <c r="A34" s="23" t="s">
        <v>71</v>
      </c>
      <c r="B34" s="18"/>
      <c r="C34" s="18">
        <v>2932</v>
      </c>
      <c r="D34" s="18">
        <v>3251</v>
      </c>
      <c r="E34" s="18">
        <v>3223</v>
      </c>
      <c r="F34" s="18">
        <v>2915</v>
      </c>
      <c r="G34" s="18">
        <v>3006</v>
      </c>
      <c r="H34" s="18">
        <v>3132</v>
      </c>
      <c r="I34" s="18">
        <v>3068</v>
      </c>
      <c r="J34" s="18">
        <v>3276</v>
      </c>
      <c r="K34" s="18">
        <v>3403</v>
      </c>
      <c r="L34" s="18">
        <v>3259</v>
      </c>
      <c r="M34" s="18">
        <v>3203</v>
      </c>
      <c r="N34" s="18">
        <v>3063</v>
      </c>
      <c r="O34" s="18">
        <v>3050</v>
      </c>
      <c r="P34" s="18">
        <v>2884</v>
      </c>
      <c r="Q34" s="18">
        <v>2827</v>
      </c>
      <c r="R34" s="18">
        <v>2685</v>
      </c>
      <c r="S34" s="18">
        <v>2649</v>
      </c>
      <c r="T34" s="18">
        <v>2784</v>
      </c>
      <c r="U34" s="18">
        <v>2869</v>
      </c>
      <c r="V34" s="18">
        <v>3120</v>
      </c>
      <c r="W34" s="18">
        <v>3276</v>
      </c>
      <c r="X34" s="18">
        <v>3397</v>
      </c>
      <c r="Y34" s="18">
        <v>3918</v>
      </c>
      <c r="Z34" s="18">
        <v>3650</v>
      </c>
      <c r="AA34" s="18">
        <v>3617</v>
      </c>
      <c r="AB34" s="18">
        <v>3914</v>
      </c>
      <c r="AC34" s="18">
        <v>4011</v>
      </c>
      <c r="AD34" s="18">
        <v>4099</v>
      </c>
      <c r="AE34" s="18">
        <v>4222</v>
      </c>
      <c r="AF34" s="18">
        <v>4414</v>
      </c>
      <c r="AG34" s="18">
        <v>4797</v>
      </c>
      <c r="AH34" s="18">
        <v>4848</v>
      </c>
      <c r="AI34" s="18">
        <v>4905</v>
      </c>
      <c r="AJ34" s="18">
        <v>5637</v>
      </c>
      <c r="AK34" s="18">
        <v>5877</v>
      </c>
      <c r="AL34" s="18">
        <v>6148</v>
      </c>
      <c r="AM34" s="18">
        <v>5936</v>
      </c>
      <c r="AN34" s="18">
        <v>6054</v>
      </c>
      <c r="AO34" s="18">
        <v>5956</v>
      </c>
      <c r="AP34" s="18">
        <v>6369</v>
      </c>
      <c r="AQ34" s="18">
        <v>6779</v>
      </c>
      <c r="AR34" s="6">
        <v>7326</v>
      </c>
      <c r="AS34">
        <v>7540</v>
      </c>
      <c r="AT34">
        <v>7521</v>
      </c>
    </row>
    <row r="35" spans="1:46">
      <c r="A35" s="23" t="s">
        <v>72</v>
      </c>
      <c r="B35" s="18"/>
      <c r="C35" s="18">
        <v>1827</v>
      </c>
      <c r="D35" s="18">
        <v>2016</v>
      </c>
      <c r="E35" s="18">
        <v>2165</v>
      </c>
      <c r="F35" s="18">
        <v>2162</v>
      </c>
      <c r="G35" s="18">
        <v>2371</v>
      </c>
      <c r="H35" s="18">
        <v>2293</v>
      </c>
      <c r="I35" s="18">
        <v>2260</v>
      </c>
      <c r="J35" s="18">
        <v>2471</v>
      </c>
      <c r="K35" s="18">
        <v>2255</v>
      </c>
      <c r="L35" s="18">
        <v>2487</v>
      </c>
      <c r="M35" s="18">
        <v>2333</v>
      </c>
      <c r="N35" s="18">
        <v>2376</v>
      </c>
      <c r="O35" s="18">
        <v>2367</v>
      </c>
      <c r="P35" s="18">
        <v>2372</v>
      </c>
      <c r="Q35" s="18">
        <v>2238</v>
      </c>
      <c r="R35" s="18">
        <v>2401</v>
      </c>
      <c r="S35" s="18">
        <v>2288</v>
      </c>
      <c r="T35" s="18">
        <v>2403</v>
      </c>
      <c r="U35" s="18">
        <v>2574</v>
      </c>
      <c r="V35" s="18">
        <v>2345</v>
      </c>
      <c r="W35" s="18">
        <v>2479</v>
      </c>
      <c r="X35" s="18">
        <v>2452</v>
      </c>
      <c r="Y35" s="18">
        <v>2550</v>
      </c>
      <c r="Z35" s="18">
        <v>2868</v>
      </c>
      <c r="AA35" s="18">
        <v>2837</v>
      </c>
      <c r="AB35" s="18">
        <v>3045</v>
      </c>
      <c r="AC35" s="18">
        <v>3081</v>
      </c>
      <c r="AD35" s="18">
        <v>3186</v>
      </c>
      <c r="AE35" s="18">
        <v>3473</v>
      </c>
      <c r="AF35" s="18">
        <v>3503</v>
      </c>
      <c r="AG35" s="18">
        <v>3458</v>
      </c>
      <c r="AH35" s="18">
        <v>3642</v>
      </c>
      <c r="AI35" s="18">
        <v>3666</v>
      </c>
      <c r="AJ35" s="18">
        <v>3827</v>
      </c>
      <c r="AK35" s="18">
        <v>4167</v>
      </c>
      <c r="AL35" s="18">
        <v>4210</v>
      </c>
      <c r="AM35" s="18">
        <v>4497</v>
      </c>
      <c r="AN35" s="18">
        <v>4465</v>
      </c>
      <c r="AO35" s="18">
        <v>5056</v>
      </c>
      <c r="AP35" s="18">
        <v>5025</v>
      </c>
      <c r="AQ35" s="18">
        <v>5801</v>
      </c>
      <c r="AR35" s="6">
        <v>5488</v>
      </c>
      <c r="AS35">
        <v>5621</v>
      </c>
      <c r="AT35">
        <v>5476</v>
      </c>
    </row>
    <row r="36" spans="1:46">
      <c r="A36" s="23" t="s">
        <v>73</v>
      </c>
      <c r="B36" s="18"/>
      <c r="C36" s="18">
        <v>2964</v>
      </c>
      <c r="D36" s="18">
        <v>3427</v>
      </c>
      <c r="E36" s="18">
        <v>3402</v>
      </c>
      <c r="F36" s="18">
        <v>3337</v>
      </c>
      <c r="G36" s="18">
        <v>3536</v>
      </c>
      <c r="H36" s="18">
        <v>3616</v>
      </c>
      <c r="I36" s="18">
        <v>3824</v>
      </c>
      <c r="J36" s="18">
        <v>3955</v>
      </c>
      <c r="K36" s="18">
        <v>3895</v>
      </c>
      <c r="L36" s="18">
        <v>4045</v>
      </c>
      <c r="M36" s="18">
        <v>4281</v>
      </c>
      <c r="N36" s="18">
        <v>4344</v>
      </c>
      <c r="O36" s="18">
        <v>4551</v>
      </c>
      <c r="P36" s="18">
        <v>4328</v>
      </c>
      <c r="Q36" s="18">
        <v>3923</v>
      </c>
      <c r="R36" s="18">
        <v>4219</v>
      </c>
      <c r="S36" s="18">
        <v>4370</v>
      </c>
      <c r="T36" s="18">
        <v>4066</v>
      </c>
      <c r="U36" s="18">
        <v>4262</v>
      </c>
      <c r="V36" s="18">
        <v>4275</v>
      </c>
      <c r="W36" s="18">
        <v>5284</v>
      </c>
      <c r="X36" s="18">
        <v>5200</v>
      </c>
      <c r="Y36" s="18">
        <v>6088</v>
      </c>
      <c r="Z36" s="18">
        <v>6745</v>
      </c>
      <c r="AA36" s="18">
        <v>7268</v>
      </c>
      <c r="AB36" s="18">
        <v>7947</v>
      </c>
      <c r="AC36" s="18">
        <v>8334</v>
      </c>
      <c r="AD36" s="18">
        <v>7187</v>
      </c>
      <c r="AE36" s="18">
        <v>7417</v>
      </c>
      <c r="AF36" s="18">
        <v>7319</v>
      </c>
      <c r="AG36" s="18">
        <v>7436</v>
      </c>
      <c r="AH36" s="18">
        <v>7753</v>
      </c>
      <c r="AI36" s="18">
        <v>7551</v>
      </c>
      <c r="AJ36" s="18">
        <v>8310</v>
      </c>
      <c r="AK36" s="18">
        <v>8481</v>
      </c>
      <c r="AL36" s="18">
        <v>8773</v>
      </c>
      <c r="AM36" s="18">
        <v>8931</v>
      </c>
      <c r="AN36" s="18">
        <v>8778</v>
      </c>
      <c r="AO36" s="18">
        <v>8808</v>
      </c>
      <c r="AP36" s="18">
        <v>9093</v>
      </c>
      <c r="AQ36" s="18">
        <v>9669</v>
      </c>
      <c r="AR36" s="6">
        <v>9850</v>
      </c>
      <c r="AS36">
        <v>9588</v>
      </c>
      <c r="AT36">
        <v>9519</v>
      </c>
    </row>
    <row r="37" spans="1:46">
      <c r="A37" s="24" t="s">
        <v>74</v>
      </c>
      <c r="B37" s="20"/>
      <c r="C37" s="20">
        <v>341</v>
      </c>
      <c r="D37" s="20">
        <v>329</v>
      </c>
      <c r="E37" s="20">
        <v>376</v>
      </c>
      <c r="F37" s="20">
        <v>337</v>
      </c>
      <c r="G37" s="20">
        <v>348</v>
      </c>
      <c r="H37" s="20">
        <v>352</v>
      </c>
      <c r="I37" s="20">
        <v>388</v>
      </c>
      <c r="J37" s="20">
        <v>378</v>
      </c>
      <c r="K37" s="20">
        <v>414</v>
      </c>
      <c r="L37" s="20">
        <v>353</v>
      </c>
      <c r="M37" s="20">
        <v>295</v>
      </c>
      <c r="N37" s="20">
        <v>333</v>
      </c>
      <c r="O37" s="20">
        <v>311</v>
      </c>
      <c r="P37" s="20">
        <v>350</v>
      </c>
      <c r="Q37" s="20">
        <v>339</v>
      </c>
      <c r="R37" s="20">
        <v>347</v>
      </c>
      <c r="S37" s="20">
        <v>380</v>
      </c>
      <c r="T37" s="20">
        <v>345</v>
      </c>
      <c r="U37" s="20">
        <v>343</v>
      </c>
      <c r="V37" s="20">
        <v>335</v>
      </c>
      <c r="W37" s="20">
        <v>361</v>
      </c>
      <c r="X37" s="20">
        <v>304</v>
      </c>
      <c r="Y37" s="20">
        <v>350</v>
      </c>
      <c r="Z37" s="20">
        <v>342</v>
      </c>
      <c r="AA37" s="20">
        <v>457</v>
      </c>
      <c r="AB37" s="20">
        <v>396</v>
      </c>
      <c r="AC37" s="20">
        <v>410</v>
      </c>
      <c r="AD37" s="20">
        <v>393</v>
      </c>
      <c r="AE37" s="20">
        <v>387</v>
      </c>
      <c r="AF37" s="20">
        <v>396</v>
      </c>
      <c r="AG37" s="20">
        <v>377</v>
      </c>
      <c r="AH37" s="20">
        <v>414</v>
      </c>
      <c r="AI37" s="20">
        <v>445</v>
      </c>
      <c r="AJ37" s="20">
        <v>417</v>
      </c>
      <c r="AK37" s="20">
        <v>420</v>
      </c>
      <c r="AL37" s="20">
        <v>455</v>
      </c>
      <c r="AM37" s="20">
        <v>437</v>
      </c>
      <c r="AN37" s="20">
        <v>423</v>
      </c>
      <c r="AO37" s="20">
        <v>423</v>
      </c>
      <c r="AP37" s="20">
        <v>428</v>
      </c>
      <c r="AQ37" s="20">
        <v>388</v>
      </c>
      <c r="AR37" s="6">
        <v>482</v>
      </c>
      <c r="AS37" s="162">
        <v>489</v>
      </c>
      <c r="AT37" s="141">
        <v>486</v>
      </c>
    </row>
    <row r="38" spans="1:46">
      <c r="A38" s="21" t="s">
        <v>75</v>
      </c>
      <c r="B38" s="15">
        <f t="shared" ref="B38:AP38" si="16">SUM(B40:B51)</f>
        <v>0</v>
      </c>
      <c r="C38" s="15">
        <f t="shared" si="16"/>
        <v>61736</v>
      </c>
      <c r="D38" s="15">
        <f t="shared" si="16"/>
        <v>67447</v>
      </c>
      <c r="E38" s="15">
        <f t="shared" si="16"/>
        <v>71132</v>
      </c>
      <c r="F38" s="15">
        <f t="shared" si="16"/>
        <v>71805</v>
      </c>
      <c r="G38" s="15">
        <f t="shared" si="16"/>
        <v>73943</v>
      </c>
      <c r="H38" s="15">
        <f t="shared" si="16"/>
        <v>76460</v>
      </c>
      <c r="I38" s="15">
        <f t="shared" si="16"/>
        <v>80272</v>
      </c>
      <c r="J38" s="15">
        <f t="shared" si="16"/>
        <v>83392</v>
      </c>
      <c r="K38" s="15">
        <f t="shared" si="16"/>
        <v>81301</v>
      </c>
      <c r="L38" s="15">
        <f t="shared" si="16"/>
        <v>78081</v>
      </c>
      <c r="M38" s="15">
        <f t="shared" si="16"/>
        <v>77208</v>
      </c>
      <c r="N38" s="15">
        <f t="shared" si="16"/>
        <v>76998</v>
      </c>
      <c r="O38" s="15">
        <f t="shared" si="16"/>
        <v>78099</v>
      </c>
      <c r="P38" s="15">
        <f t="shared" si="16"/>
        <v>75942</v>
      </c>
      <c r="Q38" s="15">
        <f t="shared" si="16"/>
        <v>73954</v>
      </c>
      <c r="R38" s="15">
        <f t="shared" si="16"/>
        <v>72373</v>
      </c>
      <c r="S38" s="15">
        <f t="shared" si="16"/>
        <v>72849</v>
      </c>
      <c r="T38" s="15">
        <f t="shared" si="16"/>
        <v>73072</v>
      </c>
      <c r="U38" s="15">
        <f t="shared" si="16"/>
        <v>75288</v>
      </c>
      <c r="V38" s="15">
        <f t="shared" si="16"/>
        <v>79268</v>
      </c>
      <c r="W38" s="15">
        <f t="shared" si="16"/>
        <v>81147</v>
      </c>
      <c r="X38" s="15">
        <f t="shared" si="16"/>
        <v>83347</v>
      </c>
      <c r="Y38" s="15">
        <f t="shared" si="16"/>
        <v>87394</v>
      </c>
      <c r="Z38" s="15">
        <f t="shared" si="16"/>
        <v>90737</v>
      </c>
      <c r="AA38" s="15">
        <f t="shared" si="16"/>
        <v>95212</v>
      </c>
      <c r="AB38" s="15">
        <f t="shared" si="16"/>
        <v>96207</v>
      </c>
      <c r="AC38" s="15">
        <f t="shared" si="16"/>
        <v>100390</v>
      </c>
      <c r="AD38" s="15">
        <f t="shared" si="16"/>
        <v>102419</v>
      </c>
      <c r="AE38" s="15">
        <f t="shared" si="16"/>
        <v>106304</v>
      </c>
      <c r="AF38" s="15">
        <f t="shared" si="16"/>
        <v>109149</v>
      </c>
      <c r="AG38" s="15">
        <f t="shared" si="16"/>
        <v>113455</v>
      </c>
      <c r="AH38" s="15">
        <f t="shared" si="16"/>
        <v>117277</v>
      </c>
      <c r="AI38" s="15">
        <f t="shared" si="16"/>
        <v>121877</v>
      </c>
      <c r="AJ38" s="15">
        <f t="shared" si="16"/>
        <v>129956</v>
      </c>
      <c r="AK38" s="15">
        <f t="shared" ref="AK38" si="17">SUM(AK40:AK51)</f>
        <v>139409</v>
      </c>
      <c r="AL38" s="15">
        <f t="shared" si="16"/>
        <v>145462</v>
      </c>
      <c r="AM38" s="15">
        <f t="shared" si="16"/>
        <v>140594</v>
      </c>
      <c r="AN38" s="15">
        <f t="shared" si="16"/>
        <v>150033</v>
      </c>
      <c r="AO38" s="15">
        <f t="shared" si="16"/>
        <v>156460</v>
      </c>
      <c r="AP38" s="15">
        <f t="shared" si="16"/>
        <v>163108</v>
      </c>
      <c r="AQ38" s="15">
        <f t="shared" ref="AQ38:AR38" si="18">SUM(AQ40:AQ51)</f>
        <v>169684</v>
      </c>
      <c r="AR38" s="15">
        <f t="shared" si="18"/>
        <v>169423</v>
      </c>
      <c r="AS38" s="15">
        <f t="shared" ref="AS38:AT38" si="19">SUM(AS40:AS51)</f>
        <v>170693</v>
      </c>
      <c r="AT38" s="15">
        <f t="shared" si="19"/>
        <v>167630</v>
      </c>
    </row>
    <row r="39" spans="1:46">
      <c r="A39" s="16" t="s">
        <v>44</v>
      </c>
      <c r="B39" s="17">
        <f t="shared" ref="B39:AP39" si="20">(B38/B4)*100</f>
        <v>0</v>
      </c>
      <c r="C39" s="17">
        <f t="shared" si="20"/>
        <v>29.766921571085547</v>
      </c>
      <c r="D39" s="17">
        <f t="shared" si="20"/>
        <v>29.382141659151994</v>
      </c>
      <c r="E39" s="17">
        <f t="shared" si="20"/>
        <v>28.385243121371133</v>
      </c>
      <c r="F39" s="17">
        <f t="shared" si="20"/>
        <v>27.37117764105848</v>
      </c>
      <c r="G39" s="17">
        <f t="shared" si="20"/>
        <v>26.778232071009771</v>
      </c>
      <c r="H39" s="17">
        <f t="shared" si="20"/>
        <v>26.232185375024876</v>
      </c>
      <c r="I39" s="17">
        <f t="shared" si="20"/>
        <v>25.817490616587492</v>
      </c>
      <c r="J39" s="17">
        <f t="shared" si="20"/>
        <v>26.371346712119966</v>
      </c>
      <c r="K39" s="17">
        <f t="shared" si="20"/>
        <v>26.167968611698516</v>
      </c>
      <c r="L39" s="17">
        <f t="shared" si="20"/>
        <v>26.011566470560798</v>
      </c>
      <c r="M39" s="17">
        <f t="shared" si="20"/>
        <v>25.991408911571039</v>
      </c>
      <c r="N39" s="17">
        <f t="shared" si="20"/>
        <v>26.117572834305136</v>
      </c>
      <c r="O39" s="17">
        <f t="shared" si="20"/>
        <v>26.50379575865966</v>
      </c>
      <c r="P39" s="17">
        <f t="shared" si="20"/>
        <v>26.303630248724513</v>
      </c>
      <c r="Q39" s="17">
        <f t="shared" si="20"/>
        <v>26.140930701118748</v>
      </c>
      <c r="R39" s="17">
        <f t="shared" si="20"/>
        <v>25.395371686229101</v>
      </c>
      <c r="S39" s="17">
        <f t="shared" si="20"/>
        <v>25.355009814977237</v>
      </c>
      <c r="T39" s="17">
        <f t="shared" si="20"/>
        <v>25.361038708625017</v>
      </c>
      <c r="U39" s="17">
        <f t="shared" si="20"/>
        <v>25.314974529681749</v>
      </c>
      <c r="V39" s="17">
        <f t="shared" si="20"/>
        <v>25.718828071769252</v>
      </c>
      <c r="W39" s="17">
        <f t="shared" si="20"/>
        <v>25.114124160897273</v>
      </c>
      <c r="X39" s="17">
        <f t="shared" si="20"/>
        <v>24.803292543567281</v>
      </c>
      <c r="Y39" s="17">
        <f t="shared" si="20"/>
        <v>24.853117659437725</v>
      </c>
      <c r="Z39" s="17">
        <f t="shared" si="20"/>
        <v>24.636909885228498</v>
      </c>
      <c r="AA39" s="17">
        <f t="shared" si="20"/>
        <v>24.681987271713911</v>
      </c>
      <c r="AB39" s="17">
        <f t="shared" si="20"/>
        <v>24.27177362793725</v>
      </c>
      <c r="AC39" s="17">
        <f t="shared" si="20"/>
        <v>24.781596597374964</v>
      </c>
      <c r="AD39" s="17">
        <f t="shared" si="20"/>
        <v>24.499867237267338</v>
      </c>
      <c r="AE39" s="17">
        <f t="shared" si="20"/>
        <v>24.712435257250721</v>
      </c>
      <c r="AF39" s="17">
        <f t="shared" si="20"/>
        <v>24.807380234825654</v>
      </c>
      <c r="AG39" s="17">
        <f t="shared" si="20"/>
        <v>24.822997619547714</v>
      </c>
      <c r="AH39" s="17">
        <f t="shared" si="20"/>
        <v>25.033726380860493</v>
      </c>
      <c r="AI39" s="17">
        <f t="shared" si="20"/>
        <v>25.279495891047421</v>
      </c>
      <c r="AJ39" s="17">
        <f t="shared" si="20"/>
        <v>25.315824435704283</v>
      </c>
      <c r="AK39" s="17">
        <f t="shared" si="20"/>
        <v>24.953818725969629</v>
      </c>
      <c r="AL39" s="17">
        <f t="shared" si="20"/>
        <v>25.314556801214021</v>
      </c>
      <c r="AM39" s="17">
        <f t="shared" si="20"/>
        <v>24.658908542413904</v>
      </c>
      <c r="AN39" s="17">
        <f t="shared" si="20"/>
        <v>24.814962446680241</v>
      </c>
      <c r="AO39" s="17">
        <f t="shared" si="20"/>
        <v>24.977769689190723</v>
      </c>
      <c r="AP39" s="17">
        <f t="shared" si="20"/>
        <v>24.741110853245839</v>
      </c>
      <c r="AQ39" s="17">
        <f t="shared" ref="AQ39:AR39" si="21">(AQ38/AQ4)*100</f>
        <v>24.613751057098554</v>
      </c>
      <c r="AR39" s="17">
        <f t="shared" si="21"/>
        <v>24.491161827885488</v>
      </c>
      <c r="AS39" s="17">
        <f t="shared" ref="AS39:AT39" si="22">(AS38/AS4)*100</f>
        <v>23.372037298207658</v>
      </c>
      <c r="AT39" s="17">
        <f t="shared" si="22"/>
        <v>23.144427968266328</v>
      </c>
    </row>
    <row r="40" spans="1:46">
      <c r="A40" s="23" t="s">
        <v>76</v>
      </c>
      <c r="B40" s="18"/>
      <c r="C40" s="18">
        <v>12715</v>
      </c>
      <c r="D40" s="18">
        <v>13767</v>
      </c>
      <c r="E40" s="18">
        <v>14906</v>
      </c>
      <c r="F40" s="18">
        <v>15042</v>
      </c>
      <c r="G40" s="18">
        <v>16040</v>
      </c>
      <c r="H40" s="18">
        <v>16611</v>
      </c>
      <c r="I40" s="18">
        <v>17735</v>
      </c>
      <c r="J40" s="18">
        <v>17923</v>
      </c>
      <c r="K40" s="18">
        <v>17423</v>
      </c>
      <c r="L40" s="18">
        <v>16550</v>
      </c>
      <c r="M40" s="18">
        <v>16298</v>
      </c>
      <c r="N40" s="18">
        <v>16423</v>
      </c>
      <c r="O40" s="18">
        <v>17175</v>
      </c>
      <c r="P40" s="18">
        <v>17155</v>
      </c>
      <c r="Q40" s="18">
        <v>16888</v>
      </c>
      <c r="R40" s="18">
        <v>16566</v>
      </c>
      <c r="S40" s="18">
        <v>17208</v>
      </c>
      <c r="T40" s="18">
        <v>17075</v>
      </c>
      <c r="U40" s="18">
        <v>17783</v>
      </c>
      <c r="V40" s="18">
        <v>18664</v>
      </c>
      <c r="W40" s="18">
        <v>19288</v>
      </c>
      <c r="X40" s="18">
        <v>19948</v>
      </c>
      <c r="Y40" s="18">
        <v>21674</v>
      </c>
      <c r="Z40" s="18">
        <v>22440</v>
      </c>
      <c r="AA40" s="18">
        <v>23689</v>
      </c>
      <c r="AB40" s="18">
        <v>23487</v>
      </c>
      <c r="AC40" s="18">
        <v>24845</v>
      </c>
      <c r="AD40" s="18">
        <v>25138</v>
      </c>
      <c r="AE40" s="18">
        <v>25111</v>
      </c>
      <c r="AF40" s="18">
        <v>25843</v>
      </c>
      <c r="AG40" s="18">
        <v>26578</v>
      </c>
      <c r="AH40" s="18">
        <v>27170</v>
      </c>
      <c r="AI40" s="18">
        <v>28529</v>
      </c>
      <c r="AJ40" s="18">
        <v>30240</v>
      </c>
      <c r="AK40" s="18">
        <v>32732</v>
      </c>
      <c r="AL40" s="18">
        <v>35992</v>
      </c>
      <c r="AM40" s="18">
        <v>34453</v>
      </c>
      <c r="AN40" s="18">
        <v>37828</v>
      </c>
      <c r="AO40" s="18">
        <v>39339</v>
      </c>
      <c r="AP40" s="18">
        <v>39750</v>
      </c>
      <c r="AQ40" s="18">
        <v>41548</v>
      </c>
      <c r="AR40" s="6">
        <v>41776</v>
      </c>
      <c r="AS40">
        <v>42212</v>
      </c>
      <c r="AT40">
        <v>41866</v>
      </c>
    </row>
    <row r="41" spans="1:46">
      <c r="A41" s="23" t="s">
        <v>77</v>
      </c>
      <c r="B41" s="18"/>
      <c r="C41" s="18">
        <v>8105</v>
      </c>
      <c r="D41" s="18">
        <v>8632</v>
      </c>
      <c r="E41" s="18">
        <v>9263</v>
      </c>
      <c r="F41" s="18">
        <v>9851</v>
      </c>
      <c r="G41" s="18">
        <v>10155</v>
      </c>
      <c r="H41" s="18">
        <v>10046</v>
      </c>
      <c r="I41" s="18">
        <v>9697</v>
      </c>
      <c r="J41" s="18">
        <v>9802</v>
      </c>
      <c r="K41" s="18">
        <v>9472</v>
      </c>
      <c r="L41" s="18">
        <v>8616</v>
      </c>
      <c r="M41" s="18">
        <v>8313</v>
      </c>
      <c r="N41" s="18">
        <v>8031</v>
      </c>
      <c r="O41" s="18">
        <v>7934</v>
      </c>
      <c r="P41" s="18">
        <v>7591</v>
      </c>
      <c r="Q41" s="18">
        <v>6973</v>
      </c>
      <c r="R41" s="18">
        <v>6882</v>
      </c>
      <c r="S41" s="18">
        <v>6610</v>
      </c>
      <c r="T41" s="18">
        <v>6943</v>
      </c>
      <c r="U41" s="18">
        <v>7079</v>
      </c>
      <c r="V41" s="18">
        <v>7514</v>
      </c>
      <c r="W41" s="18">
        <v>7370</v>
      </c>
      <c r="X41" s="18">
        <v>6843</v>
      </c>
      <c r="Y41" s="18">
        <v>6650</v>
      </c>
      <c r="Z41" s="18">
        <v>6874</v>
      </c>
      <c r="AA41" s="18">
        <v>6962</v>
      </c>
      <c r="AB41" s="18">
        <v>7597</v>
      </c>
      <c r="AC41" s="18">
        <v>7572</v>
      </c>
      <c r="AD41" s="18">
        <v>7590</v>
      </c>
      <c r="AE41" s="18">
        <v>7873</v>
      </c>
      <c r="AF41" s="18">
        <v>7656</v>
      </c>
      <c r="AG41" s="18">
        <v>8470</v>
      </c>
      <c r="AH41" s="18">
        <v>8473</v>
      </c>
      <c r="AI41" s="18">
        <v>9089</v>
      </c>
      <c r="AJ41" s="18">
        <v>9549</v>
      </c>
      <c r="AK41" s="18">
        <v>10836</v>
      </c>
      <c r="AL41" s="18">
        <v>11087</v>
      </c>
      <c r="AM41" s="18">
        <v>11345</v>
      </c>
      <c r="AN41" s="18">
        <v>11832</v>
      </c>
      <c r="AO41" s="18">
        <v>12310</v>
      </c>
      <c r="AP41" s="18">
        <v>12924</v>
      </c>
      <c r="AQ41" s="18">
        <v>13673</v>
      </c>
      <c r="AR41" s="6">
        <v>14337</v>
      </c>
      <c r="AS41">
        <v>14215</v>
      </c>
      <c r="AT41">
        <v>14663</v>
      </c>
    </row>
    <row r="42" spans="1:46">
      <c r="A42" s="23" t="s">
        <v>78</v>
      </c>
      <c r="B42" s="18"/>
      <c r="C42" s="18">
        <v>2241</v>
      </c>
      <c r="D42" s="18">
        <v>2666</v>
      </c>
      <c r="E42" s="18">
        <v>2606</v>
      </c>
      <c r="F42" s="18">
        <v>2476</v>
      </c>
      <c r="G42" s="18">
        <v>2413</v>
      </c>
      <c r="H42" s="18">
        <v>2377</v>
      </c>
      <c r="I42" s="18">
        <v>2411</v>
      </c>
      <c r="J42" s="18">
        <v>2624</v>
      </c>
      <c r="K42" s="18">
        <v>2470</v>
      </c>
      <c r="L42" s="18">
        <v>2535</v>
      </c>
      <c r="M42" s="18">
        <v>2584</v>
      </c>
      <c r="N42" s="18">
        <v>2511</v>
      </c>
      <c r="O42" s="18">
        <v>2466</v>
      </c>
      <c r="P42" s="18">
        <v>2345</v>
      </c>
      <c r="Q42" s="18">
        <v>2643</v>
      </c>
      <c r="R42" s="18">
        <v>2633</v>
      </c>
      <c r="S42" s="18">
        <v>2890</v>
      </c>
      <c r="T42" s="18">
        <v>2775</v>
      </c>
      <c r="U42" s="18">
        <v>3001</v>
      </c>
      <c r="V42" s="18">
        <v>3218</v>
      </c>
      <c r="W42" s="18">
        <v>3006</v>
      </c>
      <c r="X42" s="18">
        <v>3168</v>
      </c>
      <c r="Y42" s="18">
        <v>3369</v>
      </c>
      <c r="Z42" s="18">
        <v>3517</v>
      </c>
      <c r="AA42" s="18">
        <v>3488</v>
      </c>
      <c r="AB42" s="18">
        <v>3478</v>
      </c>
      <c r="AC42" s="18">
        <v>3384</v>
      </c>
      <c r="AD42" s="18">
        <v>3340</v>
      </c>
      <c r="AE42" s="18">
        <v>3589</v>
      </c>
      <c r="AF42" s="18">
        <v>3698</v>
      </c>
      <c r="AG42" s="18">
        <v>3846</v>
      </c>
      <c r="AH42" s="18">
        <v>3493</v>
      </c>
      <c r="AI42" s="18">
        <v>3878</v>
      </c>
      <c r="AJ42" s="18">
        <v>3948</v>
      </c>
      <c r="AK42" s="18">
        <v>3967</v>
      </c>
      <c r="AL42" s="18">
        <v>4316</v>
      </c>
      <c r="AM42" s="18">
        <v>4430</v>
      </c>
      <c r="AN42" s="18">
        <v>4544</v>
      </c>
      <c r="AO42" s="18">
        <v>5257</v>
      </c>
      <c r="AP42" s="18">
        <v>6164</v>
      </c>
      <c r="AQ42" s="18">
        <v>7452</v>
      </c>
      <c r="AR42" s="6">
        <v>9982</v>
      </c>
      <c r="AS42">
        <v>12100</v>
      </c>
      <c r="AT42">
        <v>12127</v>
      </c>
    </row>
    <row r="43" spans="1:46">
      <c r="A43" s="23" t="s">
        <v>79</v>
      </c>
      <c r="B43" s="18"/>
      <c r="C43" s="18">
        <v>2883</v>
      </c>
      <c r="D43" s="18">
        <v>2849</v>
      </c>
      <c r="E43" s="18">
        <v>3027</v>
      </c>
      <c r="F43" s="18">
        <v>3080</v>
      </c>
      <c r="G43" s="18">
        <v>3133</v>
      </c>
      <c r="H43" s="18">
        <v>3046</v>
      </c>
      <c r="I43" s="18">
        <v>3272</v>
      </c>
      <c r="J43" s="18">
        <v>3542</v>
      </c>
      <c r="K43" s="18">
        <v>3645</v>
      </c>
      <c r="L43" s="18">
        <v>3268</v>
      </c>
      <c r="M43" s="18">
        <v>3126</v>
      </c>
      <c r="N43" s="18">
        <v>3202</v>
      </c>
      <c r="O43" s="18">
        <v>3182</v>
      </c>
      <c r="P43" s="18">
        <v>3078</v>
      </c>
      <c r="Q43" s="18">
        <v>2959</v>
      </c>
      <c r="R43" s="18">
        <v>2984</v>
      </c>
      <c r="S43" s="18">
        <v>3048</v>
      </c>
      <c r="T43" s="18">
        <v>2986</v>
      </c>
      <c r="U43" s="18">
        <v>2983</v>
      </c>
      <c r="V43" s="18">
        <v>3132</v>
      </c>
      <c r="W43" s="18">
        <v>3309</v>
      </c>
      <c r="X43" s="18">
        <v>3402</v>
      </c>
      <c r="Y43" s="18">
        <v>3791</v>
      </c>
      <c r="Z43" s="18">
        <v>3920</v>
      </c>
      <c r="AA43" s="18">
        <v>4618</v>
      </c>
      <c r="AB43" s="18">
        <v>4350</v>
      </c>
      <c r="AC43" s="18">
        <v>4732</v>
      </c>
      <c r="AD43" s="18">
        <v>4671</v>
      </c>
      <c r="AE43" s="18">
        <v>4596</v>
      </c>
      <c r="AF43" s="18">
        <v>4888</v>
      </c>
      <c r="AG43" s="18">
        <v>4908</v>
      </c>
      <c r="AH43" s="18">
        <v>5155</v>
      </c>
      <c r="AI43" s="18">
        <v>5055</v>
      </c>
      <c r="AJ43" s="18">
        <v>5604</v>
      </c>
      <c r="AK43" s="18">
        <v>5989</v>
      </c>
      <c r="AL43" s="18">
        <v>5668</v>
      </c>
      <c r="AM43" s="18">
        <v>5852</v>
      </c>
      <c r="AN43" s="18">
        <v>5830</v>
      </c>
      <c r="AO43" s="18">
        <v>6268</v>
      </c>
      <c r="AP43" s="18">
        <v>6309</v>
      </c>
      <c r="AQ43" s="18">
        <v>6722</v>
      </c>
      <c r="AR43" s="6">
        <v>7227</v>
      </c>
      <c r="AS43">
        <v>7021</v>
      </c>
      <c r="AT43">
        <v>6586</v>
      </c>
    </row>
    <row r="44" spans="1:46">
      <c r="A44" s="23" t="s">
        <v>80</v>
      </c>
      <c r="B44" s="18"/>
      <c r="C44" s="18">
        <v>12043</v>
      </c>
      <c r="D44" s="18">
        <v>13261</v>
      </c>
      <c r="E44" s="18">
        <v>13649</v>
      </c>
      <c r="F44" s="18">
        <v>13503</v>
      </c>
      <c r="G44" s="18">
        <v>13817</v>
      </c>
      <c r="H44" s="18">
        <v>14887</v>
      </c>
      <c r="I44" s="18">
        <v>16005</v>
      </c>
      <c r="J44" s="18">
        <v>16098</v>
      </c>
      <c r="K44" s="18">
        <v>15558</v>
      </c>
      <c r="L44" s="18">
        <v>14896</v>
      </c>
      <c r="M44" s="18">
        <v>15056</v>
      </c>
      <c r="N44" s="18">
        <v>14916</v>
      </c>
      <c r="O44" s="18">
        <v>14368</v>
      </c>
      <c r="P44" s="18">
        <v>13295</v>
      </c>
      <c r="Q44" s="18">
        <v>12668</v>
      </c>
      <c r="R44" s="18">
        <v>11804</v>
      </c>
      <c r="S44" s="18">
        <v>11468</v>
      </c>
      <c r="T44" s="18">
        <v>11534</v>
      </c>
      <c r="U44" s="18">
        <v>11904</v>
      </c>
      <c r="V44" s="18">
        <v>12720</v>
      </c>
      <c r="W44" s="18">
        <v>13297</v>
      </c>
      <c r="X44" s="18">
        <v>14139</v>
      </c>
      <c r="Y44" s="18">
        <v>14374</v>
      </c>
      <c r="Z44" s="18">
        <v>14944</v>
      </c>
      <c r="AA44" s="18">
        <v>15474</v>
      </c>
      <c r="AB44" s="18">
        <v>15460</v>
      </c>
      <c r="AC44" s="18">
        <v>15684</v>
      </c>
      <c r="AD44" s="18">
        <v>16793</v>
      </c>
      <c r="AE44" s="18">
        <v>17898</v>
      </c>
      <c r="AF44" s="18">
        <v>18499</v>
      </c>
      <c r="AG44" s="18">
        <v>20317</v>
      </c>
      <c r="AH44" s="18">
        <v>21342</v>
      </c>
      <c r="AI44" s="18">
        <v>22069</v>
      </c>
      <c r="AJ44" s="18">
        <v>23196</v>
      </c>
      <c r="AK44" s="18">
        <v>24204</v>
      </c>
      <c r="AL44" s="18">
        <v>22834</v>
      </c>
      <c r="AM44" s="18">
        <v>21986</v>
      </c>
      <c r="AN44" s="18">
        <v>21090</v>
      </c>
      <c r="AO44" s="18">
        <v>20905</v>
      </c>
      <c r="AP44" s="18">
        <v>21720</v>
      </c>
      <c r="AQ44" s="18">
        <v>21176</v>
      </c>
      <c r="AR44" s="6">
        <v>21252</v>
      </c>
      <c r="AS44">
        <v>21392</v>
      </c>
      <c r="AT44">
        <v>21048</v>
      </c>
    </row>
    <row r="45" spans="1:46">
      <c r="A45" s="23" t="s">
        <v>81</v>
      </c>
      <c r="B45" s="18"/>
      <c r="C45" s="18">
        <v>2582</v>
      </c>
      <c r="D45" s="18">
        <v>2781</v>
      </c>
      <c r="E45" s="18">
        <v>2904</v>
      </c>
      <c r="F45" s="18">
        <v>2668</v>
      </c>
      <c r="G45" s="18">
        <v>2786</v>
      </c>
      <c r="H45" s="18">
        <v>2918</v>
      </c>
      <c r="I45" s="18">
        <v>2941</v>
      </c>
      <c r="J45" s="18">
        <v>3509</v>
      </c>
      <c r="K45" s="18">
        <v>3554</v>
      </c>
      <c r="L45" s="18">
        <v>3317</v>
      </c>
      <c r="M45" s="18">
        <v>3222</v>
      </c>
      <c r="N45" s="18">
        <v>3299</v>
      </c>
      <c r="O45" s="18">
        <v>3535</v>
      </c>
      <c r="P45" s="18">
        <v>3499</v>
      </c>
      <c r="Q45" s="18">
        <v>4032</v>
      </c>
      <c r="R45" s="18">
        <v>3480</v>
      </c>
      <c r="S45" s="18">
        <v>3463</v>
      </c>
      <c r="T45" s="18">
        <v>3607</v>
      </c>
      <c r="U45" s="18">
        <v>3839</v>
      </c>
      <c r="V45" s="18">
        <v>4114</v>
      </c>
      <c r="W45" s="18">
        <v>4366</v>
      </c>
      <c r="X45" s="18">
        <v>4585</v>
      </c>
      <c r="Y45" s="18">
        <v>4853</v>
      </c>
      <c r="Z45" s="18">
        <v>5217</v>
      </c>
      <c r="AA45" s="18">
        <v>5678</v>
      </c>
      <c r="AB45" s="18">
        <v>5760</v>
      </c>
      <c r="AC45" s="18">
        <v>6575</v>
      </c>
      <c r="AD45" s="18">
        <v>6507</v>
      </c>
      <c r="AE45" s="18">
        <v>7226</v>
      </c>
      <c r="AF45" s="18">
        <v>7358</v>
      </c>
      <c r="AG45" s="18">
        <v>7797</v>
      </c>
      <c r="AH45" s="18">
        <v>8096</v>
      </c>
      <c r="AI45" s="18">
        <v>8377</v>
      </c>
      <c r="AJ45" s="18">
        <v>9185</v>
      </c>
      <c r="AK45" s="18">
        <v>11237</v>
      </c>
      <c r="AL45" s="18">
        <v>13052</v>
      </c>
      <c r="AM45" s="18">
        <v>9924</v>
      </c>
      <c r="AN45" s="18">
        <v>16387</v>
      </c>
      <c r="AO45" s="18">
        <v>18012</v>
      </c>
      <c r="AP45" s="18">
        <v>19186</v>
      </c>
      <c r="AQ45" s="18">
        <v>21015</v>
      </c>
      <c r="AR45" s="6">
        <v>14404</v>
      </c>
      <c r="AS45">
        <v>10793</v>
      </c>
      <c r="AT45">
        <v>10392</v>
      </c>
    </row>
    <row r="46" spans="1:46">
      <c r="A46" s="23" t="s">
        <v>82</v>
      </c>
      <c r="B46" s="18"/>
      <c r="C46" s="18">
        <v>5308</v>
      </c>
      <c r="D46" s="18">
        <v>6009</v>
      </c>
      <c r="E46" s="18">
        <v>6101</v>
      </c>
      <c r="F46" s="18">
        <v>6025</v>
      </c>
      <c r="G46" s="18">
        <v>6229</v>
      </c>
      <c r="H46" s="18">
        <v>6700</v>
      </c>
      <c r="I46" s="18">
        <v>7534</v>
      </c>
      <c r="J46" s="18">
        <v>8285</v>
      </c>
      <c r="K46" s="18">
        <v>8147</v>
      </c>
      <c r="L46" s="18">
        <v>7714</v>
      </c>
      <c r="M46" s="18">
        <v>7555</v>
      </c>
      <c r="N46" s="18">
        <v>7464</v>
      </c>
      <c r="O46" s="18">
        <v>7917</v>
      </c>
      <c r="P46" s="18">
        <v>8008</v>
      </c>
      <c r="Q46" s="18">
        <v>7081</v>
      </c>
      <c r="R46" s="18">
        <v>7487</v>
      </c>
      <c r="S46" s="18">
        <v>7806</v>
      </c>
      <c r="T46" s="18">
        <v>7673</v>
      </c>
      <c r="U46" s="18">
        <v>7920</v>
      </c>
      <c r="V46" s="18">
        <v>8569</v>
      </c>
      <c r="W46" s="18">
        <v>8600</v>
      </c>
      <c r="X46" s="18">
        <v>8790</v>
      </c>
      <c r="Y46" s="18">
        <v>9405</v>
      </c>
      <c r="Z46" s="18">
        <v>9303</v>
      </c>
      <c r="AA46" s="18">
        <v>10130</v>
      </c>
      <c r="AB46" s="18">
        <v>10355</v>
      </c>
      <c r="AC46" s="18">
        <v>10835</v>
      </c>
      <c r="AD46" s="18">
        <v>11259</v>
      </c>
      <c r="AE46" s="18">
        <v>11661</v>
      </c>
      <c r="AF46" s="18">
        <v>12637</v>
      </c>
      <c r="AG46" s="18">
        <v>13014</v>
      </c>
      <c r="AH46" s="18">
        <v>13456</v>
      </c>
      <c r="AI46" s="18">
        <v>13914</v>
      </c>
      <c r="AJ46" s="18">
        <v>15591</v>
      </c>
      <c r="AK46" s="18">
        <v>16261</v>
      </c>
      <c r="AL46" s="18">
        <v>17180</v>
      </c>
      <c r="AM46" s="18">
        <v>17083</v>
      </c>
      <c r="AN46" s="18">
        <v>17368</v>
      </c>
      <c r="AO46" s="18">
        <v>17745</v>
      </c>
      <c r="AP46" s="18">
        <v>19512</v>
      </c>
      <c r="AQ46" s="18">
        <v>19373</v>
      </c>
      <c r="AR46" s="6">
        <v>20431</v>
      </c>
      <c r="AS46">
        <v>20586</v>
      </c>
      <c r="AT46">
        <v>20105</v>
      </c>
    </row>
    <row r="47" spans="1:46">
      <c r="A47" s="23" t="s">
        <v>83</v>
      </c>
      <c r="B47" s="18"/>
      <c r="C47" s="18">
        <v>1247</v>
      </c>
      <c r="D47" s="18">
        <v>1374</v>
      </c>
      <c r="E47" s="18">
        <v>1548</v>
      </c>
      <c r="F47" s="18">
        <v>1547</v>
      </c>
      <c r="G47" s="18">
        <v>1521</v>
      </c>
      <c r="H47" s="18">
        <v>1517</v>
      </c>
      <c r="I47" s="18">
        <v>1552</v>
      </c>
      <c r="J47" s="18">
        <v>1771</v>
      </c>
      <c r="K47" s="18">
        <v>1816</v>
      </c>
      <c r="L47" s="18">
        <v>1721</v>
      </c>
      <c r="M47" s="18">
        <v>1689</v>
      </c>
      <c r="N47" s="18">
        <v>1710</v>
      </c>
      <c r="O47" s="18">
        <v>1549</v>
      </c>
      <c r="P47" s="18">
        <v>1676</v>
      </c>
      <c r="Q47" s="18">
        <v>1563</v>
      </c>
      <c r="R47" s="18">
        <v>1668</v>
      </c>
      <c r="S47" s="18">
        <v>1634</v>
      </c>
      <c r="T47" s="18">
        <v>1609</v>
      </c>
      <c r="U47" s="18">
        <v>1722</v>
      </c>
      <c r="V47" s="18">
        <v>1776</v>
      </c>
      <c r="W47" s="18">
        <v>1713</v>
      </c>
      <c r="X47" s="18">
        <v>1691</v>
      </c>
      <c r="Y47" s="18">
        <v>1909</v>
      </c>
      <c r="Z47" s="18">
        <v>2007</v>
      </c>
      <c r="AA47" s="18">
        <v>2201</v>
      </c>
      <c r="AB47" s="18">
        <v>2252</v>
      </c>
      <c r="AC47" s="18">
        <v>2373</v>
      </c>
      <c r="AD47" s="18">
        <v>2395</v>
      </c>
      <c r="AE47" s="18">
        <v>2905</v>
      </c>
      <c r="AF47" s="18">
        <v>2953</v>
      </c>
      <c r="AG47" s="18">
        <v>2898</v>
      </c>
      <c r="AH47" s="18">
        <v>3187</v>
      </c>
      <c r="AI47" s="18">
        <v>3211</v>
      </c>
      <c r="AJ47" s="18">
        <v>3533</v>
      </c>
      <c r="AK47" s="18">
        <v>3630</v>
      </c>
      <c r="AL47" s="18">
        <v>3936</v>
      </c>
      <c r="AM47" s="18">
        <v>3953</v>
      </c>
      <c r="AN47" s="18">
        <v>3551</v>
      </c>
      <c r="AO47" s="18">
        <v>4148</v>
      </c>
      <c r="AP47" s="18">
        <v>4460</v>
      </c>
      <c r="AQ47" s="18">
        <v>4364</v>
      </c>
      <c r="AR47" s="6">
        <v>4684</v>
      </c>
      <c r="AS47">
        <v>5178</v>
      </c>
      <c r="AT47">
        <v>5008</v>
      </c>
    </row>
    <row r="48" spans="1:46">
      <c r="A48" s="23" t="s">
        <v>84</v>
      </c>
      <c r="B48" s="18"/>
      <c r="C48" s="18">
        <v>703</v>
      </c>
      <c r="D48" s="18">
        <v>665</v>
      </c>
      <c r="E48" s="18">
        <v>709</v>
      </c>
      <c r="F48" s="18">
        <v>575</v>
      </c>
      <c r="G48" s="18">
        <v>580</v>
      </c>
      <c r="H48" s="18">
        <v>466</v>
      </c>
      <c r="I48" s="18">
        <v>453</v>
      </c>
      <c r="J48" s="18">
        <v>516</v>
      </c>
      <c r="K48" s="18">
        <v>488</v>
      </c>
      <c r="L48" s="18">
        <v>465</v>
      </c>
      <c r="M48" s="18">
        <v>474</v>
      </c>
      <c r="N48" s="18">
        <v>466</v>
      </c>
      <c r="O48" s="18">
        <v>463</v>
      </c>
      <c r="P48" s="18">
        <v>464</v>
      </c>
      <c r="Q48" s="18">
        <v>560</v>
      </c>
      <c r="R48" s="18">
        <v>552</v>
      </c>
      <c r="S48" s="18">
        <v>534</v>
      </c>
      <c r="T48" s="18">
        <v>587</v>
      </c>
      <c r="U48" s="18">
        <v>584</v>
      </c>
      <c r="V48" s="18">
        <v>579</v>
      </c>
      <c r="W48" s="18">
        <v>620</v>
      </c>
      <c r="X48" s="18">
        <v>587</v>
      </c>
      <c r="Y48" s="18">
        <v>572</v>
      </c>
      <c r="Z48" s="18">
        <v>649</v>
      </c>
      <c r="AA48" s="18">
        <v>675</v>
      </c>
      <c r="AB48" s="18">
        <v>628</v>
      </c>
      <c r="AC48" s="18">
        <v>705</v>
      </c>
      <c r="AD48" s="18">
        <v>703</v>
      </c>
      <c r="AE48" s="18">
        <v>766</v>
      </c>
      <c r="AF48" s="18">
        <v>816</v>
      </c>
      <c r="AG48" s="18">
        <v>863</v>
      </c>
      <c r="AH48" s="18">
        <v>842</v>
      </c>
      <c r="AI48" s="18">
        <v>913</v>
      </c>
      <c r="AJ48" s="18">
        <v>928</v>
      </c>
      <c r="AK48" s="18">
        <v>1054</v>
      </c>
      <c r="AL48" s="18">
        <v>1104</v>
      </c>
      <c r="AM48" s="18">
        <v>1167</v>
      </c>
      <c r="AN48" s="18">
        <v>1317</v>
      </c>
      <c r="AO48" s="18">
        <v>1326</v>
      </c>
      <c r="AP48" s="18">
        <v>1349</v>
      </c>
      <c r="AQ48" s="18">
        <v>1392</v>
      </c>
      <c r="AR48" s="6">
        <v>1572</v>
      </c>
      <c r="AS48">
        <v>1725</v>
      </c>
      <c r="AT48">
        <v>1676</v>
      </c>
    </row>
    <row r="49" spans="1:46">
      <c r="A49" s="23" t="s">
        <v>85</v>
      </c>
      <c r="B49" s="18"/>
      <c r="C49" s="18">
        <v>8761</v>
      </c>
      <c r="D49" s="18">
        <v>9762</v>
      </c>
      <c r="E49" s="18">
        <v>10642</v>
      </c>
      <c r="F49" s="18">
        <v>11037</v>
      </c>
      <c r="G49" s="18">
        <v>11212</v>
      </c>
      <c r="H49" s="18">
        <v>11811</v>
      </c>
      <c r="I49" s="18">
        <v>12240</v>
      </c>
      <c r="J49" s="18">
        <v>12884</v>
      </c>
      <c r="K49" s="18">
        <v>12631</v>
      </c>
      <c r="L49" s="18">
        <v>12996</v>
      </c>
      <c r="M49" s="18">
        <v>12964</v>
      </c>
      <c r="N49" s="18">
        <v>13199</v>
      </c>
      <c r="O49" s="18">
        <v>13465</v>
      </c>
      <c r="P49" s="18">
        <v>12964</v>
      </c>
      <c r="Q49" s="18">
        <v>12593</v>
      </c>
      <c r="R49" s="18">
        <v>12235</v>
      </c>
      <c r="S49" s="18">
        <v>12088</v>
      </c>
      <c r="T49" s="18">
        <v>12170</v>
      </c>
      <c r="U49" s="18">
        <v>12238</v>
      </c>
      <c r="V49" s="18">
        <v>12791</v>
      </c>
      <c r="W49" s="18">
        <v>13021</v>
      </c>
      <c r="X49" s="18">
        <v>13436</v>
      </c>
      <c r="Y49" s="18">
        <v>13760</v>
      </c>
      <c r="Z49" s="18">
        <v>14613</v>
      </c>
      <c r="AA49" s="18">
        <v>14992</v>
      </c>
      <c r="AB49" s="18">
        <v>15387</v>
      </c>
      <c r="AC49" s="18">
        <v>15923</v>
      </c>
      <c r="AD49" s="18">
        <v>16483</v>
      </c>
      <c r="AE49" s="18">
        <v>17013</v>
      </c>
      <c r="AF49" s="18">
        <v>16797</v>
      </c>
      <c r="AG49" s="18">
        <v>16881</v>
      </c>
      <c r="AH49" s="18">
        <v>17612</v>
      </c>
      <c r="AI49" s="18">
        <v>18076</v>
      </c>
      <c r="AJ49" s="18">
        <v>18824</v>
      </c>
      <c r="AK49" s="18">
        <v>19228</v>
      </c>
      <c r="AL49" s="18">
        <v>20360</v>
      </c>
      <c r="AM49" s="18">
        <v>20680</v>
      </c>
      <c r="AN49" s="18">
        <v>20409</v>
      </c>
      <c r="AO49" s="18">
        <v>21089</v>
      </c>
      <c r="AP49" s="18">
        <v>21503</v>
      </c>
      <c r="AQ49" s="18">
        <v>22184</v>
      </c>
      <c r="AR49" s="6">
        <v>22636</v>
      </c>
      <c r="AS49">
        <v>24148</v>
      </c>
      <c r="AT49">
        <v>22994</v>
      </c>
    </row>
    <row r="50" spans="1:46">
      <c r="A50" s="23" t="s">
        <v>86</v>
      </c>
      <c r="B50" s="18"/>
      <c r="C50" s="18">
        <v>899</v>
      </c>
      <c r="D50" s="18">
        <v>866</v>
      </c>
      <c r="E50" s="18">
        <v>897</v>
      </c>
      <c r="F50" s="18">
        <v>780</v>
      </c>
      <c r="G50" s="18">
        <v>738</v>
      </c>
      <c r="H50" s="18">
        <v>695</v>
      </c>
      <c r="I50" s="18">
        <v>720</v>
      </c>
      <c r="J50" s="18">
        <v>777</v>
      </c>
      <c r="K50" s="18">
        <v>659</v>
      </c>
      <c r="L50" s="18">
        <v>683</v>
      </c>
      <c r="M50" s="18">
        <v>604</v>
      </c>
      <c r="N50" s="18">
        <v>577</v>
      </c>
      <c r="O50" s="18">
        <v>728</v>
      </c>
      <c r="P50" s="18">
        <v>737</v>
      </c>
      <c r="Q50" s="18">
        <v>719</v>
      </c>
      <c r="R50" s="18">
        <v>731</v>
      </c>
      <c r="S50" s="18">
        <v>745</v>
      </c>
      <c r="T50" s="18">
        <v>719</v>
      </c>
      <c r="U50" s="18">
        <v>756</v>
      </c>
      <c r="V50" s="18">
        <v>793</v>
      </c>
      <c r="W50" s="18">
        <v>769</v>
      </c>
      <c r="X50" s="18">
        <v>781</v>
      </c>
      <c r="Y50" s="18">
        <v>785</v>
      </c>
      <c r="Z50" s="18">
        <v>913</v>
      </c>
      <c r="AA50" s="18">
        <v>1038</v>
      </c>
      <c r="AB50" s="18">
        <v>1007</v>
      </c>
      <c r="AC50" s="18">
        <v>1062</v>
      </c>
      <c r="AD50" s="18">
        <v>1027</v>
      </c>
      <c r="AE50" s="18">
        <v>937</v>
      </c>
      <c r="AF50" s="18">
        <v>980</v>
      </c>
      <c r="AG50" s="18">
        <v>884</v>
      </c>
      <c r="AH50" s="18">
        <v>983</v>
      </c>
      <c r="AI50" s="18">
        <v>943</v>
      </c>
      <c r="AJ50" s="18">
        <v>1070</v>
      </c>
      <c r="AK50" s="18">
        <v>1116</v>
      </c>
      <c r="AL50" s="18">
        <v>1217</v>
      </c>
      <c r="AM50" s="18">
        <v>1117</v>
      </c>
      <c r="AN50" s="18">
        <v>1191</v>
      </c>
      <c r="AO50" s="18">
        <v>1243</v>
      </c>
      <c r="AP50" s="18">
        <v>1242</v>
      </c>
      <c r="AQ50" s="18">
        <v>1309</v>
      </c>
      <c r="AR50" s="6">
        <v>1427</v>
      </c>
      <c r="AS50">
        <v>1467</v>
      </c>
      <c r="AT50">
        <v>1512</v>
      </c>
    </row>
    <row r="51" spans="1:46">
      <c r="A51" s="24" t="s">
        <v>87</v>
      </c>
      <c r="B51" s="20"/>
      <c r="C51" s="20">
        <v>4249</v>
      </c>
      <c r="D51" s="20">
        <v>4815</v>
      </c>
      <c r="E51" s="20">
        <v>4880</v>
      </c>
      <c r="F51" s="20">
        <v>5221</v>
      </c>
      <c r="G51" s="20">
        <v>5319</v>
      </c>
      <c r="H51" s="20">
        <v>5386</v>
      </c>
      <c r="I51" s="20">
        <v>5712</v>
      </c>
      <c r="J51" s="20">
        <v>5661</v>
      </c>
      <c r="K51" s="20">
        <v>5438</v>
      </c>
      <c r="L51" s="20">
        <v>5320</v>
      </c>
      <c r="M51" s="20">
        <v>5323</v>
      </c>
      <c r="N51" s="20">
        <v>5200</v>
      </c>
      <c r="O51" s="20">
        <v>5317</v>
      </c>
      <c r="P51" s="20">
        <v>5130</v>
      </c>
      <c r="Q51" s="20">
        <v>5275</v>
      </c>
      <c r="R51" s="20">
        <v>5351</v>
      </c>
      <c r="S51" s="20">
        <v>5355</v>
      </c>
      <c r="T51" s="20">
        <v>5394</v>
      </c>
      <c r="U51" s="20">
        <v>5479</v>
      </c>
      <c r="V51" s="20">
        <v>5398</v>
      </c>
      <c r="W51" s="20">
        <v>5788</v>
      </c>
      <c r="X51" s="20">
        <v>5977</v>
      </c>
      <c r="Y51" s="20">
        <v>6252</v>
      </c>
      <c r="Z51" s="20">
        <v>6340</v>
      </c>
      <c r="AA51" s="20">
        <v>6267</v>
      </c>
      <c r="AB51" s="20">
        <v>6446</v>
      </c>
      <c r="AC51" s="20">
        <v>6700</v>
      </c>
      <c r="AD51" s="20">
        <v>6513</v>
      </c>
      <c r="AE51" s="20">
        <v>6729</v>
      </c>
      <c r="AF51" s="20">
        <v>7024</v>
      </c>
      <c r="AG51" s="20">
        <v>6999</v>
      </c>
      <c r="AH51" s="20">
        <v>7468</v>
      </c>
      <c r="AI51" s="20">
        <v>7823</v>
      </c>
      <c r="AJ51" s="20">
        <v>8288</v>
      </c>
      <c r="AK51" s="20">
        <v>9155</v>
      </c>
      <c r="AL51" s="20">
        <v>8716</v>
      </c>
      <c r="AM51" s="20">
        <v>8604</v>
      </c>
      <c r="AN51" s="20">
        <v>8686</v>
      </c>
      <c r="AO51" s="20">
        <v>8818</v>
      </c>
      <c r="AP51" s="20">
        <v>8989</v>
      </c>
      <c r="AQ51" s="20">
        <v>9476</v>
      </c>
      <c r="AR51" s="6">
        <v>9695</v>
      </c>
      <c r="AS51" s="162">
        <v>9856</v>
      </c>
      <c r="AT51" s="141">
        <v>9653</v>
      </c>
    </row>
    <row r="52" spans="1:46">
      <c r="A52" s="21" t="s">
        <v>88</v>
      </c>
      <c r="B52" s="15">
        <f t="shared" ref="B52:AP52" si="23">SUM(B54:B62)</f>
        <v>0</v>
      </c>
      <c r="C52" s="15">
        <f t="shared" si="23"/>
        <v>60535</v>
      </c>
      <c r="D52" s="15">
        <f t="shared" si="23"/>
        <v>67039</v>
      </c>
      <c r="E52" s="15">
        <f t="shared" si="23"/>
        <v>74954</v>
      </c>
      <c r="F52" s="15">
        <f t="shared" si="23"/>
        <v>78856</v>
      </c>
      <c r="G52" s="15">
        <f t="shared" si="23"/>
        <v>81804</v>
      </c>
      <c r="H52" s="15">
        <f t="shared" si="23"/>
        <v>85506</v>
      </c>
      <c r="I52" s="15">
        <f t="shared" si="23"/>
        <v>87404</v>
      </c>
      <c r="J52" s="15">
        <f t="shared" si="23"/>
        <v>85756</v>
      </c>
      <c r="K52" s="15">
        <f t="shared" si="23"/>
        <v>81679</v>
      </c>
      <c r="L52" s="15">
        <f t="shared" si="23"/>
        <v>79303</v>
      </c>
      <c r="M52" s="15">
        <f t="shared" si="23"/>
        <v>78292</v>
      </c>
      <c r="N52" s="15">
        <f t="shared" si="23"/>
        <v>77794</v>
      </c>
      <c r="O52" s="15">
        <f t="shared" si="23"/>
        <v>78645</v>
      </c>
      <c r="P52" s="15">
        <f t="shared" si="23"/>
        <v>76568</v>
      </c>
      <c r="Q52" s="15">
        <f t="shared" si="23"/>
        <v>74906</v>
      </c>
      <c r="R52" s="15">
        <f t="shared" si="23"/>
        <v>76453</v>
      </c>
      <c r="S52" s="15">
        <f t="shared" si="23"/>
        <v>76447</v>
      </c>
      <c r="T52" s="15">
        <f t="shared" si="23"/>
        <v>78372</v>
      </c>
      <c r="U52" s="15">
        <f t="shared" si="23"/>
        <v>80244</v>
      </c>
      <c r="V52" s="15">
        <f t="shared" si="23"/>
        <v>84194</v>
      </c>
      <c r="W52" s="15">
        <f t="shared" si="23"/>
        <v>89074</v>
      </c>
      <c r="X52" s="15">
        <f t="shared" si="23"/>
        <v>93456</v>
      </c>
      <c r="Y52" s="15">
        <f t="shared" si="23"/>
        <v>98401</v>
      </c>
      <c r="Z52" s="15">
        <f t="shared" si="23"/>
        <v>100460</v>
      </c>
      <c r="AA52" s="15">
        <f t="shared" si="23"/>
        <v>103794</v>
      </c>
      <c r="AB52" s="15">
        <f t="shared" si="23"/>
        <v>106666</v>
      </c>
      <c r="AC52" s="15">
        <f t="shared" si="23"/>
        <v>107716</v>
      </c>
      <c r="AD52" s="15">
        <f t="shared" si="23"/>
        <v>111776</v>
      </c>
      <c r="AE52" s="15">
        <f t="shared" si="23"/>
        <v>113591</v>
      </c>
      <c r="AF52" s="15">
        <f t="shared" si="23"/>
        <v>114726</v>
      </c>
      <c r="AG52" s="15">
        <f t="shared" si="23"/>
        <v>118614</v>
      </c>
      <c r="AH52" s="15">
        <f t="shared" si="23"/>
        <v>121727</v>
      </c>
      <c r="AI52" s="15">
        <f t="shared" si="23"/>
        <v>125002</v>
      </c>
      <c r="AJ52" s="15">
        <f t="shared" si="23"/>
        <v>135827</v>
      </c>
      <c r="AK52" s="15">
        <f t="shared" ref="AK52" si="24">SUM(AK54:AK62)</f>
        <v>145768</v>
      </c>
      <c r="AL52" s="15">
        <f t="shared" si="23"/>
        <v>144161</v>
      </c>
      <c r="AM52" s="15">
        <f t="shared" si="23"/>
        <v>149011</v>
      </c>
      <c r="AN52" s="15">
        <f t="shared" si="23"/>
        <v>150996</v>
      </c>
      <c r="AO52" s="15">
        <f t="shared" si="23"/>
        <v>154488</v>
      </c>
      <c r="AP52" s="15">
        <f t="shared" si="23"/>
        <v>161479</v>
      </c>
      <c r="AQ52" s="15">
        <f t="shared" ref="AQ52:AR52" si="25">SUM(AQ54:AQ62)</f>
        <v>166711</v>
      </c>
      <c r="AR52" s="15">
        <f t="shared" si="25"/>
        <v>173861</v>
      </c>
      <c r="AS52" s="15">
        <f t="shared" ref="AS52:AT52" si="26">SUM(AS54:AS62)</f>
        <v>179114</v>
      </c>
      <c r="AT52" s="15">
        <f t="shared" si="26"/>
        <v>177420</v>
      </c>
    </row>
    <row r="53" spans="1:46">
      <c r="A53" s="16" t="s">
        <v>44</v>
      </c>
      <c r="B53" s="17">
        <f t="shared" ref="B53:AP53" si="27">(B52/B4)*100</f>
        <v>0</v>
      </c>
      <c r="C53" s="17">
        <f t="shared" si="27"/>
        <v>29.187841734250092</v>
      </c>
      <c r="D53" s="17">
        <f t="shared" si="27"/>
        <v>29.204403378769861</v>
      </c>
      <c r="E53" s="17">
        <f t="shared" si="27"/>
        <v>29.910413216544622</v>
      </c>
      <c r="F53" s="17">
        <f t="shared" si="27"/>
        <v>30.058931607315753</v>
      </c>
      <c r="G53" s="17">
        <f t="shared" si="27"/>
        <v>29.625069260604569</v>
      </c>
      <c r="H53" s="17">
        <f t="shared" si="27"/>
        <v>29.335721196401739</v>
      </c>
      <c r="I53" s="17">
        <f t="shared" si="27"/>
        <v>28.111320882153347</v>
      </c>
      <c r="J53" s="17">
        <f t="shared" si="27"/>
        <v>27.118922782096121</v>
      </c>
      <c r="K53" s="17">
        <f t="shared" si="27"/>
        <v>26.289633685132081</v>
      </c>
      <c r="L53" s="17">
        <f t="shared" si="27"/>
        <v>26.418658262764094</v>
      </c>
      <c r="M53" s="17">
        <f t="shared" si="27"/>
        <v>26.356328184964251</v>
      </c>
      <c r="N53" s="17">
        <f t="shared" si="27"/>
        <v>26.38757449637567</v>
      </c>
      <c r="O53" s="17">
        <f t="shared" si="27"/>
        <v>26.689087151433295</v>
      </c>
      <c r="P53" s="17">
        <f t="shared" si="27"/>
        <v>26.520454569070324</v>
      </c>
      <c r="Q53" s="17">
        <f t="shared" si="27"/>
        <v>26.477439423127908</v>
      </c>
      <c r="R53" s="17">
        <f t="shared" si="27"/>
        <v>26.82702598382371</v>
      </c>
      <c r="S53" s="17">
        <f t="shared" si="27"/>
        <v>26.607289534867533</v>
      </c>
      <c r="T53" s="17">
        <f t="shared" si="27"/>
        <v>27.20050533271786</v>
      </c>
      <c r="U53" s="17">
        <f t="shared" si="27"/>
        <v>26.981389014979573</v>
      </c>
      <c r="V53" s="17">
        <f t="shared" si="27"/>
        <v>27.317088997761267</v>
      </c>
      <c r="W53" s="17">
        <f t="shared" si="27"/>
        <v>27.567445444782475</v>
      </c>
      <c r="X53" s="17">
        <f t="shared" si="27"/>
        <v>27.811636986953626</v>
      </c>
      <c r="Y53" s="17">
        <f t="shared" si="27"/>
        <v>27.983289823172431</v>
      </c>
      <c r="Z53" s="17">
        <f t="shared" si="27"/>
        <v>27.276898807212657</v>
      </c>
      <c r="AA53" s="17">
        <f t="shared" si="27"/>
        <v>26.906715402263092</v>
      </c>
      <c r="AB53" s="17">
        <f t="shared" si="27"/>
        <v>26.910443167311684</v>
      </c>
      <c r="AC53" s="17">
        <f t="shared" si="27"/>
        <v>26.590043421484626</v>
      </c>
      <c r="AD53" s="17">
        <f t="shared" si="27"/>
        <v>26.738175146338023</v>
      </c>
      <c r="AE53" s="17">
        <f t="shared" si="27"/>
        <v>26.406440334384097</v>
      </c>
      <c r="AF53" s="17">
        <f t="shared" si="27"/>
        <v>26.074920565654363</v>
      </c>
      <c r="AG53" s="17">
        <f t="shared" si="27"/>
        <v>25.951743331232933</v>
      </c>
      <c r="AH53" s="17">
        <f t="shared" si="27"/>
        <v>25.98361495572879</v>
      </c>
      <c r="AI53" s="17">
        <f t="shared" si="27"/>
        <v>25.927677456556282</v>
      </c>
      <c r="AJ53" s="17">
        <f t="shared" si="27"/>
        <v>26.459513109270873</v>
      </c>
      <c r="AK53" s="17">
        <f t="shared" si="27"/>
        <v>26.092061832787987</v>
      </c>
      <c r="AL53" s="17">
        <f t="shared" si="27"/>
        <v>25.088145515803546</v>
      </c>
      <c r="AM53" s="17">
        <f t="shared" si="27"/>
        <v>26.135173768536625</v>
      </c>
      <c r="AN53" s="17">
        <f t="shared" si="27"/>
        <v>24.974239464643976</v>
      </c>
      <c r="AO53" s="17">
        <f t="shared" si="27"/>
        <v>24.662953366634898</v>
      </c>
      <c r="AP53" s="17">
        <f t="shared" si="27"/>
        <v>24.494015250455437</v>
      </c>
      <c r="AQ53" s="17">
        <f t="shared" ref="AQ53:AR53" si="28">(AQ52/AQ4)*100</f>
        <v>24.182498364489032</v>
      </c>
      <c r="AR53" s="17">
        <f t="shared" si="28"/>
        <v>25.132702682386682</v>
      </c>
      <c r="AS53" s="17">
        <f t="shared" ref="AS53:AT53" si="29">(AS52/AS4)*100</f>
        <v>24.52507770459929</v>
      </c>
      <c r="AT53" s="17">
        <f t="shared" si="29"/>
        <v>24.496118893574014</v>
      </c>
    </row>
    <row r="54" spans="1:46">
      <c r="A54" s="23" t="s">
        <v>89</v>
      </c>
      <c r="B54" s="18"/>
      <c r="C54" s="18">
        <v>4143</v>
      </c>
      <c r="D54" s="18">
        <v>4525</v>
      </c>
      <c r="E54" s="18">
        <v>4863</v>
      </c>
      <c r="F54" s="18">
        <v>5402</v>
      </c>
      <c r="G54" s="18">
        <v>5999</v>
      </c>
      <c r="H54" s="18">
        <v>5863</v>
      </c>
      <c r="I54" s="18">
        <v>6403</v>
      </c>
      <c r="J54" s="18">
        <v>6316</v>
      </c>
      <c r="K54" s="18">
        <v>6019</v>
      </c>
      <c r="L54" s="18">
        <v>5743</v>
      </c>
      <c r="M54" s="18">
        <v>5639</v>
      </c>
      <c r="N54" s="18">
        <v>6190</v>
      </c>
      <c r="O54" s="18">
        <v>5826</v>
      </c>
      <c r="P54" s="18">
        <v>5711</v>
      </c>
      <c r="Q54" s="18">
        <v>5833</v>
      </c>
      <c r="R54" s="18">
        <v>5828</v>
      </c>
      <c r="S54" s="18">
        <v>6301</v>
      </c>
      <c r="T54" s="18">
        <v>5755</v>
      </c>
      <c r="U54" s="18">
        <v>5892</v>
      </c>
      <c r="V54" s="18">
        <v>6022</v>
      </c>
      <c r="W54" s="18">
        <v>6285</v>
      </c>
      <c r="X54" s="18">
        <v>6281</v>
      </c>
      <c r="Y54" s="18">
        <v>6563</v>
      </c>
      <c r="Z54" s="18">
        <v>6590</v>
      </c>
      <c r="AA54" s="18">
        <v>6649</v>
      </c>
      <c r="AB54" s="18">
        <v>6419</v>
      </c>
      <c r="AC54" s="18">
        <v>6715</v>
      </c>
      <c r="AD54" s="18">
        <v>6949</v>
      </c>
      <c r="AE54" s="18">
        <v>7167</v>
      </c>
      <c r="AF54" s="18">
        <v>7370</v>
      </c>
      <c r="AG54" s="18">
        <v>7964</v>
      </c>
      <c r="AH54" s="18">
        <v>7607</v>
      </c>
      <c r="AI54" s="18">
        <v>7510</v>
      </c>
      <c r="AJ54" s="18">
        <v>8252</v>
      </c>
      <c r="AK54" s="18">
        <v>8381</v>
      </c>
      <c r="AL54" s="18">
        <v>8851</v>
      </c>
      <c r="AM54" s="18">
        <v>8599</v>
      </c>
      <c r="AN54" s="18">
        <v>8405</v>
      </c>
      <c r="AO54" s="18">
        <v>8586</v>
      </c>
      <c r="AP54" s="18">
        <v>9233</v>
      </c>
      <c r="AQ54" s="18">
        <v>8639</v>
      </c>
      <c r="AR54" s="6">
        <v>9131</v>
      </c>
      <c r="AS54">
        <v>9457</v>
      </c>
      <c r="AT54">
        <v>9570</v>
      </c>
    </row>
    <row r="55" spans="1:46">
      <c r="A55" s="23" t="s">
        <v>90</v>
      </c>
      <c r="B55" s="18"/>
      <c r="C55" s="18">
        <v>595</v>
      </c>
      <c r="D55" s="18">
        <v>746</v>
      </c>
      <c r="E55" s="18">
        <v>710</v>
      </c>
      <c r="F55" s="18">
        <v>610</v>
      </c>
      <c r="G55" s="18">
        <v>728</v>
      </c>
      <c r="H55" s="18">
        <v>736</v>
      </c>
      <c r="I55" s="18">
        <v>695</v>
      </c>
      <c r="J55" s="18">
        <v>666</v>
      </c>
      <c r="K55" s="18">
        <v>565</v>
      </c>
      <c r="L55" s="18">
        <v>618</v>
      </c>
      <c r="M55" s="18">
        <v>599</v>
      </c>
      <c r="N55" s="18">
        <v>527</v>
      </c>
      <c r="O55" s="18">
        <v>544</v>
      </c>
      <c r="P55" s="18">
        <v>535</v>
      </c>
      <c r="Q55" s="18">
        <v>493</v>
      </c>
      <c r="R55" s="18">
        <v>483</v>
      </c>
      <c r="S55" s="18">
        <v>534</v>
      </c>
      <c r="T55" s="18">
        <v>503</v>
      </c>
      <c r="U55" s="18">
        <v>548</v>
      </c>
      <c r="V55" s="18">
        <v>633</v>
      </c>
      <c r="W55" s="18">
        <v>731</v>
      </c>
      <c r="X55" s="18">
        <v>854</v>
      </c>
      <c r="Y55" s="18">
        <v>890</v>
      </c>
      <c r="Z55" s="18">
        <v>917</v>
      </c>
      <c r="AA55" s="18">
        <v>896</v>
      </c>
      <c r="AB55" s="18">
        <v>953</v>
      </c>
      <c r="AC55" s="18">
        <v>905</v>
      </c>
      <c r="AD55" s="18">
        <v>1033</v>
      </c>
      <c r="AE55" s="18">
        <v>1108</v>
      </c>
      <c r="AF55" s="18">
        <v>1158</v>
      </c>
      <c r="AG55" s="18">
        <v>1195</v>
      </c>
      <c r="AH55" s="18">
        <v>1189</v>
      </c>
      <c r="AI55" s="18">
        <v>1319</v>
      </c>
      <c r="AJ55" s="18">
        <v>1349</v>
      </c>
      <c r="AK55" s="18">
        <v>1542</v>
      </c>
      <c r="AL55" s="18">
        <v>1648</v>
      </c>
      <c r="AM55" s="18">
        <v>1655</v>
      </c>
      <c r="AN55" s="18">
        <v>1614</v>
      </c>
      <c r="AO55" s="18">
        <v>1661</v>
      </c>
      <c r="AP55" s="18">
        <v>1747</v>
      </c>
      <c r="AQ55" s="18">
        <v>1829</v>
      </c>
      <c r="AR55" s="6">
        <v>1766</v>
      </c>
      <c r="AS55">
        <v>1897</v>
      </c>
      <c r="AT55">
        <v>1935</v>
      </c>
    </row>
    <row r="56" spans="1:46">
      <c r="A56" s="23" t="s">
        <v>91</v>
      </c>
      <c r="B56" s="18"/>
      <c r="C56" s="18">
        <v>10811</v>
      </c>
      <c r="D56" s="18">
        <v>11236</v>
      </c>
      <c r="E56" s="18">
        <v>12166</v>
      </c>
      <c r="F56" s="18">
        <v>13033</v>
      </c>
      <c r="G56" s="18">
        <v>12797</v>
      </c>
      <c r="H56" s="18">
        <v>13887</v>
      </c>
      <c r="I56" s="18">
        <v>14079</v>
      </c>
      <c r="J56" s="18">
        <v>14633</v>
      </c>
      <c r="K56" s="18">
        <v>14546</v>
      </c>
      <c r="L56" s="18">
        <v>14243</v>
      </c>
      <c r="M56" s="18">
        <v>14653</v>
      </c>
      <c r="N56" s="18">
        <v>14049</v>
      </c>
      <c r="O56" s="18">
        <v>14491</v>
      </c>
      <c r="P56" s="18">
        <v>13666</v>
      </c>
      <c r="Q56" s="18">
        <v>13517</v>
      </c>
      <c r="R56" s="18">
        <v>14446</v>
      </c>
      <c r="S56" s="18">
        <v>14686</v>
      </c>
      <c r="T56" s="18">
        <v>15066</v>
      </c>
      <c r="U56" s="18">
        <v>15692</v>
      </c>
      <c r="V56" s="18">
        <v>16967</v>
      </c>
      <c r="W56" s="18">
        <v>17832</v>
      </c>
      <c r="X56" s="18">
        <v>19014</v>
      </c>
      <c r="Y56" s="18">
        <v>19740</v>
      </c>
      <c r="Z56" s="18">
        <v>19215</v>
      </c>
      <c r="AA56" s="18">
        <v>20745</v>
      </c>
      <c r="AB56" s="18">
        <v>21276</v>
      </c>
      <c r="AC56" s="18">
        <v>22253</v>
      </c>
      <c r="AD56" s="18">
        <v>23957</v>
      </c>
      <c r="AE56" s="18">
        <v>23651</v>
      </c>
      <c r="AF56" s="18">
        <v>24030</v>
      </c>
      <c r="AG56" s="18">
        <v>24819</v>
      </c>
      <c r="AH56" s="18">
        <v>25371</v>
      </c>
      <c r="AI56" s="18">
        <v>25884</v>
      </c>
      <c r="AJ56" s="18">
        <v>26946</v>
      </c>
      <c r="AK56" s="18">
        <v>27768</v>
      </c>
      <c r="AL56" s="18">
        <v>27663</v>
      </c>
      <c r="AM56" s="18">
        <v>27874</v>
      </c>
      <c r="AN56" s="18">
        <v>27802</v>
      </c>
      <c r="AO56" s="18">
        <v>29571</v>
      </c>
      <c r="AP56" s="18">
        <v>30323</v>
      </c>
      <c r="AQ56" s="18">
        <v>32114</v>
      </c>
      <c r="AR56" s="6">
        <v>33856</v>
      </c>
      <c r="AS56">
        <v>35891</v>
      </c>
      <c r="AT56">
        <v>35329</v>
      </c>
    </row>
    <row r="57" spans="1:46">
      <c r="A57" s="23" t="s">
        <v>92</v>
      </c>
      <c r="B57" s="18"/>
      <c r="C57" s="18">
        <v>565</v>
      </c>
      <c r="D57" s="18">
        <v>598</v>
      </c>
      <c r="E57" s="18">
        <v>623</v>
      </c>
      <c r="F57" s="18">
        <v>714</v>
      </c>
      <c r="G57" s="18">
        <v>751</v>
      </c>
      <c r="H57" s="18">
        <v>721</v>
      </c>
      <c r="I57" s="18">
        <v>797</v>
      </c>
      <c r="J57" s="18">
        <v>853</v>
      </c>
      <c r="K57" s="18">
        <v>1001</v>
      </c>
      <c r="L57" s="18">
        <v>882</v>
      </c>
      <c r="M57" s="18">
        <v>880</v>
      </c>
      <c r="N57" s="18">
        <v>974</v>
      </c>
      <c r="O57" s="18">
        <v>998</v>
      </c>
      <c r="P57" s="18">
        <v>1099</v>
      </c>
      <c r="Q57" s="18">
        <v>1235</v>
      </c>
      <c r="R57" s="18">
        <v>1289</v>
      </c>
      <c r="S57" s="18">
        <v>1399</v>
      </c>
      <c r="T57" s="18">
        <v>1649</v>
      </c>
      <c r="U57" s="18">
        <v>1596</v>
      </c>
      <c r="V57" s="18">
        <v>1754</v>
      </c>
      <c r="W57" s="18">
        <v>1944</v>
      </c>
      <c r="X57" s="18">
        <v>2029</v>
      </c>
      <c r="Y57" s="18">
        <v>2101</v>
      </c>
      <c r="Z57" s="18">
        <v>2267</v>
      </c>
      <c r="AA57" s="18">
        <v>2228</v>
      </c>
      <c r="AB57" s="18">
        <v>2262</v>
      </c>
      <c r="AC57" s="18">
        <v>2450</v>
      </c>
      <c r="AD57" s="18">
        <v>2441</v>
      </c>
      <c r="AE57" s="18">
        <v>2370</v>
      </c>
      <c r="AF57" s="18">
        <v>2414</v>
      </c>
      <c r="AG57" s="18">
        <v>2438</v>
      </c>
      <c r="AH57" s="18">
        <v>2387</v>
      </c>
      <c r="AI57" s="18">
        <v>2378</v>
      </c>
      <c r="AJ57" s="18">
        <v>2387</v>
      </c>
      <c r="AK57" s="18">
        <v>2839</v>
      </c>
      <c r="AL57" s="18">
        <v>2751</v>
      </c>
      <c r="AM57" s="18">
        <v>3068</v>
      </c>
      <c r="AN57" s="18">
        <v>3017</v>
      </c>
      <c r="AO57" s="18">
        <v>3185</v>
      </c>
      <c r="AP57" s="18">
        <v>3328</v>
      </c>
      <c r="AQ57" s="18">
        <v>3458</v>
      </c>
      <c r="AR57" s="6">
        <v>3666</v>
      </c>
      <c r="AS57">
        <v>3825</v>
      </c>
      <c r="AT57">
        <v>3878</v>
      </c>
    </row>
    <row r="58" spans="1:46">
      <c r="A58" s="23" t="s">
        <v>93</v>
      </c>
      <c r="B58" s="18"/>
      <c r="C58" s="18">
        <v>5048</v>
      </c>
      <c r="D58" s="18">
        <v>5694</v>
      </c>
      <c r="E58" s="18">
        <v>6835</v>
      </c>
      <c r="F58" s="18">
        <v>6685</v>
      </c>
      <c r="G58" s="18">
        <v>7666</v>
      </c>
      <c r="H58" s="18">
        <v>8163</v>
      </c>
      <c r="I58" s="18">
        <v>8108</v>
      </c>
      <c r="J58" s="18">
        <v>8560</v>
      </c>
      <c r="K58" s="18">
        <v>7992</v>
      </c>
      <c r="L58" s="18">
        <v>7862</v>
      </c>
      <c r="M58" s="18">
        <v>7965</v>
      </c>
      <c r="N58" s="18">
        <v>7737</v>
      </c>
      <c r="O58" s="18">
        <v>7520</v>
      </c>
      <c r="P58" s="18">
        <v>7222</v>
      </c>
      <c r="Q58" s="18">
        <v>6801</v>
      </c>
      <c r="R58" s="18">
        <v>6656</v>
      </c>
      <c r="S58" s="18">
        <v>6303</v>
      </c>
      <c r="T58" s="18">
        <v>6454</v>
      </c>
      <c r="U58" s="18">
        <v>6397</v>
      </c>
      <c r="V58" s="18">
        <v>7024</v>
      </c>
      <c r="W58" s="18">
        <v>7246</v>
      </c>
      <c r="X58" s="18">
        <v>7538</v>
      </c>
      <c r="Y58" s="18">
        <v>7901</v>
      </c>
      <c r="Z58" s="18">
        <v>8110</v>
      </c>
      <c r="AA58" s="18">
        <v>8274</v>
      </c>
      <c r="AB58" s="18">
        <v>8261</v>
      </c>
      <c r="AC58" s="18">
        <v>8420</v>
      </c>
      <c r="AD58" s="18">
        <v>8462</v>
      </c>
      <c r="AE58" s="18">
        <v>8889</v>
      </c>
      <c r="AF58" s="18">
        <v>9248</v>
      </c>
      <c r="AG58" s="18">
        <v>9338</v>
      </c>
      <c r="AH58" s="18">
        <v>9757</v>
      </c>
      <c r="AI58" s="18">
        <v>10330</v>
      </c>
      <c r="AJ58" s="18">
        <v>11140</v>
      </c>
      <c r="AK58" s="18">
        <v>12035</v>
      </c>
      <c r="AL58" s="18">
        <v>12386</v>
      </c>
      <c r="AM58" s="18">
        <v>12607</v>
      </c>
      <c r="AN58" s="18">
        <v>12736</v>
      </c>
      <c r="AO58" s="18">
        <v>13219</v>
      </c>
      <c r="AP58" s="18">
        <v>13477</v>
      </c>
      <c r="AQ58" s="18">
        <v>14144</v>
      </c>
      <c r="AR58" s="6">
        <v>14427</v>
      </c>
      <c r="AS58">
        <v>15490</v>
      </c>
      <c r="AT58">
        <v>14267</v>
      </c>
    </row>
    <row r="59" spans="1:46">
      <c r="A59" s="23" t="s">
        <v>94</v>
      </c>
      <c r="B59" s="18"/>
      <c r="C59" s="18">
        <v>26628</v>
      </c>
      <c r="D59" s="18">
        <v>29798</v>
      </c>
      <c r="E59" s="18">
        <v>33314</v>
      </c>
      <c r="F59" s="18">
        <v>36011</v>
      </c>
      <c r="G59" s="18">
        <v>36686</v>
      </c>
      <c r="H59" s="18">
        <v>38688</v>
      </c>
      <c r="I59" s="18">
        <v>40012</v>
      </c>
      <c r="J59" s="18">
        <v>37752</v>
      </c>
      <c r="K59" s="18">
        <v>35086</v>
      </c>
      <c r="L59" s="18">
        <v>33734</v>
      </c>
      <c r="M59" s="18">
        <v>32860</v>
      </c>
      <c r="N59" s="18">
        <v>32470</v>
      </c>
      <c r="O59" s="18">
        <v>33154</v>
      </c>
      <c r="P59" s="18">
        <v>32660</v>
      </c>
      <c r="Q59" s="18">
        <v>31622</v>
      </c>
      <c r="R59" s="18">
        <v>32068</v>
      </c>
      <c r="S59" s="18">
        <v>31569</v>
      </c>
      <c r="T59" s="18">
        <v>32905</v>
      </c>
      <c r="U59" s="18">
        <v>33873</v>
      </c>
      <c r="V59" s="18">
        <v>34442</v>
      </c>
      <c r="W59" s="18">
        <v>37418</v>
      </c>
      <c r="X59" s="18">
        <v>39079</v>
      </c>
      <c r="Y59" s="18">
        <v>41213</v>
      </c>
      <c r="Z59" s="18">
        <v>42539</v>
      </c>
      <c r="AA59" s="18">
        <v>42903</v>
      </c>
      <c r="AB59" s="18">
        <v>44726</v>
      </c>
      <c r="AC59" s="18">
        <v>44175</v>
      </c>
      <c r="AD59" s="18">
        <v>45947</v>
      </c>
      <c r="AE59" s="18">
        <v>46211</v>
      </c>
      <c r="AF59" s="18">
        <v>46254</v>
      </c>
      <c r="AG59" s="18">
        <v>47555</v>
      </c>
      <c r="AH59" s="18">
        <v>49922</v>
      </c>
      <c r="AI59" s="18">
        <v>50921</v>
      </c>
      <c r="AJ59" s="18">
        <v>58210</v>
      </c>
      <c r="AK59" s="18">
        <v>63270</v>
      </c>
      <c r="AL59" s="18">
        <v>60505</v>
      </c>
      <c r="AM59" s="18">
        <v>63687</v>
      </c>
      <c r="AN59" s="18">
        <v>64365</v>
      </c>
      <c r="AO59" s="18">
        <v>63800</v>
      </c>
      <c r="AP59" s="18">
        <v>66953</v>
      </c>
      <c r="AQ59" s="18">
        <v>68199</v>
      </c>
      <c r="AR59" s="6">
        <v>70077</v>
      </c>
      <c r="AS59">
        <v>71207</v>
      </c>
      <c r="AT59">
        <v>70175</v>
      </c>
    </row>
    <row r="60" spans="1:46">
      <c r="A60" s="23" t="s">
        <v>95</v>
      </c>
      <c r="B60" s="18"/>
      <c r="C60" s="18">
        <v>11055</v>
      </c>
      <c r="D60" s="18">
        <v>12434</v>
      </c>
      <c r="E60" s="18">
        <v>14096</v>
      </c>
      <c r="F60" s="18">
        <v>13674</v>
      </c>
      <c r="G60" s="18">
        <v>14405</v>
      </c>
      <c r="H60" s="18">
        <v>14515</v>
      </c>
      <c r="I60" s="18">
        <v>14327</v>
      </c>
      <c r="J60" s="18">
        <v>13983</v>
      </c>
      <c r="K60" s="18">
        <v>13701</v>
      </c>
      <c r="L60" s="18">
        <v>13468</v>
      </c>
      <c r="M60" s="18">
        <v>13060</v>
      </c>
      <c r="N60" s="18">
        <v>13171</v>
      </c>
      <c r="O60" s="18">
        <v>13450</v>
      </c>
      <c r="P60" s="18">
        <v>13254</v>
      </c>
      <c r="Q60" s="18">
        <v>13032</v>
      </c>
      <c r="R60" s="18">
        <v>13239</v>
      </c>
      <c r="S60" s="18">
        <v>13217</v>
      </c>
      <c r="T60" s="18">
        <v>13501</v>
      </c>
      <c r="U60" s="18">
        <v>13791</v>
      </c>
      <c r="V60" s="18">
        <v>14587</v>
      </c>
      <c r="W60" s="18">
        <v>14821</v>
      </c>
      <c r="X60" s="18">
        <v>15611</v>
      </c>
      <c r="Y60" s="18">
        <v>16899</v>
      </c>
      <c r="Z60" s="18">
        <v>17649</v>
      </c>
      <c r="AA60" s="18">
        <v>18906</v>
      </c>
      <c r="AB60" s="18">
        <v>19637</v>
      </c>
      <c r="AC60" s="18">
        <v>19507</v>
      </c>
      <c r="AD60" s="18">
        <v>19912</v>
      </c>
      <c r="AE60" s="18">
        <v>20756</v>
      </c>
      <c r="AF60" s="18">
        <v>20909</v>
      </c>
      <c r="AG60" s="18">
        <v>21988</v>
      </c>
      <c r="AH60" s="18">
        <v>22209</v>
      </c>
      <c r="AI60" s="18">
        <v>23201</v>
      </c>
      <c r="AJ60" s="18">
        <v>24038</v>
      </c>
      <c r="AK60" s="18">
        <v>26288</v>
      </c>
      <c r="AL60" s="18">
        <v>26450</v>
      </c>
      <c r="AM60" s="18">
        <v>27593</v>
      </c>
      <c r="AN60" s="18">
        <v>28876</v>
      </c>
      <c r="AO60" s="18">
        <v>29924</v>
      </c>
      <c r="AP60" s="18">
        <v>31865</v>
      </c>
      <c r="AQ60" s="18">
        <v>33688</v>
      </c>
      <c r="AR60" s="6">
        <v>36016</v>
      </c>
      <c r="AS60">
        <v>36307</v>
      </c>
      <c r="AT60">
        <v>36421</v>
      </c>
    </row>
    <row r="61" spans="1:46">
      <c r="A61" s="23" t="s">
        <v>96</v>
      </c>
      <c r="B61" s="18"/>
      <c r="C61" s="18">
        <v>1072</v>
      </c>
      <c r="D61" s="18">
        <v>1304</v>
      </c>
      <c r="E61" s="18">
        <v>1494</v>
      </c>
      <c r="F61" s="18">
        <v>1823</v>
      </c>
      <c r="G61" s="18">
        <v>1758</v>
      </c>
      <c r="H61" s="18">
        <v>1787</v>
      </c>
      <c r="I61" s="18">
        <v>1737</v>
      </c>
      <c r="J61" s="18">
        <v>1885</v>
      </c>
      <c r="K61" s="18">
        <v>1588</v>
      </c>
      <c r="L61" s="18">
        <v>1572</v>
      </c>
      <c r="M61" s="18">
        <v>1472</v>
      </c>
      <c r="N61" s="18">
        <v>1524</v>
      </c>
      <c r="O61" s="18">
        <v>1517</v>
      </c>
      <c r="P61" s="18">
        <v>1567</v>
      </c>
      <c r="Q61" s="18">
        <v>1524</v>
      </c>
      <c r="R61" s="18">
        <v>1558</v>
      </c>
      <c r="S61" s="18">
        <v>1573</v>
      </c>
      <c r="T61" s="18">
        <v>1720</v>
      </c>
      <c r="U61" s="18">
        <v>1625</v>
      </c>
      <c r="V61" s="18">
        <v>1774</v>
      </c>
      <c r="W61" s="18">
        <v>1795</v>
      </c>
      <c r="X61" s="18">
        <v>1984</v>
      </c>
      <c r="Y61" s="18">
        <v>2038</v>
      </c>
      <c r="Z61" s="18">
        <v>2070</v>
      </c>
      <c r="AA61" s="18">
        <v>2019</v>
      </c>
      <c r="AB61" s="18">
        <v>2041</v>
      </c>
      <c r="AC61" s="18">
        <v>2000</v>
      </c>
      <c r="AD61" s="18">
        <v>1909</v>
      </c>
      <c r="AE61" s="18">
        <v>1929</v>
      </c>
      <c r="AF61" s="18">
        <v>1942</v>
      </c>
      <c r="AG61" s="18">
        <v>1864</v>
      </c>
      <c r="AH61" s="18">
        <v>1928</v>
      </c>
      <c r="AI61" s="18">
        <v>2079</v>
      </c>
      <c r="AJ61" s="18">
        <v>2056</v>
      </c>
      <c r="AK61" s="18">
        <v>2171</v>
      </c>
      <c r="AL61" s="18">
        <v>2223</v>
      </c>
      <c r="AM61" s="18">
        <v>2146</v>
      </c>
      <c r="AN61" s="18">
        <v>2230</v>
      </c>
      <c r="AO61" s="18">
        <v>2240</v>
      </c>
      <c r="AP61" s="18">
        <v>2375</v>
      </c>
      <c r="AQ61" s="18">
        <v>2396</v>
      </c>
      <c r="AR61" s="6">
        <v>2545</v>
      </c>
      <c r="AS61">
        <v>2566</v>
      </c>
      <c r="AT61">
        <v>2654</v>
      </c>
    </row>
    <row r="62" spans="1:46">
      <c r="A62" s="24" t="s">
        <v>97</v>
      </c>
      <c r="B62" s="20"/>
      <c r="C62" s="20">
        <v>618</v>
      </c>
      <c r="D62" s="20">
        <v>704</v>
      </c>
      <c r="E62" s="20">
        <v>853</v>
      </c>
      <c r="F62" s="20">
        <v>904</v>
      </c>
      <c r="G62" s="20">
        <v>1014</v>
      </c>
      <c r="H62" s="20">
        <v>1146</v>
      </c>
      <c r="I62" s="20">
        <v>1246</v>
      </c>
      <c r="J62" s="20">
        <v>1108</v>
      </c>
      <c r="K62" s="20">
        <v>1181</v>
      </c>
      <c r="L62" s="20">
        <v>1181</v>
      </c>
      <c r="M62" s="20">
        <v>1164</v>
      </c>
      <c r="N62" s="20">
        <v>1152</v>
      </c>
      <c r="O62" s="20">
        <v>1145</v>
      </c>
      <c r="P62" s="20">
        <v>854</v>
      </c>
      <c r="Q62" s="20">
        <v>849</v>
      </c>
      <c r="R62" s="20">
        <v>886</v>
      </c>
      <c r="S62" s="20">
        <v>865</v>
      </c>
      <c r="T62" s="20">
        <v>819</v>
      </c>
      <c r="U62" s="20">
        <v>830</v>
      </c>
      <c r="V62" s="20">
        <v>991</v>
      </c>
      <c r="W62" s="20">
        <v>1002</v>
      </c>
      <c r="X62" s="20">
        <v>1066</v>
      </c>
      <c r="Y62" s="20">
        <v>1056</v>
      </c>
      <c r="Z62" s="20">
        <v>1103</v>
      </c>
      <c r="AA62" s="20">
        <v>1174</v>
      </c>
      <c r="AB62" s="20">
        <v>1091</v>
      </c>
      <c r="AC62" s="20">
        <v>1291</v>
      </c>
      <c r="AD62" s="20">
        <v>1166</v>
      </c>
      <c r="AE62" s="20">
        <v>1510</v>
      </c>
      <c r="AF62" s="20">
        <v>1401</v>
      </c>
      <c r="AG62" s="20">
        <v>1453</v>
      </c>
      <c r="AH62" s="20">
        <v>1357</v>
      </c>
      <c r="AI62" s="20">
        <v>1380</v>
      </c>
      <c r="AJ62" s="20">
        <v>1449</v>
      </c>
      <c r="AK62" s="20">
        <v>1474</v>
      </c>
      <c r="AL62" s="20">
        <v>1684</v>
      </c>
      <c r="AM62" s="20">
        <v>1782</v>
      </c>
      <c r="AN62" s="20">
        <v>1951</v>
      </c>
      <c r="AO62" s="20">
        <v>2302</v>
      </c>
      <c r="AP62" s="20">
        <v>2178</v>
      </c>
      <c r="AQ62" s="20">
        <v>2244</v>
      </c>
      <c r="AR62" s="6">
        <v>2377</v>
      </c>
      <c r="AS62" s="162">
        <v>2474</v>
      </c>
      <c r="AT62" s="141">
        <v>3191</v>
      </c>
    </row>
    <row r="63" spans="1:46">
      <c r="A63" s="25" t="s">
        <v>98</v>
      </c>
      <c r="B63" s="26"/>
      <c r="C63" s="26">
        <v>4077</v>
      </c>
      <c r="D63" s="26">
        <v>4632</v>
      </c>
      <c r="E63" s="26">
        <v>4683</v>
      </c>
      <c r="F63" s="26">
        <v>5338</v>
      </c>
      <c r="G63" s="26">
        <v>5027</v>
      </c>
      <c r="H63" s="26">
        <v>5070</v>
      </c>
      <c r="I63" s="26">
        <v>5046</v>
      </c>
      <c r="J63" s="26">
        <v>5513</v>
      </c>
      <c r="K63" s="26">
        <v>5702</v>
      </c>
      <c r="L63" s="26">
        <v>5187</v>
      </c>
      <c r="M63" s="26">
        <v>5488</v>
      </c>
      <c r="N63" s="26">
        <v>5712</v>
      </c>
      <c r="O63" s="26">
        <v>5583</v>
      </c>
      <c r="P63" s="26">
        <v>5505</v>
      </c>
      <c r="Q63" s="26">
        <v>5156</v>
      </c>
      <c r="R63" s="26">
        <v>5176</v>
      </c>
      <c r="S63" s="26">
        <v>5284</v>
      </c>
      <c r="T63" s="26">
        <v>5062</v>
      </c>
      <c r="U63" s="26">
        <v>5126</v>
      </c>
      <c r="V63" s="26">
        <v>5123</v>
      </c>
      <c r="W63" s="26">
        <v>5121</v>
      </c>
      <c r="X63" s="26">
        <v>5228</v>
      </c>
      <c r="Y63" s="26">
        <v>5447</v>
      </c>
      <c r="Z63" s="26">
        <v>6059</v>
      </c>
      <c r="AA63" s="26">
        <v>6311</v>
      </c>
      <c r="AB63" s="26">
        <v>6743</v>
      </c>
      <c r="AC63" s="26">
        <v>7380</v>
      </c>
      <c r="AD63" s="26">
        <v>7281</v>
      </c>
      <c r="AE63" s="26">
        <v>7006</v>
      </c>
      <c r="AF63" s="26">
        <v>6797</v>
      </c>
      <c r="AG63" s="26">
        <v>7078</v>
      </c>
      <c r="AH63" s="26">
        <v>7381</v>
      </c>
      <c r="AI63" s="26">
        <v>7364</v>
      </c>
      <c r="AJ63" s="26">
        <v>7460</v>
      </c>
      <c r="AK63" s="26">
        <v>8468</v>
      </c>
      <c r="AL63" s="26">
        <v>8536</v>
      </c>
      <c r="AM63" s="26">
        <v>9267</v>
      </c>
      <c r="AN63" s="26">
        <v>9610</v>
      </c>
      <c r="AO63" s="26">
        <v>10066</v>
      </c>
      <c r="AP63" s="26">
        <v>10874</v>
      </c>
      <c r="AQ63" s="26">
        <v>9039</v>
      </c>
      <c r="AR63" s="26">
        <v>9883</v>
      </c>
      <c r="AS63" s="162">
        <v>10213</v>
      </c>
      <c r="AT63" s="176">
        <v>10995</v>
      </c>
    </row>
    <row r="64" spans="1:46">
      <c r="A64" s="6"/>
      <c r="B64" s="6"/>
      <c r="C64" s="27"/>
      <c r="D64" s="27"/>
      <c r="E64" s="27"/>
      <c r="F64" s="27"/>
      <c r="G64" s="27"/>
      <c r="H64" s="27"/>
      <c r="I64" s="27"/>
      <c r="J64" s="27"/>
      <c r="K64" s="27"/>
      <c r="L64" s="27"/>
      <c r="M64" s="27"/>
      <c r="N64" s="27"/>
      <c r="O64" s="27"/>
      <c r="P64" s="27"/>
      <c r="Q64" s="27"/>
      <c r="R64" s="27"/>
      <c r="S64" s="27"/>
      <c r="T64" s="27"/>
      <c r="U64" s="27"/>
      <c r="V64" s="27"/>
      <c r="W64" s="27"/>
      <c r="X64" s="27"/>
      <c r="Y64" s="27"/>
      <c r="Z64" s="28"/>
      <c r="AA64" s="27"/>
      <c r="AB64" s="27"/>
      <c r="AC64" s="6"/>
      <c r="AD64" s="6"/>
      <c r="AE64" s="6"/>
      <c r="AF64" s="29"/>
      <c r="AG64" s="29"/>
      <c r="AH64" s="29"/>
      <c r="AI64" s="29"/>
      <c r="AJ64" s="6"/>
      <c r="AK64" s="6"/>
      <c r="AL64" s="6"/>
      <c r="AM64" s="6"/>
      <c r="AN64" s="6"/>
      <c r="AO64" s="6"/>
      <c r="AP64" s="6"/>
      <c r="AQ64" s="6"/>
      <c r="AR64" s="6"/>
    </row>
    <row r="65" spans="1:46">
      <c r="A65" s="6"/>
      <c r="B65" s="6"/>
      <c r="C65" s="6" t="s">
        <v>99</v>
      </c>
      <c r="D65" s="6"/>
      <c r="E65" s="6"/>
      <c r="F65" s="6"/>
      <c r="G65" s="6"/>
      <c r="H65" s="6"/>
      <c r="I65" s="6"/>
      <c r="J65" s="6"/>
      <c r="K65" s="6"/>
      <c r="L65" s="6"/>
      <c r="M65" s="6"/>
      <c r="N65" s="6"/>
      <c r="O65" s="6"/>
      <c r="P65" s="6" t="s">
        <v>100</v>
      </c>
      <c r="Q65" s="6"/>
      <c r="R65" s="6"/>
      <c r="S65" s="6"/>
      <c r="T65" s="6"/>
      <c r="U65" s="6"/>
      <c r="V65" s="6"/>
      <c r="W65" s="6"/>
      <c r="X65" s="6"/>
      <c r="Y65" s="6"/>
      <c r="Z65" s="13"/>
      <c r="AA65" s="6"/>
      <c r="AB65" s="6"/>
      <c r="AC65" s="6"/>
      <c r="AD65" s="6"/>
      <c r="AE65" s="6" t="s">
        <v>100</v>
      </c>
      <c r="AF65" s="6" t="s">
        <v>100</v>
      </c>
      <c r="AG65" s="6" t="s">
        <v>100</v>
      </c>
      <c r="AH65" s="6" t="s">
        <v>100</v>
      </c>
      <c r="AI65" s="6"/>
      <c r="AJ65" s="6"/>
      <c r="AK65" s="6" t="s">
        <v>100</v>
      </c>
      <c r="AL65" s="6"/>
      <c r="AM65" s="6"/>
      <c r="AN65" s="3" t="s">
        <v>100</v>
      </c>
      <c r="AO65" s="30" t="s">
        <v>100</v>
      </c>
      <c r="AP65" s="29" t="s">
        <v>100</v>
      </c>
      <c r="AQ65" s="29"/>
      <c r="AR65" s="6"/>
      <c r="AS65" s="29" t="s">
        <v>100</v>
      </c>
      <c r="AT65" s="29"/>
    </row>
    <row r="66" spans="1:46">
      <c r="A66" s="6"/>
      <c r="B66" s="6"/>
      <c r="C66" s="6" t="s">
        <v>101</v>
      </c>
      <c r="D66" s="6"/>
      <c r="E66" s="6"/>
      <c r="F66" s="6"/>
      <c r="G66" s="6"/>
      <c r="H66" s="6"/>
      <c r="I66" s="6"/>
      <c r="J66" s="6"/>
      <c r="K66" s="6"/>
      <c r="L66" s="6"/>
      <c r="M66" s="6"/>
      <c r="N66" s="6"/>
      <c r="O66" s="6"/>
      <c r="P66" s="6" t="s">
        <v>102</v>
      </c>
      <c r="Q66" s="6"/>
      <c r="R66" s="6"/>
      <c r="S66" s="6"/>
      <c r="T66" s="6"/>
      <c r="U66" s="6"/>
      <c r="V66" s="6"/>
      <c r="W66" s="6"/>
      <c r="X66" s="6"/>
      <c r="Y66" s="6"/>
      <c r="Z66" s="13"/>
      <c r="AA66" s="6"/>
      <c r="AB66" s="6"/>
      <c r="AC66" s="6"/>
      <c r="AD66" s="31"/>
      <c r="AE66" s="31" t="s">
        <v>103</v>
      </c>
      <c r="AF66" s="31" t="s">
        <v>103</v>
      </c>
      <c r="AG66" s="31" t="s">
        <v>103</v>
      </c>
      <c r="AH66" s="6" t="s">
        <v>102</v>
      </c>
      <c r="AI66" s="31"/>
      <c r="AJ66" s="6"/>
      <c r="AK66" s="6" t="s">
        <v>104</v>
      </c>
      <c r="AL66" s="6"/>
      <c r="AM66" s="6"/>
      <c r="AN66" s="3" t="s">
        <v>104</v>
      </c>
      <c r="AO66" s="30" t="s">
        <v>104</v>
      </c>
      <c r="AP66" s="3" t="s">
        <v>104</v>
      </c>
      <c r="AQ66" s="3"/>
      <c r="AR66" s="6"/>
      <c r="AS66" s="3" t="s">
        <v>104</v>
      </c>
      <c r="AT66" s="3"/>
    </row>
    <row r="67" spans="1:46">
      <c r="A67" s="6"/>
      <c r="B67" s="6"/>
      <c r="C67" s="32" t="s">
        <v>105</v>
      </c>
      <c r="D67" s="6"/>
      <c r="E67" s="6"/>
      <c r="F67" s="6"/>
      <c r="G67" s="6"/>
      <c r="H67" s="6"/>
      <c r="I67" s="6"/>
      <c r="J67" s="6"/>
      <c r="K67" s="6"/>
      <c r="L67" s="6"/>
      <c r="M67" s="6"/>
      <c r="N67" s="6"/>
      <c r="O67" s="6"/>
      <c r="P67" s="6" t="s">
        <v>106</v>
      </c>
      <c r="Q67" s="6"/>
      <c r="R67" s="6"/>
      <c r="S67" s="6"/>
      <c r="T67" s="6"/>
      <c r="U67" s="6"/>
      <c r="V67" s="6"/>
      <c r="W67" s="6"/>
      <c r="X67" s="6"/>
      <c r="Y67" s="6"/>
      <c r="Z67" s="13"/>
      <c r="AA67" s="6"/>
      <c r="AB67" s="6"/>
      <c r="AC67" s="6"/>
      <c r="AD67" s="31"/>
      <c r="AE67" s="31" t="s">
        <v>107</v>
      </c>
      <c r="AF67" s="31" t="s">
        <v>107</v>
      </c>
      <c r="AG67" s="31" t="s">
        <v>107</v>
      </c>
      <c r="AH67" s="6" t="s">
        <v>106</v>
      </c>
      <c r="AI67" s="31"/>
      <c r="AJ67" s="6"/>
      <c r="AK67" s="6" t="s">
        <v>108</v>
      </c>
      <c r="AL67" s="6"/>
      <c r="AM67" s="6"/>
      <c r="AN67" s="3" t="s">
        <v>108</v>
      </c>
      <c r="AO67" s="30" t="s">
        <v>108</v>
      </c>
      <c r="AP67" s="3" t="s">
        <v>108</v>
      </c>
      <c r="AQ67" s="3"/>
      <c r="AR67" s="6"/>
      <c r="AS67" s="3" t="s">
        <v>108</v>
      </c>
      <c r="AT67" s="3"/>
    </row>
    <row r="68" spans="1:46">
      <c r="A68" s="6"/>
      <c r="B68" s="6"/>
      <c r="C68" s="6" t="s">
        <v>109</v>
      </c>
      <c r="D68" s="6"/>
      <c r="E68" s="6"/>
      <c r="F68" s="6"/>
      <c r="G68" s="6"/>
      <c r="H68" s="6"/>
      <c r="I68" s="6"/>
      <c r="J68" s="6"/>
      <c r="K68" s="6"/>
      <c r="L68" s="6"/>
      <c r="M68" s="6"/>
      <c r="N68" s="6"/>
      <c r="O68" s="6"/>
      <c r="P68" s="6" t="s">
        <v>110</v>
      </c>
      <c r="Q68" s="6"/>
      <c r="R68" s="6"/>
      <c r="S68" s="6"/>
      <c r="T68" s="6"/>
      <c r="U68" s="6"/>
      <c r="V68" s="6"/>
      <c r="W68" s="6"/>
      <c r="X68" s="6"/>
      <c r="Y68" s="6"/>
      <c r="Z68" s="13"/>
      <c r="AA68" s="6"/>
      <c r="AB68" s="6"/>
      <c r="AC68" s="6"/>
      <c r="AD68" s="6"/>
      <c r="AE68" s="6" t="s">
        <v>111</v>
      </c>
      <c r="AF68" s="6" t="s">
        <v>111</v>
      </c>
      <c r="AG68" s="6" t="s">
        <v>111</v>
      </c>
      <c r="AH68" s="6" t="s">
        <v>110</v>
      </c>
      <c r="AI68" s="6"/>
      <c r="AJ68" s="6"/>
      <c r="AK68" s="6" t="s">
        <v>112</v>
      </c>
      <c r="AL68" s="6"/>
      <c r="AM68" s="6"/>
      <c r="AN68" s="3" t="s">
        <v>112</v>
      </c>
      <c r="AO68" s="30" t="s">
        <v>112</v>
      </c>
      <c r="AP68" s="3" t="s">
        <v>112</v>
      </c>
      <c r="AQ68" s="3"/>
      <c r="AR68" s="6"/>
      <c r="AS68" s="3" t="s">
        <v>112</v>
      </c>
      <c r="AT68" s="3"/>
    </row>
    <row r="69" spans="1:46">
      <c r="A69" s="6"/>
      <c r="B69" s="6"/>
      <c r="C69" s="6"/>
      <c r="D69" s="6"/>
      <c r="E69" s="6"/>
      <c r="F69" s="6"/>
      <c r="G69" s="6"/>
      <c r="H69" s="6"/>
      <c r="I69" s="6"/>
      <c r="J69" s="6"/>
      <c r="K69" s="6"/>
      <c r="L69" s="6"/>
      <c r="M69" s="6"/>
      <c r="N69" s="6"/>
      <c r="O69" s="6"/>
      <c r="P69" s="6" t="s">
        <v>113</v>
      </c>
      <c r="Q69" s="6"/>
      <c r="R69" s="6"/>
      <c r="S69" s="6"/>
      <c r="T69" s="6"/>
      <c r="U69" s="6"/>
      <c r="V69" s="6"/>
      <c r="W69" s="6"/>
      <c r="X69" s="6"/>
      <c r="Y69" s="6"/>
      <c r="Z69" s="13"/>
      <c r="AA69" s="6"/>
      <c r="AB69" s="6"/>
      <c r="AC69" s="6"/>
      <c r="AD69" s="6"/>
      <c r="AE69" s="6" t="s">
        <v>114</v>
      </c>
      <c r="AF69" s="6" t="s">
        <v>114</v>
      </c>
      <c r="AG69" s="6" t="s">
        <v>114</v>
      </c>
      <c r="AH69" s="6" t="s">
        <v>113</v>
      </c>
      <c r="AI69" s="6"/>
      <c r="AJ69" s="6"/>
      <c r="AK69" s="6" t="s">
        <v>115</v>
      </c>
      <c r="AL69" s="6"/>
      <c r="AM69" s="6"/>
      <c r="AN69" s="3" t="s">
        <v>115</v>
      </c>
      <c r="AO69" s="30" t="s">
        <v>115</v>
      </c>
      <c r="AP69" s="3" t="s">
        <v>115</v>
      </c>
      <c r="AQ69" s="3"/>
      <c r="AR69" s="6"/>
      <c r="AS69" s="3" t="s">
        <v>115</v>
      </c>
      <c r="AT69" s="3"/>
    </row>
    <row r="70" spans="1:46">
      <c r="A70" s="6"/>
      <c r="B70" s="6"/>
      <c r="C70" s="2"/>
      <c r="D70" s="6"/>
      <c r="E70" s="6"/>
      <c r="F70" s="6"/>
      <c r="G70" s="6"/>
      <c r="H70" s="6"/>
      <c r="I70" s="6"/>
      <c r="J70" s="6"/>
      <c r="K70" s="6"/>
      <c r="L70" s="6"/>
      <c r="M70" s="6"/>
      <c r="N70" s="6"/>
      <c r="O70" s="6"/>
      <c r="P70" s="6" t="s">
        <v>116</v>
      </c>
      <c r="Q70" s="6"/>
      <c r="R70" s="6"/>
      <c r="S70" s="6"/>
      <c r="T70" s="6"/>
      <c r="U70" s="6"/>
      <c r="V70" s="6"/>
      <c r="W70" s="6"/>
      <c r="X70" s="6"/>
      <c r="Y70" s="6"/>
      <c r="Z70" s="13"/>
      <c r="AA70" s="6"/>
      <c r="AB70" s="6"/>
      <c r="AC70" s="6"/>
      <c r="AD70" s="6"/>
      <c r="AE70" s="6" t="s">
        <v>115</v>
      </c>
      <c r="AF70" s="6" t="s">
        <v>115</v>
      </c>
      <c r="AG70" s="6" t="s">
        <v>115</v>
      </c>
      <c r="AH70" s="6" t="s">
        <v>116</v>
      </c>
      <c r="AI70" s="6"/>
      <c r="AJ70" s="6"/>
      <c r="AK70" s="6" t="s">
        <v>117</v>
      </c>
      <c r="AL70" s="6"/>
      <c r="AM70" s="6"/>
      <c r="AN70" s="3" t="s">
        <v>117</v>
      </c>
      <c r="AO70" s="30" t="s">
        <v>117</v>
      </c>
      <c r="AP70" s="3" t="s">
        <v>117</v>
      </c>
      <c r="AQ70" s="3"/>
      <c r="AR70" s="6"/>
      <c r="AS70" s="3" t="s">
        <v>117</v>
      </c>
      <c r="AT70" s="3"/>
    </row>
    <row r="71" spans="1:46">
      <c r="A71" s="6"/>
      <c r="B71" s="6"/>
      <c r="C71" s="6"/>
      <c r="D71" s="6"/>
      <c r="E71" s="6"/>
      <c r="F71" s="6"/>
      <c r="G71" s="6"/>
      <c r="H71" s="6"/>
      <c r="I71" s="6"/>
      <c r="J71" s="6"/>
      <c r="K71" s="6"/>
      <c r="L71" s="6"/>
      <c r="M71" s="6"/>
      <c r="N71" s="6"/>
      <c r="O71" s="6"/>
      <c r="P71" s="6" t="s">
        <v>118</v>
      </c>
      <c r="Q71" s="6"/>
      <c r="R71" s="6"/>
      <c r="S71" s="6"/>
      <c r="T71" s="6"/>
      <c r="U71" s="6"/>
      <c r="V71" s="6"/>
      <c r="W71" s="6"/>
      <c r="X71" s="6"/>
      <c r="Y71" s="6"/>
      <c r="Z71" s="13"/>
      <c r="AA71" s="6"/>
      <c r="AB71" s="6"/>
      <c r="AC71" s="6"/>
      <c r="AD71" s="6"/>
      <c r="AE71" s="6" t="s">
        <v>119</v>
      </c>
      <c r="AF71" s="6" t="s">
        <v>119</v>
      </c>
      <c r="AG71" s="6" t="s">
        <v>119</v>
      </c>
      <c r="AH71" s="6" t="s">
        <v>118</v>
      </c>
      <c r="AI71" s="6"/>
      <c r="AJ71" s="6"/>
      <c r="AK71" s="6" t="s">
        <v>120</v>
      </c>
      <c r="AL71" s="6"/>
      <c r="AM71" s="6"/>
      <c r="AN71" s="3" t="s">
        <v>120</v>
      </c>
      <c r="AO71" s="30" t="s">
        <v>120</v>
      </c>
      <c r="AP71" s="3" t="s">
        <v>121</v>
      </c>
      <c r="AQ71" s="3"/>
      <c r="AR71" s="6"/>
      <c r="AS71" s="3" t="s">
        <v>121</v>
      </c>
      <c r="AT71" s="3"/>
    </row>
    <row r="72" spans="1:46">
      <c r="A72" s="6"/>
      <c r="B72" s="6"/>
      <c r="C72" s="6"/>
      <c r="D72" s="6"/>
      <c r="E72" s="6"/>
      <c r="F72" s="6"/>
      <c r="G72" s="6"/>
      <c r="H72" s="6"/>
      <c r="I72" s="6"/>
      <c r="J72" s="6"/>
      <c r="K72" s="6"/>
      <c r="L72" s="6"/>
      <c r="M72" s="6"/>
      <c r="N72" s="6"/>
      <c r="O72" s="6"/>
      <c r="P72" s="6" t="s">
        <v>122</v>
      </c>
      <c r="Q72" s="6"/>
      <c r="R72" s="6"/>
      <c r="S72" s="6"/>
      <c r="T72" s="6"/>
      <c r="U72" s="6"/>
      <c r="V72" s="6"/>
      <c r="W72" s="6"/>
      <c r="X72" s="6"/>
      <c r="Y72" s="6"/>
      <c r="Z72" s="13"/>
      <c r="AA72" s="6"/>
      <c r="AB72" s="6"/>
      <c r="AC72" s="32"/>
      <c r="AD72" s="32"/>
      <c r="AE72" s="32" t="s">
        <v>123</v>
      </c>
      <c r="AF72" s="32" t="s">
        <v>123</v>
      </c>
      <c r="AG72" s="32" t="s">
        <v>123</v>
      </c>
      <c r="AH72" s="6" t="s">
        <v>122</v>
      </c>
      <c r="AI72" s="32"/>
      <c r="AJ72" s="6"/>
      <c r="AK72" s="6" t="s">
        <v>124</v>
      </c>
      <c r="AL72" s="6"/>
      <c r="AM72" s="6"/>
      <c r="AN72" s="3" t="s">
        <v>124</v>
      </c>
      <c r="AO72" s="30" t="s">
        <v>124</v>
      </c>
      <c r="AP72" s="3" t="s">
        <v>125</v>
      </c>
      <c r="AQ72" s="3"/>
      <c r="AR72" s="6"/>
      <c r="AS72" s="3" t="s">
        <v>125</v>
      </c>
      <c r="AT72" s="3"/>
    </row>
    <row r="73" spans="1:46">
      <c r="A73" s="6"/>
      <c r="B73" s="6"/>
      <c r="C73" s="6"/>
      <c r="D73" s="6"/>
      <c r="E73" s="6"/>
      <c r="F73" s="6"/>
      <c r="G73" s="6"/>
      <c r="H73" s="6"/>
      <c r="I73" s="6"/>
      <c r="J73" s="6"/>
      <c r="K73" s="6"/>
      <c r="L73" s="6"/>
      <c r="M73" s="6"/>
      <c r="N73" s="6"/>
      <c r="O73" s="6"/>
      <c r="P73" s="6" t="s">
        <v>126</v>
      </c>
      <c r="Q73" s="6"/>
      <c r="R73" s="6"/>
      <c r="S73" s="6"/>
      <c r="T73" s="6"/>
      <c r="U73" s="6"/>
      <c r="V73" s="6"/>
      <c r="W73" s="6"/>
      <c r="X73" s="6"/>
      <c r="Y73" s="6"/>
      <c r="Z73" s="13"/>
      <c r="AA73" s="6"/>
      <c r="AB73" s="6"/>
      <c r="AC73" s="32"/>
      <c r="AD73" s="32"/>
      <c r="AE73" s="32" t="s">
        <v>115</v>
      </c>
      <c r="AF73" s="32" t="s">
        <v>115</v>
      </c>
      <c r="AG73" s="32" t="s">
        <v>115</v>
      </c>
      <c r="AH73" s="6" t="s">
        <v>126</v>
      </c>
      <c r="AI73" s="32"/>
      <c r="AJ73" s="6"/>
      <c r="AK73" s="6" t="s">
        <v>127</v>
      </c>
      <c r="AL73" s="6"/>
      <c r="AM73" s="6"/>
      <c r="AN73" s="3" t="s">
        <v>127</v>
      </c>
      <c r="AO73" s="30" t="s">
        <v>127</v>
      </c>
      <c r="AP73" s="3" t="s">
        <v>128</v>
      </c>
      <c r="AQ73" s="3"/>
      <c r="AR73" s="6"/>
      <c r="AS73" s="3" t="s">
        <v>128</v>
      </c>
      <c r="AT73" s="3"/>
    </row>
    <row r="74" spans="1:46">
      <c r="A74" s="6"/>
      <c r="B74" s="6"/>
      <c r="C74" s="6"/>
      <c r="D74" s="6"/>
      <c r="E74" s="6"/>
      <c r="F74" s="6"/>
      <c r="G74" s="6"/>
      <c r="H74" s="6"/>
      <c r="I74" s="6"/>
      <c r="J74" s="6"/>
      <c r="K74" s="6"/>
      <c r="L74" s="6"/>
      <c r="M74" s="6"/>
      <c r="N74" s="6"/>
      <c r="O74" s="6"/>
      <c r="P74" s="6"/>
      <c r="Q74" s="6"/>
      <c r="R74" s="6"/>
      <c r="S74" s="6"/>
      <c r="T74" s="6"/>
      <c r="U74" s="6"/>
      <c r="V74" s="6"/>
      <c r="W74" s="6"/>
      <c r="X74" s="6"/>
      <c r="Y74" s="6"/>
      <c r="Z74" s="13"/>
      <c r="AA74" s="6"/>
      <c r="AB74" s="6"/>
      <c r="AC74" s="32"/>
      <c r="AD74" s="32"/>
      <c r="AE74" s="32" t="s">
        <v>129</v>
      </c>
      <c r="AF74" s="32" t="s">
        <v>129</v>
      </c>
      <c r="AG74" s="32" t="s">
        <v>129</v>
      </c>
      <c r="AH74" s="32"/>
      <c r="AI74" s="32"/>
      <c r="AJ74" s="6"/>
      <c r="AK74" s="6" t="s">
        <v>130</v>
      </c>
      <c r="AL74" s="6"/>
      <c r="AM74" s="6"/>
      <c r="AN74" s="3" t="s">
        <v>130</v>
      </c>
      <c r="AO74" s="30" t="s">
        <v>130</v>
      </c>
      <c r="AP74" s="3" t="s">
        <v>131</v>
      </c>
      <c r="AQ74" s="3"/>
      <c r="AR74" s="6"/>
      <c r="AS74" s="3" t="s">
        <v>233</v>
      </c>
      <c r="AT74" s="3"/>
    </row>
    <row r="75" spans="1:46">
      <c r="A75" s="6"/>
      <c r="B75" s="6"/>
      <c r="C75" s="6"/>
      <c r="D75" s="6"/>
      <c r="E75" s="6"/>
      <c r="F75" s="6"/>
      <c r="G75" s="6"/>
      <c r="H75" s="6"/>
      <c r="I75" s="6"/>
      <c r="J75" s="6"/>
      <c r="K75" s="6"/>
      <c r="L75" s="6"/>
      <c r="M75" s="6"/>
      <c r="N75" s="6"/>
      <c r="O75" s="6"/>
      <c r="P75" s="6"/>
      <c r="Q75" s="6"/>
      <c r="R75" s="6"/>
      <c r="S75" s="6"/>
      <c r="T75" s="6"/>
      <c r="U75" s="6"/>
      <c r="V75" s="6"/>
      <c r="W75" s="6"/>
      <c r="X75" s="6"/>
      <c r="Y75" s="6"/>
      <c r="Z75" s="13"/>
      <c r="AA75" s="6"/>
      <c r="AB75" s="6"/>
      <c r="AC75" s="32"/>
      <c r="AD75" s="32"/>
      <c r="AE75" s="32" t="s">
        <v>132</v>
      </c>
      <c r="AF75" s="32" t="s">
        <v>133</v>
      </c>
      <c r="AG75" s="32" t="s">
        <v>133</v>
      </c>
      <c r="AH75" s="32"/>
      <c r="AI75" s="32"/>
      <c r="AJ75" s="6"/>
      <c r="AK75" s="6" t="s">
        <v>134</v>
      </c>
      <c r="AL75" s="6"/>
      <c r="AM75" s="6"/>
      <c r="AN75" s="3" t="s">
        <v>134</v>
      </c>
      <c r="AO75" s="30" t="s">
        <v>134</v>
      </c>
      <c r="AP75" s="3" t="s">
        <v>134</v>
      </c>
      <c r="AQ75" s="3"/>
      <c r="AR75" s="6"/>
      <c r="AS75" s="3" t="s">
        <v>134</v>
      </c>
      <c r="AT75" s="3"/>
    </row>
    <row r="76" spans="1:46">
      <c r="A76" s="6"/>
      <c r="B76" s="6"/>
      <c r="C76" s="6"/>
      <c r="D76" s="6"/>
      <c r="E76" s="6"/>
      <c r="F76" s="6"/>
      <c r="G76" s="6"/>
      <c r="H76" s="6"/>
      <c r="I76" s="6"/>
      <c r="J76" s="6"/>
      <c r="K76" s="6"/>
      <c r="L76" s="6"/>
      <c r="M76" s="6"/>
      <c r="N76" s="6"/>
      <c r="O76" s="6"/>
      <c r="P76" s="6"/>
      <c r="Q76" s="6"/>
      <c r="R76" s="6"/>
      <c r="S76" s="6"/>
      <c r="T76" s="6"/>
      <c r="U76" s="6"/>
      <c r="V76" s="6"/>
      <c r="W76" s="6"/>
      <c r="X76" s="6"/>
      <c r="Y76" s="6"/>
      <c r="Z76" s="13"/>
      <c r="AA76" s="6"/>
      <c r="AB76" s="6"/>
      <c r="AC76" s="6"/>
      <c r="AD76" s="6"/>
      <c r="AE76" s="6" t="s">
        <v>135</v>
      </c>
      <c r="AF76" s="6" t="s">
        <v>136</v>
      </c>
      <c r="AG76" s="6" t="s">
        <v>136</v>
      </c>
      <c r="AH76" s="6"/>
      <c r="AI76" s="6"/>
      <c r="AJ76" s="6"/>
      <c r="AK76" s="6"/>
      <c r="AL76" s="6"/>
      <c r="AM76" s="6"/>
      <c r="AN76" s="6"/>
      <c r="AO76" s="6"/>
      <c r="AP76" s="6"/>
      <c r="AQ76" s="6"/>
      <c r="AR76" s="6"/>
    </row>
    <row r="77" spans="1:46">
      <c r="A77" s="6"/>
      <c r="B77" s="6"/>
      <c r="C77" s="6"/>
      <c r="D77" s="6"/>
      <c r="E77" s="6"/>
      <c r="F77" s="6"/>
      <c r="G77" s="6"/>
      <c r="H77" s="6"/>
      <c r="I77" s="6"/>
      <c r="J77" s="6"/>
      <c r="K77" s="6"/>
      <c r="L77" s="6"/>
      <c r="M77" s="6"/>
      <c r="N77" s="6"/>
      <c r="O77" s="6"/>
      <c r="P77" s="6"/>
      <c r="Q77" s="6"/>
      <c r="R77" s="6"/>
      <c r="S77" s="6"/>
      <c r="T77" s="6"/>
      <c r="U77" s="6"/>
      <c r="V77" s="6"/>
      <c r="W77" s="6"/>
      <c r="X77" s="6"/>
      <c r="Y77" s="6"/>
      <c r="Z77" s="13"/>
      <c r="AA77" s="6"/>
      <c r="AB77" s="6"/>
      <c r="AC77" s="6"/>
      <c r="AD77" s="6"/>
      <c r="AE77" s="6" t="s">
        <v>73</v>
      </c>
      <c r="AF77" s="33" t="s">
        <v>137</v>
      </c>
      <c r="AG77" s="33" t="s">
        <v>137</v>
      </c>
      <c r="AH77" s="33"/>
      <c r="AI77" s="33"/>
      <c r="AJ77" s="6"/>
      <c r="AK77" s="6"/>
      <c r="AL77" s="6"/>
      <c r="AM77" s="6"/>
      <c r="AN77" s="6"/>
      <c r="AO77" s="13" t="s">
        <v>138</v>
      </c>
      <c r="AP77" s="13" t="s">
        <v>138</v>
      </c>
      <c r="AQ77" s="13"/>
      <c r="AR77" s="6"/>
    </row>
    <row r="78" spans="1:46">
      <c r="A78" s="6"/>
      <c r="B78" s="6"/>
      <c r="C78" s="6"/>
      <c r="D78" s="6"/>
      <c r="E78" s="6"/>
      <c r="F78" s="6"/>
      <c r="G78" s="6"/>
      <c r="H78" s="6"/>
      <c r="I78" s="6"/>
      <c r="J78" s="6"/>
      <c r="K78" s="6"/>
      <c r="L78" s="6"/>
      <c r="M78" s="6"/>
      <c r="N78" s="6"/>
      <c r="O78" s="6"/>
      <c r="P78" s="6"/>
      <c r="Q78" s="6"/>
      <c r="R78" s="6"/>
      <c r="S78" s="6"/>
      <c r="T78" s="6"/>
      <c r="U78" s="6"/>
      <c r="V78" s="6"/>
      <c r="W78" s="6"/>
      <c r="X78" s="6"/>
      <c r="Y78" s="6"/>
      <c r="Z78" s="13"/>
      <c r="AA78" s="6"/>
      <c r="AB78" s="6"/>
      <c r="AC78" s="6"/>
      <c r="AD78" s="6"/>
      <c r="AE78" s="6" t="s">
        <v>139</v>
      </c>
      <c r="AF78" s="6"/>
      <c r="AG78" s="6"/>
      <c r="AH78" s="6"/>
      <c r="AI78" s="6"/>
      <c r="AJ78" s="6"/>
      <c r="AK78" s="6"/>
      <c r="AL78" s="6"/>
      <c r="AM78" s="6"/>
      <c r="AN78" s="6"/>
      <c r="AO78" s="13" t="s">
        <v>140</v>
      </c>
      <c r="AP78" s="13" t="s">
        <v>140</v>
      </c>
      <c r="AQ78" s="13"/>
      <c r="AR78" s="6"/>
    </row>
    <row r="79" spans="1:46">
      <c r="A79" s="6"/>
      <c r="B79" s="6"/>
      <c r="C79" s="6"/>
      <c r="D79" s="6"/>
      <c r="E79" s="6"/>
      <c r="F79" s="6"/>
      <c r="G79" s="6"/>
      <c r="H79" s="6"/>
      <c r="I79" s="6"/>
      <c r="J79" s="6"/>
      <c r="K79" s="6"/>
      <c r="L79" s="6"/>
      <c r="M79" s="6"/>
      <c r="N79" s="6"/>
      <c r="O79" s="6"/>
      <c r="P79" s="6"/>
      <c r="Q79" s="6"/>
      <c r="R79" s="6"/>
      <c r="S79" s="6"/>
      <c r="T79" s="6"/>
      <c r="U79" s="6"/>
      <c r="V79" s="6"/>
      <c r="W79" s="6"/>
      <c r="X79" s="6"/>
      <c r="Y79" s="6"/>
      <c r="Z79" s="13"/>
      <c r="AA79" s="6"/>
      <c r="AB79" s="6"/>
      <c r="AC79" s="6"/>
      <c r="AD79" s="6"/>
      <c r="AE79" s="6"/>
      <c r="AF79" s="6"/>
      <c r="AG79" s="6"/>
      <c r="AH79" s="6"/>
      <c r="AI79" s="6"/>
      <c r="AJ79" s="6"/>
      <c r="AK79" s="6"/>
      <c r="AL79" s="6"/>
      <c r="AM79" s="6"/>
      <c r="AN79" s="6"/>
      <c r="AO79" s="13" t="s">
        <v>141</v>
      </c>
      <c r="AP79" s="13" t="s">
        <v>141</v>
      </c>
      <c r="AQ79" s="13"/>
      <c r="AR79" s="6"/>
    </row>
    <row r="80" spans="1:46">
      <c r="A80" s="6"/>
      <c r="B80" s="6"/>
      <c r="C80" s="6"/>
      <c r="D80" s="6"/>
      <c r="E80" s="6"/>
      <c r="F80" s="6"/>
      <c r="G80" s="6"/>
      <c r="H80" s="6"/>
      <c r="I80" s="6"/>
      <c r="J80" s="6"/>
      <c r="K80" s="6"/>
      <c r="L80" s="6"/>
      <c r="M80" s="6"/>
      <c r="N80" s="6"/>
      <c r="O80" s="6"/>
      <c r="P80" s="6"/>
      <c r="Q80" s="6"/>
      <c r="R80" s="6"/>
      <c r="S80" s="6"/>
      <c r="T80" s="6"/>
      <c r="U80" s="6"/>
      <c r="V80" s="6"/>
      <c r="W80" s="6"/>
      <c r="X80" s="6"/>
      <c r="Y80" s="6"/>
      <c r="Z80" s="13"/>
      <c r="AA80" s="6"/>
      <c r="AB80" s="6"/>
      <c r="AC80" s="6"/>
      <c r="AD80" s="6"/>
      <c r="AE80" s="6"/>
      <c r="AF80" s="6"/>
      <c r="AG80" s="6"/>
      <c r="AH80" s="6"/>
      <c r="AI80" s="6"/>
      <c r="AJ80" s="6"/>
      <c r="AK80" s="6"/>
      <c r="AL80" s="6"/>
      <c r="AM80" s="6"/>
      <c r="AN80" s="6"/>
      <c r="AO80" s="13" t="s">
        <v>142</v>
      </c>
      <c r="AP80" s="13" t="s">
        <v>142</v>
      </c>
      <c r="AQ80" s="13"/>
      <c r="AR80" s="6"/>
    </row>
    <row r="81" spans="1:44">
      <c r="A81" s="6"/>
      <c r="B81" s="6"/>
      <c r="C81" s="6"/>
      <c r="D81" s="6"/>
      <c r="E81" s="6"/>
      <c r="F81" s="6"/>
      <c r="G81" s="6"/>
      <c r="H81" s="6"/>
      <c r="I81" s="6"/>
      <c r="J81" s="6"/>
      <c r="K81" s="6"/>
      <c r="L81" s="6"/>
      <c r="M81" s="6"/>
      <c r="N81" s="6"/>
      <c r="O81" s="6"/>
      <c r="P81" s="6"/>
      <c r="Q81" s="6"/>
      <c r="R81" s="6"/>
      <c r="S81" s="6"/>
      <c r="T81" s="6"/>
      <c r="U81" s="6"/>
      <c r="V81" s="6"/>
      <c r="W81" s="6"/>
      <c r="X81" s="6"/>
      <c r="Y81" s="6"/>
      <c r="Z81" s="13"/>
      <c r="AA81" s="6"/>
      <c r="AB81" s="6"/>
      <c r="AC81" s="6"/>
      <c r="AD81" s="6"/>
      <c r="AE81" s="6"/>
      <c r="AF81" s="6"/>
      <c r="AG81" s="6"/>
      <c r="AH81" s="6"/>
      <c r="AI81" s="6"/>
      <c r="AJ81" s="6"/>
      <c r="AK81" s="6"/>
      <c r="AL81" s="6"/>
      <c r="AM81" s="6"/>
      <c r="AN81" s="6"/>
      <c r="AO81" s="13" t="s">
        <v>143</v>
      </c>
      <c r="AP81" s="13" t="s">
        <v>143</v>
      </c>
      <c r="AQ81" s="13"/>
      <c r="AR81" s="6"/>
    </row>
    <row r="82" spans="1:44">
      <c r="A82" s="6"/>
      <c r="B82" s="6"/>
      <c r="C82" s="6"/>
      <c r="D82" s="6"/>
      <c r="E82" s="6"/>
      <c r="F82" s="6"/>
      <c r="G82" s="6"/>
      <c r="H82" s="6"/>
      <c r="I82" s="6"/>
      <c r="J82" s="6"/>
      <c r="K82" s="6"/>
      <c r="L82" s="6"/>
      <c r="M82" s="6"/>
      <c r="N82" s="6"/>
      <c r="O82" s="6"/>
      <c r="P82" s="6"/>
      <c r="Q82" s="6"/>
      <c r="R82" s="6"/>
      <c r="S82" s="6"/>
      <c r="T82" s="6"/>
      <c r="U82" s="6"/>
      <c r="V82" s="6"/>
      <c r="W82" s="6"/>
      <c r="X82" s="6"/>
      <c r="Y82" s="6"/>
      <c r="Z82" s="13"/>
      <c r="AA82" s="6"/>
      <c r="AB82" s="6"/>
      <c r="AC82" s="6"/>
      <c r="AD82" s="6"/>
      <c r="AE82" s="6"/>
      <c r="AF82" s="6"/>
      <c r="AG82" s="6"/>
      <c r="AH82" s="6"/>
      <c r="AI82" s="6"/>
      <c r="AJ82" s="6"/>
      <c r="AK82" s="6"/>
      <c r="AL82" s="6"/>
      <c r="AM82" s="6"/>
      <c r="AN82" s="6"/>
      <c r="AO82" s="13" t="s">
        <v>144</v>
      </c>
      <c r="AP82" s="13" t="s">
        <v>144</v>
      </c>
      <c r="AQ82" s="13"/>
      <c r="AR82" s="6"/>
    </row>
    <row r="83" spans="1:44">
      <c r="A83" s="6"/>
      <c r="B83" s="6"/>
      <c r="C83" s="6"/>
      <c r="D83" s="6"/>
      <c r="E83" s="6"/>
      <c r="F83" s="6"/>
      <c r="G83" s="6"/>
      <c r="H83" s="6"/>
      <c r="I83" s="6"/>
      <c r="J83" s="6"/>
      <c r="K83" s="6"/>
      <c r="L83" s="6"/>
      <c r="M83" s="6"/>
      <c r="N83" s="6"/>
      <c r="O83" s="6"/>
      <c r="P83" s="6"/>
      <c r="Q83" s="6"/>
      <c r="R83" s="6"/>
      <c r="S83" s="6"/>
      <c r="T83" s="6"/>
      <c r="U83" s="6"/>
      <c r="V83" s="6"/>
      <c r="W83" s="6"/>
      <c r="X83" s="6"/>
      <c r="Y83" s="6"/>
      <c r="Z83" s="13"/>
      <c r="AA83" s="6"/>
      <c r="AB83" s="6"/>
      <c r="AC83" s="6"/>
      <c r="AD83" s="6"/>
      <c r="AE83" s="6"/>
      <c r="AF83" s="6"/>
      <c r="AG83" s="6"/>
      <c r="AH83" s="6"/>
      <c r="AI83" s="6"/>
      <c r="AJ83" s="6"/>
      <c r="AK83" s="6"/>
      <c r="AL83" s="6"/>
      <c r="AM83" s="6"/>
      <c r="AN83" s="6"/>
      <c r="AO83" s="13" t="s">
        <v>145</v>
      </c>
      <c r="AP83" s="13" t="s">
        <v>145</v>
      </c>
      <c r="AQ83" s="13"/>
      <c r="AR83" s="6"/>
    </row>
    <row r="84" spans="1:44">
      <c r="A84" s="6"/>
      <c r="B84" s="6"/>
      <c r="C84" s="6"/>
      <c r="D84" s="6"/>
      <c r="E84" s="6"/>
      <c r="F84" s="6"/>
      <c r="G84" s="6"/>
      <c r="H84" s="6"/>
      <c r="I84" s="6"/>
      <c r="J84" s="6"/>
      <c r="K84" s="6"/>
      <c r="L84" s="6"/>
      <c r="M84" s="6"/>
      <c r="N84" s="6"/>
      <c r="O84" s="6"/>
      <c r="P84" s="6"/>
      <c r="Q84" s="6"/>
      <c r="R84" s="6"/>
      <c r="S84" s="6"/>
      <c r="T84" s="6"/>
      <c r="U84" s="6"/>
      <c r="V84" s="6"/>
      <c r="W84" s="6"/>
      <c r="X84" s="6"/>
      <c r="Y84" s="6"/>
      <c r="Z84" s="13"/>
      <c r="AA84" s="6"/>
      <c r="AB84" s="6"/>
      <c r="AC84" s="6"/>
      <c r="AD84" s="6"/>
      <c r="AE84" s="6"/>
      <c r="AF84" s="6"/>
      <c r="AG84" s="6"/>
      <c r="AH84" s="6"/>
      <c r="AI84" s="6"/>
      <c r="AJ84" s="6"/>
      <c r="AK84" s="6"/>
      <c r="AL84" s="6"/>
      <c r="AM84" s="6"/>
      <c r="AN84" s="6"/>
      <c r="AO84" s="13" t="s">
        <v>146</v>
      </c>
      <c r="AP84" s="13" t="s">
        <v>146</v>
      </c>
      <c r="AQ84" s="13"/>
      <c r="AR84" s="6"/>
    </row>
    <row r="85" spans="1:44">
      <c r="A85" s="6"/>
      <c r="B85" s="6"/>
      <c r="C85" s="6"/>
      <c r="D85" s="6"/>
      <c r="E85" s="6"/>
      <c r="F85" s="6"/>
      <c r="G85" s="6"/>
      <c r="H85" s="6"/>
      <c r="I85" s="6"/>
      <c r="J85" s="6"/>
      <c r="K85" s="6"/>
      <c r="L85" s="6"/>
      <c r="M85" s="6"/>
      <c r="N85" s="6"/>
      <c r="O85" s="6"/>
      <c r="P85" s="6"/>
      <c r="Q85" s="6"/>
      <c r="R85" s="6"/>
      <c r="S85" s="6"/>
      <c r="T85" s="6"/>
      <c r="U85" s="6"/>
      <c r="V85" s="6"/>
      <c r="W85" s="6"/>
      <c r="X85" s="6"/>
      <c r="Y85" s="6"/>
      <c r="Z85" s="13"/>
      <c r="AA85" s="6"/>
      <c r="AB85" s="6"/>
      <c r="AC85" s="6"/>
      <c r="AD85" s="6"/>
      <c r="AE85" s="6"/>
      <c r="AF85" s="6"/>
      <c r="AG85" s="6"/>
      <c r="AH85" s="6"/>
      <c r="AI85" s="6"/>
      <c r="AJ85" s="6"/>
      <c r="AK85" s="6"/>
      <c r="AL85" s="6"/>
      <c r="AM85" s="6"/>
      <c r="AN85" s="6"/>
      <c r="AO85" s="13" t="s">
        <v>147</v>
      </c>
      <c r="AP85" s="13" t="s">
        <v>147</v>
      </c>
      <c r="AQ85" s="13"/>
      <c r="AR85" s="6"/>
    </row>
    <row r="86" spans="1:44">
      <c r="A86" s="6"/>
      <c r="B86" s="6"/>
      <c r="C86" s="6"/>
      <c r="D86" s="6"/>
      <c r="E86" s="6"/>
      <c r="F86" s="6"/>
      <c r="G86" s="6"/>
      <c r="H86" s="6"/>
      <c r="I86" s="6"/>
      <c r="J86" s="6"/>
      <c r="K86" s="6"/>
      <c r="L86" s="6"/>
      <c r="M86" s="6"/>
      <c r="N86" s="6"/>
      <c r="O86" s="6"/>
      <c r="P86" s="6"/>
      <c r="Q86" s="6"/>
      <c r="R86" s="6"/>
      <c r="S86" s="6"/>
      <c r="T86" s="6"/>
      <c r="U86" s="6"/>
      <c r="V86" s="6"/>
      <c r="W86" s="6"/>
      <c r="X86" s="6"/>
      <c r="Y86" s="6"/>
      <c r="Z86" s="13"/>
      <c r="AA86" s="6"/>
      <c r="AB86" s="6"/>
      <c r="AC86" s="6"/>
      <c r="AD86" s="6"/>
      <c r="AE86" s="6"/>
      <c r="AF86" s="6"/>
      <c r="AG86" s="6"/>
      <c r="AH86" s="6"/>
      <c r="AI86" s="6"/>
      <c r="AJ86" s="6"/>
      <c r="AK86" s="6"/>
      <c r="AL86" s="6"/>
      <c r="AM86" s="6"/>
      <c r="AN86" s="6"/>
      <c r="AO86" s="13" t="s">
        <v>148</v>
      </c>
      <c r="AP86" s="13" t="s">
        <v>148</v>
      </c>
      <c r="AQ86" s="13"/>
      <c r="AR86" s="6"/>
    </row>
    <row r="87" spans="1:44">
      <c r="A87" s="6"/>
      <c r="B87" s="6"/>
      <c r="C87" s="6"/>
      <c r="D87" s="6"/>
      <c r="E87" s="6"/>
      <c r="F87" s="6"/>
      <c r="G87" s="6"/>
      <c r="H87" s="6"/>
      <c r="I87" s="6"/>
      <c r="J87" s="6"/>
      <c r="K87" s="6"/>
      <c r="L87" s="6"/>
      <c r="M87" s="6"/>
      <c r="N87" s="6"/>
      <c r="O87" s="6"/>
      <c r="P87" s="6"/>
      <c r="Q87" s="6"/>
      <c r="R87" s="6"/>
      <c r="S87" s="6"/>
      <c r="T87" s="6"/>
      <c r="U87" s="6"/>
      <c r="V87" s="6"/>
      <c r="W87" s="6"/>
      <c r="X87" s="6"/>
      <c r="Y87" s="6"/>
      <c r="Z87" s="13"/>
      <c r="AA87" s="6"/>
      <c r="AB87" s="6"/>
      <c r="AC87" s="6"/>
      <c r="AD87" s="6"/>
      <c r="AE87" s="6"/>
      <c r="AF87" s="6"/>
      <c r="AG87" s="6"/>
      <c r="AH87" s="6"/>
      <c r="AI87" s="6"/>
      <c r="AJ87" s="6"/>
      <c r="AK87" s="6"/>
      <c r="AL87" s="6"/>
      <c r="AM87" s="6"/>
      <c r="AN87" s="6"/>
      <c r="AO87" s="13" t="s">
        <v>149</v>
      </c>
      <c r="AP87" s="13" t="s">
        <v>149</v>
      </c>
      <c r="AQ87" s="13"/>
      <c r="AR87" s="6"/>
    </row>
    <row r="88" spans="1:44">
      <c r="A88" s="6"/>
      <c r="B88" s="6"/>
      <c r="C88" s="6"/>
      <c r="D88" s="6"/>
      <c r="E88" s="6"/>
      <c r="F88" s="6"/>
      <c r="G88" s="6"/>
      <c r="H88" s="6"/>
      <c r="I88" s="6"/>
      <c r="J88" s="6"/>
      <c r="K88" s="6"/>
      <c r="L88" s="6"/>
      <c r="M88" s="6"/>
      <c r="N88" s="6"/>
      <c r="O88" s="6"/>
      <c r="P88" s="6"/>
      <c r="Q88" s="6"/>
      <c r="R88" s="6"/>
      <c r="S88" s="6"/>
      <c r="T88" s="6"/>
      <c r="U88" s="6"/>
      <c r="V88" s="6"/>
      <c r="W88" s="6"/>
      <c r="X88" s="6"/>
      <c r="Y88" s="6"/>
      <c r="Z88" s="13"/>
      <c r="AA88" s="6"/>
      <c r="AB88" s="6"/>
      <c r="AC88" s="6"/>
      <c r="AD88" s="6"/>
      <c r="AE88" s="6"/>
      <c r="AF88" s="6"/>
      <c r="AG88" s="6"/>
      <c r="AH88" s="6"/>
      <c r="AI88" s="6"/>
      <c r="AJ88" s="6"/>
      <c r="AK88" s="6"/>
      <c r="AL88" s="6"/>
      <c r="AM88" s="6"/>
      <c r="AN88" s="6"/>
      <c r="AO88" s="13" t="s">
        <v>150</v>
      </c>
      <c r="AP88" s="13" t="s">
        <v>150</v>
      </c>
      <c r="AQ88" s="13"/>
      <c r="AR88" s="6"/>
    </row>
    <row r="89" spans="1:44">
      <c r="A89" s="6"/>
      <c r="B89" s="6"/>
      <c r="C89" s="6"/>
      <c r="D89" s="6"/>
      <c r="E89" s="6"/>
      <c r="F89" s="6"/>
      <c r="G89" s="6"/>
      <c r="H89" s="6"/>
      <c r="I89" s="6"/>
      <c r="J89" s="6"/>
      <c r="K89" s="6"/>
      <c r="L89" s="6"/>
      <c r="M89" s="6"/>
      <c r="N89" s="6"/>
      <c r="O89" s="6"/>
      <c r="P89" s="6"/>
      <c r="Q89" s="6"/>
      <c r="R89" s="6"/>
      <c r="S89" s="6"/>
      <c r="T89" s="6"/>
      <c r="U89" s="6"/>
      <c r="V89" s="6"/>
      <c r="W89" s="6"/>
      <c r="X89" s="6"/>
      <c r="Y89" s="6"/>
      <c r="Z89" s="13"/>
      <c r="AA89" s="6"/>
      <c r="AB89" s="6"/>
      <c r="AC89" s="6"/>
      <c r="AD89" s="6"/>
      <c r="AE89" s="6"/>
      <c r="AF89" s="6"/>
      <c r="AG89" s="6"/>
      <c r="AH89" s="6"/>
      <c r="AI89" s="6"/>
      <c r="AJ89" s="6"/>
      <c r="AK89" s="6"/>
      <c r="AL89" s="6"/>
      <c r="AM89" s="6"/>
      <c r="AN89" s="6"/>
      <c r="AO89" s="13" t="s">
        <v>151</v>
      </c>
      <c r="AP89" s="13" t="s">
        <v>151</v>
      </c>
      <c r="AQ89" s="13"/>
      <c r="AR89" s="6"/>
    </row>
    <row r="90" spans="1:44">
      <c r="A90" s="6"/>
      <c r="B90" s="6"/>
      <c r="C90" s="6"/>
      <c r="D90" s="6"/>
      <c r="E90" s="6"/>
      <c r="F90" s="6"/>
      <c r="G90" s="6"/>
      <c r="H90" s="6"/>
      <c r="I90" s="6"/>
      <c r="J90" s="6"/>
      <c r="K90" s="6"/>
      <c r="L90" s="6"/>
      <c r="M90" s="6"/>
      <c r="N90" s="6"/>
      <c r="O90" s="6"/>
      <c r="P90" s="6"/>
      <c r="Q90" s="6"/>
      <c r="R90" s="6"/>
      <c r="S90" s="6"/>
      <c r="T90" s="6"/>
      <c r="U90" s="6"/>
      <c r="V90" s="6"/>
      <c r="W90" s="6"/>
      <c r="X90" s="6"/>
      <c r="Y90" s="6"/>
      <c r="Z90" s="13"/>
      <c r="AA90" s="6"/>
      <c r="AB90" s="6"/>
      <c r="AC90" s="6"/>
      <c r="AD90" s="6"/>
      <c r="AE90" s="6"/>
      <c r="AF90" s="6"/>
      <c r="AG90" s="6"/>
      <c r="AH90" s="6"/>
      <c r="AI90" s="6"/>
      <c r="AJ90" s="6"/>
      <c r="AK90" s="6"/>
      <c r="AL90" s="6"/>
      <c r="AM90" s="6"/>
      <c r="AN90" s="6"/>
      <c r="AO90" s="13" t="s">
        <v>152</v>
      </c>
      <c r="AP90" s="13" t="s">
        <v>152</v>
      </c>
      <c r="AQ90" s="13"/>
      <c r="AR90" s="6"/>
    </row>
    <row r="91" spans="1:44">
      <c r="A91" s="6"/>
      <c r="B91" s="6"/>
      <c r="C91" s="6"/>
      <c r="D91" s="6"/>
      <c r="E91" s="6"/>
      <c r="F91" s="6"/>
      <c r="G91" s="6"/>
      <c r="H91" s="6"/>
      <c r="I91" s="6"/>
      <c r="J91" s="6"/>
      <c r="K91" s="6"/>
      <c r="L91" s="6"/>
      <c r="M91" s="6"/>
      <c r="N91" s="6"/>
      <c r="O91" s="6"/>
      <c r="P91" s="6"/>
      <c r="Q91" s="6"/>
      <c r="R91" s="6"/>
      <c r="S91" s="6"/>
      <c r="T91" s="6"/>
      <c r="U91" s="6"/>
      <c r="V91" s="6"/>
      <c r="W91" s="6"/>
      <c r="X91" s="6"/>
      <c r="Y91" s="6"/>
      <c r="Z91" s="13"/>
      <c r="AA91" s="6"/>
      <c r="AB91" s="6"/>
      <c r="AC91" s="6"/>
      <c r="AD91" s="6"/>
      <c r="AE91" s="6"/>
      <c r="AF91" s="6"/>
      <c r="AG91" s="6"/>
      <c r="AH91" s="6"/>
      <c r="AI91" s="6"/>
      <c r="AJ91" s="6"/>
      <c r="AK91" s="6"/>
      <c r="AL91" s="6"/>
      <c r="AM91" s="6"/>
      <c r="AN91" s="6"/>
      <c r="AO91" s="34" t="s">
        <v>153</v>
      </c>
      <c r="AP91" s="34" t="s">
        <v>153</v>
      </c>
      <c r="AQ91" s="34"/>
      <c r="AR91" s="6"/>
    </row>
  </sheetData>
  <hyperlinks>
    <hyperlink ref="AF77" r:id="rId1"/>
    <hyperlink ref="AG77" r:id="rId2"/>
    <hyperlink ref="AP75" r:id="rId3" display="www.nces.ed.gov"/>
    <hyperlink ref="AK75" r:id="rId4" display="www.nces.ed.gov"/>
    <hyperlink ref="AS75" r:id="rId5" display="www.nces.ed.gov"/>
  </hyperlinks>
  <pageMargins left="0.7" right="0.7" top="0.75" bottom="0.75" header="0.3" footer="0.3"/>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W98"/>
  <sheetViews>
    <sheetView workbookViewId="0">
      <pane xSplit="1" ySplit="4" topLeftCell="P53" activePane="bottomRight" state="frozen"/>
      <selection pane="topRight" activeCell="B1" sqref="B1"/>
      <selection pane="bottomLeft" activeCell="A5" sqref="A5"/>
      <selection pane="bottomRight" activeCell="W54" sqref="W54:W63"/>
    </sheetView>
  </sheetViews>
  <sheetFormatPr defaultRowHeight="12.75"/>
  <sheetData>
    <row r="1" spans="1:23">
      <c r="A1" s="1" t="s">
        <v>154</v>
      </c>
      <c r="B1" s="2"/>
      <c r="C1" s="2"/>
      <c r="D1" s="2"/>
      <c r="E1" s="2"/>
      <c r="F1" s="2"/>
      <c r="G1" s="3"/>
      <c r="H1" s="3"/>
      <c r="I1" s="3"/>
      <c r="J1" s="3"/>
      <c r="K1" s="3"/>
      <c r="L1" s="3"/>
      <c r="M1" s="3"/>
      <c r="N1" s="3"/>
      <c r="O1" s="3"/>
      <c r="P1" s="3"/>
      <c r="Q1" s="3"/>
      <c r="R1" s="3"/>
      <c r="S1" s="3"/>
      <c r="T1" s="3"/>
    </row>
    <row r="2" spans="1:23">
      <c r="A2" s="3"/>
      <c r="B2" s="2"/>
      <c r="C2" s="2"/>
      <c r="D2" s="2"/>
      <c r="E2" s="2"/>
      <c r="F2" s="2"/>
      <c r="G2" s="3"/>
      <c r="H2" s="3"/>
      <c r="I2" s="3"/>
      <c r="J2" s="3"/>
      <c r="K2" s="3"/>
      <c r="L2" s="3"/>
      <c r="M2" s="3"/>
      <c r="N2" s="3"/>
      <c r="O2" s="3"/>
      <c r="P2" s="3"/>
      <c r="Q2" s="3"/>
      <c r="R2" s="3"/>
      <c r="S2" s="3"/>
      <c r="T2" s="3"/>
    </row>
    <row r="3" spans="1:23">
      <c r="A3" s="35"/>
      <c r="B3" s="35" t="s">
        <v>19</v>
      </c>
      <c r="C3" s="35" t="s">
        <v>20</v>
      </c>
      <c r="D3" s="35" t="s">
        <v>24</v>
      </c>
      <c r="E3" s="35" t="s">
        <v>25</v>
      </c>
      <c r="F3" s="35" t="s">
        <v>26</v>
      </c>
      <c r="G3" s="35" t="s">
        <v>27</v>
      </c>
      <c r="H3" s="35" t="s">
        <v>28</v>
      </c>
      <c r="I3" s="35" t="s">
        <v>29</v>
      </c>
      <c r="J3" s="35" t="s">
        <v>30</v>
      </c>
      <c r="K3" s="35" t="s">
        <v>31</v>
      </c>
      <c r="L3" s="35" t="s">
        <v>32</v>
      </c>
      <c r="M3" s="36" t="s">
        <v>35</v>
      </c>
      <c r="N3" s="36" t="s">
        <v>36</v>
      </c>
      <c r="O3" s="36" t="s">
        <v>37</v>
      </c>
      <c r="P3" s="156" t="s">
        <v>38</v>
      </c>
      <c r="Q3" s="36" t="s">
        <v>39</v>
      </c>
      <c r="R3" s="36" t="s">
        <v>40</v>
      </c>
      <c r="S3" s="35" t="s">
        <v>41</v>
      </c>
      <c r="T3" s="35" t="s">
        <v>216</v>
      </c>
      <c r="U3" s="156" t="s">
        <v>217</v>
      </c>
      <c r="V3" s="161" t="s">
        <v>232</v>
      </c>
      <c r="W3" s="161" t="s">
        <v>235</v>
      </c>
    </row>
    <row r="4" spans="1:23">
      <c r="A4" s="12" t="s">
        <v>42</v>
      </c>
      <c r="B4" s="12">
        <f t="shared" ref="B4:S4" si="0">B5+B23+B38+B52+B63</f>
        <v>166575</v>
      </c>
      <c r="C4" s="12">
        <f t="shared" si="0"/>
        <v>171815</v>
      </c>
      <c r="D4" s="12">
        <f t="shared" si="0"/>
        <v>202135</v>
      </c>
      <c r="E4" s="12">
        <f t="shared" si="0"/>
        <v>212437</v>
      </c>
      <c r="F4" s="12">
        <f t="shared" si="0"/>
        <v>220113</v>
      </c>
      <c r="G4" s="12">
        <f t="shared" si="0"/>
        <v>222761</v>
      </c>
      <c r="H4" s="12">
        <f t="shared" si="0"/>
        <v>225856</v>
      </c>
      <c r="I4" s="12">
        <f t="shared" si="0"/>
        <v>231750</v>
      </c>
      <c r="J4" s="12">
        <f t="shared" si="0"/>
        <v>235922</v>
      </c>
      <c r="K4" s="12">
        <f t="shared" si="0"/>
        <v>238501</v>
      </c>
      <c r="L4" s="12">
        <f t="shared" si="0"/>
        <v>243157</v>
      </c>
      <c r="M4" s="12">
        <f t="shared" si="0"/>
        <v>265695</v>
      </c>
      <c r="N4" s="12">
        <f t="shared" si="0"/>
        <v>285138</v>
      </c>
      <c r="O4" s="12">
        <f t="shared" si="0"/>
        <v>291505</v>
      </c>
      <c r="P4" s="12">
        <f t="shared" si="0"/>
        <v>293517</v>
      </c>
      <c r="Q4" s="12">
        <f t="shared" si="0"/>
        <v>291971</v>
      </c>
      <c r="R4" s="12">
        <f t="shared" si="0"/>
        <v>299983</v>
      </c>
      <c r="S4" s="12">
        <f t="shared" si="0"/>
        <v>308198</v>
      </c>
      <c r="T4" s="12">
        <f t="shared" ref="T4:U4" si="1">T5+T23+T38+T52+T63</f>
        <v>322242</v>
      </c>
      <c r="U4" s="12">
        <f t="shared" si="1"/>
        <v>339143</v>
      </c>
      <c r="V4" s="12">
        <f t="shared" ref="V4:W4" si="2">V5+V23+V38+V52+V63</f>
        <v>348476</v>
      </c>
      <c r="W4" s="12">
        <f t="shared" si="2"/>
        <v>343588</v>
      </c>
    </row>
    <row r="5" spans="1:23">
      <c r="A5" s="15" t="s">
        <v>43</v>
      </c>
      <c r="B5" s="15">
        <f t="shared" ref="B5:S5" si="3">SUM(B7:B22)</f>
        <v>58307</v>
      </c>
      <c r="C5" s="15">
        <f t="shared" si="3"/>
        <v>60664</v>
      </c>
      <c r="D5" s="15">
        <f t="shared" si="3"/>
        <v>70783</v>
      </c>
      <c r="E5" s="15">
        <f t="shared" si="3"/>
        <v>75991</v>
      </c>
      <c r="F5" s="15">
        <f t="shared" si="3"/>
        <v>80118</v>
      </c>
      <c r="G5" s="15">
        <f t="shared" si="3"/>
        <v>83212</v>
      </c>
      <c r="H5" s="15">
        <f t="shared" si="3"/>
        <v>84713</v>
      </c>
      <c r="I5" s="15">
        <f t="shared" si="3"/>
        <v>88659</v>
      </c>
      <c r="J5" s="15">
        <f t="shared" si="3"/>
        <v>90160</v>
      </c>
      <c r="K5" s="15">
        <f t="shared" si="3"/>
        <v>91309</v>
      </c>
      <c r="L5" s="15">
        <f t="shared" si="3"/>
        <v>93482</v>
      </c>
      <c r="M5" s="15">
        <f t="shared" si="3"/>
        <v>101395</v>
      </c>
      <c r="N5" s="15">
        <f t="shared" si="3"/>
        <v>109506</v>
      </c>
      <c r="O5" s="15">
        <f t="shared" si="3"/>
        <v>114536</v>
      </c>
      <c r="P5" s="15">
        <f t="shared" si="3"/>
        <v>115146</v>
      </c>
      <c r="Q5" s="15">
        <f t="shared" si="3"/>
        <v>115567</v>
      </c>
      <c r="R5" s="15">
        <f t="shared" si="3"/>
        <v>118751</v>
      </c>
      <c r="S5" s="15">
        <f t="shared" si="3"/>
        <v>123920</v>
      </c>
      <c r="T5" s="15">
        <f t="shared" ref="T5:U5" si="4">SUM(T7:T22)</f>
        <v>130560</v>
      </c>
      <c r="U5" s="15">
        <f t="shared" si="4"/>
        <v>138447</v>
      </c>
      <c r="V5" s="15">
        <f t="shared" ref="V5:W5" si="5">SUM(V7:V22)</f>
        <v>144281</v>
      </c>
      <c r="W5" s="15">
        <f t="shared" si="5"/>
        <v>143349</v>
      </c>
    </row>
    <row r="6" spans="1:23">
      <c r="A6" s="17" t="s">
        <v>44</v>
      </c>
      <c r="B6" s="17">
        <f t="shared" ref="B6:S6" si="6">(B5/B4)*100</f>
        <v>35.003451898544199</v>
      </c>
      <c r="C6" s="17">
        <f t="shared" si="6"/>
        <v>35.307743794197251</v>
      </c>
      <c r="D6" s="17">
        <f t="shared" si="6"/>
        <v>35.017686199816957</v>
      </c>
      <c r="E6" s="17">
        <f t="shared" si="6"/>
        <v>35.771075660078047</v>
      </c>
      <c r="F6" s="17">
        <f t="shared" si="6"/>
        <v>36.398577094492374</v>
      </c>
      <c r="G6" s="17">
        <f t="shared" si="6"/>
        <v>37.3548332068899</v>
      </c>
      <c r="H6" s="17">
        <f t="shared" si="6"/>
        <v>37.507526919807312</v>
      </c>
      <c r="I6" s="17">
        <f t="shared" si="6"/>
        <v>38.256310679611651</v>
      </c>
      <c r="J6" s="17">
        <f t="shared" si="6"/>
        <v>38.216020549164554</v>
      </c>
      <c r="K6" s="17">
        <f t="shared" si="6"/>
        <v>38.284535494610083</v>
      </c>
      <c r="L6" s="17">
        <f t="shared" si="6"/>
        <v>38.445119819704964</v>
      </c>
      <c r="M6" s="17">
        <f t="shared" si="6"/>
        <v>38.1621784376823</v>
      </c>
      <c r="N6" s="17">
        <f t="shared" si="6"/>
        <v>38.404562001557139</v>
      </c>
      <c r="O6" s="17">
        <f t="shared" si="6"/>
        <v>39.291264300783865</v>
      </c>
      <c r="P6" s="17">
        <f t="shared" si="6"/>
        <v>39.229755005672587</v>
      </c>
      <c r="Q6" s="17">
        <f t="shared" si="6"/>
        <v>39.581670782372221</v>
      </c>
      <c r="R6" s="17">
        <f t="shared" si="6"/>
        <v>39.585909868225869</v>
      </c>
      <c r="S6" s="17">
        <f t="shared" si="6"/>
        <v>40.207918286296476</v>
      </c>
      <c r="T6" s="17">
        <f t="shared" ref="T6:U6" si="7">(T5/T4)*100</f>
        <v>40.516133837302398</v>
      </c>
      <c r="U6" s="17">
        <f t="shared" si="7"/>
        <v>40.822602854842941</v>
      </c>
      <c r="V6" s="17">
        <f t="shared" ref="V6:W6" si="8">(V5/V4)*100</f>
        <v>41.403425200013778</v>
      </c>
      <c r="W6" s="17">
        <f t="shared" si="8"/>
        <v>41.721189331408546</v>
      </c>
    </row>
    <row r="7" spans="1:23">
      <c r="A7" s="18" t="s">
        <v>45</v>
      </c>
      <c r="B7" s="27">
        <v>3582</v>
      </c>
      <c r="C7" s="27">
        <v>4211</v>
      </c>
      <c r="D7" s="27">
        <v>5131</v>
      </c>
      <c r="E7" s="27">
        <v>5157</v>
      </c>
      <c r="F7" s="27">
        <v>5321</v>
      </c>
      <c r="G7" s="27">
        <v>5540</v>
      </c>
      <c r="H7" s="27">
        <v>6023</v>
      </c>
      <c r="I7" s="27">
        <v>6969</v>
      </c>
      <c r="J7" s="27">
        <v>5756</v>
      </c>
      <c r="K7" s="37">
        <v>6075</v>
      </c>
      <c r="L7" s="37">
        <v>7435</v>
      </c>
      <c r="M7" s="27">
        <v>7911</v>
      </c>
      <c r="N7" s="27">
        <v>8535</v>
      </c>
      <c r="O7" s="27">
        <v>9363</v>
      </c>
      <c r="P7" s="27">
        <v>9709</v>
      </c>
      <c r="Q7" s="27">
        <v>9095</v>
      </c>
      <c r="R7" s="27">
        <v>9287</v>
      </c>
      <c r="S7" s="27">
        <v>9445</v>
      </c>
      <c r="T7" s="27">
        <v>9375</v>
      </c>
      <c r="U7" s="159">
        <v>9682</v>
      </c>
      <c r="V7">
        <v>9288</v>
      </c>
      <c r="W7">
        <v>9047</v>
      </c>
    </row>
    <row r="8" spans="1:23">
      <c r="A8" s="18" t="s">
        <v>46</v>
      </c>
      <c r="B8" s="27">
        <v>1723</v>
      </c>
      <c r="C8" s="27">
        <v>1651</v>
      </c>
      <c r="D8" s="27">
        <v>1711</v>
      </c>
      <c r="E8" s="27">
        <v>1774</v>
      </c>
      <c r="F8" s="27">
        <v>1921</v>
      </c>
      <c r="G8" s="27">
        <v>1982</v>
      </c>
      <c r="H8" s="27">
        <v>1893</v>
      </c>
      <c r="I8" s="27">
        <v>2109</v>
      </c>
      <c r="J8" s="27">
        <v>2101</v>
      </c>
      <c r="K8" s="37">
        <v>2184</v>
      </c>
      <c r="L8" s="37">
        <v>2266</v>
      </c>
      <c r="M8" s="27">
        <v>2207</v>
      </c>
      <c r="N8" s="27">
        <v>2326</v>
      </c>
      <c r="O8" s="27">
        <v>2545</v>
      </c>
      <c r="P8" s="27">
        <v>2628</v>
      </c>
      <c r="Q8" s="27">
        <v>2718</v>
      </c>
      <c r="R8" s="27">
        <v>2951</v>
      </c>
      <c r="S8" s="27">
        <v>3150</v>
      </c>
      <c r="T8" s="27">
        <v>3535</v>
      </c>
      <c r="U8" s="159">
        <v>4247</v>
      </c>
      <c r="V8">
        <v>4775</v>
      </c>
      <c r="W8">
        <v>4674</v>
      </c>
    </row>
    <row r="9" spans="1:23">
      <c r="A9" s="18" t="s">
        <v>47</v>
      </c>
      <c r="B9" s="27">
        <v>478</v>
      </c>
      <c r="C9" s="27">
        <v>520</v>
      </c>
      <c r="D9" s="27">
        <v>641</v>
      </c>
      <c r="E9" s="27">
        <v>659</v>
      </c>
      <c r="F9" s="27">
        <v>668</v>
      </c>
      <c r="G9" s="27">
        <v>738</v>
      </c>
      <c r="H9" s="27">
        <v>854</v>
      </c>
      <c r="I9" s="27">
        <v>860</v>
      </c>
      <c r="J9" s="27">
        <v>865</v>
      </c>
      <c r="K9" s="37">
        <v>906</v>
      </c>
      <c r="L9" s="37">
        <v>814</v>
      </c>
      <c r="M9" s="27">
        <v>824</v>
      </c>
      <c r="N9" s="27">
        <v>754</v>
      </c>
      <c r="O9" s="27">
        <v>778</v>
      </c>
      <c r="P9" s="27">
        <v>777</v>
      </c>
      <c r="Q9" s="27">
        <v>911</v>
      </c>
      <c r="R9" s="27">
        <v>834</v>
      </c>
      <c r="S9" s="27">
        <v>853</v>
      </c>
      <c r="T9" s="27">
        <v>768</v>
      </c>
      <c r="U9">
        <v>925</v>
      </c>
      <c r="V9">
        <v>897</v>
      </c>
      <c r="W9">
        <v>840</v>
      </c>
    </row>
    <row r="10" spans="1:23">
      <c r="A10" s="18" t="s">
        <v>48</v>
      </c>
      <c r="B10" s="27">
        <v>4660</v>
      </c>
      <c r="C10" s="27">
        <v>5128</v>
      </c>
      <c r="D10" s="27">
        <v>6690</v>
      </c>
      <c r="E10" s="27">
        <v>7377</v>
      </c>
      <c r="F10" s="27">
        <v>7891</v>
      </c>
      <c r="G10" s="27">
        <v>8449</v>
      </c>
      <c r="H10" s="27">
        <v>8628</v>
      </c>
      <c r="I10" s="27">
        <v>8954</v>
      </c>
      <c r="J10" s="27">
        <v>9587</v>
      </c>
      <c r="K10" s="37">
        <v>9764</v>
      </c>
      <c r="L10" s="37">
        <v>9807</v>
      </c>
      <c r="M10" s="27">
        <v>11934</v>
      </c>
      <c r="N10" s="27">
        <v>12815</v>
      </c>
      <c r="O10" s="27">
        <v>13128</v>
      </c>
      <c r="P10" s="27">
        <v>12699</v>
      </c>
      <c r="Q10" s="27">
        <v>13558</v>
      </c>
      <c r="R10" s="27">
        <v>14308</v>
      </c>
      <c r="S10" s="27">
        <v>14904</v>
      </c>
      <c r="T10" s="27">
        <v>15689</v>
      </c>
      <c r="U10" s="159">
        <v>16614</v>
      </c>
      <c r="V10">
        <v>17166</v>
      </c>
      <c r="W10">
        <v>17414</v>
      </c>
    </row>
    <row r="11" spans="1:23">
      <c r="A11" s="18" t="s">
        <v>49</v>
      </c>
      <c r="B11" s="27">
        <v>4571</v>
      </c>
      <c r="C11" s="27">
        <v>4548</v>
      </c>
      <c r="D11" s="27">
        <v>5570</v>
      </c>
      <c r="E11" s="27">
        <v>6246</v>
      </c>
      <c r="F11" s="27">
        <v>6510</v>
      </c>
      <c r="G11" s="27">
        <v>6705</v>
      </c>
      <c r="H11" s="27">
        <v>7025</v>
      </c>
      <c r="I11" s="27">
        <v>7295</v>
      </c>
      <c r="J11" s="27">
        <v>7895</v>
      </c>
      <c r="K11" s="37">
        <v>7609</v>
      </c>
      <c r="L11" s="37">
        <v>7083</v>
      </c>
      <c r="M11" s="27">
        <v>8051</v>
      </c>
      <c r="N11" s="27">
        <v>8735</v>
      </c>
      <c r="O11" s="27">
        <v>9054</v>
      </c>
      <c r="P11" s="27">
        <v>8370</v>
      </c>
      <c r="Q11" s="27">
        <v>8281</v>
      </c>
      <c r="R11" s="27">
        <v>8604</v>
      </c>
      <c r="S11" s="27">
        <v>9600</v>
      </c>
      <c r="T11" s="27">
        <v>10153</v>
      </c>
      <c r="U11" s="159">
        <v>10665</v>
      </c>
      <c r="V11">
        <v>10928</v>
      </c>
      <c r="W11">
        <v>10878</v>
      </c>
    </row>
    <row r="12" spans="1:23">
      <c r="A12" s="18" t="s">
        <v>50</v>
      </c>
      <c r="B12" s="27">
        <v>2740</v>
      </c>
      <c r="C12" s="27">
        <v>2770</v>
      </c>
      <c r="D12" s="27">
        <v>3285</v>
      </c>
      <c r="E12" s="27">
        <v>3406</v>
      </c>
      <c r="F12" s="27">
        <v>3445</v>
      </c>
      <c r="G12" s="27">
        <v>3676</v>
      </c>
      <c r="H12" s="27">
        <v>3815</v>
      </c>
      <c r="I12" s="27">
        <v>3959</v>
      </c>
      <c r="J12" s="27">
        <v>4166</v>
      </c>
      <c r="K12" s="37">
        <v>4090</v>
      </c>
      <c r="L12" s="37">
        <v>3985</v>
      </c>
      <c r="M12" s="27">
        <v>4505</v>
      </c>
      <c r="N12" s="27">
        <v>5100</v>
      </c>
      <c r="O12" s="27">
        <v>5379</v>
      </c>
      <c r="P12" s="27">
        <v>5510</v>
      </c>
      <c r="Q12" s="27">
        <v>5546</v>
      </c>
      <c r="R12" s="27">
        <v>5446</v>
      </c>
      <c r="S12" s="27">
        <v>5662</v>
      </c>
      <c r="T12" s="27">
        <v>5527</v>
      </c>
      <c r="U12" s="159">
        <v>5775</v>
      </c>
      <c r="V12">
        <v>6057</v>
      </c>
      <c r="W12">
        <v>6065</v>
      </c>
    </row>
    <row r="13" spans="1:23">
      <c r="A13" s="18" t="s">
        <v>51</v>
      </c>
      <c r="B13" s="27">
        <v>3052</v>
      </c>
      <c r="C13" s="27">
        <v>3006</v>
      </c>
      <c r="D13" s="27">
        <v>2933</v>
      </c>
      <c r="E13" s="27">
        <v>3320</v>
      </c>
      <c r="F13" s="27">
        <v>3774</v>
      </c>
      <c r="G13" s="27">
        <v>3933</v>
      </c>
      <c r="H13" s="27">
        <v>3908</v>
      </c>
      <c r="I13" s="27">
        <v>4087</v>
      </c>
      <c r="J13" s="27">
        <v>4218</v>
      </c>
      <c r="K13" s="37">
        <v>4383</v>
      </c>
      <c r="L13" s="37">
        <v>4235</v>
      </c>
      <c r="M13" s="27">
        <v>4288</v>
      </c>
      <c r="N13" s="27">
        <v>4710</v>
      </c>
      <c r="O13" s="27">
        <v>5092</v>
      </c>
      <c r="P13" s="27">
        <v>5053</v>
      </c>
      <c r="Q13" s="27">
        <v>4655</v>
      </c>
      <c r="R13" s="27">
        <v>4431</v>
      </c>
      <c r="S13" s="27">
        <v>4320</v>
      </c>
      <c r="T13" s="27">
        <v>4526</v>
      </c>
      <c r="U13" s="159">
        <v>4922</v>
      </c>
      <c r="V13">
        <v>5142</v>
      </c>
      <c r="W13">
        <v>5317</v>
      </c>
    </row>
    <row r="14" spans="1:23">
      <c r="A14" s="18" t="s">
        <v>52</v>
      </c>
      <c r="B14" s="27">
        <v>2696</v>
      </c>
      <c r="C14" s="27">
        <v>2721</v>
      </c>
      <c r="D14" s="27">
        <v>3769</v>
      </c>
      <c r="E14" s="27">
        <v>4197</v>
      </c>
      <c r="F14" s="27">
        <v>4422</v>
      </c>
      <c r="G14" s="27">
        <v>4658</v>
      </c>
      <c r="H14" s="27">
        <v>5431</v>
      </c>
      <c r="I14" s="27">
        <v>5201</v>
      </c>
      <c r="J14" s="27">
        <v>5225</v>
      </c>
      <c r="K14" s="37">
        <v>5602</v>
      </c>
      <c r="L14" s="37">
        <v>5550</v>
      </c>
      <c r="M14" s="27">
        <v>6317</v>
      </c>
      <c r="N14" s="27">
        <v>6733</v>
      </c>
      <c r="O14" s="27">
        <v>6722</v>
      </c>
      <c r="P14" s="27">
        <v>7053</v>
      </c>
      <c r="Q14" s="27">
        <v>7593</v>
      </c>
      <c r="R14" s="27">
        <v>7768</v>
      </c>
      <c r="S14" s="27">
        <v>8116</v>
      </c>
      <c r="T14" s="27">
        <v>8882</v>
      </c>
      <c r="U14" s="159">
        <v>9440</v>
      </c>
      <c r="V14">
        <v>9892</v>
      </c>
      <c r="W14">
        <v>10815</v>
      </c>
    </row>
    <row r="15" spans="1:23">
      <c r="A15" s="18" t="s">
        <v>53</v>
      </c>
      <c r="B15" s="27">
        <v>1830</v>
      </c>
      <c r="C15" s="27">
        <v>1782</v>
      </c>
      <c r="D15" s="27">
        <v>2197</v>
      </c>
      <c r="E15" s="27">
        <v>2262</v>
      </c>
      <c r="F15" s="27">
        <v>2239</v>
      </c>
      <c r="G15" s="27">
        <v>2227</v>
      </c>
      <c r="H15" s="27">
        <v>2246</v>
      </c>
      <c r="I15" s="27">
        <v>2694</v>
      </c>
      <c r="J15" s="27">
        <v>2831</v>
      </c>
      <c r="K15" s="37">
        <v>2805</v>
      </c>
      <c r="L15" s="37">
        <v>2639</v>
      </c>
      <c r="M15" s="27">
        <v>2727</v>
      </c>
      <c r="N15" s="27">
        <v>2940</v>
      </c>
      <c r="O15" s="27">
        <v>2971</v>
      </c>
      <c r="P15" s="27">
        <v>2900</v>
      </c>
      <c r="Q15" s="27">
        <v>2959</v>
      </c>
      <c r="R15" s="27">
        <v>2974</v>
      </c>
      <c r="S15" s="27">
        <v>3052</v>
      </c>
      <c r="T15" s="27">
        <v>3077</v>
      </c>
      <c r="U15" s="159">
        <v>3426</v>
      </c>
      <c r="V15">
        <v>3452</v>
      </c>
      <c r="W15">
        <v>3328</v>
      </c>
    </row>
    <row r="16" spans="1:23">
      <c r="A16" s="18" t="s">
        <v>54</v>
      </c>
      <c r="B16" s="27">
        <v>4394</v>
      </c>
      <c r="C16" s="27">
        <v>4665</v>
      </c>
      <c r="D16" s="27">
        <v>5103</v>
      </c>
      <c r="E16" s="27">
        <v>5280</v>
      </c>
      <c r="F16" s="27">
        <v>5561</v>
      </c>
      <c r="G16" s="27">
        <v>5645</v>
      </c>
      <c r="H16" s="27">
        <v>5863</v>
      </c>
      <c r="I16" s="27">
        <v>6065</v>
      </c>
      <c r="J16" s="27">
        <v>5961</v>
      </c>
      <c r="K16" s="37">
        <v>6504</v>
      </c>
      <c r="L16" s="37">
        <v>6932</v>
      </c>
      <c r="M16" s="27">
        <v>7371</v>
      </c>
      <c r="N16" s="27">
        <v>8233</v>
      </c>
      <c r="O16" s="27">
        <v>8410</v>
      </c>
      <c r="P16" s="27">
        <v>8826</v>
      </c>
      <c r="Q16" s="27">
        <v>9207</v>
      </c>
      <c r="R16" s="27">
        <v>9643</v>
      </c>
      <c r="S16" s="27">
        <v>10060</v>
      </c>
      <c r="T16" s="27">
        <v>10379</v>
      </c>
      <c r="U16" s="159">
        <v>11232</v>
      </c>
      <c r="V16">
        <v>11445</v>
      </c>
      <c r="W16">
        <v>11452</v>
      </c>
    </row>
    <row r="17" spans="1:23">
      <c r="A17" s="18" t="s">
        <v>55</v>
      </c>
      <c r="B17" s="27">
        <v>3220</v>
      </c>
      <c r="C17" s="27">
        <v>3236</v>
      </c>
      <c r="D17" s="27">
        <v>3187</v>
      </c>
      <c r="E17" s="27">
        <v>3472</v>
      </c>
      <c r="F17" s="27">
        <v>3745</v>
      </c>
      <c r="G17" s="27">
        <v>3595</v>
      </c>
      <c r="H17" s="27">
        <v>3003</v>
      </c>
      <c r="I17" s="27">
        <v>3512</v>
      </c>
      <c r="J17" s="27">
        <v>3789</v>
      </c>
      <c r="K17" s="37">
        <v>3794</v>
      </c>
      <c r="L17" s="37">
        <v>4130</v>
      </c>
      <c r="M17" s="27">
        <v>4132</v>
      </c>
      <c r="N17" s="27">
        <v>4361</v>
      </c>
      <c r="O17" s="27">
        <v>4436</v>
      </c>
      <c r="P17" s="27">
        <v>4170</v>
      </c>
      <c r="Q17" s="27">
        <v>4113</v>
      </c>
      <c r="R17" s="27">
        <v>4142</v>
      </c>
      <c r="S17" s="27">
        <v>4615</v>
      </c>
      <c r="T17" s="27">
        <v>4551</v>
      </c>
      <c r="U17" s="159">
        <v>4984</v>
      </c>
      <c r="V17">
        <v>5164</v>
      </c>
      <c r="W17">
        <v>5020</v>
      </c>
    </row>
    <row r="18" spans="1:23">
      <c r="A18" s="18" t="s">
        <v>56</v>
      </c>
      <c r="B18" s="27">
        <v>2853</v>
      </c>
      <c r="C18" s="27">
        <v>3089</v>
      </c>
      <c r="D18" s="27">
        <v>3512</v>
      </c>
      <c r="E18" s="27">
        <v>3863</v>
      </c>
      <c r="F18" s="27">
        <v>3972</v>
      </c>
      <c r="G18" s="27">
        <v>4102</v>
      </c>
      <c r="H18" s="27">
        <v>4041</v>
      </c>
      <c r="I18" s="27">
        <v>4140</v>
      </c>
      <c r="J18" s="27">
        <v>4204</v>
      </c>
      <c r="K18" s="37">
        <v>4180</v>
      </c>
      <c r="L18" s="37">
        <v>4054</v>
      </c>
      <c r="M18" s="27">
        <v>3762</v>
      </c>
      <c r="N18" s="27">
        <v>3831</v>
      </c>
      <c r="O18" s="27">
        <v>3903</v>
      </c>
      <c r="P18" s="27">
        <v>3871</v>
      </c>
      <c r="Q18" s="27">
        <v>3796</v>
      </c>
      <c r="R18" s="27">
        <v>3655</v>
      </c>
      <c r="S18" s="27">
        <v>3638</v>
      </c>
      <c r="T18" s="27">
        <v>4002</v>
      </c>
      <c r="U18" s="159">
        <v>4121</v>
      </c>
      <c r="V18">
        <v>4367</v>
      </c>
      <c r="W18">
        <v>4568</v>
      </c>
    </row>
    <row r="19" spans="1:23">
      <c r="A19" s="18" t="s">
        <v>57</v>
      </c>
      <c r="B19" s="27">
        <v>3027</v>
      </c>
      <c r="C19" s="27">
        <v>3258</v>
      </c>
      <c r="D19" s="27">
        <v>3457</v>
      </c>
      <c r="E19" s="27">
        <v>3613</v>
      </c>
      <c r="F19" s="27">
        <v>4091</v>
      </c>
      <c r="G19" s="27">
        <v>4366</v>
      </c>
      <c r="H19" s="27">
        <v>4296</v>
      </c>
      <c r="I19" s="27">
        <v>4666</v>
      </c>
      <c r="J19" s="27">
        <v>4771</v>
      </c>
      <c r="K19" s="37">
        <v>4829</v>
      </c>
      <c r="L19" s="37">
        <v>5143</v>
      </c>
      <c r="M19" s="27">
        <v>5188</v>
      </c>
      <c r="N19" s="27">
        <v>5059</v>
      </c>
      <c r="O19" s="27">
        <v>5171</v>
      </c>
      <c r="P19" s="27">
        <v>5243</v>
      </c>
      <c r="Q19" s="27">
        <v>5087</v>
      </c>
      <c r="R19" s="27">
        <v>5148</v>
      </c>
      <c r="S19" s="27">
        <v>5562</v>
      </c>
      <c r="T19" s="27">
        <v>5506</v>
      </c>
      <c r="U19" s="159">
        <v>5877</v>
      </c>
      <c r="V19">
        <v>5885</v>
      </c>
      <c r="W19">
        <v>5902</v>
      </c>
    </row>
    <row r="20" spans="1:23">
      <c r="A20" s="18" t="s">
        <v>58</v>
      </c>
      <c r="B20" s="27">
        <v>13009</v>
      </c>
      <c r="C20" s="27">
        <v>13183</v>
      </c>
      <c r="D20" s="27">
        <v>14973</v>
      </c>
      <c r="E20" s="27">
        <v>16119</v>
      </c>
      <c r="F20" s="27">
        <v>16749</v>
      </c>
      <c r="G20" s="27">
        <v>17075</v>
      </c>
      <c r="H20" s="27">
        <v>17074</v>
      </c>
      <c r="I20" s="27">
        <v>17324</v>
      </c>
      <c r="J20" s="27">
        <v>17843</v>
      </c>
      <c r="K20" s="37">
        <v>17718</v>
      </c>
      <c r="L20" s="37">
        <v>18439</v>
      </c>
      <c r="M20" s="27">
        <v>21136</v>
      </c>
      <c r="N20" s="27">
        <v>23574</v>
      </c>
      <c r="O20" s="27">
        <v>25307</v>
      </c>
      <c r="P20" s="27">
        <v>25300</v>
      </c>
      <c r="Q20" s="27">
        <v>25101</v>
      </c>
      <c r="R20" s="27">
        <v>26078</v>
      </c>
      <c r="S20" s="27">
        <v>27591</v>
      </c>
      <c r="T20" s="27">
        <v>30505</v>
      </c>
      <c r="U20" s="159">
        <v>32254</v>
      </c>
      <c r="V20">
        <v>35319</v>
      </c>
      <c r="W20">
        <v>33690</v>
      </c>
    </row>
    <row r="21" spans="1:23">
      <c r="A21" s="18" t="s">
        <v>59</v>
      </c>
      <c r="B21" s="27">
        <v>4798</v>
      </c>
      <c r="C21" s="27">
        <v>5171</v>
      </c>
      <c r="D21" s="27">
        <v>6819</v>
      </c>
      <c r="E21" s="27">
        <v>7442</v>
      </c>
      <c r="F21" s="27">
        <v>7897</v>
      </c>
      <c r="G21" s="27">
        <v>8381</v>
      </c>
      <c r="H21" s="27">
        <v>8554</v>
      </c>
      <c r="I21" s="27">
        <v>8723</v>
      </c>
      <c r="J21" s="27">
        <v>8582</v>
      </c>
      <c r="K21" s="37">
        <v>8598</v>
      </c>
      <c r="L21" s="37">
        <v>8667</v>
      </c>
      <c r="M21" s="27">
        <v>8826</v>
      </c>
      <c r="N21" s="27">
        <v>9321</v>
      </c>
      <c r="O21" s="27">
        <v>9872</v>
      </c>
      <c r="P21" s="27">
        <v>10494</v>
      </c>
      <c r="Q21" s="27">
        <v>10436</v>
      </c>
      <c r="R21" s="27">
        <v>10933</v>
      </c>
      <c r="S21" s="27">
        <v>10812</v>
      </c>
      <c r="T21" s="27">
        <v>11526</v>
      </c>
      <c r="U21" s="159">
        <v>11587</v>
      </c>
      <c r="V21">
        <v>11803</v>
      </c>
      <c r="W21">
        <v>11728</v>
      </c>
    </row>
    <row r="22" spans="1:23">
      <c r="A22" s="20" t="s">
        <v>60</v>
      </c>
      <c r="B22" s="27">
        <v>1674</v>
      </c>
      <c r="C22" s="27">
        <v>1725</v>
      </c>
      <c r="D22" s="27">
        <v>1805</v>
      </c>
      <c r="E22" s="27">
        <v>1804</v>
      </c>
      <c r="F22" s="27">
        <v>1912</v>
      </c>
      <c r="G22" s="27">
        <v>2140</v>
      </c>
      <c r="H22" s="27">
        <v>2059</v>
      </c>
      <c r="I22" s="27">
        <v>2101</v>
      </c>
      <c r="J22" s="27">
        <v>2366</v>
      </c>
      <c r="K22" s="37">
        <v>2268</v>
      </c>
      <c r="L22" s="37">
        <v>2303</v>
      </c>
      <c r="M22" s="27">
        <v>2216</v>
      </c>
      <c r="N22" s="27">
        <v>2479</v>
      </c>
      <c r="O22" s="27">
        <v>2405</v>
      </c>
      <c r="P22" s="27">
        <v>2543</v>
      </c>
      <c r="Q22" s="27">
        <v>2511</v>
      </c>
      <c r="R22" s="27">
        <v>2549</v>
      </c>
      <c r="S22" s="27">
        <v>2540</v>
      </c>
      <c r="T22" s="27">
        <v>2559</v>
      </c>
      <c r="U22" s="159">
        <v>2696</v>
      </c>
      <c r="V22" s="162">
        <v>2701</v>
      </c>
      <c r="W22" s="141">
        <v>2611</v>
      </c>
    </row>
    <row r="23" spans="1:23">
      <c r="A23" s="22" t="s">
        <v>61</v>
      </c>
      <c r="B23" s="22">
        <f t="shared" ref="B23:S23" si="9">SUM(B25:B37)</f>
        <v>31719</v>
      </c>
      <c r="C23" s="22">
        <f t="shared" si="9"/>
        <v>31847</v>
      </c>
      <c r="D23" s="22">
        <f t="shared" si="9"/>
        <v>39252</v>
      </c>
      <c r="E23" s="22">
        <f t="shared" si="9"/>
        <v>41730</v>
      </c>
      <c r="F23" s="22">
        <f t="shared" si="9"/>
        <v>42610</v>
      </c>
      <c r="G23" s="22">
        <f t="shared" si="9"/>
        <v>42281</v>
      </c>
      <c r="H23" s="22">
        <f t="shared" si="9"/>
        <v>42855</v>
      </c>
      <c r="I23" s="22">
        <f t="shared" si="9"/>
        <v>43506</v>
      </c>
      <c r="J23" s="22">
        <f t="shared" si="9"/>
        <v>45162</v>
      </c>
      <c r="K23" s="22">
        <f t="shared" si="9"/>
        <v>46040</v>
      </c>
      <c r="L23" s="22">
        <f t="shared" si="9"/>
        <v>46624</v>
      </c>
      <c r="M23" s="22">
        <f t="shared" si="9"/>
        <v>51707</v>
      </c>
      <c r="N23" s="22">
        <f t="shared" si="9"/>
        <v>56299</v>
      </c>
      <c r="O23" s="22">
        <f t="shared" si="9"/>
        <v>57699</v>
      </c>
      <c r="P23" s="22">
        <f t="shared" si="9"/>
        <v>58734</v>
      </c>
      <c r="Q23" s="22">
        <f t="shared" si="9"/>
        <v>57691</v>
      </c>
      <c r="R23" s="22">
        <f t="shared" si="9"/>
        <v>59569</v>
      </c>
      <c r="S23" s="22">
        <f t="shared" si="9"/>
        <v>60704</v>
      </c>
      <c r="T23" s="22">
        <f t="shared" ref="T23:U23" si="10">SUM(T25:T37)</f>
        <v>63183</v>
      </c>
      <c r="U23" s="22">
        <f t="shared" si="10"/>
        <v>67196</v>
      </c>
      <c r="V23" s="22">
        <f t="shared" ref="V23:W23" si="11">SUM(V25:V37)</f>
        <v>66797</v>
      </c>
      <c r="W23" s="22">
        <f t="shared" si="11"/>
        <v>66723</v>
      </c>
    </row>
    <row r="24" spans="1:23">
      <c r="A24" s="17" t="s">
        <v>44</v>
      </c>
      <c r="B24" s="17">
        <f t="shared" ref="B24:S24" si="12">(B23/B4)*100</f>
        <v>19.041873030166592</v>
      </c>
      <c r="C24" s="17">
        <f t="shared" si="12"/>
        <v>18.535634257777261</v>
      </c>
      <c r="D24" s="17">
        <f t="shared" si="12"/>
        <v>19.418705320701513</v>
      </c>
      <c r="E24" s="17">
        <f t="shared" si="12"/>
        <v>19.643470770157741</v>
      </c>
      <c r="F24" s="17">
        <f t="shared" si="12"/>
        <v>19.358238722837815</v>
      </c>
      <c r="G24" s="17">
        <f t="shared" si="12"/>
        <v>18.980431942754791</v>
      </c>
      <c r="H24" s="17">
        <f t="shared" si="12"/>
        <v>18.97447931425333</v>
      </c>
      <c r="I24" s="17">
        <f t="shared" si="12"/>
        <v>18.772815533980584</v>
      </c>
      <c r="J24" s="17">
        <f t="shared" si="12"/>
        <v>19.142767524859909</v>
      </c>
      <c r="K24" s="17">
        <f t="shared" si="12"/>
        <v>19.303902289717865</v>
      </c>
      <c r="L24" s="17">
        <f t="shared" si="12"/>
        <v>19.17444284968148</v>
      </c>
      <c r="M24" s="17">
        <f t="shared" si="12"/>
        <v>19.461036150473287</v>
      </c>
      <c r="N24" s="17">
        <f t="shared" si="12"/>
        <v>19.744474605278846</v>
      </c>
      <c r="O24" s="17">
        <f t="shared" si="12"/>
        <v>19.793485531980583</v>
      </c>
      <c r="P24" s="17">
        <f t="shared" si="12"/>
        <v>20.010425290528318</v>
      </c>
      <c r="Q24" s="17">
        <f t="shared" si="12"/>
        <v>19.75915416257094</v>
      </c>
      <c r="R24" s="17">
        <f t="shared" si="12"/>
        <v>19.857458589320061</v>
      </c>
      <c r="S24" s="17">
        <f t="shared" si="12"/>
        <v>19.696428919071508</v>
      </c>
      <c r="T24" s="17">
        <f t="shared" ref="T24:U24" si="13">(T23/T4)*100</f>
        <v>19.607313757983132</v>
      </c>
      <c r="U24" s="17">
        <f t="shared" si="13"/>
        <v>19.813471013702184</v>
      </c>
      <c r="V24" s="17">
        <f t="shared" ref="V24:W24" si="14">(V23/V4)*100</f>
        <v>19.168321491293518</v>
      </c>
      <c r="W24" s="17">
        <f t="shared" si="14"/>
        <v>19.419479143625505</v>
      </c>
    </row>
    <row r="25" spans="1:23">
      <c r="A25" s="18" t="s">
        <v>62</v>
      </c>
      <c r="B25" s="27">
        <v>279</v>
      </c>
      <c r="C25" s="27">
        <v>277</v>
      </c>
      <c r="D25" s="27">
        <v>322</v>
      </c>
      <c r="E25" s="27">
        <v>304</v>
      </c>
      <c r="F25" s="27">
        <v>354</v>
      </c>
      <c r="G25" s="27">
        <v>386</v>
      </c>
      <c r="H25" s="27">
        <v>419</v>
      </c>
      <c r="I25" s="27">
        <v>465</v>
      </c>
      <c r="J25" s="27">
        <v>429</v>
      </c>
      <c r="K25" s="37">
        <v>422</v>
      </c>
      <c r="L25" s="37">
        <v>443</v>
      </c>
      <c r="M25" s="27">
        <v>428</v>
      </c>
      <c r="N25" s="27">
        <v>501</v>
      </c>
      <c r="O25" s="27">
        <v>571</v>
      </c>
      <c r="P25" s="27">
        <v>510</v>
      </c>
      <c r="Q25" s="27">
        <v>643</v>
      </c>
      <c r="R25" s="27">
        <v>604</v>
      </c>
      <c r="S25" s="27">
        <v>537</v>
      </c>
      <c r="T25" s="27">
        <v>620</v>
      </c>
      <c r="U25">
        <v>641</v>
      </c>
      <c r="V25">
        <v>650</v>
      </c>
      <c r="W25">
        <v>679</v>
      </c>
    </row>
    <row r="26" spans="1:23">
      <c r="A26" s="18" t="s">
        <v>63</v>
      </c>
      <c r="B26" s="27">
        <v>2804</v>
      </c>
      <c r="C26" s="27">
        <v>3058</v>
      </c>
      <c r="D26" s="27">
        <v>3569</v>
      </c>
      <c r="E26" s="27">
        <v>4022</v>
      </c>
      <c r="F26" s="27">
        <v>4405</v>
      </c>
      <c r="G26" s="27">
        <v>4850</v>
      </c>
      <c r="H26" s="27">
        <v>4860</v>
      </c>
      <c r="I26" s="27">
        <v>5088</v>
      </c>
      <c r="J26" s="27">
        <v>5331</v>
      </c>
      <c r="K26" s="37">
        <v>5457</v>
      </c>
      <c r="L26" s="37">
        <v>5605</v>
      </c>
      <c r="M26" s="27">
        <v>5991</v>
      </c>
      <c r="N26" s="27">
        <v>6423</v>
      </c>
      <c r="O26" s="27">
        <v>5958</v>
      </c>
      <c r="P26" s="27">
        <v>5996</v>
      </c>
      <c r="Q26" s="27">
        <v>6039</v>
      </c>
      <c r="R26" s="27">
        <v>6237</v>
      </c>
      <c r="S26" s="27">
        <v>6823</v>
      </c>
      <c r="T26" s="27">
        <v>6940</v>
      </c>
      <c r="U26" s="159">
        <v>7422</v>
      </c>
      <c r="V26">
        <v>7121</v>
      </c>
      <c r="W26">
        <v>7249</v>
      </c>
    </row>
    <row r="27" spans="1:23">
      <c r="A27" s="18" t="s">
        <v>64</v>
      </c>
      <c r="B27" s="27">
        <v>14219</v>
      </c>
      <c r="C27" s="27">
        <v>13625</v>
      </c>
      <c r="D27" s="27">
        <v>17722</v>
      </c>
      <c r="E27" s="27">
        <v>18864</v>
      </c>
      <c r="F27" s="27">
        <v>19323</v>
      </c>
      <c r="G27" s="27">
        <v>18187</v>
      </c>
      <c r="H27" s="27">
        <v>18217</v>
      </c>
      <c r="I27" s="27">
        <v>18084</v>
      </c>
      <c r="J27" s="27">
        <v>19468</v>
      </c>
      <c r="K27" s="37">
        <v>19967</v>
      </c>
      <c r="L27" s="37">
        <v>20006</v>
      </c>
      <c r="M27" s="27">
        <v>22300</v>
      </c>
      <c r="N27" s="27">
        <v>25233</v>
      </c>
      <c r="O27" s="27">
        <v>25886</v>
      </c>
      <c r="P27" s="27">
        <v>26732</v>
      </c>
      <c r="Q27" s="27">
        <v>26529</v>
      </c>
      <c r="R27" s="27">
        <v>27436</v>
      </c>
      <c r="S27" s="27">
        <v>28073</v>
      </c>
      <c r="T27" s="27">
        <v>28943</v>
      </c>
      <c r="U27" s="159">
        <v>30543</v>
      </c>
      <c r="V27">
        <v>29548</v>
      </c>
      <c r="W27">
        <v>29322</v>
      </c>
    </row>
    <row r="28" spans="1:23">
      <c r="A28" s="18" t="s">
        <v>65</v>
      </c>
      <c r="B28" s="27">
        <v>3237</v>
      </c>
      <c r="C28" s="27">
        <v>3486</v>
      </c>
      <c r="D28" s="27">
        <v>4248</v>
      </c>
      <c r="E28" s="27">
        <v>4562</v>
      </c>
      <c r="F28" s="27">
        <v>4612</v>
      </c>
      <c r="G28" s="27">
        <v>4531</v>
      </c>
      <c r="H28" s="27">
        <v>4450</v>
      </c>
      <c r="I28" s="27">
        <v>4900</v>
      </c>
      <c r="J28" s="27">
        <v>5202</v>
      </c>
      <c r="K28" s="37">
        <v>5124</v>
      </c>
      <c r="L28" s="37">
        <v>5076</v>
      </c>
      <c r="M28" s="27">
        <v>5395</v>
      </c>
      <c r="N28" s="27">
        <v>5476</v>
      </c>
      <c r="O28" s="27">
        <v>5771</v>
      </c>
      <c r="P28" s="27">
        <v>5725</v>
      </c>
      <c r="Q28" s="27">
        <v>5230</v>
      </c>
      <c r="R28" s="27">
        <v>5286</v>
      </c>
      <c r="S28" s="27">
        <v>5530</v>
      </c>
      <c r="T28" s="27">
        <v>5981</v>
      </c>
      <c r="U28" s="159">
        <v>6450</v>
      </c>
      <c r="V28">
        <v>6779</v>
      </c>
      <c r="W28">
        <v>6914</v>
      </c>
    </row>
    <row r="29" spans="1:23">
      <c r="A29" s="18" t="s">
        <v>66</v>
      </c>
      <c r="B29" s="27">
        <v>793</v>
      </c>
      <c r="C29" s="27">
        <v>830</v>
      </c>
      <c r="D29" s="27">
        <v>932</v>
      </c>
      <c r="E29" s="27">
        <v>1088</v>
      </c>
      <c r="F29" s="27">
        <v>1010</v>
      </c>
      <c r="G29" s="27">
        <v>1070</v>
      </c>
      <c r="H29" s="27">
        <v>1053</v>
      </c>
      <c r="I29" s="27">
        <v>1168</v>
      </c>
      <c r="J29" s="27">
        <v>932</v>
      </c>
      <c r="K29" s="37">
        <v>1035</v>
      </c>
      <c r="L29" s="37">
        <v>1040</v>
      </c>
      <c r="M29" s="27">
        <v>1018</v>
      </c>
      <c r="N29" s="27">
        <v>1053</v>
      </c>
      <c r="O29" s="27">
        <v>1143</v>
      </c>
      <c r="P29" s="27">
        <v>1181</v>
      </c>
      <c r="Q29" s="27">
        <v>1116</v>
      </c>
      <c r="R29" s="27">
        <v>1169</v>
      </c>
      <c r="S29" s="27">
        <v>1185</v>
      </c>
      <c r="T29" s="27">
        <v>1216</v>
      </c>
      <c r="U29" s="159">
        <v>1269</v>
      </c>
      <c r="V29">
        <v>1287</v>
      </c>
      <c r="W29">
        <v>1095</v>
      </c>
    </row>
    <row r="30" spans="1:23">
      <c r="A30" s="18" t="s">
        <v>67</v>
      </c>
      <c r="B30" s="27">
        <v>650</v>
      </c>
      <c r="C30" s="27">
        <v>645</v>
      </c>
      <c r="D30" s="27">
        <v>800</v>
      </c>
      <c r="E30" s="27">
        <v>878</v>
      </c>
      <c r="F30" s="27">
        <v>884</v>
      </c>
      <c r="G30" s="27">
        <v>934</v>
      </c>
      <c r="H30" s="27">
        <v>1064</v>
      </c>
      <c r="I30" s="27">
        <v>1033</v>
      </c>
      <c r="J30" s="27">
        <v>982</v>
      </c>
      <c r="K30" s="37">
        <v>1063</v>
      </c>
      <c r="L30" s="37">
        <v>1043</v>
      </c>
      <c r="M30" s="27">
        <v>1296</v>
      </c>
      <c r="N30" s="27">
        <v>993</v>
      </c>
      <c r="O30" s="27">
        <v>1431</v>
      </c>
      <c r="P30" s="27">
        <v>1488</v>
      </c>
      <c r="Q30" s="27">
        <v>1382</v>
      </c>
      <c r="R30" s="27">
        <v>1358</v>
      </c>
      <c r="S30" s="27">
        <v>1307</v>
      </c>
      <c r="T30" s="27">
        <v>1455</v>
      </c>
      <c r="U30" s="159">
        <v>1559</v>
      </c>
      <c r="V30">
        <v>1765</v>
      </c>
      <c r="W30">
        <v>1761</v>
      </c>
    </row>
    <row r="31" spans="1:23">
      <c r="A31" s="18" t="s">
        <v>68</v>
      </c>
      <c r="B31" s="27">
        <v>761</v>
      </c>
      <c r="C31" s="27">
        <v>718</v>
      </c>
      <c r="D31" s="27">
        <v>719</v>
      </c>
      <c r="E31" s="27">
        <v>747</v>
      </c>
      <c r="F31" s="27">
        <v>779</v>
      </c>
      <c r="G31" s="27">
        <v>836</v>
      </c>
      <c r="H31" s="27">
        <v>812</v>
      </c>
      <c r="I31" s="27">
        <v>834</v>
      </c>
      <c r="J31" s="27">
        <v>797</v>
      </c>
      <c r="K31" s="37">
        <v>839</v>
      </c>
      <c r="L31" s="37">
        <v>907</v>
      </c>
      <c r="M31" s="27">
        <v>949</v>
      </c>
      <c r="N31" s="27">
        <v>1037</v>
      </c>
      <c r="O31" s="27">
        <v>1089</v>
      </c>
      <c r="P31" s="27">
        <v>1053</v>
      </c>
      <c r="Q31" s="27">
        <v>1106</v>
      </c>
      <c r="R31" s="27">
        <v>1057</v>
      </c>
      <c r="S31" s="27">
        <v>1090</v>
      </c>
      <c r="T31" s="27">
        <v>1070</v>
      </c>
      <c r="U31" s="159">
        <v>1152</v>
      </c>
      <c r="V31">
        <v>1209</v>
      </c>
      <c r="W31">
        <v>1214</v>
      </c>
    </row>
    <row r="32" spans="1:23">
      <c r="A32" s="18" t="s">
        <v>69</v>
      </c>
      <c r="B32" s="27">
        <v>419</v>
      </c>
      <c r="C32" s="27">
        <v>428</v>
      </c>
      <c r="D32" s="27">
        <v>710</v>
      </c>
      <c r="E32" s="27">
        <v>845</v>
      </c>
      <c r="F32" s="27">
        <v>922</v>
      </c>
      <c r="G32" s="27">
        <v>895</v>
      </c>
      <c r="H32" s="27">
        <v>955</v>
      </c>
      <c r="I32" s="27">
        <v>968</v>
      </c>
      <c r="J32" s="27">
        <v>1094</v>
      </c>
      <c r="K32" s="37">
        <v>1144</v>
      </c>
      <c r="L32" s="37">
        <v>1160</v>
      </c>
      <c r="M32" s="27">
        <v>1244</v>
      </c>
      <c r="N32" s="27">
        <v>1347</v>
      </c>
      <c r="O32" s="27">
        <v>1562</v>
      </c>
      <c r="P32" s="27">
        <v>1653</v>
      </c>
      <c r="Q32" s="27">
        <v>1501</v>
      </c>
      <c r="R32" s="27">
        <v>1980</v>
      </c>
      <c r="S32" s="27">
        <v>1808</v>
      </c>
      <c r="T32" s="27">
        <v>1904</v>
      </c>
      <c r="U32" s="159">
        <v>1919</v>
      </c>
      <c r="V32">
        <v>1880</v>
      </c>
      <c r="W32">
        <v>1693</v>
      </c>
    </row>
    <row r="33" spans="1:23">
      <c r="A33" s="18" t="s">
        <v>70</v>
      </c>
      <c r="B33" s="27">
        <v>1686</v>
      </c>
      <c r="C33" s="27">
        <v>1746</v>
      </c>
      <c r="D33" s="27">
        <v>1984</v>
      </c>
      <c r="E33" s="27">
        <v>2039</v>
      </c>
      <c r="F33" s="27">
        <v>2157</v>
      </c>
      <c r="G33" s="27">
        <v>2218</v>
      </c>
      <c r="H33" s="27">
        <v>2305</v>
      </c>
      <c r="I33" s="27">
        <v>2291</v>
      </c>
      <c r="J33" s="27">
        <v>2114</v>
      </c>
      <c r="K33" s="37">
        <v>2068</v>
      </c>
      <c r="L33" s="37">
        <v>1978</v>
      </c>
      <c r="M33" s="27">
        <v>2127</v>
      </c>
      <c r="N33" s="27">
        <v>2402</v>
      </c>
      <c r="O33" s="27">
        <v>2553</v>
      </c>
      <c r="P33" s="27">
        <v>2672</v>
      </c>
      <c r="Q33" s="27">
        <v>2517</v>
      </c>
      <c r="R33" s="27">
        <v>2609</v>
      </c>
      <c r="S33" s="27">
        <v>2564</v>
      </c>
      <c r="T33" s="27">
        <v>2469</v>
      </c>
      <c r="U33" s="159">
        <v>2795</v>
      </c>
      <c r="V33">
        <v>2881</v>
      </c>
      <c r="W33">
        <v>2856</v>
      </c>
    </row>
    <row r="34" spans="1:23">
      <c r="A34" s="18" t="s">
        <v>71</v>
      </c>
      <c r="B34" s="27">
        <v>2290</v>
      </c>
      <c r="C34" s="27">
        <v>2254</v>
      </c>
      <c r="D34" s="27">
        <v>2944</v>
      </c>
      <c r="E34" s="27">
        <v>2635</v>
      </c>
      <c r="F34" s="27">
        <v>2613</v>
      </c>
      <c r="G34" s="27">
        <v>2705</v>
      </c>
      <c r="H34" s="27">
        <v>2767</v>
      </c>
      <c r="I34" s="27">
        <v>2714</v>
      </c>
      <c r="J34" s="27">
        <v>2742</v>
      </c>
      <c r="K34" s="37">
        <v>2802</v>
      </c>
      <c r="L34" s="37">
        <v>3138</v>
      </c>
      <c r="M34" s="27">
        <v>3647</v>
      </c>
      <c r="N34" s="27">
        <v>4134</v>
      </c>
      <c r="O34" s="27">
        <v>4133</v>
      </c>
      <c r="P34" s="27">
        <v>3877</v>
      </c>
      <c r="Q34" s="27">
        <v>3957</v>
      </c>
      <c r="R34" s="27">
        <v>3781</v>
      </c>
      <c r="S34" s="27">
        <v>3854</v>
      </c>
      <c r="T34" s="27">
        <v>4068</v>
      </c>
      <c r="U34" s="159">
        <v>4256</v>
      </c>
      <c r="V34">
        <v>4228</v>
      </c>
      <c r="W34">
        <v>4143</v>
      </c>
    </row>
    <row r="35" spans="1:23">
      <c r="A35" s="18" t="s">
        <v>72</v>
      </c>
      <c r="B35" s="27">
        <v>1328</v>
      </c>
      <c r="C35" s="27">
        <v>1500</v>
      </c>
      <c r="D35" s="27">
        <v>1450</v>
      </c>
      <c r="E35" s="27">
        <v>1657</v>
      </c>
      <c r="F35" s="27">
        <v>1515</v>
      </c>
      <c r="G35" s="27">
        <v>1663</v>
      </c>
      <c r="H35" s="27">
        <v>1675</v>
      </c>
      <c r="I35" s="27">
        <v>1822</v>
      </c>
      <c r="J35" s="27">
        <v>1916</v>
      </c>
      <c r="K35" s="37">
        <v>1976</v>
      </c>
      <c r="L35" s="37">
        <v>1843</v>
      </c>
      <c r="M35" s="27">
        <v>2267</v>
      </c>
      <c r="N35" s="27">
        <v>2595</v>
      </c>
      <c r="O35" s="27">
        <v>2379</v>
      </c>
      <c r="P35" s="27">
        <v>2662</v>
      </c>
      <c r="Q35" s="27">
        <v>2554</v>
      </c>
      <c r="R35" s="27">
        <v>2920</v>
      </c>
      <c r="S35" s="27">
        <v>2738</v>
      </c>
      <c r="T35" s="27">
        <v>2991</v>
      </c>
      <c r="U35" s="159">
        <v>3218</v>
      </c>
      <c r="V35">
        <v>3429</v>
      </c>
      <c r="W35">
        <v>3501</v>
      </c>
    </row>
    <row r="36" spans="1:23">
      <c r="A36" s="18" t="s">
        <v>73</v>
      </c>
      <c r="B36" s="27">
        <v>2908</v>
      </c>
      <c r="C36" s="27">
        <v>2937</v>
      </c>
      <c r="D36" s="27">
        <v>3502</v>
      </c>
      <c r="E36" s="27">
        <v>3747</v>
      </c>
      <c r="F36" s="27">
        <v>3579</v>
      </c>
      <c r="G36" s="27">
        <v>3610</v>
      </c>
      <c r="H36" s="27">
        <v>3868</v>
      </c>
      <c r="I36" s="27">
        <v>3746</v>
      </c>
      <c r="J36" s="27">
        <v>3768</v>
      </c>
      <c r="K36" s="37">
        <v>3747</v>
      </c>
      <c r="L36" s="37">
        <v>4008</v>
      </c>
      <c r="M36" s="27">
        <v>4628</v>
      </c>
      <c r="N36" s="27">
        <v>4685</v>
      </c>
      <c r="O36" s="27">
        <v>4768</v>
      </c>
      <c r="P36" s="27">
        <v>4748</v>
      </c>
      <c r="Q36" s="27">
        <v>4711</v>
      </c>
      <c r="R36" s="27">
        <v>4715</v>
      </c>
      <c r="S36" s="27">
        <v>4772</v>
      </c>
      <c r="T36" s="27">
        <v>5138</v>
      </c>
      <c r="U36" s="159">
        <v>5490</v>
      </c>
      <c r="V36">
        <v>5531</v>
      </c>
      <c r="W36">
        <v>5810</v>
      </c>
    </row>
    <row r="37" spans="1:23">
      <c r="A37" s="20" t="s">
        <v>74</v>
      </c>
      <c r="B37" s="27">
        <v>345</v>
      </c>
      <c r="C37" s="27">
        <v>343</v>
      </c>
      <c r="D37" s="27">
        <v>350</v>
      </c>
      <c r="E37" s="27">
        <v>342</v>
      </c>
      <c r="F37" s="27">
        <v>457</v>
      </c>
      <c r="G37" s="27">
        <v>396</v>
      </c>
      <c r="H37" s="27">
        <v>410</v>
      </c>
      <c r="I37" s="27">
        <v>393</v>
      </c>
      <c r="J37" s="27">
        <v>387</v>
      </c>
      <c r="K37" s="37">
        <v>396</v>
      </c>
      <c r="L37" s="37">
        <v>377</v>
      </c>
      <c r="M37" s="27">
        <v>417</v>
      </c>
      <c r="N37" s="27">
        <v>420</v>
      </c>
      <c r="O37" s="27">
        <v>455</v>
      </c>
      <c r="P37" s="27">
        <v>437</v>
      </c>
      <c r="Q37" s="27">
        <v>406</v>
      </c>
      <c r="R37" s="27">
        <v>417</v>
      </c>
      <c r="S37" s="27">
        <v>423</v>
      </c>
      <c r="T37" s="27">
        <v>388</v>
      </c>
      <c r="U37">
        <v>482</v>
      </c>
      <c r="V37" s="162">
        <v>489</v>
      </c>
      <c r="W37" s="141">
        <v>486</v>
      </c>
    </row>
    <row r="38" spans="1:23">
      <c r="A38" s="15" t="s">
        <v>75</v>
      </c>
      <c r="B38" s="15">
        <f t="shared" ref="B38:S38" si="15">SUM(B40:B51)</f>
        <v>51106</v>
      </c>
      <c r="C38" s="15">
        <f t="shared" si="15"/>
        <v>52485</v>
      </c>
      <c r="D38" s="15">
        <f t="shared" si="15"/>
        <v>58043</v>
      </c>
      <c r="E38" s="15">
        <f t="shared" si="15"/>
        <v>60113</v>
      </c>
      <c r="F38" s="15">
        <f t="shared" si="15"/>
        <v>61516</v>
      </c>
      <c r="G38" s="15">
        <f t="shared" si="15"/>
        <v>61656</v>
      </c>
      <c r="H38" s="15">
        <f t="shared" si="15"/>
        <v>62856</v>
      </c>
      <c r="I38" s="15">
        <f t="shared" si="15"/>
        <v>63143</v>
      </c>
      <c r="J38" s="15">
        <f t="shared" si="15"/>
        <v>64225</v>
      </c>
      <c r="K38" s="15">
        <f t="shared" si="15"/>
        <v>64674</v>
      </c>
      <c r="L38" s="15">
        <f t="shared" si="15"/>
        <v>65224</v>
      </c>
      <c r="M38" s="15">
        <f t="shared" si="15"/>
        <v>70984</v>
      </c>
      <c r="N38" s="15">
        <f t="shared" si="15"/>
        <v>73992</v>
      </c>
      <c r="O38" s="15">
        <f t="shared" si="15"/>
        <v>74579</v>
      </c>
      <c r="P38" s="15">
        <f t="shared" si="15"/>
        <v>74280</v>
      </c>
      <c r="Q38" s="15">
        <f t="shared" si="15"/>
        <v>72958</v>
      </c>
      <c r="R38" s="15">
        <f t="shared" si="15"/>
        <v>75342</v>
      </c>
      <c r="S38" s="15">
        <f t="shared" si="15"/>
        <v>76603</v>
      </c>
      <c r="T38" s="15">
        <f t="shared" ref="T38:U38" si="16">SUM(T40:T51)</f>
        <v>78982</v>
      </c>
      <c r="U38" s="15">
        <f t="shared" si="16"/>
        <v>82324</v>
      </c>
      <c r="V38" s="15">
        <f t="shared" ref="V38:W38" si="17">SUM(V40:V51)</f>
        <v>85099</v>
      </c>
      <c r="W38" s="15">
        <f t="shared" si="17"/>
        <v>83358</v>
      </c>
    </row>
    <row r="39" spans="1:23">
      <c r="A39" s="17" t="s">
        <v>44</v>
      </c>
      <c r="B39" s="17">
        <f t="shared" ref="B39:S39" si="18">(B38/B4)*100</f>
        <v>30.680474260843464</v>
      </c>
      <c r="C39" s="17">
        <f t="shared" si="18"/>
        <v>30.547391089252972</v>
      </c>
      <c r="D39" s="17">
        <f t="shared" si="18"/>
        <v>28.714967719593343</v>
      </c>
      <c r="E39" s="17">
        <f t="shared" si="18"/>
        <v>28.296859774897971</v>
      </c>
      <c r="F39" s="17">
        <f t="shared" si="18"/>
        <v>27.947463348371066</v>
      </c>
      <c r="G39" s="17">
        <f t="shared" si="18"/>
        <v>27.678094459981772</v>
      </c>
      <c r="H39" s="17">
        <f t="shared" si="18"/>
        <v>27.830121847548885</v>
      </c>
      <c r="I39" s="17">
        <f t="shared" si="18"/>
        <v>27.24617044228695</v>
      </c>
      <c r="J39" s="17">
        <f t="shared" si="18"/>
        <v>27.222980476598195</v>
      </c>
      <c r="K39" s="17">
        <f t="shared" si="18"/>
        <v>27.116867434518095</v>
      </c>
      <c r="L39" s="17">
        <f t="shared" si="18"/>
        <v>26.823821646096967</v>
      </c>
      <c r="M39" s="17">
        <f t="shared" si="18"/>
        <v>26.716347691902371</v>
      </c>
      <c r="N39" s="17">
        <f t="shared" si="18"/>
        <v>25.949540222629043</v>
      </c>
      <c r="O39" s="17">
        <f t="shared" si="18"/>
        <v>25.584123771461897</v>
      </c>
      <c r="P39" s="17">
        <f t="shared" si="18"/>
        <v>25.306881713835992</v>
      </c>
      <c r="Q39" s="17">
        <f t="shared" si="18"/>
        <v>24.988098133033759</v>
      </c>
      <c r="R39" s="17">
        <f t="shared" si="18"/>
        <v>25.115423207315079</v>
      </c>
      <c r="S39" s="17">
        <f t="shared" si="18"/>
        <v>24.855125601074633</v>
      </c>
      <c r="T39" s="17">
        <f t="shared" ref="T39:U39" si="19">(T38/T4)*100</f>
        <v>24.510150756263926</v>
      </c>
      <c r="U39" s="17">
        <f t="shared" si="19"/>
        <v>24.274126253527271</v>
      </c>
      <c r="V39" s="17">
        <f t="shared" ref="V39:W39" si="20">(V38/V4)*100</f>
        <v>24.420333107588473</v>
      </c>
      <c r="W39" s="17">
        <f t="shared" si="20"/>
        <v>24.261033563453903</v>
      </c>
    </row>
    <row r="40" spans="1:23">
      <c r="A40" s="18" t="s">
        <v>76</v>
      </c>
      <c r="B40" s="27">
        <v>8096</v>
      </c>
      <c r="C40" s="27">
        <v>8412</v>
      </c>
      <c r="D40" s="27">
        <v>9573</v>
      </c>
      <c r="E40" s="27">
        <v>9795</v>
      </c>
      <c r="F40" s="27">
        <v>10268</v>
      </c>
      <c r="G40" s="27">
        <v>9858</v>
      </c>
      <c r="H40" s="27">
        <v>10026</v>
      </c>
      <c r="I40" s="27">
        <v>9901</v>
      </c>
      <c r="J40" s="27">
        <v>10051</v>
      </c>
      <c r="K40" s="37">
        <v>9845</v>
      </c>
      <c r="L40" s="37">
        <v>10075</v>
      </c>
      <c r="M40" s="27">
        <v>11547</v>
      </c>
      <c r="N40" s="27">
        <v>11827</v>
      </c>
      <c r="O40" s="27">
        <v>11601</v>
      </c>
      <c r="P40" s="27">
        <v>11642</v>
      </c>
      <c r="Q40" s="27">
        <v>11542</v>
      </c>
      <c r="R40" s="27">
        <v>12271</v>
      </c>
      <c r="S40" s="27">
        <v>12107</v>
      </c>
      <c r="T40" s="27">
        <v>12629</v>
      </c>
      <c r="U40" s="159">
        <v>12772</v>
      </c>
      <c r="V40">
        <v>12630</v>
      </c>
      <c r="W40">
        <v>12333</v>
      </c>
    </row>
    <row r="41" spans="1:23">
      <c r="A41" s="18" t="s">
        <v>77</v>
      </c>
      <c r="B41" s="27">
        <v>5608</v>
      </c>
      <c r="C41" s="27">
        <v>5602</v>
      </c>
      <c r="D41" s="27">
        <v>5059</v>
      </c>
      <c r="E41" s="27">
        <v>5173</v>
      </c>
      <c r="F41" s="27">
        <v>5228</v>
      </c>
      <c r="G41" s="27">
        <v>5648</v>
      </c>
      <c r="H41" s="27">
        <v>5743</v>
      </c>
      <c r="I41" s="27">
        <v>5650</v>
      </c>
      <c r="J41" s="27">
        <v>5738</v>
      </c>
      <c r="K41" s="37">
        <v>5539</v>
      </c>
      <c r="L41" s="37">
        <v>5814</v>
      </c>
      <c r="M41" s="27">
        <v>6425</v>
      </c>
      <c r="N41" s="27">
        <v>7121</v>
      </c>
      <c r="O41" s="27">
        <v>7332</v>
      </c>
      <c r="P41" s="27">
        <v>7562</v>
      </c>
      <c r="Q41" s="27">
        <v>7560</v>
      </c>
      <c r="R41" s="27">
        <v>7701</v>
      </c>
      <c r="S41" s="27">
        <v>7842</v>
      </c>
      <c r="T41" s="27">
        <v>8321</v>
      </c>
      <c r="U41" s="159">
        <v>9024</v>
      </c>
      <c r="V41">
        <v>9275</v>
      </c>
      <c r="W41">
        <v>9589</v>
      </c>
    </row>
    <row r="42" spans="1:23">
      <c r="A42" s="18" t="s">
        <v>78</v>
      </c>
      <c r="B42" s="27">
        <v>2104</v>
      </c>
      <c r="C42" s="27">
        <v>2339</v>
      </c>
      <c r="D42" s="27">
        <v>2507</v>
      </c>
      <c r="E42" s="27">
        <v>2561</v>
      </c>
      <c r="F42" s="27">
        <v>2551</v>
      </c>
      <c r="G42" s="27">
        <v>2540</v>
      </c>
      <c r="H42" s="27">
        <v>2455</v>
      </c>
      <c r="I42" s="27">
        <v>2452</v>
      </c>
      <c r="J42" s="27">
        <v>2495</v>
      </c>
      <c r="K42" s="37">
        <v>2507</v>
      </c>
      <c r="L42" s="37">
        <v>2488</v>
      </c>
      <c r="M42" s="27">
        <v>2589</v>
      </c>
      <c r="N42" s="27">
        <v>2621</v>
      </c>
      <c r="O42" s="27">
        <v>2767</v>
      </c>
      <c r="P42" s="27">
        <v>2834</v>
      </c>
      <c r="Q42" s="27">
        <v>2529</v>
      </c>
      <c r="R42" s="27">
        <v>2631</v>
      </c>
      <c r="S42" s="27">
        <v>2586</v>
      </c>
      <c r="T42" s="27">
        <v>2824</v>
      </c>
      <c r="U42" s="159">
        <v>2801</v>
      </c>
      <c r="V42">
        <v>2976</v>
      </c>
      <c r="W42">
        <v>2694</v>
      </c>
    </row>
    <row r="43" spans="1:23">
      <c r="A43" s="18" t="s">
        <v>79</v>
      </c>
      <c r="B43" s="27">
        <v>2954</v>
      </c>
      <c r="C43" s="27">
        <v>2905</v>
      </c>
      <c r="D43" s="27">
        <v>3361</v>
      </c>
      <c r="E43" s="27">
        <v>3471</v>
      </c>
      <c r="F43" s="27">
        <v>3795</v>
      </c>
      <c r="G43" s="27">
        <v>3748</v>
      </c>
      <c r="H43" s="27">
        <v>3950</v>
      </c>
      <c r="I43" s="27">
        <v>3859</v>
      </c>
      <c r="J43" s="27">
        <v>3774</v>
      </c>
      <c r="K43" s="37">
        <v>4009</v>
      </c>
      <c r="L43" s="37">
        <v>3857</v>
      </c>
      <c r="M43" s="27">
        <v>4149</v>
      </c>
      <c r="N43" s="27">
        <v>4324</v>
      </c>
      <c r="O43" s="27">
        <v>4186</v>
      </c>
      <c r="P43" s="27">
        <v>4182</v>
      </c>
      <c r="Q43" s="27">
        <v>4062</v>
      </c>
      <c r="R43" s="27">
        <v>4324</v>
      </c>
      <c r="S43" s="27">
        <v>4504</v>
      </c>
      <c r="T43" s="27">
        <v>4713</v>
      </c>
      <c r="U43" s="159">
        <v>5106</v>
      </c>
      <c r="V43">
        <v>5306</v>
      </c>
      <c r="W43">
        <v>4903</v>
      </c>
    </row>
    <row r="44" spans="1:23">
      <c r="A44" s="18" t="s">
        <v>80</v>
      </c>
      <c r="B44" s="27">
        <v>10415</v>
      </c>
      <c r="C44" s="27">
        <v>10749</v>
      </c>
      <c r="D44" s="27">
        <v>12818</v>
      </c>
      <c r="E44" s="27">
        <v>13177</v>
      </c>
      <c r="F44" s="27">
        <v>13664</v>
      </c>
      <c r="G44" s="27">
        <v>13720</v>
      </c>
      <c r="H44" s="27">
        <v>13577</v>
      </c>
      <c r="I44" s="27">
        <v>14054</v>
      </c>
      <c r="J44" s="27">
        <v>14335</v>
      </c>
      <c r="K44" s="37">
        <v>14711</v>
      </c>
      <c r="L44" s="37">
        <v>15315</v>
      </c>
      <c r="M44" s="27">
        <v>16300</v>
      </c>
      <c r="N44" s="27">
        <v>16832</v>
      </c>
      <c r="O44" s="27">
        <v>16654</v>
      </c>
      <c r="P44" s="27">
        <v>15881</v>
      </c>
      <c r="Q44" s="27">
        <v>15767</v>
      </c>
      <c r="R44" s="27">
        <v>15709</v>
      </c>
      <c r="S44" s="27">
        <v>16078</v>
      </c>
      <c r="T44" s="27">
        <v>15668</v>
      </c>
      <c r="U44" s="159">
        <v>16108</v>
      </c>
      <c r="V44">
        <v>16582</v>
      </c>
      <c r="W44">
        <v>16407</v>
      </c>
    </row>
    <row r="45" spans="1:23">
      <c r="A45" s="18" t="s">
        <v>81</v>
      </c>
      <c r="B45" s="27">
        <v>2826</v>
      </c>
      <c r="C45" s="27">
        <v>3012</v>
      </c>
      <c r="D45" s="27">
        <v>3357</v>
      </c>
      <c r="E45" s="27">
        <v>3454</v>
      </c>
      <c r="F45" s="27">
        <v>3491</v>
      </c>
      <c r="G45" s="27">
        <v>3508</v>
      </c>
      <c r="H45" s="27">
        <v>3896</v>
      </c>
      <c r="I45" s="27">
        <v>3770</v>
      </c>
      <c r="J45" s="27">
        <v>4197</v>
      </c>
      <c r="K45" s="37">
        <v>4097</v>
      </c>
      <c r="L45" s="37">
        <v>4446</v>
      </c>
      <c r="M45" s="27">
        <v>4056</v>
      </c>
      <c r="N45" s="27">
        <v>4126</v>
      </c>
      <c r="O45" s="27">
        <v>4514</v>
      </c>
      <c r="P45" s="27">
        <v>4680</v>
      </c>
      <c r="Q45" s="27">
        <v>4680</v>
      </c>
      <c r="R45" s="27">
        <v>4926</v>
      </c>
      <c r="S45" s="27">
        <v>4748</v>
      </c>
      <c r="T45" s="27">
        <v>5220</v>
      </c>
      <c r="U45" s="159">
        <v>5418</v>
      </c>
      <c r="V45">
        <v>5349</v>
      </c>
      <c r="W45">
        <v>5187</v>
      </c>
    </row>
    <row r="46" spans="1:23">
      <c r="A46" s="18" t="s">
        <v>82</v>
      </c>
      <c r="B46" s="27">
        <v>3547</v>
      </c>
      <c r="C46" s="27">
        <v>3598</v>
      </c>
      <c r="D46" s="27">
        <v>3875</v>
      </c>
      <c r="E46" s="27">
        <v>4017</v>
      </c>
      <c r="F46" s="27">
        <v>3890</v>
      </c>
      <c r="G46" s="27">
        <v>3805</v>
      </c>
      <c r="H46" s="27">
        <v>4121</v>
      </c>
      <c r="I46" s="27">
        <v>4257</v>
      </c>
      <c r="J46" s="27">
        <v>4028</v>
      </c>
      <c r="K46" s="37">
        <v>4150</v>
      </c>
      <c r="L46" s="37">
        <v>4077</v>
      </c>
      <c r="M46" s="27">
        <v>4851</v>
      </c>
      <c r="N46" s="27">
        <v>5078</v>
      </c>
      <c r="O46" s="27">
        <v>5032</v>
      </c>
      <c r="P46" s="27">
        <v>5011</v>
      </c>
      <c r="Q46" s="27">
        <v>5016</v>
      </c>
      <c r="R46" s="27">
        <v>5105</v>
      </c>
      <c r="S46" s="27">
        <v>5835</v>
      </c>
      <c r="T46" s="27">
        <v>5899</v>
      </c>
      <c r="U46" s="159">
        <v>6452</v>
      </c>
      <c r="V46">
        <v>6808</v>
      </c>
      <c r="W46">
        <v>6620</v>
      </c>
    </row>
    <row r="47" spans="1:23">
      <c r="A47" s="18" t="s">
        <v>83</v>
      </c>
      <c r="B47" s="27">
        <v>1424</v>
      </c>
      <c r="C47" s="27">
        <v>1523</v>
      </c>
      <c r="D47" s="27">
        <v>1684</v>
      </c>
      <c r="E47" s="27">
        <v>1719</v>
      </c>
      <c r="F47" s="27">
        <v>1787</v>
      </c>
      <c r="G47" s="27">
        <v>1839</v>
      </c>
      <c r="H47" s="27">
        <v>1878</v>
      </c>
      <c r="I47" s="27">
        <v>1924</v>
      </c>
      <c r="J47" s="27">
        <v>2289</v>
      </c>
      <c r="K47" s="37">
        <v>2404</v>
      </c>
      <c r="L47" s="37">
        <v>2290</v>
      </c>
      <c r="M47" s="27">
        <v>2697</v>
      </c>
      <c r="N47" s="27">
        <v>2601</v>
      </c>
      <c r="O47" s="27">
        <v>2714</v>
      </c>
      <c r="P47" s="27">
        <v>2675</v>
      </c>
      <c r="Q47" s="27">
        <v>2133</v>
      </c>
      <c r="R47" s="27">
        <v>2416</v>
      </c>
      <c r="S47" s="27">
        <v>2548</v>
      </c>
      <c r="T47" s="27">
        <v>2443</v>
      </c>
      <c r="U47" s="159">
        <v>2577</v>
      </c>
      <c r="V47">
        <v>2764</v>
      </c>
      <c r="W47">
        <v>2729</v>
      </c>
    </row>
    <row r="48" spans="1:23">
      <c r="A48" s="18" t="s">
        <v>84</v>
      </c>
      <c r="B48" s="27">
        <v>559</v>
      </c>
      <c r="C48" s="27">
        <v>562</v>
      </c>
      <c r="D48" s="27">
        <v>537</v>
      </c>
      <c r="E48" s="27">
        <v>618</v>
      </c>
      <c r="F48" s="27">
        <v>611</v>
      </c>
      <c r="G48" s="27">
        <v>595</v>
      </c>
      <c r="H48" s="27">
        <v>661</v>
      </c>
      <c r="I48" s="27">
        <v>666</v>
      </c>
      <c r="J48" s="27">
        <v>671</v>
      </c>
      <c r="K48" s="37">
        <v>697</v>
      </c>
      <c r="L48" s="37">
        <v>692</v>
      </c>
      <c r="M48" s="27">
        <v>669</v>
      </c>
      <c r="N48" s="27">
        <v>788</v>
      </c>
      <c r="O48" s="27">
        <v>762</v>
      </c>
      <c r="P48" s="27">
        <v>794</v>
      </c>
      <c r="Q48" s="27">
        <v>946</v>
      </c>
      <c r="R48" s="27">
        <v>975</v>
      </c>
      <c r="S48" s="27">
        <v>974</v>
      </c>
      <c r="T48" s="27">
        <v>997</v>
      </c>
      <c r="U48" s="159">
        <v>1118</v>
      </c>
      <c r="V48">
        <v>1244</v>
      </c>
      <c r="W48">
        <v>1257</v>
      </c>
    </row>
    <row r="49" spans="1:23">
      <c r="A49" s="18" t="s">
        <v>85</v>
      </c>
      <c r="B49" s="27">
        <v>8238</v>
      </c>
      <c r="C49" s="27">
        <v>8376</v>
      </c>
      <c r="D49" s="27">
        <v>9480</v>
      </c>
      <c r="E49" s="27">
        <v>10191</v>
      </c>
      <c r="F49" s="27">
        <v>10315</v>
      </c>
      <c r="G49" s="27">
        <v>10421</v>
      </c>
      <c r="H49" s="27">
        <v>10548</v>
      </c>
      <c r="I49" s="27">
        <v>10975</v>
      </c>
      <c r="J49" s="27">
        <v>11092</v>
      </c>
      <c r="K49" s="37">
        <v>11013</v>
      </c>
      <c r="L49" s="37">
        <v>10734</v>
      </c>
      <c r="M49" s="27">
        <v>11665</v>
      </c>
      <c r="N49" s="27">
        <v>11948</v>
      </c>
      <c r="O49" s="27">
        <v>12605</v>
      </c>
      <c r="P49" s="27">
        <v>12893</v>
      </c>
      <c r="Q49" s="27">
        <v>12407</v>
      </c>
      <c r="R49" s="27">
        <v>12875</v>
      </c>
      <c r="S49" s="27">
        <v>13028</v>
      </c>
      <c r="T49" s="27">
        <v>13716</v>
      </c>
      <c r="U49" s="159">
        <v>14029</v>
      </c>
      <c r="V49">
        <v>15324</v>
      </c>
      <c r="W49">
        <v>14644</v>
      </c>
    </row>
    <row r="50" spans="1:23">
      <c r="A50" s="18" t="s">
        <v>86</v>
      </c>
      <c r="B50" s="27">
        <v>680</v>
      </c>
      <c r="C50" s="27">
        <v>709</v>
      </c>
      <c r="D50" s="27">
        <v>720</v>
      </c>
      <c r="E50" s="27">
        <v>828</v>
      </c>
      <c r="F50" s="27">
        <v>952</v>
      </c>
      <c r="G50" s="27">
        <v>931</v>
      </c>
      <c r="H50" s="27">
        <v>946</v>
      </c>
      <c r="I50" s="27">
        <v>875</v>
      </c>
      <c r="J50" s="27">
        <v>855</v>
      </c>
      <c r="K50" s="37">
        <v>838</v>
      </c>
      <c r="L50" s="37">
        <v>757</v>
      </c>
      <c r="M50" s="27">
        <v>888</v>
      </c>
      <c r="N50" s="27">
        <v>881</v>
      </c>
      <c r="O50" s="27">
        <v>973</v>
      </c>
      <c r="P50" s="27">
        <v>888</v>
      </c>
      <c r="Q50" s="27">
        <v>883</v>
      </c>
      <c r="R50" s="27">
        <v>963</v>
      </c>
      <c r="S50" s="27">
        <v>903</v>
      </c>
      <c r="T50" s="27">
        <v>953</v>
      </c>
      <c r="U50">
        <v>998</v>
      </c>
      <c r="V50">
        <v>1084</v>
      </c>
      <c r="W50">
        <v>1140</v>
      </c>
    </row>
    <row r="51" spans="1:23">
      <c r="A51" s="20" t="s">
        <v>87</v>
      </c>
      <c r="B51" s="27">
        <v>4655</v>
      </c>
      <c r="C51" s="27">
        <v>4698</v>
      </c>
      <c r="D51" s="27">
        <v>5072</v>
      </c>
      <c r="E51" s="27">
        <v>5109</v>
      </c>
      <c r="F51" s="27">
        <v>4964</v>
      </c>
      <c r="G51" s="27">
        <v>5043</v>
      </c>
      <c r="H51" s="27">
        <v>5055</v>
      </c>
      <c r="I51" s="27">
        <v>4760</v>
      </c>
      <c r="J51" s="27">
        <v>4700</v>
      </c>
      <c r="K51" s="37">
        <v>4864</v>
      </c>
      <c r="L51" s="37">
        <v>4679</v>
      </c>
      <c r="M51" s="27">
        <v>5148</v>
      </c>
      <c r="N51" s="27">
        <v>5845</v>
      </c>
      <c r="O51" s="27">
        <v>5439</v>
      </c>
      <c r="P51" s="27">
        <v>5238</v>
      </c>
      <c r="Q51" s="27">
        <v>5433</v>
      </c>
      <c r="R51" s="27">
        <v>5446</v>
      </c>
      <c r="S51" s="27">
        <v>5450</v>
      </c>
      <c r="T51" s="27">
        <v>5599</v>
      </c>
      <c r="U51" s="159">
        <v>5921</v>
      </c>
      <c r="V51" s="162">
        <v>5757</v>
      </c>
      <c r="W51" s="141">
        <v>5855</v>
      </c>
    </row>
    <row r="52" spans="1:23">
      <c r="A52" s="15" t="s">
        <v>88</v>
      </c>
      <c r="B52" s="15">
        <f t="shared" ref="B52:S52" si="21">SUM(B54:B62)</f>
        <v>25237</v>
      </c>
      <c r="C52" s="15">
        <f t="shared" si="21"/>
        <v>26679</v>
      </c>
      <c r="D52" s="15">
        <f t="shared" si="21"/>
        <v>33924</v>
      </c>
      <c r="E52" s="15">
        <f t="shared" si="21"/>
        <v>34464</v>
      </c>
      <c r="F52" s="15">
        <f t="shared" si="21"/>
        <v>35604</v>
      </c>
      <c r="G52" s="15">
        <f t="shared" si="21"/>
        <v>35492</v>
      </c>
      <c r="H52" s="15">
        <f t="shared" si="21"/>
        <v>35300</v>
      </c>
      <c r="I52" s="15">
        <f t="shared" si="21"/>
        <v>36308</v>
      </c>
      <c r="J52" s="15">
        <f t="shared" si="21"/>
        <v>36298</v>
      </c>
      <c r="K52" s="15">
        <f t="shared" si="21"/>
        <v>36428</v>
      </c>
      <c r="L52" s="15">
        <f t="shared" si="21"/>
        <v>37769</v>
      </c>
      <c r="M52" s="15">
        <f t="shared" si="21"/>
        <v>41546</v>
      </c>
      <c r="N52" s="15">
        <f t="shared" si="21"/>
        <v>45274</v>
      </c>
      <c r="O52" s="15">
        <f t="shared" si="21"/>
        <v>44654</v>
      </c>
      <c r="P52" s="15">
        <f t="shared" si="21"/>
        <v>45317</v>
      </c>
      <c r="Q52" s="15">
        <f t="shared" si="21"/>
        <v>45700</v>
      </c>
      <c r="R52" s="15">
        <f t="shared" si="21"/>
        <v>46269</v>
      </c>
      <c r="S52" s="15">
        <f t="shared" si="21"/>
        <v>46896</v>
      </c>
      <c r="T52" s="15">
        <f t="shared" ref="T52:U52" si="22">SUM(T54:T62)</f>
        <v>49455</v>
      </c>
      <c r="U52" s="15">
        <f t="shared" si="22"/>
        <v>51136</v>
      </c>
      <c r="V52" s="15">
        <f t="shared" ref="V52:W52" si="23">SUM(V54:V62)</f>
        <v>52234</v>
      </c>
      <c r="W52" s="15">
        <f t="shared" si="23"/>
        <v>50074</v>
      </c>
    </row>
    <row r="53" spans="1:23">
      <c r="A53" s="17" t="s">
        <v>44</v>
      </c>
      <c r="B53" s="17">
        <f t="shared" ref="B53:S53" si="24">(B52/B4)*100</f>
        <v>15.15053279303617</v>
      </c>
      <c r="C53" s="17">
        <f t="shared" si="24"/>
        <v>15.52774786834677</v>
      </c>
      <c r="D53" s="17">
        <f t="shared" si="24"/>
        <v>16.782843149380362</v>
      </c>
      <c r="E53" s="17">
        <f t="shared" si="24"/>
        <v>16.223162631744941</v>
      </c>
      <c r="F53" s="17">
        <f t="shared" si="24"/>
        <v>16.175328126916629</v>
      </c>
      <c r="G53" s="17">
        <f t="shared" si="24"/>
        <v>15.932770996718457</v>
      </c>
      <c r="H53" s="17">
        <f t="shared" si="24"/>
        <v>15.629427599886652</v>
      </c>
      <c r="I53" s="17">
        <f t="shared" si="24"/>
        <v>15.66688241639698</v>
      </c>
      <c r="J53" s="17">
        <f t="shared" si="24"/>
        <v>15.385593543628826</v>
      </c>
      <c r="K53" s="17">
        <f t="shared" si="24"/>
        <v>15.273730508467469</v>
      </c>
      <c r="L53" s="17">
        <f t="shared" si="24"/>
        <v>15.532762782893355</v>
      </c>
      <c r="M53" s="17">
        <f t="shared" si="24"/>
        <v>15.636726321534089</v>
      </c>
      <c r="N53" s="17">
        <f t="shared" si="24"/>
        <v>15.877925776290777</v>
      </c>
      <c r="O53" s="17">
        <f t="shared" si="24"/>
        <v>15.318433646078111</v>
      </c>
      <c r="P53" s="17">
        <f t="shared" si="24"/>
        <v>15.439310159207134</v>
      </c>
      <c r="Q53" s="17">
        <f t="shared" si="24"/>
        <v>15.652239434738382</v>
      </c>
      <c r="R53" s="17">
        <f t="shared" si="24"/>
        <v>15.423874019527773</v>
      </c>
      <c r="S53" s="17">
        <f t="shared" si="24"/>
        <v>15.216192188138795</v>
      </c>
      <c r="T53" s="17">
        <f t="shared" ref="T53:U53" si="25">(T52/T4)*100</f>
        <v>15.347161450090304</v>
      </c>
      <c r="U53" s="17">
        <f t="shared" si="25"/>
        <v>15.078005443131659</v>
      </c>
      <c r="V53" s="17">
        <f t="shared" ref="V53:W53" si="26">(V52/V4)*100</f>
        <v>14.989267553576143</v>
      </c>
      <c r="W53" s="17">
        <f t="shared" si="26"/>
        <v>14.57385007625412</v>
      </c>
    </row>
    <row r="54" spans="1:23">
      <c r="A54" s="18" t="s">
        <v>89</v>
      </c>
      <c r="B54" s="27">
        <v>2091</v>
      </c>
      <c r="C54" s="27">
        <v>2271</v>
      </c>
      <c r="D54" s="27">
        <v>2415</v>
      </c>
      <c r="E54" s="27">
        <v>2395</v>
      </c>
      <c r="F54" s="27">
        <v>2495</v>
      </c>
      <c r="G54" s="27">
        <v>2384</v>
      </c>
      <c r="H54" s="27">
        <v>2529</v>
      </c>
      <c r="I54" s="27">
        <v>2735</v>
      </c>
      <c r="J54" s="27">
        <v>2667</v>
      </c>
      <c r="K54" s="37">
        <v>2741</v>
      </c>
      <c r="L54" s="37">
        <v>3289</v>
      </c>
      <c r="M54" s="27">
        <v>2977</v>
      </c>
      <c r="N54" s="27">
        <v>2972</v>
      </c>
      <c r="O54" s="27">
        <v>3303</v>
      </c>
      <c r="P54" s="27">
        <v>3289</v>
      </c>
      <c r="Q54" s="27">
        <v>3098</v>
      </c>
      <c r="R54" s="27">
        <v>3170</v>
      </c>
      <c r="S54" s="27">
        <v>3118</v>
      </c>
      <c r="T54" s="27">
        <v>3027</v>
      </c>
      <c r="U54" s="159">
        <v>3082</v>
      </c>
      <c r="V54">
        <v>3253</v>
      </c>
      <c r="W54">
        <v>3076</v>
      </c>
    </row>
    <row r="55" spans="1:23">
      <c r="A55" s="18" t="s">
        <v>90</v>
      </c>
      <c r="B55" s="27">
        <v>449</v>
      </c>
      <c r="C55" s="27">
        <v>480</v>
      </c>
      <c r="D55" s="27">
        <v>736</v>
      </c>
      <c r="E55" s="27">
        <v>713</v>
      </c>
      <c r="F55" s="27">
        <v>721</v>
      </c>
      <c r="G55" s="27">
        <v>730</v>
      </c>
      <c r="H55" s="27">
        <v>671</v>
      </c>
      <c r="I55" s="27">
        <v>739</v>
      </c>
      <c r="J55" s="27">
        <v>748</v>
      </c>
      <c r="K55" s="37">
        <v>739</v>
      </c>
      <c r="L55" s="37">
        <v>756</v>
      </c>
      <c r="M55" s="27">
        <v>773</v>
      </c>
      <c r="N55" s="27">
        <v>851</v>
      </c>
      <c r="O55" s="27">
        <v>917</v>
      </c>
      <c r="P55" s="27">
        <v>924</v>
      </c>
      <c r="Q55" s="27">
        <v>888</v>
      </c>
      <c r="R55" s="27">
        <v>936</v>
      </c>
      <c r="S55" s="27">
        <v>881</v>
      </c>
      <c r="T55" s="27">
        <v>931</v>
      </c>
      <c r="U55">
        <v>923</v>
      </c>
      <c r="V55">
        <v>927</v>
      </c>
      <c r="W55">
        <v>886</v>
      </c>
    </row>
    <row r="56" spans="1:23">
      <c r="A56" s="18" t="s">
        <v>91</v>
      </c>
      <c r="B56" s="27">
        <v>2314</v>
      </c>
      <c r="C56" s="27">
        <v>2620</v>
      </c>
      <c r="D56" s="27">
        <v>3233</v>
      </c>
      <c r="E56" s="27">
        <v>2740</v>
      </c>
      <c r="F56" s="27">
        <v>3462</v>
      </c>
      <c r="G56" s="27">
        <v>3264</v>
      </c>
      <c r="H56" s="27">
        <v>3076</v>
      </c>
      <c r="I56" s="27">
        <v>3580</v>
      </c>
      <c r="J56" s="27">
        <v>3622</v>
      </c>
      <c r="K56" s="37">
        <v>3474</v>
      </c>
      <c r="L56" s="37">
        <v>3994</v>
      </c>
      <c r="M56" s="27">
        <v>4393</v>
      </c>
      <c r="N56" s="27">
        <v>4657</v>
      </c>
      <c r="O56" s="27">
        <v>4663</v>
      </c>
      <c r="P56" s="27">
        <v>4608</v>
      </c>
      <c r="Q56" s="27">
        <v>4762</v>
      </c>
      <c r="R56" s="27">
        <v>5193</v>
      </c>
      <c r="S56" s="27">
        <v>5286</v>
      </c>
      <c r="T56" s="27">
        <v>5539</v>
      </c>
      <c r="U56" s="159">
        <v>5661</v>
      </c>
      <c r="V56">
        <v>5823</v>
      </c>
      <c r="W56">
        <v>5839</v>
      </c>
    </row>
    <row r="57" spans="1:23">
      <c r="A57" s="18" t="s">
        <v>92</v>
      </c>
      <c r="B57" s="27">
        <v>484</v>
      </c>
      <c r="C57" s="27">
        <v>483</v>
      </c>
      <c r="D57" s="27">
        <v>717</v>
      </c>
      <c r="E57" s="27">
        <v>756</v>
      </c>
      <c r="F57" s="27">
        <v>639</v>
      </c>
      <c r="G57" s="27">
        <v>684</v>
      </c>
      <c r="H57" s="27">
        <v>748</v>
      </c>
      <c r="I57" s="27">
        <v>769</v>
      </c>
      <c r="J57" s="27">
        <v>726</v>
      </c>
      <c r="K57" s="37">
        <v>745</v>
      </c>
      <c r="L57" s="37">
        <v>765</v>
      </c>
      <c r="M57" s="27">
        <v>796</v>
      </c>
      <c r="N57" s="27">
        <v>969</v>
      </c>
      <c r="O57" s="27">
        <v>968</v>
      </c>
      <c r="P57" s="27">
        <v>1092</v>
      </c>
      <c r="Q57" s="27">
        <v>1115</v>
      </c>
      <c r="R57" s="27">
        <v>1147</v>
      </c>
      <c r="S57" s="27">
        <v>1230</v>
      </c>
      <c r="T57" s="27">
        <v>1120</v>
      </c>
      <c r="U57" s="159">
        <v>1092</v>
      </c>
      <c r="V57">
        <v>1170</v>
      </c>
      <c r="W57">
        <v>1130</v>
      </c>
    </row>
    <row r="58" spans="1:23">
      <c r="A58" s="18" t="s">
        <v>93</v>
      </c>
      <c r="B58" s="27">
        <v>3583</v>
      </c>
      <c r="C58" s="27">
        <v>3825</v>
      </c>
      <c r="D58" s="27">
        <v>4729</v>
      </c>
      <c r="E58" s="27">
        <v>4897</v>
      </c>
      <c r="F58" s="27">
        <v>4907</v>
      </c>
      <c r="G58" s="27">
        <v>4846</v>
      </c>
      <c r="H58" s="27">
        <v>4840</v>
      </c>
      <c r="I58" s="27">
        <v>5104</v>
      </c>
      <c r="J58" s="27">
        <v>5241</v>
      </c>
      <c r="K58" s="37">
        <v>5597</v>
      </c>
      <c r="L58" s="37">
        <v>5673</v>
      </c>
      <c r="M58" s="27">
        <v>6187</v>
      </c>
      <c r="N58" s="27">
        <v>6713</v>
      </c>
      <c r="O58" s="27">
        <v>6923</v>
      </c>
      <c r="P58" s="27">
        <v>6948</v>
      </c>
      <c r="Q58" s="27">
        <v>6941</v>
      </c>
      <c r="R58" s="27">
        <v>7031</v>
      </c>
      <c r="S58" s="27">
        <v>7191</v>
      </c>
      <c r="T58" s="27">
        <v>7525</v>
      </c>
      <c r="U58" s="159">
        <v>7869</v>
      </c>
      <c r="V58">
        <v>8544</v>
      </c>
      <c r="W58">
        <v>7856</v>
      </c>
    </row>
    <row r="59" spans="1:23">
      <c r="A59" s="18" t="s">
        <v>94</v>
      </c>
      <c r="B59" s="27">
        <v>9022</v>
      </c>
      <c r="C59" s="27">
        <v>9569</v>
      </c>
      <c r="D59" s="27">
        <v>12981</v>
      </c>
      <c r="E59" s="27">
        <v>13783</v>
      </c>
      <c r="F59" s="27">
        <v>13381</v>
      </c>
      <c r="G59" s="27">
        <v>13560</v>
      </c>
      <c r="H59" s="27">
        <v>13640</v>
      </c>
      <c r="I59" s="27">
        <v>13446</v>
      </c>
      <c r="J59" s="27">
        <v>13259</v>
      </c>
      <c r="K59" s="37">
        <v>13272</v>
      </c>
      <c r="L59" s="37">
        <v>13359</v>
      </c>
      <c r="M59" s="27">
        <v>16318</v>
      </c>
      <c r="N59" s="27">
        <v>18040</v>
      </c>
      <c r="O59" s="27">
        <v>17039</v>
      </c>
      <c r="P59" s="27">
        <v>17419</v>
      </c>
      <c r="Q59" s="27">
        <v>17452</v>
      </c>
      <c r="R59" s="27">
        <v>17261</v>
      </c>
      <c r="S59" s="27">
        <v>17207</v>
      </c>
      <c r="T59" s="27">
        <v>18450</v>
      </c>
      <c r="U59" s="159">
        <v>19290</v>
      </c>
      <c r="V59">
        <v>19653</v>
      </c>
      <c r="W59">
        <v>18619</v>
      </c>
    </row>
    <row r="60" spans="1:23">
      <c r="A60" s="18" t="s">
        <v>95</v>
      </c>
      <c r="B60" s="27">
        <v>6158</v>
      </c>
      <c r="C60" s="27">
        <v>6369</v>
      </c>
      <c r="D60" s="27">
        <v>7685</v>
      </c>
      <c r="E60" s="27">
        <v>7780</v>
      </c>
      <c r="F60" s="27">
        <v>8628</v>
      </c>
      <c r="G60" s="27">
        <v>8742</v>
      </c>
      <c r="H60" s="27">
        <v>8483</v>
      </c>
      <c r="I60" s="27">
        <v>8748</v>
      </c>
      <c r="J60" s="27">
        <v>8784</v>
      </c>
      <c r="K60" s="37">
        <v>8677</v>
      </c>
      <c r="L60" s="37">
        <v>8759</v>
      </c>
      <c r="M60" s="27">
        <v>8944</v>
      </c>
      <c r="N60" s="27">
        <v>9734</v>
      </c>
      <c r="O60" s="27">
        <v>9474</v>
      </c>
      <c r="P60" s="27">
        <v>9800</v>
      </c>
      <c r="Q60" s="27">
        <v>10136</v>
      </c>
      <c r="R60" s="27">
        <v>10309</v>
      </c>
      <c r="S60" s="27">
        <v>10846</v>
      </c>
      <c r="T60" s="27">
        <v>11607</v>
      </c>
      <c r="U60" s="159">
        <v>11922</v>
      </c>
      <c r="V60">
        <v>11531</v>
      </c>
      <c r="W60">
        <v>11274</v>
      </c>
    </row>
    <row r="61" spans="1:23">
      <c r="A61" s="18" t="s">
        <v>96</v>
      </c>
      <c r="B61" s="27">
        <v>778</v>
      </c>
      <c r="C61" s="27">
        <v>693</v>
      </c>
      <c r="D61" s="27">
        <v>1029</v>
      </c>
      <c r="E61" s="27">
        <v>985</v>
      </c>
      <c r="F61" s="27">
        <v>977</v>
      </c>
      <c r="G61" s="27">
        <v>898</v>
      </c>
      <c r="H61" s="27">
        <v>888</v>
      </c>
      <c r="I61" s="27">
        <v>829</v>
      </c>
      <c r="J61" s="27">
        <v>814</v>
      </c>
      <c r="K61" s="37">
        <v>797</v>
      </c>
      <c r="L61" s="37">
        <v>788</v>
      </c>
      <c r="M61" s="27">
        <v>782</v>
      </c>
      <c r="N61" s="27">
        <v>825</v>
      </c>
      <c r="O61" s="27">
        <v>844</v>
      </c>
      <c r="P61" s="27">
        <v>781</v>
      </c>
      <c r="Q61" s="27">
        <v>816</v>
      </c>
      <c r="R61" s="27">
        <v>730</v>
      </c>
      <c r="S61" s="27">
        <v>758</v>
      </c>
      <c r="T61" s="27">
        <v>776</v>
      </c>
      <c r="U61">
        <v>814</v>
      </c>
      <c r="V61">
        <v>811</v>
      </c>
      <c r="W61">
        <v>842</v>
      </c>
    </row>
    <row r="62" spans="1:23">
      <c r="A62" s="20" t="s">
        <v>97</v>
      </c>
      <c r="B62" s="27">
        <v>358</v>
      </c>
      <c r="C62" s="27">
        <v>369</v>
      </c>
      <c r="D62" s="27">
        <v>399</v>
      </c>
      <c r="E62" s="27">
        <v>415</v>
      </c>
      <c r="F62" s="27">
        <v>394</v>
      </c>
      <c r="G62" s="27">
        <v>384</v>
      </c>
      <c r="H62" s="27">
        <v>425</v>
      </c>
      <c r="I62" s="27">
        <v>358</v>
      </c>
      <c r="J62" s="27">
        <v>437</v>
      </c>
      <c r="K62" s="37">
        <v>386</v>
      </c>
      <c r="L62" s="37">
        <v>386</v>
      </c>
      <c r="M62" s="27">
        <v>376</v>
      </c>
      <c r="N62" s="27">
        <v>513</v>
      </c>
      <c r="O62" s="27">
        <v>523</v>
      </c>
      <c r="P62" s="27">
        <v>456</v>
      </c>
      <c r="Q62" s="27">
        <v>492</v>
      </c>
      <c r="R62" s="27">
        <v>492</v>
      </c>
      <c r="S62" s="27">
        <v>379</v>
      </c>
      <c r="T62" s="27">
        <v>480</v>
      </c>
      <c r="U62">
        <v>483</v>
      </c>
      <c r="V62" s="162">
        <v>522</v>
      </c>
      <c r="W62" s="141">
        <v>552</v>
      </c>
    </row>
    <row r="63" spans="1:23">
      <c r="A63" s="26" t="s">
        <v>98</v>
      </c>
      <c r="B63" s="26">
        <v>206</v>
      </c>
      <c r="C63" s="26">
        <v>140</v>
      </c>
      <c r="D63" s="26">
        <v>133</v>
      </c>
      <c r="E63" s="26">
        <v>139</v>
      </c>
      <c r="F63" s="26">
        <v>265</v>
      </c>
      <c r="G63" s="26">
        <v>120</v>
      </c>
      <c r="H63" s="26">
        <v>132</v>
      </c>
      <c r="I63" s="26">
        <v>134</v>
      </c>
      <c r="J63" s="26">
        <v>77</v>
      </c>
      <c r="K63" s="26">
        <v>50</v>
      </c>
      <c r="L63" s="26">
        <v>58</v>
      </c>
      <c r="M63" s="26">
        <v>63</v>
      </c>
      <c r="N63" s="26">
        <v>67</v>
      </c>
      <c r="O63" s="26">
        <v>37</v>
      </c>
      <c r="P63" s="26">
        <v>40</v>
      </c>
      <c r="Q63" s="26">
        <v>55</v>
      </c>
      <c r="R63" s="26">
        <v>52</v>
      </c>
      <c r="S63" s="26">
        <v>75</v>
      </c>
      <c r="T63" s="26">
        <v>62</v>
      </c>
      <c r="U63" s="26">
        <v>40</v>
      </c>
      <c r="V63" s="162">
        <v>65</v>
      </c>
      <c r="W63" s="176">
        <v>84</v>
      </c>
    </row>
    <row r="64" spans="1:23">
      <c r="A64" s="6"/>
      <c r="B64" s="38"/>
      <c r="C64" s="6"/>
      <c r="D64" s="6"/>
      <c r="E64" s="6"/>
      <c r="F64" s="6"/>
      <c r="G64" s="6"/>
      <c r="H64" s="6"/>
      <c r="I64" s="6"/>
      <c r="J64" s="6"/>
      <c r="K64" s="31"/>
      <c r="L64" s="31"/>
      <c r="M64" s="6"/>
      <c r="N64" s="6"/>
      <c r="O64" s="6"/>
      <c r="P64" s="6"/>
      <c r="Q64" s="6"/>
      <c r="R64" s="6"/>
      <c r="S64" s="6"/>
      <c r="T64" s="6"/>
    </row>
    <row r="65" spans="1:20">
      <c r="A65" s="3"/>
      <c r="B65" s="39" t="s">
        <v>155</v>
      </c>
      <c r="C65" s="31" t="s">
        <v>155</v>
      </c>
      <c r="D65" s="31" t="s">
        <v>155</v>
      </c>
      <c r="E65" s="31" t="s">
        <v>155</v>
      </c>
      <c r="F65" s="31" t="s">
        <v>155</v>
      </c>
      <c r="G65" s="29" t="s">
        <v>100</v>
      </c>
      <c r="H65" s="29" t="s">
        <v>100</v>
      </c>
      <c r="I65" s="29" t="s">
        <v>100</v>
      </c>
      <c r="J65" s="29" t="s">
        <v>100</v>
      </c>
      <c r="K65" s="29" t="s">
        <v>100</v>
      </c>
      <c r="L65" s="29" t="s">
        <v>100</v>
      </c>
      <c r="M65" s="3" t="s">
        <v>100</v>
      </c>
      <c r="N65" s="3"/>
      <c r="O65" s="3"/>
      <c r="P65" s="3"/>
      <c r="Q65" s="3"/>
      <c r="R65" s="3" t="s">
        <v>100</v>
      </c>
      <c r="S65" s="29" t="s">
        <v>100</v>
      </c>
      <c r="T65" s="29"/>
    </row>
    <row r="66" spans="1:20">
      <c r="A66" s="3"/>
      <c r="B66" s="39" t="s">
        <v>156</v>
      </c>
      <c r="C66" s="31" t="s">
        <v>156</v>
      </c>
      <c r="D66" s="31" t="s">
        <v>156</v>
      </c>
      <c r="E66" s="31" t="s">
        <v>156</v>
      </c>
      <c r="F66" s="31" t="s">
        <v>156</v>
      </c>
      <c r="G66" s="29" t="s">
        <v>103</v>
      </c>
      <c r="H66" s="29" t="s">
        <v>103</v>
      </c>
      <c r="I66" s="29" t="s">
        <v>103</v>
      </c>
      <c r="J66" s="29" t="s">
        <v>103</v>
      </c>
      <c r="K66" s="29" t="s">
        <v>103</v>
      </c>
      <c r="L66" s="29" t="s">
        <v>103</v>
      </c>
      <c r="M66" s="3" t="s">
        <v>104</v>
      </c>
      <c r="N66" s="3"/>
      <c r="O66" s="3"/>
      <c r="P66" s="3"/>
      <c r="Q66" s="3"/>
      <c r="R66" s="3" t="s">
        <v>104</v>
      </c>
      <c r="S66" s="3" t="s">
        <v>104</v>
      </c>
      <c r="T66" s="3"/>
    </row>
    <row r="67" spans="1:20">
      <c r="A67" s="3"/>
      <c r="B67" s="39" t="s">
        <v>157</v>
      </c>
      <c r="C67" s="31" t="s">
        <v>157</v>
      </c>
      <c r="D67" s="31" t="s">
        <v>157</v>
      </c>
      <c r="E67" s="31" t="s">
        <v>157</v>
      </c>
      <c r="F67" s="31" t="s">
        <v>157</v>
      </c>
      <c r="G67" s="29" t="s">
        <v>107</v>
      </c>
      <c r="H67" s="29" t="s">
        <v>107</v>
      </c>
      <c r="I67" s="29" t="s">
        <v>107</v>
      </c>
      <c r="J67" s="29" t="s">
        <v>107</v>
      </c>
      <c r="K67" s="29" t="s">
        <v>107</v>
      </c>
      <c r="L67" s="29" t="s">
        <v>107</v>
      </c>
      <c r="M67" s="3" t="s">
        <v>108</v>
      </c>
      <c r="N67" s="3"/>
      <c r="O67" s="3"/>
      <c r="P67" s="3"/>
      <c r="Q67" s="3"/>
      <c r="R67" s="3" t="s">
        <v>108</v>
      </c>
      <c r="S67" s="3" t="s">
        <v>108</v>
      </c>
      <c r="T67" s="3"/>
    </row>
    <row r="68" spans="1:20">
      <c r="A68" s="3"/>
      <c r="B68" s="39" t="s">
        <v>158</v>
      </c>
      <c r="C68" s="31" t="s">
        <v>158</v>
      </c>
      <c r="D68" s="31" t="s">
        <v>158</v>
      </c>
      <c r="E68" s="31" t="s">
        <v>158</v>
      </c>
      <c r="F68" s="31" t="s">
        <v>158</v>
      </c>
      <c r="G68" s="29" t="s">
        <v>111</v>
      </c>
      <c r="H68" s="29" t="s">
        <v>111</v>
      </c>
      <c r="I68" s="29" t="s">
        <v>111</v>
      </c>
      <c r="J68" s="29" t="s">
        <v>111</v>
      </c>
      <c r="K68" s="29" t="s">
        <v>111</v>
      </c>
      <c r="L68" s="29" t="s">
        <v>111</v>
      </c>
      <c r="M68" s="3" t="s">
        <v>112</v>
      </c>
      <c r="N68" s="3"/>
      <c r="O68" s="3"/>
      <c r="P68" s="3"/>
      <c r="Q68" s="3"/>
      <c r="R68" s="3" t="s">
        <v>112</v>
      </c>
      <c r="S68" s="3" t="s">
        <v>112</v>
      </c>
      <c r="T68" s="3"/>
    </row>
    <row r="69" spans="1:20">
      <c r="A69" s="3"/>
      <c r="B69" s="39" t="s">
        <v>159</v>
      </c>
      <c r="C69" s="31" t="s">
        <v>159</v>
      </c>
      <c r="D69" s="31" t="s">
        <v>159</v>
      </c>
      <c r="E69" s="31" t="s">
        <v>159</v>
      </c>
      <c r="F69" s="31" t="s">
        <v>159</v>
      </c>
      <c r="G69" s="29" t="s">
        <v>114</v>
      </c>
      <c r="H69" s="29" t="s">
        <v>114</v>
      </c>
      <c r="I69" s="29" t="s">
        <v>114</v>
      </c>
      <c r="J69" s="29" t="s">
        <v>114</v>
      </c>
      <c r="K69" s="29" t="s">
        <v>114</v>
      </c>
      <c r="L69" s="29" t="s">
        <v>114</v>
      </c>
      <c r="M69" s="3" t="s">
        <v>115</v>
      </c>
      <c r="N69" s="3"/>
      <c r="O69" s="3"/>
      <c r="P69" s="3"/>
      <c r="Q69" s="3"/>
      <c r="R69" s="3" t="s">
        <v>115</v>
      </c>
      <c r="S69" s="3" t="s">
        <v>115</v>
      </c>
      <c r="T69" s="3"/>
    </row>
    <row r="70" spans="1:20">
      <c r="A70" s="3"/>
      <c r="B70" s="39" t="s">
        <v>160</v>
      </c>
      <c r="C70" s="31" t="s">
        <v>160</v>
      </c>
      <c r="D70" s="31" t="s">
        <v>160</v>
      </c>
      <c r="E70" s="31" t="s">
        <v>160</v>
      </c>
      <c r="F70" s="31" t="s">
        <v>160</v>
      </c>
      <c r="G70" s="29" t="s">
        <v>115</v>
      </c>
      <c r="H70" s="29" t="s">
        <v>115</v>
      </c>
      <c r="I70" s="29" t="s">
        <v>115</v>
      </c>
      <c r="J70" s="29" t="s">
        <v>115</v>
      </c>
      <c r="K70" s="29" t="s">
        <v>115</v>
      </c>
      <c r="L70" s="29" t="s">
        <v>115</v>
      </c>
      <c r="M70" s="3" t="s">
        <v>117</v>
      </c>
      <c r="N70" s="3"/>
      <c r="O70" s="3"/>
      <c r="P70" s="3"/>
      <c r="Q70" s="3"/>
      <c r="R70" s="3" t="s">
        <v>117</v>
      </c>
      <c r="S70" s="3" t="s">
        <v>117</v>
      </c>
      <c r="T70" s="3"/>
    </row>
    <row r="71" spans="1:20">
      <c r="A71" s="3"/>
      <c r="B71" s="39" t="s">
        <v>161</v>
      </c>
      <c r="C71" s="31" t="s">
        <v>161</v>
      </c>
      <c r="D71" s="31" t="s">
        <v>161</v>
      </c>
      <c r="E71" s="31" t="s">
        <v>161</v>
      </c>
      <c r="F71" s="31" t="s">
        <v>161</v>
      </c>
      <c r="G71" s="29" t="s">
        <v>119</v>
      </c>
      <c r="H71" s="29" t="s">
        <v>119</v>
      </c>
      <c r="I71" s="29" t="s">
        <v>119</v>
      </c>
      <c r="J71" s="29" t="s">
        <v>119</v>
      </c>
      <c r="K71" s="29" t="s">
        <v>119</v>
      </c>
      <c r="L71" s="29" t="s">
        <v>119</v>
      </c>
      <c r="M71" s="3" t="s">
        <v>120</v>
      </c>
      <c r="N71" s="3"/>
      <c r="O71" s="3"/>
      <c r="P71" s="3"/>
      <c r="Q71" s="3"/>
      <c r="R71" s="3" t="s">
        <v>120</v>
      </c>
      <c r="S71" s="3" t="s">
        <v>121</v>
      </c>
      <c r="T71" s="3"/>
    </row>
    <row r="72" spans="1:20">
      <c r="A72" s="3"/>
      <c r="B72" s="39" t="s">
        <v>19</v>
      </c>
      <c r="C72" s="31" t="s">
        <v>20</v>
      </c>
      <c r="D72" s="31" t="s">
        <v>24</v>
      </c>
      <c r="E72" s="31" t="s">
        <v>25</v>
      </c>
      <c r="F72" s="31" t="s">
        <v>26</v>
      </c>
      <c r="G72" s="32" t="s">
        <v>162</v>
      </c>
      <c r="H72" s="32" t="s">
        <v>123</v>
      </c>
      <c r="I72" s="32" t="s">
        <v>123</v>
      </c>
      <c r="J72" s="32" t="s">
        <v>123</v>
      </c>
      <c r="K72" s="32" t="s">
        <v>123</v>
      </c>
      <c r="L72" s="32" t="s">
        <v>123</v>
      </c>
      <c r="M72" s="3" t="s">
        <v>124</v>
      </c>
      <c r="N72" s="3"/>
      <c r="O72" s="3"/>
      <c r="P72" s="3"/>
      <c r="Q72" s="3"/>
      <c r="R72" s="3" t="s">
        <v>124</v>
      </c>
      <c r="S72" s="3" t="s">
        <v>125</v>
      </c>
      <c r="T72" s="3"/>
    </row>
    <row r="73" spans="1:20">
      <c r="A73" s="3"/>
      <c r="B73" s="6"/>
      <c r="C73" s="6"/>
      <c r="D73" s="6"/>
      <c r="E73" s="6"/>
      <c r="F73" s="6"/>
      <c r="G73" s="32" t="s">
        <v>163</v>
      </c>
      <c r="H73" s="32" t="s">
        <v>115</v>
      </c>
      <c r="I73" s="32" t="s">
        <v>115</v>
      </c>
      <c r="J73" s="32" t="s">
        <v>115</v>
      </c>
      <c r="K73" s="32" t="s">
        <v>115</v>
      </c>
      <c r="L73" s="32" t="s">
        <v>115</v>
      </c>
      <c r="M73" s="3" t="s">
        <v>127</v>
      </c>
      <c r="N73" s="3"/>
      <c r="O73" s="3"/>
      <c r="P73" s="3"/>
      <c r="Q73" s="3"/>
      <c r="R73" s="3" t="s">
        <v>127</v>
      </c>
      <c r="S73" s="3" t="s">
        <v>128</v>
      </c>
      <c r="T73" s="3"/>
    </row>
    <row r="74" spans="1:20">
      <c r="A74" s="3"/>
      <c r="B74" s="6"/>
      <c r="C74" s="6"/>
      <c r="D74" s="6"/>
      <c r="E74" s="6"/>
      <c r="F74" s="6"/>
      <c r="G74" s="32" t="s">
        <v>107</v>
      </c>
      <c r="H74" s="32" t="s">
        <v>129</v>
      </c>
      <c r="I74" s="32" t="s">
        <v>129</v>
      </c>
      <c r="J74" s="32" t="s">
        <v>129</v>
      </c>
      <c r="K74" s="32" t="s">
        <v>129</v>
      </c>
      <c r="L74" s="32" t="s">
        <v>129</v>
      </c>
      <c r="M74" s="3" t="s">
        <v>130</v>
      </c>
      <c r="N74" s="3"/>
      <c r="O74" s="3"/>
      <c r="P74" s="3"/>
      <c r="Q74" s="3"/>
      <c r="R74" s="3" t="s">
        <v>130</v>
      </c>
      <c r="S74" s="3" t="s">
        <v>131</v>
      </c>
      <c r="T74" s="3"/>
    </row>
    <row r="75" spans="1:20">
      <c r="A75" s="3"/>
      <c r="B75" s="6"/>
      <c r="C75" s="6"/>
      <c r="D75" s="6"/>
      <c r="E75" s="6"/>
      <c r="F75" s="6"/>
      <c r="G75" s="32" t="s">
        <v>164</v>
      </c>
      <c r="H75" s="32" t="s">
        <v>165</v>
      </c>
      <c r="I75" s="32" t="s">
        <v>166</v>
      </c>
      <c r="J75" s="32" t="s">
        <v>166</v>
      </c>
      <c r="K75" s="32" t="s">
        <v>133</v>
      </c>
      <c r="L75" s="32" t="s">
        <v>133</v>
      </c>
      <c r="M75" s="3" t="s">
        <v>134</v>
      </c>
      <c r="N75" s="3"/>
      <c r="O75" s="3"/>
      <c r="P75" s="3"/>
      <c r="Q75" s="3"/>
      <c r="R75" s="3" t="s">
        <v>134</v>
      </c>
      <c r="S75" s="3" t="s">
        <v>134</v>
      </c>
      <c r="T75" s="3"/>
    </row>
    <row r="76" spans="1:20">
      <c r="A76" s="3"/>
      <c r="B76" s="6"/>
      <c r="C76" s="6"/>
      <c r="D76" s="6"/>
      <c r="E76" s="6"/>
      <c r="F76" s="6"/>
      <c r="G76" s="32" t="s">
        <v>167</v>
      </c>
      <c r="H76" s="6" t="s">
        <v>168</v>
      </c>
      <c r="I76" s="6" t="s">
        <v>135</v>
      </c>
      <c r="J76" s="6" t="s">
        <v>169</v>
      </c>
      <c r="K76" s="6" t="s">
        <v>169</v>
      </c>
      <c r="L76" s="6" t="s">
        <v>169</v>
      </c>
      <c r="M76" s="3"/>
      <c r="N76" s="3"/>
      <c r="O76" s="3"/>
      <c r="P76" s="3"/>
      <c r="Q76" s="3"/>
      <c r="R76" s="3"/>
      <c r="S76" s="3"/>
      <c r="T76" s="3"/>
    </row>
    <row r="77" spans="1:20">
      <c r="A77" s="3"/>
      <c r="B77" s="6"/>
      <c r="C77" s="6"/>
      <c r="D77" s="6"/>
      <c r="E77" s="6"/>
      <c r="F77" s="6"/>
      <c r="G77" s="32" t="s">
        <v>170</v>
      </c>
      <c r="H77" s="6" t="s">
        <v>171</v>
      </c>
      <c r="I77" s="6" t="s">
        <v>172</v>
      </c>
      <c r="J77" s="6" t="s">
        <v>73</v>
      </c>
      <c r="K77" s="3"/>
      <c r="L77" s="3"/>
      <c r="M77" s="3"/>
      <c r="N77" s="3"/>
      <c r="O77" s="3"/>
      <c r="P77" s="3"/>
      <c r="Q77" s="3"/>
      <c r="R77" s="13" t="s">
        <v>138</v>
      </c>
      <c r="S77" s="13" t="s">
        <v>138</v>
      </c>
      <c r="T77" s="13"/>
    </row>
    <row r="78" spans="1:20">
      <c r="A78" s="3"/>
      <c r="B78" s="6"/>
      <c r="C78" s="6"/>
      <c r="D78" s="6"/>
      <c r="E78" s="6"/>
      <c r="F78" s="6"/>
      <c r="G78" s="6" t="s">
        <v>173</v>
      </c>
      <c r="H78" s="6" t="s">
        <v>73</v>
      </c>
      <c r="I78" s="6" t="s">
        <v>73</v>
      </c>
      <c r="J78" s="6" t="s">
        <v>139</v>
      </c>
      <c r="K78" s="3"/>
      <c r="L78" s="3"/>
      <c r="M78" s="3"/>
      <c r="N78" s="3"/>
      <c r="O78" s="3"/>
      <c r="P78" s="3"/>
      <c r="Q78" s="3"/>
      <c r="R78" s="13" t="s">
        <v>140</v>
      </c>
      <c r="S78" s="13" t="s">
        <v>140</v>
      </c>
      <c r="T78" s="13"/>
    </row>
    <row r="79" spans="1:20">
      <c r="A79" s="3"/>
      <c r="B79" s="6"/>
      <c r="C79" s="6"/>
      <c r="D79" s="6"/>
      <c r="E79" s="6"/>
      <c r="F79" s="6"/>
      <c r="G79" s="6" t="s">
        <v>174</v>
      </c>
      <c r="H79" s="6" t="s">
        <v>175</v>
      </c>
      <c r="I79" s="6" t="s">
        <v>176</v>
      </c>
      <c r="J79" s="3"/>
      <c r="K79" s="3"/>
      <c r="L79" s="3"/>
      <c r="M79" s="3"/>
      <c r="N79" s="3"/>
      <c r="O79" s="3"/>
      <c r="P79" s="3"/>
      <c r="Q79" s="3"/>
      <c r="R79" s="13" t="s">
        <v>141</v>
      </c>
      <c r="S79" s="13" t="s">
        <v>141</v>
      </c>
      <c r="T79" s="13"/>
    </row>
    <row r="80" spans="1:20">
      <c r="A80" s="3"/>
      <c r="B80" s="6"/>
      <c r="C80" s="6"/>
      <c r="D80" s="6"/>
      <c r="E80" s="6"/>
      <c r="F80" s="6"/>
      <c r="G80" s="6" t="s">
        <v>73</v>
      </c>
      <c r="H80" s="6"/>
      <c r="I80" s="3"/>
      <c r="J80" s="3"/>
      <c r="K80" s="3"/>
      <c r="L80" s="3"/>
      <c r="M80" s="3"/>
      <c r="N80" s="3"/>
      <c r="O80" s="3"/>
      <c r="P80" s="3"/>
      <c r="Q80" s="3"/>
      <c r="R80" s="13" t="s">
        <v>142</v>
      </c>
      <c r="S80" s="13" t="s">
        <v>142</v>
      </c>
      <c r="T80" s="13"/>
    </row>
    <row r="81" spans="1:20">
      <c r="A81" s="3"/>
      <c r="B81" s="6"/>
      <c r="C81" s="6"/>
      <c r="D81" s="6"/>
      <c r="E81" s="6"/>
      <c r="F81" s="6"/>
      <c r="G81" s="6" t="s">
        <v>177</v>
      </c>
      <c r="H81" s="6"/>
      <c r="I81" s="3"/>
      <c r="J81" s="3"/>
      <c r="K81" s="3"/>
      <c r="L81" s="3"/>
      <c r="M81" s="3"/>
      <c r="N81" s="3"/>
      <c r="O81" s="3"/>
      <c r="P81" s="3"/>
      <c r="Q81" s="3"/>
      <c r="R81" s="13" t="s">
        <v>143</v>
      </c>
      <c r="S81" s="13" t="s">
        <v>143</v>
      </c>
      <c r="T81" s="13"/>
    </row>
    <row r="82" spans="1:20">
      <c r="A82" s="3"/>
      <c r="B82" s="6"/>
      <c r="C82" s="6"/>
      <c r="D82" s="6"/>
      <c r="E82" s="6"/>
      <c r="F82" s="6"/>
      <c r="G82" s="6"/>
      <c r="H82" s="6"/>
      <c r="I82" s="3"/>
      <c r="J82" s="3"/>
      <c r="K82" s="3"/>
      <c r="L82" s="3"/>
      <c r="M82" s="3"/>
      <c r="N82" s="3"/>
      <c r="O82" s="3"/>
      <c r="P82" s="3"/>
      <c r="Q82" s="3"/>
      <c r="R82" s="13" t="s">
        <v>144</v>
      </c>
      <c r="S82" s="13" t="s">
        <v>144</v>
      </c>
      <c r="T82" s="13"/>
    </row>
    <row r="83" spans="1:20">
      <c r="A83" s="3"/>
      <c r="B83" s="6"/>
      <c r="C83" s="6"/>
      <c r="D83" s="6"/>
      <c r="E83" s="6"/>
      <c r="F83" s="6"/>
      <c r="G83" s="6"/>
      <c r="H83" s="6"/>
      <c r="I83" s="3"/>
      <c r="J83" s="3"/>
      <c r="K83" s="3"/>
      <c r="L83" s="3"/>
      <c r="M83" s="3"/>
      <c r="N83" s="3"/>
      <c r="O83" s="3"/>
      <c r="P83" s="3"/>
      <c r="Q83" s="3"/>
      <c r="R83" s="13" t="s">
        <v>145</v>
      </c>
      <c r="S83" s="13" t="s">
        <v>145</v>
      </c>
      <c r="T83" s="13"/>
    </row>
    <row r="84" spans="1:20">
      <c r="A84" s="3"/>
      <c r="B84" s="6"/>
      <c r="C84" s="6"/>
      <c r="D84" s="6"/>
      <c r="E84" s="6"/>
      <c r="F84" s="6"/>
      <c r="G84" s="6"/>
      <c r="H84" s="6"/>
      <c r="I84" s="3"/>
      <c r="J84" s="3"/>
      <c r="K84" s="3"/>
      <c r="L84" s="3"/>
      <c r="M84" s="3"/>
      <c r="N84" s="3"/>
      <c r="O84" s="3"/>
      <c r="P84" s="3"/>
      <c r="Q84" s="3"/>
      <c r="R84" s="13" t="s">
        <v>146</v>
      </c>
      <c r="S84" s="13" t="s">
        <v>146</v>
      </c>
      <c r="T84" s="13"/>
    </row>
    <row r="85" spans="1:20">
      <c r="A85" s="3"/>
      <c r="B85" s="6"/>
      <c r="C85" s="6"/>
      <c r="D85" s="6"/>
      <c r="E85" s="6"/>
      <c r="F85" s="6"/>
      <c r="G85" s="32"/>
      <c r="H85" s="32"/>
      <c r="I85" s="3"/>
      <c r="J85" s="3"/>
      <c r="K85" s="3"/>
      <c r="L85" s="3"/>
      <c r="M85" s="3"/>
      <c r="N85" s="3"/>
      <c r="O85" s="3"/>
      <c r="P85" s="3"/>
      <c r="Q85" s="3"/>
      <c r="R85" s="13" t="s">
        <v>147</v>
      </c>
      <c r="S85" s="13" t="s">
        <v>147</v>
      </c>
      <c r="T85" s="13"/>
    </row>
    <row r="86" spans="1:20">
      <c r="A86" s="3"/>
      <c r="B86" s="6"/>
      <c r="C86" s="6"/>
      <c r="D86" s="6"/>
      <c r="E86" s="6"/>
      <c r="F86" s="6"/>
      <c r="G86" s="6"/>
      <c r="H86" s="6"/>
      <c r="I86" s="3"/>
      <c r="J86" s="3"/>
      <c r="K86" s="3"/>
      <c r="L86" s="3"/>
      <c r="M86" s="3"/>
      <c r="N86" s="3"/>
      <c r="O86" s="3"/>
      <c r="P86" s="3"/>
      <c r="Q86" s="3"/>
      <c r="R86" s="13" t="s">
        <v>148</v>
      </c>
      <c r="S86" s="13" t="s">
        <v>148</v>
      </c>
      <c r="T86" s="13"/>
    </row>
    <row r="87" spans="1:20">
      <c r="A87" s="3"/>
      <c r="B87" s="6"/>
      <c r="C87" s="6"/>
      <c r="D87" s="6"/>
      <c r="E87" s="6"/>
      <c r="F87" s="6"/>
      <c r="G87" s="6"/>
      <c r="H87" s="6"/>
      <c r="I87" s="3"/>
      <c r="J87" s="3"/>
      <c r="K87" s="3"/>
      <c r="L87" s="3"/>
      <c r="M87" s="3"/>
      <c r="N87" s="3"/>
      <c r="O87" s="3"/>
      <c r="P87" s="3"/>
      <c r="Q87" s="3"/>
      <c r="R87" s="13" t="s">
        <v>149</v>
      </c>
      <c r="S87" s="13" t="s">
        <v>149</v>
      </c>
      <c r="T87" s="13"/>
    </row>
    <row r="88" spans="1:20">
      <c r="A88" s="3"/>
      <c r="B88" s="6"/>
      <c r="C88" s="6"/>
      <c r="D88" s="6"/>
      <c r="E88" s="6"/>
      <c r="F88" s="6"/>
      <c r="G88" s="3"/>
      <c r="H88" s="3"/>
      <c r="I88" s="3"/>
      <c r="J88" s="3"/>
      <c r="K88" s="3"/>
      <c r="L88" s="3"/>
      <c r="M88" s="3"/>
      <c r="N88" s="3"/>
      <c r="O88" s="3"/>
      <c r="P88" s="3"/>
      <c r="Q88" s="3"/>
      <c r="R88" s="13" t="s">
        <v>150</v>
      </c>
      <c r="S88" s="13" t="s">
        <v>150</v>
      </c>
      <c r="T88" s="13"/>
    </row>
    <row r="89" spans="1:20">
      <c r="A89" s="3"/>
      <c r="B89" s="6"/>
      <c r="C89" s="6"/>
      <c r="D89" s="6"/>
      <c r="E89" s="6"/>
      <c r="F89" s="6"/>
      <c r="G89" s="3"/>
      <c r="H89" s="3"/>
      <c r="I89" s="3"/>
      <c r="J89" s="3"/>
      <c r="K89" s="3"/>
      <c r="L89" s="3"/>
      <c r="M89" s="3"/>
      <c r="N89" s="3"/>
      <c r="O89" s="3"/>
      <c r="P89" s="3"/>
      <c r="Q89" s="3"/>
      <c r="R89" s="13" t="s">
        <v>151</v>
      </c>
      <c r="S89" s="13" t="s">
        <v>151</v>
      </c>
      <c r="T89" s="13"/>
    </row>
    <row r="90" spans="1:20">
      <c r="A90" s="3"/>
      <c r="B90" s="6"/>
      <c r="C90" s="6"/>
      <c r="D90" s="6"/>
      <c r="E90" s="6"/>
      <c r="F90" s="6"/>
      <c r="G90" s="3"/>
      <c r="H90" s="3"/>
      <c r="I90" s="3"/>
      <c r="J90" s="3"/>
      <c r="K90" s="3"/>
      <c r="L90" s="3"/>
      <c r="M90" s="3"/>
      <c r="N90" s="3"/>
      <c r="O90" s="3"/>
      <c r="P90" s="3"/>
      <c r="Q90" s="3"/>
      <c r="R90" s="13" t="s">
        <v>152</v>
      </c>
      <c r="S90" s="13" t="s">
        <v>152</v>
      </c>
      <c r="T90" s="13"/>
    </row>
    <row r="91" spans="1:20">
      <c r="A91" s="3"/>
      <c r="B91" s="6"/>
      <c r="C91" s="6"/>
      <c r="D91" s="6"/>
      <c r="E91" s="6"/>
      <c r="F91" s="6"/>
      <c r="G91" s="3"/>
      <c r="H91" s="3"/>
      <c r="I91" s="3"/>
      <c r="J91" s="3"/>
      <c r="K91" s="3"/>
      <c r="L91" s="3"/>
      <c r="M91" s="3"/>
      <c r="N91" s="3"/>
      <c r="O91" s="3"/>
      <c r="P91" s="3"/>
      <c r="Q91" s="3"/>
      <c r="R91" s="34" t="s">
        <v>153</v>
      </c>
      <c r="S91" s="34" t="s">
        <v>153</v>
      </c>
      <c r="T91" s="34"/>
    </row>
    <row r="92" spans="1:20">
      <c r="A92" s="3"/>
      <c r="B92" s="6"/>
      <c r="C92" s="6"/>
      <c r="D92" s="6"/>
      <c r="E92" s="6"/>
      <c r="F92" s="6"/>
      <c r="G92" s="3"/>
      <c r="H92" s="3"/>
      <c r="I92" s="3"/>
      <c r="J92" s="3"/>
      <c r="K92" s="3"/>
      <c r="L92" s="3"/>
      <c r="M92" s="3"/>
      <c r="N92" s="3"/>
      <c r="O92" s="3"/>
      <c r="P92" s="3"/>
      <c r="Q92" s="3"/>
      <c r="R92" s="6"/>
      <c r="S92" s="6"/>
      <c r="T92" s="6"/>
    </row>
    <row r="93" spans="1:20">
      <c r="A93" s="3"/>
      <c r="B93" s="6"/>
      <c r="C93" s="6"/>
      <c r="D93" s="6"/>
      <c r="E93" s="6"/>
      <c r="F93" s="6"/>
      <c r="G93" s="3"/>
      <c r="H93" s="3"/>
      <c r="I93" s="3"/>
      <c r="J93" s="3"/>
      <c r="K93" s="3"/>
      <c r="L93" s="3"/>
      <c r="M93" s="3"/>
      <c r="N93" s="3"/>
      <c r="O93" s="3"/>
      <c r="P93" s="3"/>
      <c r="Q93" s="3"/>
      <c r="R93" s="6"/>
      <c r="S93" s="6"/>
      <c r="T93" s="6"/>
    </row>
    <row r="94" spans="1:20">
      <c r="A94" s="3"/>
      <c r="B94" s="6"/>
      <c r="C94" s="6"/>
      <c r="D94" s="6"/>
      <c r="E94" s="6"/>
      <c r="F94" s="6"/>
      <c r="G94" s="3"/>
      <c r="H94" s="3"/>
      <c r="I94" s="3"/>
      <c r="J94" s="3"/>
      <c r="K94" s="3"/>
      <c r="L94" s="3"/>
      <c r="M94" s="3"/>
      <c r="N94" s="3"/>
      <c r="O94" s="3"/>
      <c r="P94" s="3"/>
      <c r="Q94" s="3"/>
      <c r="R94" s="40"/>
      <c r="S94" s="40"/>
      <c r="T94" s="40"/>
    </row>
    <row r="95" spans="1:20">
      <c r="A95" s="3"/>
      <c r="B95" s="6"/>
      <c r="C95" s="6"/>
      <c r="D95" s="6"/>
      <c r="E95" s="6"/>
      <c r="F95" s="6"/>
      <c r="G95" s="3"/>
      <c r="H95" s="3"/>
      <c r="I95" s="3"/>
      <c r="J95" s="3"/>
      <c r="K95" s="3"/>
      <c r="L95" s="3"/>
      <c r="M95" s="3"/>
      <c r="N95" s="3"/>
      <c r="O95" s="3"/>
      <c r="P95" s="3"/>
      <c r="Q95" s="3"/>
      <c r="R95" s="3"/>
      <c r="S95" s="3"/>
      <c r="T95" s="3"/>
    </row>
    <row r="96" spans="1:20">
      <c r="A96" s="3"/>
      <c r="B96" s="6"/>
      <c r="C96" s="6"/>
      <c r="D96" s="6"/>
      <c r="E96" s="6"/>
      <c r="F96" s="6"/>
      <c r="G96" s="3"/>
      <c r="H96" s="3"/>
      <c r="I96" s="3"/>
      <c r="J96" s="3"/>
      <c r="K96" s="3"/>
      <c r="L96" s="3"/>
      <c r="M96" s="3"/>
      <c r="N96" s="3"/>
      <c r="O96" s="3"/>
      <c r="P96" s="3"/>
      <c r="Q96" s="3"/>
      <c r="R96" s="3"/>
      <c r="S96" s="3"/>
      <c r="T96" s="3"/>
    </row>
    <row r="97" spans="1:20">
      <c r="A97" s="3"/>
      <c r="B97" s="6"/>
      <c r="C97" s="6"/>
      <c r="D97" s="6"/>
      <c r="E97" s="6"/>
      <c r="F97" s="6"/>
      <c r="G97" s="3"/>
      <c r="H97" s="3"/>
      <c r="I97" s="3"/>
      <c r="J97" s="3"/>
      <c r="K97" s="3"/>
      <c r="L97" s="3"/>
      <c r="M97" s="3"/>
      <c r="N97" s="3"/>
      <c r="O97" s="3"/>
      <c r="P97" s="3"/>
      <c r="Q97" s="3"/>
      <c r="R97" s="3"/>
      <c r="S97" s="3"/>
      <c r="T97" s="3"/>
    </row>
    <row r="98" spans="1:20">
      <c r="A98" s="3"/>
      <c r="B98" s="6"/>
      <c r="C98" s="6"/>
      <c r="D98" s="6"/>
      <c r="E98" s="6"/>
      <c r="F98" s="6"/>
      <c r="G98" s="3"/>
      <c r="H98" s="3"/>
      <c r="I98" s="3"/>
      <c r="J98" s="3"/>
      <c r="K98" s="3"/>
      <c r="L98" s="3"/>
      <c r="M98" s="3"/>
      <c r="N98" s="3"/>
      <c r="O98" s="3"/>
      <c r="P98" s="3"/>
      <c r="Q98" s="3"/>
      <c r="R98" s="3"/>
      <c r="S98" s="3"/>
      <c r="T98" s="3"/>
    </row>
  </sheetData>
  <hyperlinks>
    <hyperlink ref="S75" r:id="rId1" display="www.nces.ed.gov"/>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CK91"/>
  <sheetViews>
    <sheetView workbookViewId="0">
      <pane xSplit="1" ySplit="4" topLeftCell="AO41" activePane="bottomRight" state="frozen"/>
      <selection pane="topRight" activeCell="B1" sqref="B1"/>
      <selection pane="bottomLeft" activeCell="A5" sqref="A5"/>
      <selection pane="bottomRight" activeCell="AR54" sqref="AR54:AR63"/>
    </sheetView>
  </sheetViews>
  <sheetFormatPr defaultRowHeight="12.75"/>
  <cols>
    <col min="1" max="1" width="15.5703125" customWidth="1"/>
  </cols>
  <sheetData>
    <row r="1" spans="1:89">
      <c r="A1" s="41" t="s">
        <v>178</v>
      </c>
      <c r="B1" s="42"/>
      <c r="C1" s="43"/>
      <c r="D1" s="43"/>
      <c r="E1" s="43"/>
      <c r="F1" s="43"/>
      <c r="G1" s="43"/>
      <c r="H1" s="43"/>
      <c r="I1" s="43"/>
      <c r="J1" s="43"/>
      <c r="K1" s="43"/>
      <c r="L1" s="43"/>
      <c r="M1" s="31"/>
      <c r="N1" s="31"/>
      <c r="O1" s="31"/>
      <c r="P1" s="31"/>
      <c r="Q1" s="31"/>
      <c r="R1" s="31"/>
      <c r="S1" s="31"/>
      <c r="T1" s="43"/>
      <c r="U1" s="43"/>
      <c r="V1" s="43"/>
      <c r="W1" s="43"/>
      <c r="X1" s="3"/>
      <c r="Y1" s="3"/>
      <c r="Z1" s="3"/>
      <c r="AA1" s="3"/>
      <c r="AB1" s="3"/>
      <c r="AC1" s="3"/>
      <c r="AD1" s="3"/>
      <c r="AE1" s="3"/>
      <c r="AF1" s="3"/>
      <c r="AG1" s="3"/>
      <c r="AH1" s="3"/>
      <c r="AI1" s="3"/>
      <c r="AJ1" s="3"/>
      <c r="AK1" s="3"/>
      <c r="AL1" s="3"/>
      <c r="AM1" s="3"/>
      <c r="AN1" s="3"/>
      <c r="AO1" s="3"/>
      <c r="AP1" s="3"/>
      <c r="AQ1" s="3"/>
      <c r="AR1" s="3"/>
      <c r="AS1" s="3"/>
      <c r="AT1" s="44"/>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row>
    <row r="2" spans="1:89">
      <c r="A2" s="1"/>
      <c r="B2" s="44" t="s">
        <v>179</v>
      </c>
      <c r="C2" s="45" t="s">
        <v>179</v>
      </c>
      <c r="D2" s="45" t="s">
        <v>179</v>
      </c>
      <c r="E2" s="45" t="s">
        <v>179</v>
      </c>
      <c r="F2" s="45" t="s">
        <v>179</v>
      </c>
      <c r="G2" s="45" t="s">
        <v>179</v>
      </c>
      <c r="H2" s="45" t="s">
        <v>179</v>
      </c>
      <c r="I2" s="45" t="s">
        <v>179</v>
      </c>
      <c r="J2" s="45" t="s">
        <v>179</v>
      </c>
      <c r="K2" s="45" t="s">
        <v>179</v>
      </c>
      <c r="L2" s="45" t="s">
        <v>179</v>
      </c>
      <c r="M2" s="45" t="s">
        <v>179</v>
      </c>
      <c r="N2" s="45" t="s">
        <v>179</v>
      </c>
      <c r="O2" s="45" t="s">
        <v>179</v>
      </c>
      <c r="P2" s="45" t="s">
        <v>179</v>
      </c>
      <c r="Q2" s="45" t="s">
        <v>179</v>
      </c>
      <c r="R2" s="45" t="s">
        <v>179</v>
      </c>
      <c r="S2" s="45" t="s">
        <v>179</v>
      </c>
      <c r="T2" s="45" t="s">
        <v>179</v>
      </c>
      <c r="U2" s="45" t="s">
        <v>179</v>
      </c>
      <c r="V2" s="45" t="s">
        <v>179</v>
      </c>
      <c r="W2" s="45" t="s">
        <v>179</v>
      </c>
      <c r="X2" s="45" t="s">
        <v>179</v>
      </c>
      <c r="Y2" s="45" t="s">
        <v>179</v>
      </c>
      <c r="Z2" s="45" t="s">
        <v>179</v>
      </c>
      <c r="AA2" s="45" t="s">
        <v>179</v>
      </c>
      <c r="AB2" s="45" t="s">
        <v>179</v>
      </c>
      <c r="AC2" s="45" t="s">
        <v>179</v>
      </c>
      <c r="AD2" s="45" t="s">
        <v>179</v>
      </c>
      <c r="AE2" s="45" t="s">
        <v>179</v>
      </c>
      <c r="AF2" s="45" t="s">
        <v>179</v>
      </c>
      <c r="AG2" s="45" t="s">
        <v>179</v>
      </c>
      <c r="AH2" s="45" t="s">
        <v>179</v>
      </c>
      <c r="AI2" s="45" t="s">
        <v>179</v>
      </c>
      <c r="AJ2" s="45" t="s">
        <v>179</v>
      </c>
      <c r="AK2" s="45" t="s">
        <v>179</v>
      </c>
      <c r="AL2" s="45" t="s">
        <v>179</v>
      </c>
      <c r="AM2" s="45" t="s">
        <v>179</v>
      </c>
      <c r="AN2" s="45" t="s">
        <v>179</v>
      </c>
      <c r="AO2" s="45" t="s">
        <v>179</v>
      </c>
      <c r="AP2" s="45" t="s">
        <v>179</v>
      </c>
      <c r="AQ2" s="45" t="s">
        <v>179</v>
      </c>
      <c r="AR2" s="45" t="s">
        <v>179</v>
      </c>
      <c r="AS2" s="45" t="s">
        <v>179</v>
      </c>
      <c r="AT2" s="44" t="s">
        <v>180</v>
      </c>
      <c r="AU2" s="45" t="s">
        <v>180</v>
      </c>
      <c r="AV2" s="45" t="s">
        <v>180</v>
      </c>
      <c r="AW2" s="45" t="s">
        <v>180</v>
      </c>
      <c r="AX2" s="45" t="s">
        <v>180</v>
      </c>
      <c r="AY2" s="45" t="s">
        <v>180</v>
      </c>
      <c r="AZ2" s="45" t="s">
        <v>180</v>
      </c>
      <c r="BA2" s="45" t="s">
        <v>180</v>
      </c>
      <c r="BB2" s="45" t="s">
        <v>180</v>
      </c>
      <c r="BC2" s="45" t="s">
        <v>180</v>
      </c>
      <c r="BD2" s="45" t="s">
        <v>180</v>
      </c>
      <c r="BE2" s="45" t="s">
        <v>180</v>
      </c>
      <c r="BF2" s="45" t="s">
        <v>180</v>
      </c>
      <c r="BG2" s="45" t="s">
        <v>180</v>
      </c>
      <c r="BH2" s="45" t="s">
        <v>180</v>
      </c>
      <c r="BI2" s="45" t="s">
        <v>180</v>
      </c>
      <c r="BJ2" s="45" t="s">
        <v>180</v>
      </c>
      <c r="BK2" s="45" t="s">
        <v>180</v>
      </c>
      <c r="BL2" s="45" t="s">
        <v>180</v>
      </c>
      <c r="BM2" s="45" t="s">
        <v>180</v>
      </c>
      <c r="BN2" s="45" t="s">
        <v>180</v>
      </c>
      <c r="BO2" s="45" t="s">
        <v>180</v>
      </c>
      <c r="BP2" s="45" t="s">
        <v>180</v>
      </c>
      <c r="BQ2" s="45" t="s">
        <v>180</v>
      </c>
      <c r="BR2" s="45" t="s">
        <v>180</v>
      </c>
      <c r="BS2" s="45" t="s">
        <v>180</v>
      </c>
      <c r="BT2" s="45" t="s">
        <v>180</v>
      </c>
      <c r="BU2" s="45" t="s">
        <v>180</v>
      </c>
      <c r="BV2" s="45" t="s">
        <v>180</v>
      </c>
      <c r="BW2" s="45" t="s">
        <v>180</v>
      </c>
      <c r="BX2" s="45" t="s">
        <v>180</v>
      </c>
      <c r="BY2" s="45" t="s">
        <v>180</v>
      </c>
      <c r="BZ2" s="45" t="s">
        <v>180</v>
      </c>
      <c r="CA2" s="45" t="s">
        <v>180</v>
      </c>
      <c r="CB2" s="45" t="s">
        <v>180</v>
      </c>
      <c r="CC2" s="45" t="s">
        <v>180</v>
      </c>
      <c r="CD2" s="45" t="s">
        <v>180</v>
      </c>
      <c r="CE2" s="45" t="s">
        <v>180</v>
      </c>
      <c r="CF2" s="45" t="s">
        <v>180</v>
      </c>
      <c r="CG2" s="45" t="s">
        <v>180</v>
      </c>
      <c r="CH2" s="45" t="s">
        <v>180</v>
      </c>
      <c r="CI2" s="45" t="s">
        <v>180</v>
      </c>
      <c r="CJ2" s="45" t="s">
        <v>180</v>
      </c>
      <c r="CK2" s="45" t="s">
        <v>180</v>
      </c>
    </row>
    <row r="3" spans="1:89">
      <c r="A3" s="7"/>
      <c r="B3" s="46" t="s">
        <v>2</v>
      </c>
      <c r="C3" s="9" t="s">
        <v>3</v>
      </c>
      <c r="D3" s="9" t="s">
        <v>4</v>
      </c>
      <c r="E3" s="9" t="s">
        <v>5</v>
      </c>
      <c r="F3" s="9" t="s">
        <v>6</v>
      </c>
      <c r="G3" s="9" t="s">
        <v>7</v>
      </c>
      <c r="H3" s="9" t="s">
        <v>8</v>
      </c>
      <c r="I3" s="9" t="s">
        <v>9</v>
      </c>
      <c r="J3" s="9" t="s">
        <v>10</v>
      </c>
      <c r="K3" s="9" t="s">
        <v>11</v>
      </c>
      <c r="L3" s="9" t="s">
        <v>12</v>
      </c>
      <c r="M3" s="9" t="s">
        <v>13</v>
      </c>
      <c r="N3" s="9" t="s">
        <v>14</v>
      </c>
      <c r="O3" s="9" t="s">
        <v>15</v>
      </c>
      <c r="P3" s="9" t="s">
        <v>16</v>
      </c>
      <c r="Q3" s="9" t="s">
        <v>17</v>
      </c>
      <c r="R3" s="9" t="s">
        <v>18</v>
      </c>
      <c r="S3" s="9" t="s">
        <v>19</v>
      </c>
      <c r="T3" s="9" t="s">
        <v>20</v>
      </c>
      <c r="U3" s="9" t="s">
        <v>21</v>
      </c>
      <c r="V3" s="9" t="s">
        <v>22</v>
      </c>
      <c r="W3" s="9" t="s">
        <v>23</v>
      </c>
      <c r="X3" s="9" t="s">
        <v>24</v>
      </c>
      <c r="Y3" s="10" t="s">
        <v>25</v>
      </c>
      <c r="Z3" s="9" t="s">
        <v>26</v>
      </c>
      <c r="AA3" s="9" t="s">
        <v>27</v>
      </c>
      <c r="AB3" s="9" t="s">
        <v>28</v>
      </c>
      <c r="AC3" s="9" t="s">
        <v>29</v>
      </c>
      <c r="AD3" s="9" t="s">
        <v>30</v>
      </c>
      <c r="AE3" s="9" t="s">
        <v>31</v>
      </c>
      <c r="AF3" s="9" t="s">
        <v>32</v>
      </c>
      <c r="AG3" s="9" t="s">
        <v>33</v>
      </c>
      <c r="AH3" s="9" t="s">
        <v>34</v>
      </c>
      <c r="AI3" s="10" t="s">
        <v>35</v>
      </c>
      <c r="AJ3" s="10" t="s">
        <v>36</v>
      </c>
      <c r="AK3" s="10" t="s">
        <v>37</v>
      </c>
      <c r="AL3" s="155" t="s">
        <v>38</v>
      </c>
      <c r="AM3" s="9" t="s">
        <v>39</v>
      </c>
      <c r="AN3" s="9" t="s">
        <v>40</v>
      </c>
      <c r="AO3" s="9" t="s">
        <v>41</v>
      </c>
      <c r="AP3" s="9" t="s">
        <v>216</v>
      </c>
      <c r="AQ3" s="155" t="s">
        <v>217</v>
      </c>
      <c r="AR3" s="155" t="s">
        <v>232</v>
      </c>
      <c r="AS3" s="155" t="s">
        <v>235</v>
      </c>
      <c r="AT3" s="46" t="s">
        <v>2</v>
      </c>
      <c r="AU3" s="9" t="s">
        <v>3</v>
      </c>
      <c r="AV3" s="9" t="s">
        <v>4</v>
      </c>
      <c r="AW3" s="9" t="s">
        <v>5</v>
      </c>
      <c r="AX3" s="9" t="s">
        <v>6</v>
      </c>
      <c r="AY3" s="9" t="s">
        <v>7</v>
      </c>
      <c r="AZ3" s="9" t="s">
        <v>8</v>
      </c>
      <c r="BA3" s="9" t="s">
        <v>9</v>
      </c>
      <c r="BB3" s="9" t="s">
        <v>10</v>
      </c>
      <c r="BC3" s="9" t="s">
        <v>11</v>
      </c>
      <c r="BD3" s="9" t="s">
        <v>12</v>
      </c>
      <c r="BE3" s="9" t="s">
        <v>13</v>
      </c>
      <c r="BF3" s="9" t="s">
        <v>14</v>
      </c>
      <c r="BG3" s="9" t="s">
        <v>15</v>
      </c>
      <c r="BH3" s="9" t="s">
        <v>16</v>
      </c>
      <c r="BI3" s="9" t="s">
        <v>17</v>
      </c>
      <c r="BJ3" s="9" t="s">
        <v>18</v>
      </c>
      <c r="BK3" s="9" t="s">
        <v>19</v>
      </c>
      <c r="BL3" s="9" t="s">
        <v>20</v>
      </c>
      <c r="BM3" s="9" t="s">
        <v>21</v>
      </c>
      <c r="BN3" s="9" t="s">
        <v>22</v>
      </c>
      <c r="BO3" s="9" t="s">
        <v>23</v>
      </c>
      <c r="BP3" s="9" t="s">
        <v>24</v>
      </c>
      <c r="BQ3" s="10" t="s">
        <v>25</v>
      </c>
      <c r="BR3" s="9" t="s">
        <v>26</v>
      </c>
      <c r="BS3" s="9" t="s">
        <v>27</v>
      </c>
      <c r="BT3" s="9" t="s">
        <v>28</v>
      </c>
      <c r="BU3" s="9" t="s">
        <v>29</v>
      </c>
      <c r="BV3" s="9" t="s">
        <v>30</v>
      </c>
      <c r="BW3" s="9" t="s">
        <v>31</v>
      </c>
      <c r="BX3" s="9" t="s">
        <v>32</v>
      </c>
      <c r="BY3" s="9" t="s">
        <v>33</v>
      </c>
      <c r="BZ3" s="9" t="s">
        <v>34</v>
      </c>
      <c r="CA3" s="10" t="s">
        <v>35</v>
      </c>
      <c r="CB3" s="10" t="s">
        <v>36</v>
      </c>
      <c r="CC3" s="10" t="s">
        <v>37</v>
      </c>
      <c r="CD3" s="155" t="s">
        <v>38</v>
      </c>
      <c r="CE3" s="9" t="s">
        <v>39</v>
      </c>
      <c r="CF3" s="9" t="s">
        <v>40</v>
      </c>
      <c r="CG3" s="9" t="s">
        <v>41</v>
      </c>
      <c r="CH3" s="9" t="s">
        <v>216</v>
      </c>
      <c r="CI3" s="155" t="s">
        <v>217</v>
      </c>
      <c r="CJ3" s="161" t="s">
        <v>232</v>
      </c>
      <c r="CK3" s="161" t="s">
        <v>235</v>
      </c>
    </row>
    <row r="4" spans="1:89">
      <c r="A4" s="12" t="s">
        <v>42</v>
      </c>
      <c r="B4" s="47">
        <f t="shared" ref="B4:BQ4" si="0">B5+B23+B38+B52+B63</f>
        <v>124737</v>
      </c>
      <c r="C4" s="12">
        <f t="shared" si="0"/>
        <v>137194</v>
      </c>
      <c r="D4" s="12">
        <f t="shared" si="0"/>
        <v>148519</v>
      </c>
      <c r="E4" s="12">
        <f t="shared" si="0"/>
        <v>153439</v>
      </c>
      <c r="F4" s="12">
        <f t="shared" si="0"/>
        <v>156941</v>
      </c>
      <c r="G4" s="12">
        <f t="shared" si="0"/>
        <v>160602</v>
      </c>
      <c r="H4" s="12">
        <f t="shared" si="0"/>
        <v>166412</v>
      </c>
      <c r="I4" s="12">
        <f t="shared" si="0"/>
        <v>166849</v>
      </c>
      <c r="J4" s="12">
        <f t="shared" si="0"/>
        <v>160293</v>
      </c>
      <c r="K4" s="12">
        <f t="shared" si="0"/>
        <v>152485</v>
      </c>
      <c r="L4" s="12">
        <f t="shared" si="0"/>
        <v>149755</v>
      </c>
      <c r="M4" s="12">
        <f t="shared" si="0"/>
        <v>146139</v>
      </c>
      <c r="N4" s="12">
        <f t="shared" si="0"/>
        <v>144684</v>
      </c>
      <c r="O4" s="12">
        <f t="shared" si="0"/>
        <v>143496</v>
      </c>
      <c r="P4" s="12">
        <f t="shared" si="0"/>
        <v>142238</v>
      </c>
      <c r="Q4" s="12">
        <f t="shared" si="0"/>
        <v>142128</v>
      </c>
      <c r="R4" s="12">
        <f t="shared" si="0"/>
        <v>142263</v>
      </c>
      <c r="S4" s="12">
        <f t="shared" si="0"/>
        <v>140091</v>
      </c>
      <c r="T4" s="12">
        <f t="shared" si="0"/>
        <v>143625</v>
      </c>
      <c r="U4" s="12">
        <f t="shared" si="0"/>
        <v>147560</v>
      </c>
      <c r="V4" s="12">
        <f t="shared" si="0"/>
        <v>152494</v>
      </c>
      <c r="W4" s="12">
        <f t="shared" si="0"/>
        <v>155454</v>
      </c>
      <c r="X4" s="12">
        <f t="shared" si="0"/>
        <v>160771</v>
      </c>
      <c r="Y4" s="12">
        <f t="shared" si="0"/>
        <v>168072</v>
      </c>
      <c r="Z4" s="12">
        <f t="shared" si="0"/>
        <v>174887</v>
      </c>
      <c r="AA4" s="12">
        <f t="shared" si="0"/>
        <v>177478</v>
      </c>
      <c r="AB4" s="12">
        <f t="shared" si="0"/>
        <v>178007</v>
      </c>
      <c r="AC4" s="12">
        <f t="shared" si="0"/>
        <v>179733</v>
      </c>
      <c r="AD4" s="12">
        <f t="shared" si="0"/>
        <v>184375</v>
      </c>
      <c r="AE4" s="12">
        <f t="shared" si="0"/>
        <v>186148</v>
      </c>
      <c r="AF4" s="12">
        <f t="shared" si="0"/>
        <v>191792</v>
      </c>
      <c r="AG4" s="12">
        <f t="shared" si="0"/>
        <v>194351</v>
      </c>
      <c r="AH4" s="12">
        <f t="shared" si="0"/>
        <v>199120</v>
      </c>
      <c r="AI4" s="12">
        <f t="shared" si="0"/>
        <v>211664</v>
      </c>
      <c r="AJ4" s="12">
        <f t="shared" si="0"/>
        <v>229271</v>
      </c>
      <c r="AK4" s="12">
        <f t="shared" si="0"/>
        <v>233590</v>
      </c>
      <c r="AL4" s="12">
        <f t="shared" si="0"/>
        <v>229762</v>
      </c>
      <c r="AM4" s="12">
        <f t="shared" si="0"/>
        <v>238189</v>
      </c>
      <c r="AN4" s="12">
        <f t="shared" si="0"/>
        <v>247472</v>
      </c>
      <c r="AO4" s="12">
        <f t="shared" ref="AO4:AP4" si="1">AO5+AO23+AO38+AO52+AO63</f>
        <v>261707</v>
      </c>
      <c r="AP4" s="12">
        <f t="shared" si="1"/>
        <v>273984</v>
      </c>
      <c r="AQ4" s="12">
        <f t="shared" ref="AQ4:AS4" si="2">AQ5+AQ23+AQ38+AQ52+AQ63</f>
        <v>278315</v>
      </c>
      <c r="AR4" s="12">
        <f t="shared" si="2"/>
        <v>293458</v>
      </c>
      <c r="AS4" s="12">
        <f t="shared" si="2"/>
        <v>291785</v>
      </c>
      <c r="AT4" s="47">
        <f t="shared" si="0"/>
        <v>82661</v>
      </c>
      <c r="AU4" s="12">
        <f t="shared" si="0"/>
        <v>92357</v>
      </c>
      <c r="AV4" s="12">
        <f t="shared" si="0"/>
        <v>102076</v>
      </c>
      <c r="AW4" s="12">
        <f t="shared" si="0"/>
        <v>108899</v>
      </c>
      <c r="AX4" s="12">
        <f t="shared" si="0"/>
        <v>119190</v>
      </c>
      <c r="AY4" s="12">
        <f t="shared" si="0"/>
        <v>130872</v>
      </c>
      <c r="AZ4" s="12">
        <f t="shared" si="0"/>
        <v>144509</v>
      </c>
      <c r="BA4" s="12">
        <f t="shared" si="0"/>
        <v>149373</v>
      </c>
      <c r="BB4" s="12">
        <f t="shared" si="0"/>
        <v>150396</v>
      </c>
      <c r="BC4" s="12">
        <f t="shared" si="0"/>
        <v>147693</v>
      </c>
      <c r="BD4" s="12">
        <f t="shared" si="0"/>
        <v>147297</v>
      </c>
      <c r="BE4" s="12">
        <f t="shared" si="0"/>
        <v>148674</v>
      </c>
      <c r="BF4" s="12">
        <f t="shared" si="0"/>
        <v>149987</v>
      </c>
      <c r="BG4" s="12">
        <f t="shared" si="0"/>
        <v>145217</v>
      </c>
      <c r="BH4" s="12">
        <f t="shared" si="0"/>
        <v>140667</v>
      </c>
      <c r="BI4" s="12">
        <f t="shared" si="0"/>
        <v>142857</v>
      </c>
      <c r="BJ4" s="12">
        <f t="shared" si="0"/>
        <v>145053</v>
      </c>
      <c r="BK4" s="12">
        <f t="shared" si="0"/>
        <v>148036</v>
      </c>
      <c r="BL4" s="12">
        <f t="shared" si="0"/>
        <v>153780</v>
      </c>
      <c r="BM4" s="12">
        <f t="shared" si="0"/>
        <v>160650</v>
      </c>
      <c r="BN4" s="12">
        <f t="shared" si="0"/>
        <v>170619</v>
      </c>
      <c r="BO4" s="12">
        <f t="shared" si="0"/>
        <v>180578</v>
      </c>
      <c r="BP4" s="12">
        <f t="shared" si="0"/>
        <v>190871</v>
      </c>
      <c r="BQ4" s="12">
        <f t="shared" si="0"/>
        <v>200225</v>
      </c>
      <c r="BR4" s="12">
        <f t="shared" ref="BR4:CG4" si="3">BR5+BR23+BR38+BR52+BR63</f>
        <v>210868</v>
      </c>
      <c r="BS4" s="12">
        <f t="shared" si="3"/>
        <v>218896</v>
      </c>
      <c r="BT4" s="12">
        <f t="shared" si="3"/>
        <v>227092</v>
      </c>
      <c r="BU4" s="12">
        <f t="shared" si="3"/>
        <v>238306</v>
      </c>
      <c r="BV4" s="12">
        <f t="shared" si="3"/>
        <v>245789</v>
      </c>
      <c r="BW4" s="12">
        <f t="shared" si="3"/>
        <v>253838</v>
      </c>
      <c r="BX4" s="12">
        <f t="shared" si="3"/>
        <v>265264</v>
      </c>
      <c r="BY4" s="12">
        <f t="shared" si="3"/>
        <v>274125</v>
      </c>
      <c r="BZ4" s="12">
        <f t="shared" si="3"/>
        <v>282998</v>
      </c>
      <c r="CA4" s="12">
        <f t="shared" si="3"/>
        <v>301675</v>
      </c>
      <c r="CB4" s="12">
        <f t="shared" si="3"/>
        <v>329397</v>
      </c>
      <c r="CC4" s="12">
        <f t="shared" si="3"/>
        <v>341028</v>
      </c>
      <c r="CD4" s="12">
        <f t="shared" si="3"/>
        <v>340393</v>
      </c>
      <c r="CE4" s="12">
        <f t="shared" si="3"/>
        <v>366418</v>
      </c>
      <c r="CF4" s="12">
        <f t="shared" si="3"/>
        <v>378925</v>
      </c>
      <c r="CG4" s="12">
        <f t="shared" si="3"/>
        <v>397552</v>
      </c>
      <c r="CH4" s="12">
        <f t="shared" ref="CH4:CI4" si="4">CH5+CH23+CH38+CH52+CH63</f>
        <v>415403</v>
      </c>
      <c r="CI4" s="12">
        <f t="shared" si="4"/>
        <v>413457</v>
      </c>
      <c r="CJ4" s="12">
        <f t="shared" ref="CJ4:CK4" si="5">CJ5+CJ23+CJ38+CJ52+CJ63</f>
        <v>436872</v>
      </c>
      <c r="CK4" s="12">
        <f t="shared" si="5"/>
        <v>432493</v>
      </c>
    </row>
    <row r="5" spans="1:89">
      <c r="A5" s="15" t="s">
        <v>43</v>
      </c>
      <c r="B5" s="48">
        <f t="shared" ref="B5:BQ5" si="6">SUM(B7:B22)</f>
        <v>24995</v>
      </c>
      <c r="C5" s="15">
        <f t="shared" si="6"/>
        <v>27731</v>
      </c>
      <c r="D5" s="15">
        <f t="shared" si="6"/>
        <v>31647</v>
      </c>
      <c r="E5" s="15">
        <f t="shared" si="6"/>
        <v>34006</v>
      </c>
      <c r="F5" s="15">
        <f t="shared" si="6"/>
        <v>36044</v>
      </c>
      <c r="G5" s="15">
        <f t="shared" si="6"/>
        <v>37771</v>
      </c>
      <c r="H5" s="15">
        <f t="shared" si="6"/>
        <v>40420</v>
      </c>
      <c r="I5" s="15">
        <f t="shared" si="6"/>
        <v>40978</v>
      </c>
      <c r="J5" s="15">
        <f t="shared" si="6"/>
        <v>39590</v>
      </c>
      <c r="K5" s="15">
        <f t="shared" si="6"/>
        <v>37847</v>
      </c>
      <c r="L5" s="15">
        <f t="shared" si="6"/>
        <v>37020</v>
      </c>
      <c r="M5" s="15">
        <f t="shared" si="6"/>
        <v>35599</v>
      </c>
      <c r="N5" s="15">
        <f t="shared" si="6"/>
        <v>34978</v>
      </c>
      <c r="O5" s="15">
        <f t="shared" si="6"/>
        <v>34906</v>
      </c>
      <c r="P5" s="15">
        <f t="shared" si="6"/>
        <v>35104</v>
      </c>
      <c r="Q5" s="15">
        <f t="shared" si="6"/>
        <v>35687</v>
      </c>
      <c r="R5" s="15">
        <f t="shared" si="6"/>
        <v>36408</v>
      </c>
      <c r="S5" s="15">
        <f t="shared" si="6"/>
        <v>35080</v>
      </c>
      <c r="T5" s="15">
        <f t="shared" si="6"/>
        <v>37220</v>
      </c>
      <c r="U5" s="15">
        <f t="shared" si="6"/>
        <v>37686</v>
      </c>
      <c r="V5" s="15">
        <f t="shared" si="6"/>
        <v>38968</v>
      </c>
      <c r="W5" s="15">
        <f t="shared" si="6"/>
        <v>40104</v>
      </c>
      <c r="X5" s="15">
        <f t="shared" si="6"/>
        <v>42588</v>
      </c>
      <c r="Y5" s="15">
        <f t="shared" si="6"/>
        <v>45833</v>
      </c>
      <c r="Z5" s="15">
        <f t="shared" si="6"/>
        <v>48222</v>
      </c>
      <c r="AA5" s="15">
        <f t="shared" si="6"/>
        <v>49980</v>
      </c>
      <c r="AB5" s="15">
        <f t="shared" si="6"/>
        <v>49497</v>
      </c>
      <c r="AC5" s="15">
        <f t="shared" si="6"/>
        <v>51092</v>
      </c>
      <c r="AD5" s="15">
        <f t="shared" si="6"/>
        <v>51907</v>
      </c>
      <c r="AE5" s="15">
        <f t="shared" si="6"/>
        <v>51853</v>
      </c>
      <c r="AF5" s="15">
        <f t="shared" si="6"/>
        <v>54332</v>
      </c>
      <c r="AG5" s="15">
        <f t="shared" si="6"/>
        <v>54415</v>
      </c>
      <c r="AH5" s="15">
        <f t="shared" si="6"/>
        <v>55458</v>
      </c>
      <c r="AI5" s="15">
        <f t="shared" si="6"/>
        <v>58691</v>
      </c>
      <c r="AJ5" s="15">
        <f t="shared" ref="AJ5" si="7">SUM(AJ7:AJ22)</f>
        <v>64286</v>
      </c>
      <c r="AK5" s="15">
        <f t="shared" si="6"/>
        <v>65014</v>
      </c>
      <c r="AL5" s="15">
        <f t="shared" si="6"/>
        <v>64672</v>
      </c>
      <c r="AM5" s="15">
        <f t="shared" si="6"/>
        <v>65660</v>
      </c>
      <c r="AN5" s="15">
        <f t="shared" si="6"/>
        <v>69260</v>
      </c>
      <c r="AO5" s="15">
        <f t="shared" ref="AO5:AP5" si="8">SUM(AO7:AO22)</f>
        <v>74750</v>
      </c>
      <c r="AP5" s="15">
        <f t="shared" si="8"/>
        <v>79231</v>
      </c>
      <c r="AQ5" s="15">
        <f t="shared" ref="AQ5:AS5" si="9">SUM(AQ7:AQ22)</f>
        <v>84139</v>
      </c>
      <c r="AR5" s="15">
        <f t="shared" si="9"/>
        <v>88880</v>
      </c>
      <c r="AS5" s="15">
        <f t="shared" si="9"/>
        <v>90386</v>
      </c>
      <c r="AT5" s="48">
        <f t="shared" si="6"/>
        <v>18731</v>
      </c>
      <c r="AU5" s="15">
        <f t="shared" si="6"/>
        <v>21798</v>
      </c>
      <c r="AV5" s="15">
        <f t="shared" si="6"/>
        <v>24813</v>
      </c>
      <c r="AW5" s="15">
        <f t="shared" si="6"/>
        <v>28277</v>
      </c>
      <c r="AX5" s="15">
        <f t="shared" si="6"/>
        <v>32591</v>
      </c>
      <c r="AY5" s="15">
        <f t="shared" si="6"/>
        <v>37226</v>
      </c>
      <c r="AZ5" s="15">
        <f t="shared" si="6"/>
        <v>43247</v>
      </c>
      <c r="BA5" s="15">
        <f t="shared" si="6"/>
        <v>45151</v>
      </c>
      <c r="BB5" s="15">
        <f t="shared" si="6"/>
        <v>46502</v>
      </c>
      <c r="BC5" s="15">
        <f t="shared" si="6"/>
        <v>44904</v>
      </c>
      <c r="BD5" s="15">
        <f t="shared" si="6"/>
        <v>44271</v>
      </c>
      <c r="BE5" s="15">
        <f t="shared" si="6"/>
        <v>44022</v>
      </c>
      <c r="BF5" s="15">
        <f t="shared" si="6"/>
        <v>43511</v>
      </c>
      <c r="BG5" s="15">
        <f t="shared" si="6"/>
        <v>41709</v>
      </c>
      <c r="BH5" s="15">
        <f t="shared" si="6"/>
        <v>39598</v>
      </c>
      <c r="BI5" s="15">
        <f t="shared" si="6"/>
        <v>41193</v>
      </c>
      <c r="BJ5" s="15">
        <f t="shared" si="6"/>
        <v>41723</v>
      </c>
      <c r="BK5" s="15">
        <f t="shared" si="6"/>
        <v>41900</v>
      </c>
      <c r="BL5" s="15">
        <f t="shared" si="6"/>
        <v>43660</v>
      </c>
      <c r="BM5" s="15">
        <f t="shared" si="6"/>
        <v>44293</v>
      </c>
      <c r="BN5" s="15">
        <f t="shared" si="6"/>
        <v>47426</v>
      </c>
      <c r="BO5" s="15">
        <f t="shared" si="6"/>
        <v>49847</v>
      </c>
      <c r="BP5" s="15">
        <f t="shared" si="6"/>
        <v>52578</v>
      </c>
      <c r="BQ5" s="15">
        <f t="shared" si="6"/>
        <v>55978</v>
      </c>
      <c r="BR5" s="15">
        <f t="shared" ref="BR5:CG5" si="10">SUM(BR7:BR22)</f>
        <v>59190</v>
      </c>
      <c r="BS5" s="15">
        <f t="shared" si="10"/>
        <v>62550</v>
      </c>
      <c r="BT5" s="15">
        <f t="shared" si="10"/>
        <v>64898</v>
      </c>
      <c r="BU5" s="15">
        <f t="shared" si="10"/>
        <v>69219</v>
      </c>
      <c r="BV5" s="15">
        <f t="shared" si="10"/>
        <v>71612</v>
      </c>
      <c r="BW5" s="15">
        <f t="shared" si="10"/>
        <v>73247</v>
      </c>
      <c r="BX5" s="15">
        <f t="shared" si="10"/>
        <v>76172</v>
      </c>
      <c r="BY5" s="15">
        <f t="shared" si="10"/>
        <v>77879</v>
      </c>
      <c r="BZ5" s="15">
        <f t="shared" si="10"/>
        <v>80015</v>
      </c>
      <c r="CA5" s="15">
        <f t="shared" si="10"/>
        <v>83823</v>
      </c>
      <c r="CB5" s="15">
        <f t="shared" si="10"/>
        <v>91775</v>
      </c>
      <c r="CC5" s="15">
        <f t="shared" si="10"/>
        <v>96116</v>
      </c>
      <c r="CD5" s="15">
        <f t="shared" si="10"/>
        <v>98918</v>
      </c>
      <c r="CE5" s="15">
        <f t="shared" si="10"/>
        <v>101718</v>
      </c>
      <c r="CF5" s="15">
        <f t="shared" si="10"/>
        <v>104947</v>
      </c>
      <c r="CG5" s="15">
        <f t="shared" si="10"/>
        <v>111230</v>
      </c>
      <c r="CH5" s="15">
        <f t="shared" ref="CH5:CI5" si="11">SUM(CH7:CH22)</f>
        <v>118253</v>
      </c>
      <c r="CI5" s="15">
        <f t="shared" si="11"/>
        <v>125472</v>
      </c>
      <c r="CJ5" s="15">
        <f t="shared" ref="CJ5:CK5" si="12">SUM(CJ7:CJ22)</f>
        <v>131627</v>
      </c>
      <c r="CK5" s="15">
        <f t="shared" si="12"/>
        <v>133667</v>
      </c>
    </row>
    <row r="6" spans="1:89">
      <c r="A6" s="17" t="s">
        <v>44</v>
      </c>
      <c r="B6" s="49">
        <f t="shared" ref="B6:BQ6" si="13">(B5/B4)*100</f>
        <v>20.03816028924858</v>
      </c>
      <c r="C6" s="17">
        <f t="shared" si="13"/>
        <v>20.21298307506159</v>
      </c>
      <c r="D6" s="17">
        <f t="shared" si="13"/>
        <v>21.308384785784984</v>
      </c>
      <c r="E6" s="17">
        <f t="shared" si="13"/>
        <v>22.162553197035955</v>
      </c>
      <c r="F6" s="17">
        <f t="shared" si="13"/>
        <v>22.966592541146035</v>
      </c>
      <c r="G6" s="17">
        <f t="shared" si="13"/>
        <v>23.518387068654189</v>
      </c>
      <c r="H6" s="17">
        <f t="shared" si="13"/>
        <v>24.289113765834195</v>
      </c>
      <c r="I6" s="17">
        <f t="shared" si="13"/>
        <v>24.5599314350101</v>
      </c>
      <c r="J6" s="17">
        <f t="shared" si="13"/>
        <v>24.698520833723244</v>
      </c>
      <c r="K6" s="17">
        <f t="shared" si="13"/>
        <v>24.820146243892843</v>
      </c>
      <c r="L6" s="17">
        <f t="shared" si="13"/>
        <v>24.720376615138058</v>
      </c>
      <c r="M6" s="17">
        <f t="shared" si="13"/>
        <v>24.359684957471998</v>
      </c>
      <c r="N6" s="17">
        <f t="shared" si="13"/>
        <v>24.175444416797987</v>
      </c>
      <c r="O6" s="17">
        <f t="shared" si="13"/>
        <v>24.32541673635502</v>
      </c>
      <c r="P6" s="17">
        <f t="shared" si="13"/>
        <v>24.679762088893263</v>
      </c>
      <c r="Q6" s="17">
        <f t="shared" si="13"/>
        <v>25.10905662501407</v>
      </c>
      <c r="R6" s="17">
        <f t="shared" si="13"/>
        <v>25.592037283060247</v>
      </c>
      <c r="S6" s="17">
        <f t="shared" si="13"/>
        <v>25.040866294051721</v>
      </c>
      <c r="T6" s="17">
        <f t="shared" si="13"/>
        <v>25.914708442123587</v>
      </c>
      <c r="U6" s="17">
        <f t="shared" si="13"/>
        <v>25.539441583084848</v>
      </c>
      <c r="V6" s="17">
        <f t="shared" si="13"/>
        <v>25.55379228035201</v>
      </c>
      <c r="W6" s="17">
        <f t="shared" si="13"/>
        <v>25.797985256088619</v>
      </c>
      <c r="X6" s="17">
        <f t="shared" si="13"/>
        <v>26.489852025551876</v>
      </c>
      <c r="Y6" s="17">
        <f t="shared" si="13"/>
        <v>27.269860535960778</v>
      </c>
      <c r="Z6" s="17">
        <f t="shared" si="13"/>
        <v>27.573233001881214</v>
      </c>
      <c r="AA6" s="17">
        <f t="shared" si="13"/>
        <v>28.161236885698511</v>
      </c>
      <c r="AB6" s="17">
        <f t="shared" si="13"/>
        <v>27.806209868151257</v>
      </c>
      <c r="AC6" s="17">
        <f t="shared" si="13"/>
        <v>28.426610583476602</v>
      </c>
      <c r="AD6" s="17">
        <f t="shared" si="13"/>
        <v>28.152949152542373</v>
      </c>
      <c r="AE6" s="17">
        <f t="shared" si="13"/>
        <v>27.855792165373789</v>
      </c>
      <c r="AF6" s="17">
        <f t="shared" si="13"/>
        <v>28.328605989822307</v>
      </c>
      <c r="AG6" s="17">
        <f t="shared" si="13"/>
        <v>27.998312331812031</v>
      </c>
      <c r="AH6" s="17">
        <f t="shared" si="13"/>
        <v>27.851546805946164</v>
      </c>
      <c r="AI6" s="17">
        <f t="shared" si="13"/>
        <v>27.728380829994709</v>
      </c>
      <c r="AJ6" s="17">
        <f t="shared" si="13"/>
        <v>28.039307195415031</v>
      </c>
      <c r="AK6" s="17">
        <f t="shared" si="13"/>
        <v>27.832527077357767</v>
      </c>
      <c r="AL6" s="17">
        <f t="shared" si="13"/>
        <v>28.147387296419772</v>
      </c>
      <c r="AM6" s="17">
        <f t="shared" si="13"/>
        <v>27.566344373585682</v>
      </c>
      <c r="AN6" s="17">
        <f t="shared" si="13"/>
        <v>27.987004590418309</v>
      </c>
      <c r="AO6" s="17">
        <f t="shared" ref="AO6:AP6" si="14">(AO5/AO4)*100</f>
        <v>28.562476357147499</v>
      </c>
      <c r="AP6" s="17">
        <f t="shared" si="14"/>
        <v>28.918112006540532</v>
      </c>
      <c r="AQ6" s="17">
        <f t="shared" ref="AQ6:AS6" si="15">(AQ5/AQ4)*100</f>
        <v>30.231572139482243</v>
      </c>
      <c r="AR6" s="17">
        <f t="shared" si="15"/>
        <v>30.287127970612488</v>
      </c>
      <c r="AS6" s="17">
        <f t="shared" si="15"/>
        <v>30.976917936151622</v>
      </c>
      <c r="AT6" s="49">
        <f t="shared" si="13"/>
        <v>22.660021049830029</v>
      </c>
      <c r="AU6" s="17">
        <f t="shared" si="13"/>
        <v>23.601892655673097</v>
      </c>
      <c r="AV6" s="17">
        <f t="shared" si="13"/>
        <v>24.308358477996787</v>
      </c>
      <c r="AW6" s="17">
        <f t="shared" si="13"/>
        <v>25.966262316458373</v>
      </c>
      <c r="AX6" s="17">
        <f t="shared" si="13"/>
        <v>27.343736890678748</v>
      </c>
      <c r="AY6" s="17">
        <f t="shared" si="13"/>
        <v>28.444587077449725</v>
      </c>
      <c r="AZ6" s="17">
        <f t="shared" si="13"/>
        <v>29.926855766768849</v>
      </c>
      <c r="BA6" s="17">
        <f t="shared" si="13"/>
        <v>30.227015591840562</v>
      </c>
      <c r="BB6" s="17">
        <f t="shared" si="13"/>
        <v>30.919705311311468</v>
      </c>
      <c r="BC6" s="17">
        <f t="shared" si="13"/>
        <v>30.403607483089921</v>
      </c>
      <c r="BD6" s="17">
        <f t="shared" si="13"/>
        <v>30.055601947086497</v>
      </c>
      <c r="BE6" s="17">
        <f t="shared" si="13"/>
        <v>29.609750191694577</v>
      </c>
      <c r="BF6" s="17">
        <f t="shared" si="13"/>
        <v>29.009847520118409</v>
      </c>
      <c r="BG6" s="17">
        <f t="shared" si="13"/>
        <v>28.721843861255913</v>
      </c>
      <c r="BH6" s="17">
        <f t="shared" si="13"/>
        <v>28.150170260260047</v>
      </c>
      <c r="BI6" s="17">
        <f t="shared" si="13"/>
        <v>28.835128835128838</v>
      </c>
      <c r="BJ6" s="17">
        <f t="shared" si="13"/>
        <v>28.76396903200899</v>
      </c>
      <c r="BK6" s="17">
        <f t="shared" si="13"/>
        <v>28.303926072036532</v>
      </c>
      <c r="BL6" s="17">
        <f t="shared" si="13"/>
        <v>28.391208219534398</v>
      </c>
      <c r="BM6" s="17">
        <f t="shared" si="13"/>
        <v>27.571117335823221</v>
      </c>
      <c r="BN6" s="17">
        <f t="shared" si="13"/>
        <v>27.796435332524517</v>
      </c>
      <c r="BO6" s="17">
        <f t="shared" si="13"/>
        <v>27.604137824098174</v>
      </c>
      <c r="BP6" s="17">
        <f t="shared" si="13"/>
        <v>27.546353296205289</v>
      </c>
      <c r="BQ6" s="17">
        <f t="shared" si="13"/>
        <v>27.957547758771383</v>
      </c>
      <c r="BR6" s="17">
        <f t="shared" ref="BR6:CG6" si="16">(BR5/BR4)*100</f>
        <v>28.069692888442059</v>
      </c>
      <c r="BS6" s="17">
        <f t="shared" si="16"/>
        <v>28.57521380016081</v>
      </c>
      <c r="BT6" s="17">
        <f t="shared" si="16"/>
        <v>28.577845102425449</v>
      </c>
      <c r="BU6" s="17">
        <f t="shared" si="16"/>
        <v>29.046268243350987</v>
      </c>
      <c r="BV6" s="17">
        <f t="shared" si="16"/>
        <v>29.135559361891705</v>
      </c>
      <c r="BW6" s="17">
        <f t="shared" si="16"/>
        <v>28.855805671333684</v>
      </c>
      <c r="BX6" s="17">
        <f t="shared" si="16"/>
        <v>28.715543760178541</v>
      </c>
      <c r="BY6" s="17">
        <f t="shared" si="16"/>
        <v>28.410031919744643</v>
      </c>
      <c r="BZ6" s="17">
        <f t="shared" si="16"/>
        <v>28.274051406723721</v>
      </c>
      <c r="CA6" s="17">
        <f t="shared" si="16"/>
        <v>27.785862268998095</v>
      </c>
      <c r="CB6" s="17">
        <f t="shared" si="16"/>
        <v>27.861516650121281</v>
      </c>
      <c r="CC6" s="17">
        <f t="shared" si="16"/>
        <v>28.184196019095211</v>
      </c>
      <c r="CD6" s="17">
        <f t="shared" si="16"/>
        <v>29.059939540472335</v>
      </c>
      <c r="CE6" s="17">
        <f t="shared" si="16"/>
        <v>27.760099121768032</v>
      </c>
      <c r="CF6" s="17">
        <f t="shared" si="16"/>
        <v>27.69598205449627</v>
      </c>
      <c r="CG6" s="17">
        <f t="shared" si="16"/>
        <v>27.978729826538419</v>
      </c>
      <c r="CH6" s="17">
        <f t="shared" ref="CH6:CI6" si="17">(CH5/CH4)*100</f>
        <v>28.467054884052356</v>
      </c>
      <c r="CI6" s="17">
        <f t="shared" si="17"/>
        <v>30.347049390867731</v>
      </c>
      <c r="CJ6" s="17">
        <f t="shared" ref="CJ6:CK6" si="18">(CJ5/CJ4)*100</f>
        <v>30.129420058964641</v>
      </c>
      <c r="CK6" s="17">
        <f t="shared" si="18"/>
        <v>30.906164955270953</v>
      </c>
    </row>
    <row r="7" spans="1:89">
      <c r="A7" s="18" t="s">
        <v>45</v>
      </c>
      <c r="B7" s="42">
        <v>1264</v>
      </c>
      <c r="C7" s="31">
        <v>1324</v>
      </c>
      <c r="D7" s="31">
        <v>1836</v>
      </c>
      <c r="E7" s="31">
        <v>2073</v>
      </c>
      <c r="F7" s="31">
        <v>2111</v>
      </c>
      <c r="G7" s="31">
        <v>2405</v>
      </c>
      <c r="H7" s="31">
        <v>2798</v>
      </c>
      <c r="I7" s="31">
        <v>2605</v>
      </c>
      <c r="J7" s="31">
        <v>2731</v>
      </c>
      <c r="K7" s="31">
        <v>2673</v>
      </c>
      <c r="L7" s="31">
        <v>2475</v>
      </c>
      <c r="M7" s="6">
        <v>2201</v>
      </c>
      <c r="N7" s="6">
        <v>2240</v>
      </c>
      <c r="O7" s="6">
        <v>2109</v>
      </c>
      <c r="P7" s="50">
        <v>1959</v>
      </c>
      <c r="Q7" s="50">
        <v>2108</v>
      </c>
      <c r="R7" s="50">
        <v>1876</v>
      </c>
      <c r="S7" s="50">
        <v>1641</v>
      </c>
      <c r="T7" s="31">
        <v>2081</v>
      </c>
      <c r="U7" s="31">
        <v>1816</v>
      </c>
      <c r="V7" s="31">
        <v>1881</v>
      </c>
      <c r="W7" s="31">
        <v>2035</v>
      </c>
      <c r="X7" s="6">
        <v>2264</v>
      </c>
      <c r="Y7" s="6">
        <v>2310</v>
      </c>
      <c r="Z7" s="6">
        <v>2395</v>
      </c>
      <c r="AA7" s="6">
        <v>2510</v>
      </c>
      <c r="AB7" s="6">
        <v>2406</v>
      </c>
      <c r="AC7" s="6">
        <v>3019</v>
      </c>
      <c r="AD7" s="6">
        <v>2477</v>
      </c>
      <c r="AE7" s="6">
        <v>2495</v>
      </c>
      <c r="AF7" s="6">
        <v>3282</v>
      </c>
      <c r="AG7" s="6">
        <v>3168</v>
      </c>
      <c r="AH7" s="6">
        <v>3152</v>
      </c>
      <c r="AI7" s="6">
        <v>3229</v>
      </c>
      <c r="AJ7" s="6">
        <v>3452</v>
      </c>
      <c r="AK7" s="6">
        <v>3622</v>
      </c>
      <c r="AL7" s="6">
        <v>3711</v>
      </c>
      <c r="AM7" s="6">
        <v>3445</v>
      </c>
      <c r="AN7" s="6">
        <v>4004</v>
      </c>
      <c r="AO7" s="6">
        <v>3998</v>
      </c>
      <c r="AP7" s="6">
        <v>4424</v>
      </c>
      <c r="AQ7" s="6">
        <v>3981</v>
      </c>
      <c r="AR7" s="6">
        <v>4443</v>
      </c>
      <c r="AS7" s="6">
        <v>4624</v>
      </c>
      <c r="AT7" s="51">
        <v>1080</v>
      </c>
      <c r="AU7" s="6">
        <v>1237</v>
      </c>
      <c r="AV7" s="6">
        <v>1425</v>
      </c>
      <c r="AW7" s="6">
        <v>1741</v>
      </c>
      <c r="AX7" s="6">
        <v>2151</v>
      </c>
      <c r="AY7" s="6">
        <v>2775</v>
      </c>
      <c r="AZ7" s="6">
        <v>3318</v>
      </c>
      <c r="BA7" s="6">
        <v>3152</v>
      </c>
      <c r="BB7" s="6">
        <v>3408</v>
      </c>
      <c r="BC7" s="6">
        <v>3347</v>
      </c>
      <c r="BD7" s="6">
        <v>3052</v>
      </c>
      <c r="BE7" s="6">
        <v>3070</v>
      </c>
      <c r="BF7" s="6">
        <v>2623</v>
      </c>
      <c r="BG7" s="6">
        <v>2710</v>
      </c>
      <c r="BH7" s="6">
        <v>2142</v>
      </c>
      <c r="BI7" s="6">
        <v>2264</v>
      </c>
      <c r="BJ7" s="6">
        <v>2220</v>
      </c>
      <c r="BK7" s="6">
        <v>2305</v>
      </c>
      <c r="BL7" s="6">
        <v>2478</v>
      </c>
      <c r="BM7" s="6">
        <v>2417</v>
      </c>
      <c r="BN7" s="6">
        <v>2629</v>
      </c>
      <c r="BO7" s="6">
        <v>3127</v>
      </c>
      <c r="BP7" s="6">
        <v>3280</v>
      </c>
      <c r="BQ7" s="6">
        <v>3326</v>
      </c>
      <c r="BR7" s="6">
        <v>3368</v>
      </c>
      <c r="BS7" s="6">
        <v>3473</v>
      </c>
      <c r="BT7" s="6">
        <v>4067</v>
      </c>
      <c r="BU7" s="6">
        <v>4459</v>
      </c>
      <c r="BV7" s="6">
        <v>3841</v>
      </c>
      <c r="BW7" s="6">
        <v>4110</v>
      </c>
      <c r="BX7" s="6">
        <v>4739</v>
      </c>
      <c r="BY7" s="6">
        <v>4970</v>
      </c>
      <c r="BZ7" s="6">
        <v>5132</v>
      </c>
      <c r="CA7" s="6">
        <v>5212</v>
      </c>
      <c r="CB7" s="6">
        <v>5607</v>
      </c>
      <c r="CC7" s="6">
        <v>6371</v>
      </c>
      <c r="CD7" s="6">
        <v>6584</v>
      </c>
      <c r="CE7" s="6">
        <v>6312</v>
      </c>
      <c r="CF7" s="6">
        <v>6615</v>
      </c>
      <c r="CG7" s="6">
        <v>6695</v>
      </c>
      <c r="CH7" s="6">
        <v>6829</v>
      </c>
      <c r="CI7" s="159">
        <v>6673</v>
      </c>
      <c r="CJ7">
        <v>6959</v>
      </c>
      <c r="CK7">
        <v>7046</v>
      </c>
    </row>
    <row r="8" spans="1:89">
      <c r="A8" s="18" t="s">
        <v>46</v>
      </c>
      <c r="B8" s="42">
        <v>637</v>
      </c>
      <c r="C8" s="31">
        <v>676</v>
      </c>
      <c r="D8" s="31">
        <v>678</v>
      </c>
      <c r="E8" s="31">
        <v>690</v>
      </c>
      <c r="F8" s="31">
        <v>658</v>
      </c>
      <c r="G8" s="31">
        <v>787</v>
      </c>
      <c r="H8" s="31">
        <v>908</v>
      </c>
      <c r="I8" s="31">
        <v>875</v>
      </c>
      <c r="J8" s="31">
        <v>841</v>
      </c>
      <c r="K8" s="31">
        <v>788</v>
      </c>
      <c r="L8" s="31">
        <v>814</v>
      </c>
      <c r="M8" s="6">
        <v>779</v>
      </c>
      <c r="N8" s="6">
        <v>777</v>
      </c>
      <c r="O8" s="6">
        <v>765</v>
      </c>
      <c r="P8" s="50">
        <v>776</v>
      </c>
      <c r="Q8" s="50">
        <v>731</v>
      </c>
      <c r="R8" s="50">
        <v>758</v>
      </c>
      <c r="S8" s="50">
        <v>758</v>
      </c>
      <c r="T8" s="31">
        <v>655</v>
      </c>
      <c r="U8" s="31">
        <v>757</v>
      </c>
      <c r="V8" s="31">
        <v>668</v>
      </c>
      <c r="W8" s="31">
        <v>641</v>
      </c>
      <c r="X8" s="6">
        <v>725</v>
      </c>
      <c r="Y8" s="6">
        <v>709</v>
      </c>
      <c r="Z8" s="6">
        <v>803</v>
      </c>
      <c r="AA8" s="6">
        <v>742</v>
      </c>
      <c r="AB8" s="6">
        <v>800</v>
      </c>
      <c r="AC8" s="6">
        <v>811</v>
      </c>
      <c r="AD8" s="6">
        <v>814</v>
      </c>
      <c r="AE8" s="6">
        <v>762</v>
      </c>
      <c r="AF8" s="6">
        <v>862</v>
      </c>
      <c r="AG8" s="6">
        <v>774</v>
      </c>
      <c r="AH8" s="6">
        <v>847</v>
      </c>
      <c r="AI8" s="6">
        <v>862</v>
      </c>
      <c r="AJ8" s="6">
        <v>981</v>
      </c>
      <c r="AK8" s="6">
        <v>1046</v>
      </c>
      <c r="AL8" s="6">
        <v>1187</v>
      </c>
      <c r="AM8" s="6">
        <v>1198</v>
      </c>
      <c r="AN8" s="6">
        <v>1250</v>
      </c>
      <c r="AO8" s="6">
        <v>1304</v>
      </c>
      <c r="AP8" s="6">
        <v>1485</v>
      </c>
      <c r="AQ8" s="6">
        <v>1640</v>
      </c>
      <c r="AR8" s="6">
        <v>1826</v>
      </c>
      <c r="AS8" s="6">
        <v>1822</v>
      </c>
      <c r="AT8" s="51">
        <v>522</v>
      </c>
      <c r="AU8" s="6">
        <v>509</v>
      </c>
      <c r="AV8" s="6">
        <v>565</v>
      </c>
      <c r="AW8" s="6">
        <v>617</v>
      </c>
      <c r="AX8" s="6">
        <v>576</v>
      </c>
      <c r="AY8" s="6">
        <v>650</v>
      </c>
      <c r="AZ8" s="6">
        <v>762</v>
      </c>
      <c r="BA8" s="6">
        <v>925</v>
      </c>
      <c r="BB8" s="6">
        <v>931</v>
      </c>
      <c r="BC8" s="6">
        <v>892</v>
      </c>
      <c r="BD8" s="6">
        <v>940</v>
      </c>
      <c r="BE8" s="6">
        <v>1015</v>
      </c>
      <c r="BF8" s="6">
        <v>1077</v>
      </c>
      <c r="BG8" s="6">
        <v>1006</v>
      </c>
      <c r="BH8" s="6">
        <v>914</v>
      </c>
      <c r="BI8" s="6">
        <v>1000</v>
      </c>
      <c r="BJ8" s="6">
        <v>939</v>
      </c>
      <c r="BK8" s="6">
        <v>1125</v>
      </c>
      <c r="BL8" s="6">
        <v>1091</v>
      </c>
      <c r="BM8" s="6">
        <v>1044</v>
      </c>
      <c r="BN8" s="6">
        <v>1032</v>
      </c>
      <c r="BO8" s="6">
        <v>1008</v>
      </c>
      <c r="BP8" s="6">
        <v>1049</v>
      </c>
      <c r="BQ8" s="6">
        <v>1127</v>
      </c>
      <c r="BR8" s="6">
        <v>1192</v>
      </c>
      <c r="BS8" s="6">
        <v>1299</v>
      </c>
      <c r="BT8" s="6">
        <v>1173</v>
      </c>
      <c r="BU8" s="6">
        <v>1388</v>
      </c>
      <c r="BV8" s="6">
        <v>1367</v>
      </c>
      <c r="BW8" s="6">
        <v>1509</v>
      </c>
      <c r="BX8" s="6">
        <v>1515</v>
      </c>
      <c r="BY8" s="6">
        <v>1493</v>
      </c>
      <c r="BZ8" s="6">
        <v>1623</v>
      </c>
      <c r="CA8" s="6">
        <v>1581</v>
      </c>
      <c r="CB8" s="6">
        <v>1616</v>
      </c>
      <c r="CC8" s="6">
        <v>1805</v>
      </c>
      <c r="CD8" s="6">
        <v>1910</v>
      </c>
      <c r="CE8" s="6">
        <v>2059</v>
      </c>
      <c r="CF8" s="6">
        <v>2259</v>
      </c>
      <c r="CG8" s="6">
        <v>2470</v>
      </c>
      <c r="CH8" s="6">
        <v>2641</v>
      </c>
      <c r="CI8" s="159">
        <v>3153</v>
      </c>
      <c r="CJ8">
        <v>3494</v>
      </c>
      <c r="CK8">
        <v>3403</v>
      </c>
    </row>
    <row r="9" spans="1:89">
      <c r="A9" s="18" t="s">
        <v>47</v>
      </c>
      <c r="B9" s="42">
        <v>231</v>
      </c>
      <c r="C9" s="31">
        <v>267</v>
      </c>
      <c r="D9" s="31">
        <v>322</v>
      </c>
      <c r="E9" s="31">
        <v>296</v>
      </c>
      <c r="F9" s="31">
        <v>275</v>
      </c>
      <c r="G9" s="31">
        <v>278</v>
      </c>
      <c r="H9" s="31">
        <v>262</v>
      </c>
      <c r="I9" s="31">
        <v>197</v>
      </c>
      <c r="J9" s="31">
        <v>261</v>
      </c>
      <c r="K9" s="31">
        <v>231</v>
      </c>
      <c r="L9" s="31">
        <v>236</v>
      </c>
      <c r="M9" s="6">
        <v>235</v>
      </c>
      <c r="N9" s="6">
        <v>244</v>
      </c>
      <c r="O9" s="6">
        <v>245</v>
      </c>
      <c r="P9" s="50">
        <v>285</v>
      </c>
      <c r="Q9" s="50">
        <v>282</v>
      </c>
      <c r="R9" s="50">
        <v>295</v>
      </c>
      <c r="S9" s="50">
        <v>270</v>
      </c>
      <c r="T9" s="31">
        <v>326</v>
      </c>
      <c r="U9" s="31">
        <v>344</v>
      </c>
      <c r="V9" s="31">
        <v>350</v>
      </c>
      <c r="W9" s="31">
        <v>333</v>
      </c>
      <c r="X9" s="6">
        <v>364</v>
      </c>
      <c r="Y9" s="6">
        <v>411</v>
      </c>
      <c r="Z9" s="6">
        <v>416</v>
      </c>
      <c r="AA9" s="6">
        <v>507</v>
      </c>
      <c r="AB9" s="6">
        <v>541</v>
      </c>
      <c r="AC9" s="6">
        <v>527</v>
      </c>
      <c r="AD9" s="6">
        <v>584</v>
      </c>
      <c r="AE9" s="6">
        <v>601</v>
      </c>
      <c r="AF9" s="6">
        <v>585</v>
      </c>
      <c r="AG9" s="6">
        <v>545</v>
      </c>
      <c r="AH9" s="6">
        <v>558</v>
      </c>
      <c r="AI9" s="6">
        <v>658</v>
      </c>
      <c r="AJ9" s="6">
        <v>729</v>
      </c>
      <c r="AK9" s="6">
        <v>735</v>
      </c>
      <c r="AL9" s="6">
        <v>733</v>
      </c>
      <c r="AM9" s="6">
        <v>866</v>
      </c>
      <c r="AN9" s="6">
        <v>805</v>
      </c>
      <c r="AO9" s="6">
        <v>848</v>
      </c>
      <c r="AP9" s="6">
        <v>855</v>
      </c>
      <c r="AQ9" s="6">
        <v>1019</v>
      </c>
      <c r="AR9" s="6">
        <v>1022</v>
      </c>
      <c r="AS9" s="6">
        <v>1080</v>
      </c>
      <c r="AT9" s="51">
        <v>133</v>
      </c>
      <c r="AU9" s="6">
        <v>205</v>
      </c>
      <c r="AV9" s="6">
        <v>189</v>
      </c>
      <c r="AW9" s="6">
        <v>195</v>
      </c>
      <c r="AX9" s="6">
        <v>189</v>
      </c>
      <c r="AY9" s="6">
        <v>207</v>
      </c>
      <c r="AZ9" s="6">
        <v>197</v>
      </c>
      <c r="BA9" s="6">
        <v>165</v>
      </c>
      <c r="BB9" s="6">
        <v>234</v>
      </c>
      <c r="BC9" s="6">
        <v>222</v>
      </c>
      <c r="BD9" s="6">
        <v>232</v>
      </c>
      <c r="BE9" s="6">
        <v>217</v>
      </c>
      <c r="BF9" s="6">
        <v>264</v>
      </c>
      <c r="BG9" s="6">
        <v>250</v>
      </c>
      <c r="BH9" s="6">
        <v>285</v>
      </c>
      <c r="BI9" s="6">
        <v>270</v>
      </c>
      <c r="BJ9" s="6">
        <v>273</v>
      </c>
      <c r="BK9" s="6">
        <v>316</v>
      </c>
      <c r="BL9" s="6">
        <v>323</v>
      </c>
      <c r="BM9" s="6">
        <v>347</v>
      </c>
      <c r="BN9" s="6">
        <v>441</v>
      </c>
      <c r="BO9" s="6">
        <v>476</v>
      </c>
      <c r="BP9" s="6">
        <v>493</v>
      </c>
      <c r="BQ9" s="6">
        <v>543</v>
      </c>
      <c r="BR9" s="6">
        <v>539</v>
      </c>
      <c r="BS9" s="6">
        <v>595</v>
      </c>
      <c r="BT9" s="6">
        <v>709</v>
      </c>
      <c r="BU9" s="6">
        <v>657</v>
      </c>
      <c r="BV9" s="6">
        <v>855</v>
      </c>
      <c r="BW9" s="6">
        <v>906</v>
      </c>
      <c r="BX9" s="6">
        <v>865</v>
      </c>
      <c r="BY9" s="6">
        <v>934</v>
      </c>
      <c r="BZ9" s="6">
        <v>991</v>
      </c>
      <c r="CA9" s="6">
        <v>1105</v>
      </c>
      <c r="CB9" s="6">
        <v>1211</v>
      </c>
      <c r="CC9" s="6">
        <v>1296</v>
      </c>
      <c r="CD9" s="6">
        <v>1381</v>
      </c>
      <c r="CE9" s="6">
        <v>1426</v>
      </c>
      <c r="CF9" s="6">
        <v>1486</v>
      </c>
      <c r="CG9" s="6">
        <v>1530</v>
      </c>
      <c r="CH9" s="6">
        <v>1569</v>
      </c>
      <c r="CI9" s="159">
        <v>1686</v>
      </c>
      <c r="CJ9">
        <v>1658</v>
      </c>
      <c r="CK9">
        <v>1673</v>
      </c>
    </row>
    <row r="10" spans="1:89">
      <c r="A10" s="18" t="s">
        <v>48</v>
      </c>
      <c r="B10" s="42">
        <v>2544</v>
      </c>
      <c r="C10" s="31">
        <v>2960</v>
      </c>
      <c r="D10" s="31">
        <v>3393</v>
      </c>
      <c r="E10" s="31">
        <v>3427</v>
      </c>
      <c r="F10" s="31">
        <v>3600</v>
      </c>
      <c r="G10" s="31">
        <v>4010</v>
      </c>
      <c r="H10" s="31">
        <v>4264</v>
      </c>
      <c r="I10" s="31">
        <v>4519</v>
      </c>
      <c r="J10" s="31">
        <v>4474</v>
      </c>
      <c r="K10" s="31">
        <v>4643</v>
      </c>
      <c r="L10" s="31">
        <v>4399</v>
      </c>
      <c r="M10" s="6">
        <v>4143</v>
      </c>
      <c r="N10" s="6">
        <v>4272</v>
      </c>
      <c r="O10" s="6">
        <v>4307</v>
      </c>
      <c r="P10" s="50">
        <v>3913</v>
      </c>
      <c r="Q10" s="50">
        <v>4307</v>
      </c>
      <c r="R10" s="50">
        <v>4503</v>
      </c>
      <c r="S10" s="50">
        <v>4486</v>
      </c>
      <c r="T10" s="31">
        <v>5007</v>
      </c>
      <c r="U10" s="31">
        <v>5290</v>
      </c>
      <c r="V10" s="31">
        <v>5288</v>
      </c>
      <c r="W10" s="31">
        <v>5292</v>
      </c>
      <c r="X10" s="6">
        <v>5605</v>
      </c>
      <c r="Y10" s="6">
        <v>6307</v>
      </c>
      <c r="Z10" s="6">
        <v>6630</v>
      </c>
      <c r="AA10" s="6">
        <v>7204</v>
      </c>
      <c r="AB10" s="6">
        <v>7021</v>
      </c>
      <c r="AC10" s="6">
        <v>7438</v>
      </c>
      <c r="AD10" s="6">
        <v>7288</v>
      </c>
      <c r="AE10" s="6">
        <v>7464</v>
      </c>
      <c r="AF10" s="6">
        <v>7727</v>
      </c>
      <c r="AG10" s="6">
        <v>8349</v>
      </c>
      <c r="AH10" s="6">
        <v>8638</v>
      </c>
      <c r="AI10" s="6">
        <v>9048</v>
      </c>
      <c r="AJ10" s="6">
        <v>9787</v>
      </c>
      <c r="AK10" s="6">
        <v>9901</v>
      </c>
      <c r="AL10" s="6">
        <v>9496</v>
      </c>
      <c r="AM10" s="6">
        <v>10219</v>
      </c>
      <c r="AN10" s="6">
        <v>10705</v>
      </c>
      <c r="AO10" s="6">
        <v>11639</v>
      </c>
      <c r="AP10" s="6">
        <v>12023</v>
      </c>
      <c r="AQ10" s="6">
        <v>13369</v>
      </c>
      <c r="AR10" s="6">
        <v>14182</v>
      </c>
      <c r="AS10" s="6">
        <v>13692</v>
      </c>
      <c r="AT10" s="51">
        <v>1783</v>
      </c>
      <c r="AU10" s="6">
        <v>2109</v>
      </c>
      <c r="AV10" s="6">
        <v>2406</v>
      </c>
      <c r="AW10" s="6">
        <v>2583</v>
      </c>
      <c r="AX10" s="6">
        <v>2930</v>
      </c>
      <c r="AY10" s="6">
        <v>3248</v>
      </c>
      <c r="AZ10" s="6">
        <v>3963</v>
      </c>
      <c r="BA10" s="6">
        <v>4016</v>
      </c>
      <c r="BB10" s="6">
        <v>4516</v>
      </c>
      <c r="BC10" s="6">
        <v>4792</v>
      </c>
      <c r="BD10" s="6">
        <v>3900</v>
      </c>
      <c r="BE10" s="6">
        <v>4573</v>
      </c>
      <c r="BF10" s="6">
        <v>4552</v>
      </c>
      <c r="BG10" s="6">
        <v>4019</v>
      </c>
      <c r="BH10" s="6">
        <v>3702</v>
      </c>
      <c r="BI10" s="6">
        <v>4292</v>
      </c>
      <c r="BJ10" s="6">
        <v>4609</v>
      </c>
      <c r="BK10" s="6">
        <v>4558</v>
      </c>
      <c r="BL10" s="6">
        <v>4821</v>
      </c>
      <c r="BM10" s="6">
        <v>4966</v>
      </c>
      <c r="BN10" s="6">
        <v>5514</v>
      </c>
      <c r="BO10" s="6">
        <v>6003</v>
      </c>
      <c r="BP10" s="6">
        <v>6259</v>
      </c>
      <c r="BQ10" s="6">
        <v>6838</v>
      </c>
      <c r="BR10" s="6">
        <v>7426</v>
      </c>
      <c r="BS10" s="6">
        <v>7589</v>
      </c>
      <c r="BT10" s="6">
        <v>8291</v>
      </c>
      <c r="BU10" s="6">
        <v>8806</v>
      </c>
      <c r="BV10" s="6">
        <v>9389</v>
      </c>
      <c r="BW10" s="6">
        <v>9649</v>
      </c>
      <c r="BX10" s="6">
        <v>10174</v>
      </c>
      <c r="BY10" s="6">
        <v>11133</v>
      </c>
      <c r="BZ10" s="6">
        <v>11656</v>
      </c>
      <c r="CA10" s="6">
        <v>12319</v>
      </c>
      <c r="CB10" s="6">
        <v>13388</v>
      </c>
      <c r="CC10" s="6">
        <v>14113</v>
      </c>
      <c r="CD10" s="6">
        <v>14545</v>
      </c>
      <c r="CE10" s="6">
        <v>15354</v>
      </c>
      <c r="CF10" s="6">
        <v>15880</v>
      </c>
      <c r="CG10" s="6">
        <v>16738</v>
      </c>
      <c r="CH10" s="6">
        <v>17593</v>
      </c>
      <c r="CI10" s="159">
        <v>18397</v>
      </c>
      <c r="CJ10">
        <v>19232</v>
      </c>
      <c r="CK10">
        <v>18745</v>
      </c>
    </row>
    <row r="11" spans="1:89">
      <c r="A11" s="18" t="s">
        <v>49</v>
      </c>
      <c r="B11" s="42">
        <v>1723</v>
      </c>
      <c r="C11" s="31">
        <v>2372</v>
      </c>
      <c r="D11" s="31">
        <v>2601</v>
      </c>
      <c r="E11" s="31">
        <v>2701</v>
      </c>
      <c r="F11" s="31">
        <v>3066</v>
      </c>
      <c r="G11" s="31">
        <v>3117</v>
      </c>
      <c r="H11" s="31">
        <v>3301</v>
      </c>
      <c r="I11" s="31">
        <v>3334</v>
      </c>
      <c r="J11" s="31">
        <v>3080</v>
      </c>
      <c r="K11" s="31">
        <v>2903</v>
      </c>
      <c r="L11" s="31">
        <v>2731</v>
      </c>
      <c r="M11" s="6">
        <v>2695</v>
      </c>
      <c r="N11" s="6">
        <v>2801</v>
      </c>
      <c r="O11" s="6">
        <v>2579</v>
      </c>
      <c r="P11" s="50">
        <v>2749</v>
      </c>
      <c r="Q11" s="50">
        <v>2630</v>
      </c>
      <c r="R11" s="50">
        <v>2636</v>
      </c>
      <c r="S11" s="50">
        <v>2465</v>
      </c>
      <c r="T11" s="31">
        <v>2569</v>
      </c>
      <c r="U11" s="31">
        <v>2682</v>
      </c>
      <c r="V11" s="31">
        <v>2784</v>
      </c>
      <c r="W11" s="31">
        <v>2955</v>
      </c>
      <c r="X11" s="6">
        <v>3071</v>
      </c>
      <c r="Y11" s="6">
        <v>3453</v>
      </c>
      <c r="Z11" s="6">
        <v>3600</v>
      </c>
      <c r="AA11" s="6">
        <v>3604</v>
      </c>
      <c r="AB11" s="6">
        <v>3727</v>
      </c>
      <c r="AC11" s="6">
        <v>3826</v>
      </c>
      <c r="AD11" s="6">
        <v>4242</v>
      </c>
      <c r="AE11" s="6">
        <v>4351</v>
      </c>
      <c r="AF11" s="6">
        <v>4178</v>
      </c>
      <c r="AG11" s="6">
        <v>4285</v>
      </c>
      <c r="AH11" s="6">
        <v>5099</v>
      </c>
      <c r="AI11" s="6">
        <v>4996</v>
      </c>
      <c r="AJ11" s="6">
        <v>5942</v>
      </c>
      <c r="AK11" s="6">
        <v>5115</v>
      </c>
      <c r="AL11" s="6">
        <v>4881</v>
      </c>
      <c r="AM11" s="6">
        <v>4900</v>
      </c>
      <c r="AN11" s="6">
        <v>5318</v>
      </c>
      <c r="AO11" s="6">
        <v>6158</v>
      </c>
      <c r="AP11" s="6">
        <v>6283</v>
      </c>
      <c r="AQ11" s="6">
        <v>6859</v>
      </c>
      <c r="AR11" s="6">
        <v>7056</v>
      </c>
      <c r="AS11" s="6">
        <v>7122</v>
      </c>
      <c r="AT11" s="51">
        <v>1555</v>
      </c>
      <c r="AU11" s="6">
        <v>2169</v>
      </c>
      <c r="AV11" s="6">
        <v>2310</v>
      </c>
      <c r="AW11" s="6">
        <v>3050</v>
      </c>
      <c r="AX11" s="6">
        <v>3753</v>
      </c>
      <c r="AY11" s="6">
        <v>4243</v>
      </c>
      <c r="AZ11" s="6">
        <v>4867</v>
      </c>
      <c r="BA11" s="6">
        <v>4899</v>
      </c>
      <c r="BB11" s="6">
        <v>4459</v>
      </c>
      <c r="BC11" s="6">
        <v>4230</v>
      </c>
      <c r="BD11" s="6">
        <v>4089</v>
      </c>
      <c r="BE11" s="6">
        <v>3719</v>
      </c>
      <c r="BF11" s="6">
        <v>3739</v>
      </c>
      <c r="BG11" s="6">
        <v>3629</v>
      </c>
      <c r="BH11" s="6">
        <v>3540</v>
      </c>
      <c r="BI11" s="6">
        <v>3637</v>
      </c>
      <c r="BJ11" s="6">
        <v>3463</v>
      </c>
      <c r="BK11" s="6">
        <v>3187</v>
      </c>
      <c r="BL11" s="6">
        <v>3314</v>
      </c>
      <c r="BM11" s="6">
        <v>3417</v>
      </c>
      <c r="BN11" s="6">
        <v>3643</v>
      </c>
      <c r="BO11" s="6">
        <v>3611</v>
      </c>
      <c r="BP11" s="6">
        <v>3951</v>
      </c>
      <c r="BQ11" s="6">
        <v>4505</v>
      </c>
      <c r="BR11" s="6">
        <v>4726</v>
      </c>
      <c r="BS11" s="6">
        <v>5040</v>
      </c>
      <c r="BT11" s="6">
        <v>5513</v>
      </c>
      <c r="BU11" s="6">
        <v>5851</v>
      </c>
      <c r="BV11" s="6">
        <v>6429</v>
      </c>
      <c r="BW11" s="6">
        <v>6235</v>
      </c>
      <c r="BX11" s="6">
        <v>6232</v>
      </c>
      <c r="BY11" s="6">
        <v>6476</v>
      </c>
      <c r="BZ11" s="6">
        <v>6953</v>
      </c>
      <c r="CA11" s="6">
        <v>7059</v>
      </c>
      <c r="CB11" s="6">
        <v>8500</v>
      </c>
      <c r="CC11" s="6">
        <v>7996</v>
      </c>
      <c r="CD11" s="6">
        <v>7609</v>
      </c>
      <c r="CE11" s="6">
        <v>7437</v>
      </c>
      <c r="CF11" s="6">
        <v>7984</v>
      </c>
      <c r="CG11" s="6">
        <v>8846</v>
      </c>
      <c r="CH11" s="6">
        <v>9678</v>
      </c>
      <c r="CI11" s="159">
        <v>10266</v>
      </c>
      <c r="CJ11">
        <v>10293</v>
      </c>
      <c r="CK11">
        <v>10356</v>
      </c>
    </row>
    <row r="12" spans="1:89">
      <c r="A12" s="18" t="s">
        <v>50</v>
      </c>
      <c r="B12" s="42">
        <v>1386</v>
      </c>
      <c r="C12" s="31">
        <v>1429</v>
      </c>
      <c r="D12" s="31">
        <v>1780</v>
      </c>
      <c r="E12" s="31">
        <v>1855</v>
      </c>
      <c r="F12" s="31">
        <v>1999</v>
      </c>
      <c r="G12" s="31">
        <v>2077</v>
      </c>
      <c r="H12" s="31">
        <v>2161</v>
      </c>
      <c r="I12" s="31">
        <v>2072</v>
      </c>
      <c r="J12" s="31">
        <v>2117</v>
      </c>
      <c r="K12" s="31">
        <v>1972</v>
      </c>
      <c r="L12" s="31">
        <v>1914</v>
      </c>
      <c r="M12" s="6">
        <v>1658</v>
      </c>
      <c r="N12" s="6">
        <v>1599</v>
      </c>
      <c r="O12" s="6">
        <v>1482</v>
      </c>
      <c r="P12" s="50">
        <v>1467</v>
      </c>
      <c r="Q12" s="50">
        <v>1338</v>
      </c>
      <c r="R12" s="50">
        <v>1399</v>
      </c>
      <c r="S12" s="50">
        <v>1278</v>
      </c>
      <c r="T12" s="31">
        <v>1256</v>
      </c>
      <c r="U12" s="31">
        <v>1342</v>
      </c>
      <c r="V12" s="31">
        <v>1356</v>
      </c>
      <c r="W12" s="31">
        <v>1520</v>
      </c>
      <c r="X12" s="6">
        <v>1584</v>
      </c>
      <c r="Y12" s="6">
        <v>1739</v>
      </c>
      <c r="Z12" s="6">
        <v>1518</v>
      </c>
      <c r="AA12" s="6">
        <v>1580</v>
      </c>
      <c r="AB12" s="6">
        <v>1599</v>
      </c>
      <c r="AC12" s="6">
        <v>1672</v>
      </c>
      <c r="AD12" s="6">
        <v>1729</v>
      </c>
      <c r="AE12" s="6">
        <v>1743</v>
      </c>
      <c r="AF12" s="6">
        <v>1749</v>
      </c>
      <c r="AG12" s="6">
        <v>1757</v>
      </c>
      <c r="AH12" s="6">
        <v>1809</v>
      </c>
      <c r="AI12" s="6">
        <v>1990</v>
      </c>
      <c r="AJ12" s="6">
        <v>2304</v>
      </c>
      <c r="AK12" s="6">
        <v>2424</v>
      </c>
      <c r="AL12" s="6">
        <v>2548</v>
      </c>
      <c r="AM12" s="6">
        <v>2577</v>
      </c>
      <c r="AN12" s="6">
        <v>2555</v>
      </c>
      <c r="AO12" s="6">
        <v>2613</v>
      </c>
      <c r="AP12" s="6">
        <v>2793</v>
      </c>
      <c r="AQ12" s="6">
        <v>2966</v>
      </c>
      <c r="AR12" s="6">
        <v>3320</v>
      </c>
      <c r="AS12" s="6">
        <v>3575</v>
      </c>
      <c r="AT12" s="51">
        <v>1174</v>
      </c>
      <c r="AU12" s="6">
        <v>1336</v>
      </c>
      <c r="AV12" s="6">
        <v>1644</v>
      </c>
      <c r="AW12" s="6">
        <v>1781</v>
      </c>
      <c r="AX12" s="6">
        <v>2232</v>
      </c>
      <c r="AY12" s="6">
        <v>2440</v>
      </c>
      <c r="AZ12" s="6">
        <v>2716</v>
      </c>
      <c r="BA12" s="6">
        <v>2828</v>
      </c>
      <c r="BB12" s="6">
        <v>2859</v>
      </c>
      <c r="BC12" s="6">
        <v>3034</v>
      </c>
      <c r="BD12" s="6">
        <v>3296</v>
      </c>
      <c r="BE12" s="6">
        <v>2860</v>
      </c>
      <c r="BF12" s="6">
        <v>2562</v>
      </c>
      <c r="BG12" s="6">
        <v>2221</v>
      </c>
      <c r="BH12" s="6">
        <v>2153</v>
      </c>
      <c r="BI12" s="6">
        <v>2081</v>
      </c>
      <c r="BJ12" s="6">
        <v>2074</v>
      </c>
      <c r="BK12" s="6">
        <v>1978</v>
      </c>
      <c r="BL12" s="6">
        <v>2077</v>
      </c>
      <c r="BM12" s="6">
        <v>2149</v>
      </c>
      <c r="BN12" s="6">
        <v>2325</v>
      </c>
      <c r="BO12" s="6">
        <v>2448</v>
      </c>
      <c r="BP12" s="6">
        <v>2475</v>
      </c>
      <c r="BQ12" s="6">
        <v>2456</v>
      </c>
      <c r="BR12" s="6">
        <v>2510</v>
      </c>
      <c r="BS12" s="6">
        <v>2639</v>
      </c>
      <c r="BT12" s="6">
        <v>2894</v>
      </c>
      <c r="BU12" s="6">
        <v>2881</v>
      </c>
      <c r="BV12" s="6">
        <v>3044</v>
      </c>
      <c r="BW12" s="6">
        <v>3125</v>
      </c>
      <c r="BX12" s="6">
        <v>3046</v>
      </c>
      <c r="BY12" s="6">
        <v>3063</v>
      </c>
      <c r="BZ12" s="6">
        <v>3105</v>
      </c>
      <c r="CA12" s="6">
        <v>3440</v>
      </c>
      <c r="CB12" s="6">
        <v>3886</v>
      </c>
      <c r="CC12" s="6">
        <v>4140</v>
      </c>
      <c r="CD12" s="6">
        <v>4348</v>
      </c>
      <c r="CE12" s="6">
        <v>4745</v>
      </c>
      <c r="CF12" s="6">
        <v>4576</v>
      </c>
      <c r="CG12" s="6">
        <v>4897</v>
      </c>
      <c r="CH12" s="6">
        <v>5168</v>
      </c>
      <c r="CI12" s="159">
        <v>5170</v>
      </c>
      <c r="CJ12">
        <v>5809</v>
      </c>
      <c r="CK12">
        <v>5909</v>
      </c>
    </row>
    <row r="13" spans="1:89">
      <c r="A13" s="18" t="s">
        <v>51</v>
      </c>
      <c r="B13" s="42">
        <v>1702</v>
      </c>
      <c r="C13" s="31">
        <v>1768</v>
      </c>
      <c r="D13" s="31">
        <v>1973</v>
      </c>
      <c r="E13" s="31">
        <v>2169</v>
      </c>
      <c r="F13" s="31">
        <v>2163</v>
      </c>
      <c r="G13" s="31">
        <v>2006</v>
      </c>
      <c r="H13" s="31">
        <v>1993</v>
      </c>
      <c r="I13" s="31">
        <v>1918</v>
      </c>
      <c r="J13" s="31">
        <v>1941</v>
      </c>
      <c r="K13" s="31">
        <v>1634</v>
      </c>
      <c r="L13" s="31">
        <v>1675</v>
      </c>
      <c r="M13" s="6">
        <v>1673</v>
      </c>
      <c r="N13" s="6">
        <v>1636</v>
      </c>
      <c r="O13" s="6">
        <v>1629</v>
      </c>
      <c r="P13" s="50">
        <v>1683</v>
      </c>
      <c r="Q13" s="50">
        <v>1796</v>
      </c>
      <c r="R13" s="50">
        <v>1857</v>
      </c>
      <c r="S13" s="50">
        <v>1845</v>
      </c>
      <c r="T13" s="31">
        <v>1866</v>
      </c>
      <c r="U13" s="31">
        <v>1814</v>
      </c>
      <c r="V13" s="31">
        <v>1853</v>
      </c>
      <c r="W13" s="31">
        <v>1746</v>
      </c>
      <c r="X13" s="6">
        <v>1813</v>
      </c>
      <c r="Y13" s="6">
        <v>2048</v>
      </c>
      <c r="Z13" s="6">
        <v>2304</v>
      </c>
      <c r="AA13" s="6">
        <v>2290</v>
      </c>
      <c r="AB13" s="6">
        <v>2220</v>
      </c>
      <c r="AC13" s="6">
        <v>2305</v>
      </c>
      <c r="AD13" s="6">
        <v>2339</v>
      </c>
      <c r="AE13" s="6">
        <v>2451</v>
      </c>
      <c r="AF13" s="6">
        <v>2373</v>
      </c>
      <c r="AG13" s="6">
        <v>2284</v>
      </c>
      <c r="AH13" s="6">
        <v>2298</v>
      </c>
      <c r="AI13" s="6">
        <v>2218</v>
      </c>
      <c r="AJ13" s="6">
        <v>2438</v>
      </c>
      <c r="AK13" s="6">
        <v>2604</v>
      </c>
      <c r="AL13" s="6">
        <v>2491</v>
      </c>
      <c r="AM13" s="6">
        <v>2400</v>
      </c>
      <c r="AN13" s="6">
        <v>2207</v>
      </c>
      <c r="AO13" s="6">
        <v>2346</v>
      </c>
      <c r="AP13" s="6">
        <v>2461</v>
      </c>
      <c r="AQ13" s="6">
        <v>2733</v>
      </c>
      <c r="AR13" s="6">
        <v>2803</v>
      </c>
      <c r="AS13" s="6">
        <v>2758</v>
      </c>
      <c r="AT13" s="51">
        <v>1384</v>
      </c>
      <c r="AU13" s="6">
        <v>1575</v>
      </c>
      <c r="AV13" s="6">
        <v>1726</v>
      </c>
      <c r="AW13" s="6">
        <v>2035</v>
      </c>
      <c r="AX13" s="6">
        <v>2072</v>
      </c>
      <c r="AY13" s="6">
        <v>2320</v>
      </c>
      <c r="AZ13" s="6">
        <v>2346</v>
      </c>
      <c r="BA13" s="6">
        <v>2524</v>
      </c>
      <c r="BB13" s="6">
        <v>2517</v>
      </c>
      <c r="BC13" s="6">
        <v>2419</v>
      </c>
      <c r="BD13" s="6">
        <v>2515</v>
      </c>
      <c r="BE13" s="6">
        <v>2252</v>
      </c>
      <c r="BF13" s="6">
        <v>2219</v>
      </c>
      <c r="BG13" s="6">
        <v>2377</v>
      </c>
      <c r="BH13" s="6">
        <v>2234</v>
      </c>
      <c r="BI13" s="6">
        <v>2304</v>
      </c>
      <c r="BJ13" s="6">
        <v>2252</v>
      </c>
      <c r="BK13" s="6">
        <v>2127</v>
      </c>
      <c r="BL13" s="6">
        <v>2075</v>
      </c>
      <c r="BM13" s="6">
        <v>2045</v>
      </c>
      <c r="BN13" s="6">
        <v>2140</v>
      </c>
      <c r="BO13" s="6">
        <v>2354</v>
      </c>
      <c r="BP13" s="6">
        <v>2422</v>
      </c>
      <c r="BQ13" s="6">
        <v>2675</v>
      </c>
      <c r="BR13" s="6">
        <v>2901</v>
      </c>
      <c r="BS13" s="6">
        <v>3056</v>
      </c>
      <c r="BT13" s="6">
        <v>3009</v>
      </c>
      <c r="BU13" s="6">
        <v>3210</v>
      </c>
      <c r="BV13" s="6">
        <v>3335</v>
      </c>
      <c r="BW13" s="6">
        <v>3448</v>
      </c>
      <c r="BX13" s="6">
        <v>3509</v>
      </c>
      <c r="BY13" s="6">
        <v>3576</v>
      </c>
      <c r="BZ13" s="6">
        <v>3557</v>
      </c>
      <c r="CA13" s="6">
        <v>3595</v>
      </c>
      <c r="CB13" s="6">
        <v>3976</v>
      </c>
      <c r="CC13" s="6">
        <v>4270</v>
      </c>
      <c r="CD13" s="6">
        <v>3985</v>
      </c>
      <c r="CE13" s="6">
        <v>3935</v>
      </c>
      <c r="CF13" s="6">
        <v>3755</v>
      </c>
      <c r="CG13" s="6">
        <v>3864</v>
      </c>
      <c r="CH13" s="6">
        <v>4180</v>
      </c>
      <c r="CI13" s="159">
        <v>4284</v>
      </c>
      <c r="CJ13">
        <v>4472</v>
      </c>
      <c r="CK13">
        <v>4794</v>
      </c>
    </row>
    <row r="14" spans="1:89">
      <c r="A14" s="18" t="s">
        <v>52</v>
      </c>
      <c r="B14" s="42">
        <v>1640</v>
      </c>
      <c r="C14" s="31">
        <v>1747</v>
      </c>
      <c r="D14" s="31">
        <v>1982</v>
      </c>
      <c r="E14" s="31">
        <v>2147</v>
      </c>
      <c r="F14" s="31">
        <v>2130</v>
      </c>
      <c r="G14" s="31">
        <v>2431</v>
      </c>
      <c r="H14" s="31">
        <v>2493</v>
      </c>
      <c r="I14" s="31">
        <v>2455</v>
      </c>
      <c r="J14" s="31">
        <v>2361</v>
      </c>
      <c r="K14" s="31">
        <v>2297</v>
      </c>
      <c r="L14" s="31">
        <v>2295</v>
      </c>
      <c r="M14" s="6">
        <v>2317</v>
      </c>
      <c r="N14" s="6">
        <v>2266</v>
      </c>
      <c r="O14" s="6">
        <v>2335</v>
      </c>
      <c r="P14" s="50">
        <v>2420</v>
      </c>
      <c r="Q14" s="50">
        <v>2522</v>
      </c>
      <c r="R14" s="50">
        <v>2480</v>
      </c>
      <c r="S14" s="50">
        <v>2444</v>
      </c>
      <c r="T14" s="31">
        <v>2507</v>
      </c>
      <c r="U14" s="31">
        <v>2820</v>
      </c>
      <c r="V14" s="31">
        <v>3053</v>
      </c>
      <c r="W14" s="31">
        <v>3197</v>
      </c>
      <c r="X14" s="6">
        <v>3342</v>
      </c>
      <c r="Y14" s="6">
        <v>3558</v>
      </c>
      <c r="Z14" s="6">
        <v>3622</v>
      </c>
      <c r="AA14" s="6">
        <v>3840</v>
      </c>
      <c r="AB14" s="6">
        <v>4354</v>
      </c>
      <c r="AC14" s="6">
        <v>4152</v>
      </c>
      <c r="AD14" s="6">
        <v>4270</v>
      </c>
      <c r="AE14" s="6">
        <v>4398</v>
      </c>
      <c r="AF14" s="6">
        <v>4412</v>
      </c>
      <c r="AG14" s="6">
        <v>4455</v>
      </c>
      <c r="AH14" s="6">
        <v>4712</v>
      </c>
      <c r="AI14" s="6">
        <v>5003</v>
      </c>
      <c r="AJ14" s="6">
        <v>5412</v>
      </c>
      <c r="AK14" s="6">
        <v>5431</v>
      </c>
      <c r="AL14" s="6">
        <v>5678</v>
      </c>
      <c r="AM14" s="6">
        <v>5742</v>
      </c>
      <c r="AN14" s="6">
        <v>5958</v>
      </c>
      <c r="AO14" s="6">
        <v>6219</v>
      </c>
      <c r="AP14" s="6">
        <v>6396</v>
      </c>
      <c r="AQ14" s="6">
        <v>6758</v>
      </c>
      <c r="AR14" s="6">
        <v>7360</v>
      </c>
      <c r="AS14" s="6">
        <v>7588</v>
      </c>
      <c r="AT14" s="51">
        <v>1372</v>
      </c>
      <c r="AU14" s="6">
        <v>1479</v>
      </c>
      <c r="AV14" s="6">
        <v>1678</v>
      </c>
      <c r="AW14" s="6">
        <v>1972</v>
      </c>
      <c r="AX14" s="6">
        <v>2164</v>
      </c>
      <c r="AY14" s="6">
        <v>2584</v>
      </c>
      <c r="AZ14" s="6">
        <v>2911</v>
      </c>
      <c r="BA14" s="6">
        <v>3001</v>
      </c>
      <c r="BB14" s="6">
        <v>3005</v>
      </c>
      <c r="BC14" s="6">
        <v>2838</v>
      </c>
      <c r="BD14" s="6">
        <v>2803</v>
      </c>
      <c r="BE14" s="6">
        <v>2915</v>
      </c>
      <c r="BF14" s="6">
        <v>2843</v>
      </c>
      <c r="BG14" s="6">
        <v>2731</v>
      </c>
      <c r="BH14" s="6">
        <v>2574</v>
      </c>
      <c r="BI14" s="6">
        <v>2695</v>
      </c>
      <c r="BJ14" s="6">
        <v>2648</v>
      </c>
      <c r="BK14" s="6">
        <v>2890</v>
      </c>
      <c r="BL14" s="6">
        <v>2887</v>
      </c>
      <c r="BM14" s="6">
        <v>3129</v>
      </c>
      <c r="BN14" s="6">
        <v>3395</v>
      </c>
      <c r="BO14" s="6">
        <v>3727</v>
      </c>
      <c r="BP14" s="6">
        <v>4154</v>
      </c>
      <c r="BQ14" s="6">
        <v>4424</v>
      </c>
      <c r="BR14" s="6">
        <v>4560</v>
      </c>
      <c r="BS14" s="6">
        <v>5151</v>
      </c>
      <c r="BT14" s="6">
        <v>5453</v>
      </c>
      <c r="BU14" s="6">
        <v>5757</v>
      </c>
      <c r="BV14" s="6">
        <v>5860</v>
      </c>
      <c r="BW14" s="6">
        <v>6230</v>
      </c>
      <c r="BX14" s="6">
        <v>6275</v>
      </c>
      <c r="BY14" s="6">
        <v>6417</v>
      </c>
      <c r="BZ14" s="6">
        <v>6879</v>
      </c>
      <c r="CA14" s="6">
        <v>7054</v>
      </c>
      <c r="CB14" s="6">
        <v>7587</v>
      </c>
      <c r="CC14" s="6">
        <v>7732</v>
      </c>
      <c r="CD14" s="6">
        <v>7760</v>
      </c>
      <c r="CE14" s="6">
        <v>8427</v>
      </c>
      <c r="CF14" s="6">
        <v>8704</v>
      </c>
      <c r="CG14" s="6">
        <v>8971</v>
      </c>
      <c r="CH14" s="6">
        <v>9327</v>
      </c>
      <c r="CI14" s="159">
        <v>10217</v>
      </c>
      <c r="CJ14">
        <v>10485</v>
      </c>
      <c r="CK14">
        <v>10856</v>
      </c>
    </row>
    <row r="15" spans="1:89">
      <c r="A15" s="18" t="s">
        <v>53</v>
      </c>
      <c r="B15" s="42">
        <v>802</v>
      </c>
      <c r="C15" s="31">
        <v>918</v>
      </c>
      <c r="D15" s="31">
        <v>998</v>
      </c>
      <c r="E15" s="31">
        <v>1140</v>
      </c>
      <c r="F15" s="31">
        <v>1217</v>
      </c>
      <c r="G15" s="31">
        <v>1288</v>
      </c>
      <c r="H15" s="31">
        <v>1316</v>
      </c>
      <c r="I15" s="31">
        <v>1377</v>
      </c>
      <c r="J15" s="31">
        <v>1323</v>
      </c>
      <c r="K15" s="31">
        <v>1156</v>
      </c>
      <c r="L15" s="31">
        <v>1043</v>
      </c>
      <c r="M15" s="6">
        <v>1069</v>
      </c>
      <c r="N15" s="6">
        <v>971</v>
      </c>
      <c r="O15" s="6">
        <v>880</v>
      </c>
      <c r="P15" s="50">
        <v>893</v>
      </c>
      <c r="Q15" s="50">
        <v>1037</v>
      </c>
      <c r="R15" s="50">
        <v>1006</v>
      </c>
      <c r="S15" s="50">
        <v>970</v>
      </c>
      <c r="T15" s="31">
        <v>986</v>
      </c>
      <c r="U15" s="31">
        <v>975</v>
      </c>
      <c r="V15" s="31">
        <v>966</v>
      </c>
      <c r="W15" s="31">
        <v>1016</v>
      </c>
      <c r="X15" s="6">
        <v>1067</v>
      </c>
      <c r="Y15" s="6">
        <v>1185</v>
      </c>
      <c r="Z15" s="6">
        <v>1167</v>
      </c>
      <c r="AA15" s="6">
        <v>1092</v>
      </c>
      <c r="AB15" s="6">
        <v>1110</v>
      </c>
      <c r="AC15" s="6">
        <v>1234</v>
      </c>
      <c r="AD15" s="6">
        <v>1266</v>
      </c>
      <c r="AE15" s="6">
        <v>1193</v>
      </c>
      <c r="AF15" s="6">
        <v>1148</v>
      </c>
      <c r="AG15" s="6">
        <v>1199</v>
      </c>
      <c r="AH15" s="6">
        <v>1186</v>
      </c>
      <c r="AI15" s="6">
        <v>1243</v>
      </c>
      <c r="AJ15" s="6">
        <v>1336</v>
      </c>
      <c r="AK15" s="6">
        <v>1390</v>
      </c>
      <c r="AL15" s="6">
        <v>1287</v>
      </c>
      <c r="AM15" s="6">
        <v>1270</v>
      </c>
      <c r="AN15" s="6">
        <v>1343</v>
      </c>
      <c r="AO15" s="6">
        <v>1443</v>
      </c>
      <c r="AP15" s="6">
        <v>1440</v>
      </c>
      <c r="AQ15" s="6">
        <v>1611</v>
      </c>
      <c r="AR15" s="6">
        <v>1601</v>
      </c>
      <c r="AS15" s="6">
        <v>1649</v>
      </c>
      <c r="AT15" s="51">
        <v>631</v>
      </c>
      <c r="AU15" s="6">
        <v>738</v>
      </c>
      <c r="AV15" s="6">
        <v>875</v>
      </c>
      <c r="AW15" s="6">
        <v>1026</v>
      </c>
      <c r="AX15" s="6">
        <v>1248</v>
      </c>
      <c r="AY15" s="6">
        <v>1562</v>
      </c>
      <c r="AZ15" s="6">
        <v>1983</v>
      </c>
      <c r="BA15" s="6">
        <v>2288</v>
      </c>
      <c r="BB15" s="6">
        <v>2195</v>
      </c>
      <c r="BC15" s="6">
        <v>1826</v>
      </c>
      <c r="BD15" s="6">
        <v>1802</v>
      </c>
      <c r="BE15" s="6">
        <v>1700</v>
      </c>
      <c r="BF15" s="6">
        <v>1592</v>
      </c>
      <c r="BG15" s="6">
        <v>1294</v>
      </c>
      <c r="BH15" s="6">
        <v>1169</v>
      </c>
      <c r="BI15" s="6">
        <v>1234</v>
      </c>
      <c r="BJ15" s="6">
        <v>1282</v>
      </c>
      <c r="BK15" s="6">
        <v>1067</v>
      </c>
      <c r="BL15" s="6">
        <v>1096</v>
      </c>
      <c r="BM15" s="6">
        <v>1133</v>
      </c>
      <c r="BN15" s="6">
        <v>1404</v>
      </c>
      <c r="BO15" s="6">
        <v>1495</v>
      </c>
      <c r="BP15" s="6">
        <v>1480</v>
      </c>
      <c r="BQ15" s="6">
        <v>1487</v>
      </c>
      <c r="BR15" s="6">
        <v>1463</v>
      </c>
      <c r="BS15" s="6">
        <v>1529</v>
      </c>
      <c r="BT15" s="6">
        <v>1600</v>
      </c>
      <c r="BU15" s="6">
        <v>2011</v>
      </c>
      <c r="BV15" s="6">
        <v>2139</v>
      </c>
      <c r="BW15" s="6">
        <v>2255</v>
      </c>
      <c r="BX15" s="6">
        <v>2115</v>
      </c>
      <c r="BY15" s="6">
        <v>2141</v>
      </c>
      <c r="BZ15" s="6">
        <v>2200</v>
      </c>
      <c r="CA15" s="6">
        <v>2174</v>
      </c>
      <c r="CB15" s="6">
        <v>2332</v>
      </c>
      <c r="CC15" s="6">
        <v>2487</v>
      </c>
      <c r="CD15" s="6">
        <v>2547</v>
      </c>
      <c r="CE15" s="6">
        <v>2679</v>
      </c>
      <c r="CF15" s="6">
        <v>2644</v>
      </c>
      <c r="CG15" s="6">
        <v>2717</v>
      </c>
      <c r="CH15" s="6">
        <v>2763</v>
      </c>
      <c r="CI15" s="159">
        <v>3065</v>
      </c>
      <c r="CJ15">
        <v>3208</v>
      </c>
      <c r="CK15">
        <v>3155</v>
      </c>
    </row>
    <row r="16" spans="1:89">
      <c r="A16" s="18" t="s">
        <v>54</v>
      </c>
      <c r="B16" s="42">
        <v>1877</v>
      </c>
      <c r="C16" s="31">
        <v>1877</v>
      </c>
      <c r="D16" s="31">
        <v>2188</v>
      </c>
      <c r="E16" s="31">
        <v>2370</v>
      </c>
      <c r="F16" s="31">
        <v>2491</v>
      </c>
      <c r="G16" s="31">
        <v>2421</v>
      </c>
      <c r="H16" s="31">
        <v>2564</v>
      </c>
      <c r="I16" s="31">
        <v>2756</v>
      </c>
      <c r="J16" s="31">
        <v>2550</v>
      </c>
      <c r="K16" s="31">
        <v>2452</v>
      </c>
      <c r="L16" s="31">
        <v>2315</v>
      </c>
      <c r="M16" s="6">
        <v>2241</v>
      </c>
      <c r="N16" s="6">
        <v>2322</v>
      </c>
      <c r="O16" s="6">
        <v>2321</v>
      </c>
      <c r="P16" s="50">
        <v>2365</v>
      </c>
      <c r="Q16" s="50">
        <v>2322</v>
      </c>
      <c r="R16" s="50">
        <v>2431</v>
      </c>
      <c r="S16" s="50">
        <v>2406</v>
      </c>
      <c r="T16" s="31">
        <v>2520</v>
      </c>
      <c r="U16" s="31">
        <v>2440</v>
      </c>
      <c r="V16" s="31">
        <v>2554</v>
      </c>
      <c r="W16" s="31">
        <v>2695</v>
      </c>
      <c r="X16" s="6">
        <v>2893</v>
      </c>
      <c r="Y16" s="6">
        <v>2913</v>
      </c>
      <c r="Z16" s="6">
        <v>3279</v>
      </c>
      <c r="AA16" s="6">
        <v>3224</v>
      </c>
      <c r="AB16" s="6">
        <v>3361</v>
      </c>
      <c r="AC16" s="6">
        <v>3550</v>
      </c>
      <c r="AD16" s="6">
        <v>3577</v>
      </c>
      <c r="AE16" s="6">
        <v>3814</v>
      </c>
      <c r="AF16" s="6">
        <v>4054</v>
      </c>
      <c r="AG16" s="6">
        <v>4125</v>
      </c>
      <c r="AH16" s="6">
        <v>3984</v>
      </c>
      <c r="AI16" s="6">
        <v>4426</v>
      </c>
      <c r="AJ16" s="6">
        <v>4911</v>
      </c>
      <c r="AK16" s="6">
        <v>4867</v>
      </c>
      <c r="AL16" s="6">
        <v>5075</v>
      </c>
      <c r="AM16" s="6">
        <v>5269</v>
      </c>
      <c r="AN16" s="6">
        <v>5532</v>
      </c>
      <c r="AO16" s="6">
        <v>5780</v>
      </c>
      <c r="AP16" s="6">
        <v>6066</v>
      </c>
      <c r="AQ16" s="6">
        <v>6447</v>
      </c>
      <c r="AR16" s="6">
        <v>6894</v>
      </c>
      <c r="AS16" s="6">
        <v>7014</v>
      </c>
      <c r="AT16" s="51">
        <v>1339</v>
      </c>
      <c r="AU16" s="6">
        <v>1566</v>
      </c>
      <c r="AV16" s="6">
        <v>1721</v>
      </c>
      <c r="AW16" s="6">
        <v>1845</v>
      </c>
      <c r="AX16" s="6">
        <v>2039</v>
      </c>
      <c r="AY16" s="6">
        <v>2059</v>
      </c>
      <c r="AZ16" s="6">
        <v>2393</v>
      </c>
      <c r="BA16" s="6">
        <v>2840</v>
      </c>
      <c r="BB16" s="6">
        <v>3190</v>
      </c>
      <c r="BC16" s="6">
        <v>3085</v>
      </c>
      <c r="BD16" s="6">
        <v>2937</v>
      </c>
      <c r="BE16" s="6">
        <v>3048</v>
      </c>
      <c r="BF16" s="6">
        <v>3251</v>
      </c>
      <c r="BG16" s="6">
        <v>3144</v>
      </c>
      <c r="BH16" s="6">
        <v>2991</v>
      </c>
      <c r="BI16" s="6">
        <v>2969</v>
      </c>
      <c r="BJ16" s="6">
        <v>3234</v>
      </c>
      <c r="BK16" s="6">
        <v>3272</v>
      </c>
      <c r="BL16" s="6">
        <v>3418</v>
      </c>
      <c r="BM16" s="6">
        <v>3432</v>
      </c>
      <c r="BN16" s="6">
        <v>3461</v>
      </c>
      <c r="BO16" s="6">
        <v>3490</v>
      </c>
      <c r="BP16" s="6">
        <v>3751</v>
      </c>
      <c r="BQ16" s="6">
        <v>3951</v>
      </c>
      <c r="BR16" s="6">
        <v>3997</v>
      </c>
      <c r="BS16" s="6">
        <v>4206</v>
      </c>
      <c r="BT16" s="6">
        <v>4407</v>
      </c>
      <c r="BU16" s="6">
        <v>4631</v>
      </c>
      <c r="BV16" s="6">
        <v>4548</v>
      </c>
      <c r="BW16" s="6">
        <v>5105</v>
      </c>
      <c r="BX16" s="6">
        <v>5582</v>
      </c>
      <c r="BY16" s="6">
        <v>5294</v>
      </c>
      <c r="BZ16" s="6">
        <v>5393</v>
      </c>
      <c r="CA16" s="6">
        <v>5717</v>
      </c>
      <c r="CB16" s="6">
        <v>6465</v>
      </c>
      <c r="CC16" s="6">
        <v>6667</v>
      </c>
      <c r="CD16" s="6">
        <v>7272</v>
      </c>
      <c r="CE16" s="6">
        <v>7652</v>
      </c>
      <c r="CF16" s="6">
        <v>7940</v>
      </c>
      <c r="CG16" s="6">
        <v>8585</v>
      </c>
      <c r="CH16" s="6">
        <v>8817</v>
      </c>
      <c r="CI16" s="159">
        <v>9779</v>
      </c>
      <c r="CJ16">
        <v>10054</v>
      </c>
      <c r="CK16">
        <v>10287</v>
      </c>
    </row>
    <row r="17" spans="1:89">
      <c r="A17" s="18" t="s">
        <v>55</v>
      </c>
      <c r="B17" s="42">
        <v>1749</v>
      </c>
      <c r="C17" s="31">
        <v>1727</v>
      </c>
      <c r="D17" s="31">
        <v>1911</v>
      </c>
      <c r="E17" s="31">
        <v>1949</v>
      </c>
      <c r="F17" s="31">
        <v>2246</v>
      </c>
      <c r="G17" s="31">
        <v>2174</v>
      </c>
      <c r="H17" s="31">
        <v>2374</v>
      </c>
      <c r="I17" s="31">
        <v>2279</v>
      </c>
      <c r="J17" s="31">
        <v>2148</v>
      </c>
      <c r="K17" s="31">
        <v>2008</v>
      </c>
      <c r="L17" s="31">
        <v>1849</v>
      </c>
      <c r="M17" s="6">
        <v>1805</v>
      </c>
      <c r="N17" s="6">
        <v>1643</v>
      </c>
      <c r="O17" s="6">
        <v>1645</v>
      </c>
      <c r="P17" s="50">
        <v>1667</v>
      </c>
      <c r="Q17" s="50">
        <v>1841</v>
      </c>
      <c r="R17" s="50">
        <v>1858</v>
      </c>
      <c r="S17" s="50">
        <v>1854</v>
      </c>
      <c r="T17" s="31">
        <v>2081</v>
      </c>
      <c r="U17" s="31">
        <v>2100</v>
      </c>
      <c r="V17" s="31">
        <v>1991</v>
      </c>
      <c r="W17" s="31">
        <v>1763</v>
      </c>
      <c r="X17" s="6">
        <v>2074</v>
      </c>
      <c r="Y17" s="6">
        <v>2113</v>
      </c>
      <c r="Z17" s="6">
        <v>2315</v>
      </c>
      <c r="AA17" s="6">
        <v>2307</v>
      </c>
      <c r="AB17" s="6">
        <v>1841</v>
      </c>
      <c r="AC17" s="6">
        <v>2079</v>
      </c>
      <c r="AD17" s="6">
        <v>2504</v>
      </c>
      <c r="AE17" s="6">
        <v>2102</v>
      </c>
      <c r="AF17" s="6">
        <v>2486</v>
      </c>
      <c r="AG17" s="6">
        <v>2328</v>
      </c>
      <c r="AH17" s="6">
        <v>2374</v>
      </c>
      <c r="AI17" s="6">
        <v>2518</v>
      </c>
      <c r="AJ17" s="6">
        <v>2517</v>
      </c>
      <c r="AK17" s="6">
        <v>2609</v>
      </c>
      <c r="AL17" s="6">
        <v>2394</v>
      </c>
      <c r="AM17" s="6">
        <v>2207</v>
      </c>
      <c r="AN17" s="6">
        <v>2290</v>
      </c>
      <c r="AO17" s="6">
        <v>2539</v>
      </c>
      <c r="AP17" s="6">
        <v>2597</v>
      </c>
      <c r="AQ17" s="6">
        <v>2781</v>
      </c>
      <c r="AR17" s="6">
        <v>2851</v>
      </c>
      <c r="AS17" s="6">
        <v>2848</v>
      </c>
      <c r="AT17" s="51">
        <v>1143</v>
      </c>
      <c r="AU17" s="6">
        <v>1171</v>
      </c>
      <c r="AV17" s="6">
        <v>1317</v>
      </c>
      <c r="AW17" s="6">
        <v>1329</v>
      </c>
      <c r="AX17" s="6">
        <v>1512</v>
      </c>
      <c r="AY17" s="6">
        <v>1676</v>
      </c>
      <c r="AZ17" s="6">
        <v>1708</v>
      </c>
      <c r="BA17" s="6">
        <v>1751</v>
      </c>
      <c r="BB17" s="6">
        <v>1737</v>
      </c>
      <c r="BC17" s="6">
        <v>1659</v>
      </c>
      <c r="BD17" s="6">
        <v>1636</v>
      </c>
      <c r="BE17" s="6">
        <v>1703</v>
      </c>
      <c r="BF17" s="6">
        <v>1835</v>
      </c>
      <c r="BG17" s="6">
        <v>1817</v>
      </c>
      <c r="BH17" s="6">
        <v>1826</v>
      </c>
      <c r="BI17" s="6">
        <v>1888</v>
      </c>
      <c r="BJ17" s="6">
        <v>1942</v>
      </c>
      <c r="BK17" s="6">
        <v>2081</v>
      </c>
      <c r="BL17" s="6">
        <v>2037</v>
      </c>
      <c r="BM17" s="6">
        <v>2012</v>
      </c>
      <c r="BN17" s="6">
        <v>1952</v>
      </c>
      <c r="BO17" s="6">
        <v>1954</v>
      </c>
      <c r="BP17" s="6">
        <v>2193</v>
      </c>
      <c r="BQ17" s="6">
        <v>2344</v>
      </c>
      <c r="BR17" s="6">
        <v>2639</v>
      </c>
      <c r="BS17" s="6">
        <v>2621</v>
      </c>
      <c r="BT17" s="6">
        <v>2015</v>
      </c>
      <c r="BU17" s="6">
        <v>2368</v>
      </c>
      <c r="BV17" s="6">
        <v>2806</v>
      </c>
      <c r="BW17" s="6">
        <v>2697</v>
      </c>
      <c r="BX17" s="6">
        <v>2873</v>
      </c>
      <c r="BY17" s="6">
        <v>2904</v>
      </c>
      <c r="BZ17" s="6">
        <v>2851</v>
      </c>
      <c r="CA17" s="6">
        <v>2977</v>
      </c>
      <c r="CB17" s="6">
        <v>3090</v>
      </c>
      <c r="CC17" s="6">
        <v>3110</v>
      </c>
      <c r="CD17" s="6">
        <v>2995</v>
      </c>
      <c r="CE17" s="6">
        <v>3179</v>
      </c>
      <c r="CF17" s="6">
        <v>3145</v>
      </c>
      <c r="CG17" s="6">
        <v>3368</v>
      </c>
      <c r="CH17" s="6">
        <v>3350</v>
      </c>
      <c r="CI17" s="159">
        <v>3575</v>
      </c>
      <c r="CJ17">
        <v>3630</v>
      </c>
      <c r="CK17">
        <v>3649</v>
      </c>
    </row>
    <row r="18" spans="1:89">
      <c r="A18" s="18" t="s">
        <v>56</v>
      </c>
      <c r="B18" s="42">
        <v>447</v>
      </c>
      <c r="C18" s="31">
        <v>610</v>
      </c>
      <c r="D18" s="31">
        <v>760</v>
      </c>
      <c r="E18" s="31">
        <v>959</v>
      </c>
      <c r="F18" s="31">
        <v>1069</v>
      </c>
      <c r="G18" s="31">
        <v>1317</v>
      </c>
      <c r="H18" s="31">
        <v>1493</v>
      </c>
      <c r="I18" s="31">
        <v>1544</v>
      </c>
      <c r="J18" s="31">
        <v>1430</v>
      </c>
      <c r="K18" s="31">
        <v>1389</v>
      </c>
      <c r="L18" s="31">
        <v>1240</v>
      </c>
      <c r="M18" s="6">
        <v>1143</v>
      </c>
      <c r="N18" s="6">
        <v>1098</v>
      </c>
      <c r="O18" s="6">
        <v>1241</v>
      </c>
      <c r="P18" s="50">
        <v>1255</v>
      </c>
      <c r="Q18" s="50">
        <v>1240</v>
      </c>
      <c r="R18" s="50">
        <v>1237</v>
      </c>
      <c r="S18" s="50">
        <v>1184</v>
      </c>
      <c r="T18" s="31">
        <v>1327</v>
      </c>
      <c r="U18" s="31">
        <v>1184</v>
      </c>
      <c r="V18" s="31">
        <v>1499</v>
      </c>
      <c r="W18" s="31">
        <v>1536</v>
      </c>
      <c r="X18" s="6">
        <v>1503</v>
      </c>
      <c r="Y18" s="6">
        <v>1779</v>
      </c>
      <c r="Z18" s="6">
        <v>1779</v>
      </c>
      <c r="AA18" s="6">
        <v>1865</v>
      </c>
      <c r="AB18" s="6">
        <v>1740</v>
      </c>
      <c r="AC18" s="6">
        <v>1688</v>
      </c>
      <c r="AD18" s="6">
        <v>1658</v>
      </c>
      <c r="AE18" s="6">
        <v>1682</v>
      </c>
      <c r="AF18" s="6">
        <v>1653</v>
      </c>
      <c r="AG18" s="6">
        <v>1714</v>
      </c>
      <c r="AH18" s="6">
        <v>1502</v>
      </c>
      <c r="AI18" s="6">
        <v>1647</v>
      </c>
      <c r="AJ18" s="6">
        <v>1644</v>
      </c>
      <c r="AK18" s="6">
        <v>1671</v>
      </c>
      <c r="AL18" s="6">
        <v>1650</v>
      </c>
      <c r="AM18" s="6">
        <v>1675</v>
      </c>
      <c r="AN18" s="6">
        <v>1691</v>
      </c>
      <c r="AO18" s="6">
        <v>1696</v>
      </c>
      <c r="AP18" s="6">
        <v>1930</v>
      </c>
      <c r="AQ18" s="6">
        <v>2144</v>
      </c>
      <c r="AR18" s="6">
        <v>2183</v>
      </c>
      <c r="AS18" s="6">
        <v>2285</v>
      </c>
      <c r="AT18" s="51">
        <v>322</v>
      </c>
      <c r="AU18" s="6">
        <v>482</v>
      </c>
      <c r="AV18" s="6">
        <v>638</v>
      </c>
      <c r="AW18" s="6">
        <v>832</v>
      </c>
      <c r="AX18" s="6">
        <v>1333</v>
      </c>
      <c r="AY18" s="6">
        <v>1799</v>
      </c>
      <c r="AZ18" s="6">
        <v>2244</v>
      </c>
      <c r="BA18" s="6">
        <v>2266</v>
      </c>
      <c r="BB18" s="6">
        <v>2129</v>
      </c>
      <c r="BC18" s="6">
        <v>2072</v>
      </c>
      <c r="BD18" s="6">
        <v>2028</v>
      </c>
      <c r="BE18" s="6">
        <v>1842</v>
      </c>
      <c r="BF18" s="6">
        <v>1939</v>
      </c>
      <c r="BG18" s="6">
        <v>1924</v>
      </c>
      <c r="BH18" s="6">
        <v>1740</v>
      </c>
      <c r="BI18" s="6">
        <v>1825</v>
      </c>
      <c r="BJ18" s="6">
        <v>1861</v>
      </c>
      <c r="BK18" s="6">
        <v>2085</v>
      </c>
      <c r="BL18" s="6">
        <v>2208</v>
      </c>
      <c r="BM18" s="6">
        <v>2085</v>
      </c>
      <c r="BN18" s="6">
        <v>2329</v>
      </c>
      <c r="BO18" s="6">
        <v>2399</v>
      </c>
      <c r="BP18" s="6">
        <v>2408</v>
      </c>
      <c r="BQ18" s="6">
        <v>2466</v>
      </c>
      <c r="BR18" s="6">
        <v>2673</v>
      </c>
      <c r="BS18" s="6">
        <v>2660</v>
      </c>
      <c r="BT18" s="6">
        <v>2716</v>
      </c>
      <c r="BU18" s="6">
        <v>2905</v>
      </c>
      <c r="BV18" s="6">
        <v>2957</v>
      </c>
      <c r="BW18" s="6">
        <v>2971</v>
      </c>
      <c r="BX18" s="6">
        <v>2880</v>
      </c>
      <c r="BY18" s="6">
        <v>2874</v>
      </c>
      <c r="BZ18" s="6">
        <v>2653</v>
      </c>
      <c r="CA18" s="6">
        <v>2849</v>
      </c>
      <c r="CB18" s="6">
        <v>3121</v>
      </c>
      <c r="CC18" s="6">
        <v>3336</v>
      </c>
      <c r="CD18" s="6">
        <v>3426</v>
      </c>
      <c r="CE18" s="6">
        <v>3437</v>
      </c>
      <c r="CF18" s="6">
        <v>3489</v>
      </c>
      <c r="CG18" s="6">
        <v>3319</v>
      </c>
      <c r="CH18" s="6">
        <v>3582</v>
      </c>
      <c r="CI18" s="159">
        <v>3705</v>
      </c>
      <c r="CJ18">
        <v>3789</v>
      </c>
      <c r="CK18">
        <v>3835</v>
      </c>
    </row>
    <row r="19" spans="1:89">
      <c r="A19" s="18" t="s">
        <v>57</v>
      </c>
      <c r="B19" s="42">
        <v>1653</v>
      </c>
      <c r="C19" s="31">
        <v>1777</v>
      </c>
      <c r="D19" s="31">
        <v>2070</v>
      </c>
      <c r="E19" s="31">
        <v>2263</v>
      </c>
      <c r="F19" s="31">
        <v>2444</v>
      </c>
      <c r="G19" s="31">
        <v>2302</v>
      </c>
      <c r="H19" s="31">
        <v>2448</v>
      </c>
      <c r="I19" s="31">
        <v>2423</v>
      </c>
      <c r="J19" s="31">
        <v>2244</v>
      </c>
      <c r="K19" s="31">
        <v>2098</v>
      </c>
      <c r="L19" s="31">
        <v>2096</v>
      </c>
      <c r="M19" s="6">
        <v>1988</v>
      </c>
      <c r="N19" s="6">
        <v>1793</v>
      </c>
      <c r="O19" s="6">
        <v>1837</v>
      </c>
      <c r="P19" s="50">
        <v>1720</v>
      </c>
      <c r="Q19" s="50">
        <v>1772</v>
      </c>
      <c r="R19" s="50">
        <v>1770</v>
      </c>
      <c r="S19" s="50">
        <v>1674</v>
      </c>
      <c r="T19" s="31">
        <v>1821</v>
      </c>
      <c r="U19" s="31">
        <v>1956</v>
      </c>
      <c r="V19" s="31">
        <v>1941</v>
      </c>
      <c r="W19" s="31">
        <v>1916</v>
      </c>
      <c r="X19" s="6">
        <v>1995</v>
      </c>
      <c r="Y19" s="6">
        <v>2136</v>
      </c>
      <c r="Z19" s="6">
        <v>2324</v>
      </c>
      <c r="AA19" s="6">
        <v>2551</v>
      </c>
      <c r="AB19" s="6">
        <v>2537</v>
      </c>
      <c r="AC19" s="6">
        <v>2701</v>
      </c>
      <c r="AD19" s="6">
        <v>2749</v>
      </c>
      <c r="AE19" s="6">
        <v>2869</v>
      </c>
      <c r="AF19" s="6">
        <v>3109</v>
      </c>
      <c r="AG19" s="6">
        <v>3076</v>
      </c>
      <c r="AH19" s="6">
        <v>3008</v>
      </c>
      <c r="AI19" s="6">
        <v>3049</v>
      </c>
      <c r="AJ19" s="6">
        <v>3139</v>
      </c>
      <c r="AK19" s="6">
        <v>3223</v>
      </c>
      <c r="AL19" s="6">
        <v>3255</v>
      </c>
      <c r="AM19" s="6">
        <v>3200</v>
      </c>
      <c r="AN19" s="6">
        <v>3316</v>
      </c>
      <c r="AO19" s="6">
        <v>3701</v>
      </c>
      <c r="AP19" s="6">
        <v>3839</v>
      </c>
      <c r="AQ19" s="6">
        <v>4047</v>
      </c>
      <c r="AR19" s="6">
        <v>4460</v>
      </c>
      <c r="AS19" s="6">
        <v>4267</v>
      </c>
      <c r="AT19" s="51">
        <v>1401</v>
      </c>
      <c r="AU19" s="6">
        <v>1459</v>
      </c>
      <c r="AV19" s="6">
        <v>1798</v>
      </c>
      <c r="AW19" s="6">
        <v>2017</v>
      </c>
      <c r="AX19" s="6">
        <v>2177</v>
      </c>
      <c r="AY19" s="6">
        <v>2388</v>
      </c>
      <c r="AZ19" s="6">
        <v>2832</v>
      </c>
      <c r="BA19" s="6">
        <v>2877</v>
      </c>
      <c r="BB19" s="6">
        <v>2714</v>
      </c>
      <c r="BC19" s="6">
        <v>2501</v>
      </c>
      <c r="BD19" s="6">
        <v>2780</v>
      </c>
      <c r="BE19" s="6">
        <v>2697</v>
      </c>
      <c r="BF19" s="6">
        <v>2603</v>
      </c>
      <c r="BG19" s="6">
        <v>2393</v>
      </c>
      <c r="BH19" s="6">
        <v>2108</v>
      </c>
      <c r="BI19" s="6">
        <v>2361</v>
      </c>
      <c r="BJ19" s="6">
        <v>2238</v>
      </c>
      <c r="BK19" s="6">
        <v>2326</v>
      </c>
      <c r="BL19" s="6">
        <v>2614</v>
      </c>
      <c r="BM19" s="6">
        <v>2884</v>
      </c>
      <c r="BN19" s="6">
        <v>2898</v>
      </c>
      <c r="BO19" s="6">
        <v>2800</v>
      </c>
      <c r="BP19" s="6">
        <v>2951</v>
      </c>
      <c r="BQ19" s="6">
        <v>2880</v>
      </c>
      <c r="BR19" s="6">
        <v>3416</v>
      </c>
      <c r="BS19" s="6">
        <v>3642</v>
      </c>
      <c r="BT19" s="6">
        <v>3714</v>
      </c>
      <c r="BU19" s="6">
        <v>4185</v>
      </c>
      <c r="BV19" s="6">
        <v>4323</v>
      </c>
      <c r="BW19" s="6">
        <v>4305</v>
      </c>
      <c r="BX19" s="6">
        <v>4711</v>
      </c>
      <c r="BY19" s="6">
        <v>5017</v>
      </c>
      <c r="BZ19" s="6">
        <v>4963</v>
      </c>
      <c r="CA19" s="6">
        <v>5087</v>
      </c>
      <c r="CB19" s="6">
        <v>5165</v>
      </c>
      <c r="CC19" s="6">
        <v>5307</v>
      </c>
      <c r="CD19" s="6">
        <v>5792</v>
      </c>
      <c r="CE19" s="6">
        <v>5831</v>
      </c>
      <c r="CF19" s="6">
        <v>5810</v>
      </c>
      <c r="CG19" s="6">
        <v>6443</v>
      </c>
      <c r="CH19" s="6">
        <v>6620</v>
      </c>
      <c r="CI19" s="159">
        <v>7052</v>
      </c>
      <c r="CJ19">
        <v>7469</v>
      </c>
      <c r="CK19">
        <v>7689</v>
      </c>
    </row>
    <row r="20" spans="1:89">
      <c r="A20" s="18" t="s">
        <v>58</v>
      </c>
      <c r="B20" s="42">
        <v>5056</v>
      </c>
      <c r="C20" s="31">
        <v>5698</v>
      </c>
      <c r="D20" s="31">
        <v>6221</v>
      </c>
      <c r="E20" s="31">
        <v>6699</v>
      </c>
      <c r="F20" s="31">
        <v>7145</v>
      </c>
      <c r="G20" s="31">
        <v>7603</v>
      </c>
      <c r="H20" s="31">
        <v>8209</v>
      </c>
      <c r="I20" s="31">
        <v>8861</v>
      </c>
      <c r="J20" s="31">
        <v>8395</v>
      </c>
      <c r="K20" s="31">
        <v>8224</v>
      </c>
      <c r="L20" s="31">
        <v>8482</v>
      </c>
      <c r="M20" s="6">
        <v>8238</v>
      </c>
      <c r="N20" s="6">
        <v>8004</v>
      </c>
      <c r="O20" s="6">
        <v>8208</v>
      </c>
      <c r="P20" s="50">
        <v>8703</v>
      </c>
      <c r="Q20" s="50">
        <v>8632</v>
      </c>
      <c r="R20" s="50">
        <v>8977</v>
      </c>
      <c r="S20" s="50">
        <v>8520</v>
      </c>
      <c r="T20" s="31">
        <v>8756</v>
      </c>
      <c r="U20" s="31">
        <v>8510</v>
      </c>
      <c r="V20" s="31">
        <v>8869</v>
      </c>
      <c r="W20" s="31">
        <v>9185</v>
      </c>
      <c r="X20" s="6">
        <v>9756</v>
      </c>
      <c r="Y20" s="6">
        <v>10311</v>
      </c>
      <c r="Z20" s="6">
        <v>10788</v>
      </c>
      <c r="AA20" s="6">
        <v>11104</v>
      </c>
      <c r="AB20" s="6">
        <v>10600</v>
      </c>
      <c r="AC20" s="6">
        <v>10494</v>
      </c>
      <c r="AD20" s="6">
        <v>10872</v>
      </c>
      <c r="AE20" s="6">
        <v>10492</v>
      </c>
      <c r="AF20" s="6">
        <v>11186</v>
      </c>
      <c r="AG20" s="6">
        <v>11043</v>
      </c>
      <c r="AH20" s="6">
        <v>11178</v>
      </c>
      <c r="AI20" s="6">
        <v>12302</v>
      </c>
      <c r="AJ20" s="6">
        <v>13809</v>
      </c>
      <c r="AK20" s="6">
        <v>14191</v>
      </c>
      <c r="AL20" s="6">
        <v>13774</v>
      </c>
      <c r="AM20" s="6">
        <v>13825</v>
      </c>
      <c r="AN20" s="6">
        <v>14397</v>
      </c>
      <c r="AO20" s="6">
        <v>15328</v>
      </c>
      <c r="AP20" s="6">
        <v>16596</v>
      </c>
      <c r="AQ20" s="6">
        <v>17910</v>
      </c>
      <c r="AR20" s="6">
        <v>19050</v>
      </c>
      <c r="AS20" s="6">
        <v>19417</v>
      </c>
      <c r="AT20" s="51">
        <v>3433</v>
      </c>
      <c r="AU20" s="6">
        <v>3905</v>
      </c>
      <c r="AV20" s="6">
        <v>4362</v>
      </c>
      <c r="AW20" s="6">
        <v>4836</v>
      </c>
      <c r="AX20" s="6">
        <v>5567</v>
      </c>
      <c r="AY20" s="6">
        <v>6200</v>
      </c>
      <c r="AZ20" s="6">
        <v>7340</v>
      </c>
      <c r="BA20" s="6">
        <v>7877</v>
      </c>
      <c r="BB20" s="6">
        <v>8379</v>
      </c>
      <c r="BC20" s="6">
        <v>8012</v>
      </c>
      <c r="BD20" s="6">
        <v>8268</v>
      </c>
      <c r="BE20" s="6">
        <v>8283</v>
      </c>
      <c r="BF20" s="6">
        <v>8181</v>
      </c>
      <c r="BG20" s="6">
        <v>8042</v>
      </c>
      <c r="BH20" s="6">
        <v>8222</v>
      </c>
      <c r="BI20" s="6">
        <v>8515</v>
      </c>
      <c r="BJ20" s="6">
        <v>8725</v>
      </c>
      <c r="BK20" s="6">
        <v>8644</v>
      </c>
      <c r="BL20" s="6">
        <v>8803</v>
      </c>
      <c r="BM20" s="6">
        <v>8653</v>
      </c>
      <c r="BN20" s="6">
        <v>9279</v>
      </c>
      <c r="BO20" s="6">
        <v>9609</v>
      </c>
      <c r="BP20" s="6">
        <v>9993</v>
      </c>
      <c r="BQ20" s="6">
        <v>10576</v>
      </c>
      <c r="BR20" s="6">
        <v>11050</v>
      </c>
      <c r="BS20" s="6">
        <v>11636</v>
      </c>
      <c r="BT20" s="6">
        <v>11988</v>
      </c>
      <c r="BU20" s="6">
        <v>12343</v>
      </c>
      <c r="BV20" s="6">
        <v>12760</v>
      </c>
      <c r="BW20" s="6">
        <v>12742</v>
      </c>
      <c r="BX20" s="6">
        <v>13570</v>
      </c>
      <c r="BY20" s="6">
        <v>13644</v>
      </c>
      <c r="BZ20" s="6">
        <v>14238</v>
      </c>
      <c r="CA20" s="6">
        <v>15426</v>
      </c>
      <c r="CB20" s="6">
        <v>16939</v>
      </c>
      <c r="CC20" s="6">
        <v>18200</v>
      </c>
      <c r="CD20" s="6">
        <v>18832</v>
      </c>
      <c r="CE20" s="6">
        <v>18977</v>
      </c>
      <c r="CF20" s="6">
        <v>19643</v>
      </c>
      <c r="CG20" s="6">
        <v>21017</v>
      </c>
      <c r="CH20" s="6">
        <v>23143</v>
      </c>
      <c r="CI20" s="159">
        <v>24129</v>
      </c>
      <c r="CJ20">
        <v>26257</v>
      </c>
      <c r="CK20">
        <v>27047</v>
      </c>
    </row>
    <row r="21" spans="1:89">
      <c r="A21" s="18" t="s">
        <v>59</v>
      </c>
      <c r="B21" s="42">
        <v>1551</v>
      </c>
      <c r="C21" s="31">
        <v>1841</v>
      </c>
      <c r="D21" s="31">
        <v>2073</v>
      </c>
      <c r="E21" s="31">
        <v>2281</v>
      </c>
      <c r="F21" s="31">
        <v>2446</v>
      </c>
      <c r="G21" s="31">
        <v>2516</v>
      </c>
      <c r="H21" s="31">
        <v>2683</v>
      </c>
      <c r="I21" s="31">
        <v>2715</v>
      </c>
      <c r="J21" s="31">
        <v>2611</v>
      </c>
      <c r="K21" s="31">
        <v>2383</v>
      </c>
      <c r="L21" s="31">
        <v>2419</v>
      </c>
      <c r="M21" s="6">
        <v>2473</v>
      </c>
      <c r="N21" s="6">
        <v>2428</v>
      </c>
      <c r="O21" s="6">
        <v>2457</v>
      </c>
      <c r="P21" s="50">
        <v>2389</v>
      </c>
      <c r="Q21" s="50">
        <v>2375</v>
      </c>
      <c r="R21" s="50">
        <v>2544</v>
      </c>
      <c r="S21" s="50">
        <v>2574</v>
      </c>
      <c r="T21" s="31">
        <v>2784</v>
      </c>
      <c r="U21" s="31">
        <v>2941</v>
      </c>
      <c r="V21" s="31">
        <v>3283</v>
      </c>
      <c r="W21" s="31">
        <v>3578</v>
      </c>
      <c r="X21" s="6">
        <v>3723</v>
      </c>
      <c r="Y21" s="6">
        <v>4093</v>
      </c>
      <c r="Z21" s="6">
        <v>4449</v>
      </c>
      <c r="AA21" s="6">
        <v>4614</v>
      </c>
      <c r="AB21" s="6">
        <v>4671</v>
      </c>
      <c r="AC21" s="6">
        <v>4659</v>
      </c>
      <c r="AD21" s="6">
        <v>4523</v>
      </c>
      <c r="AE21" s="6">
        <v>4515</v>
      </c>
      <c r="AF21" s="6">
        <v>4605</v>
      </c>
      <c r="AG21" s="6">
        <v>4410</v>
      </c>
      <c r="AH21" s="6">
        <v>4262</v>
      </c>
      <c r="AI21" s="6">
        <v>4566</v>
      </c>
      <c r="AJ21" s="6">
        <v>4881</v>
      </c>
      <c r="AK21" s="6">
        <v>5078</v>
      </c>
      <c r="AL21" s="6">
        <v>5338</v>
      </c>
      <c r="AM21" s="6">
        <v>5401</v>
      </c>
      <c r="AN21" s="6">
        <v>6075</v>
      </c>
      <c r="AO21" s="6">
        <v>7118</v>
      </c>
      <c r="AP21" s="6">
        <v>7476</v>
      </c>
      <c r="AQ21" s="6">
        <v>8468</v>
      </c>
      <c r="AR21" s="6">
        <v>8660</v>
      </c>
      <c r="AS21" s="6">
        <v>9462</v>
      </c>
      <c r="AT21" s="51">
        <v>1013</v>
      </c>
      <c r="AU21" s="6">
        <v>1333</v>
      </c>
      <c r="AV21" s="6">
        <v>1527</v>
      </c>
      <c r="AW21" s="6">
        <v>1709</v>
      </c>
      <c r="AX21" s="6">
        <v>1857</v>
      </c>
      <c r="AY21" s="6">
        <v>2145</v>
      </c>
      <c r="AZ21" s="6">
        <v>2601</v>
      </c>
      <c r="BA21" s="6">
        <v>2631</v>
      </c>
      <c r="BB21" s="6">
        <v>3058</v>
      </c>
      <c r="BC21" s="6">
        <v>2795</v>
      </c>
      <c r="BD21" s="6">
        <v>2863</v>
      </c>
      <c r="BE21" s="6">
        <v>3015</v>
      </c>
      <c r="BF21" s="6">
        <v>3057</v>
      </c>
      <c r="BG21" s="6">
        <v>3006</v>
      </c>
      <c r="BH21" s="6">
        <v>2913</v>
      </c>
      <c r="BI21" s="6">
        <v>2833</v>
      </c>
      <c r="BJ21" s="6">
        <v>2924</v>
      </c>
      <c r="BK21" s="6">
        <v>2899</v>
      </c>
      <c r="BL21" s="6">
        <v>3272</v>
      </c>
      <c r="BM21" s="6">
        <v>3604</v>
      </c>
      <c r="BN21" s="6">
        <v>3876</v>
      </c>
      <c r="BO21" s="6">
        <v>4335</v>
      </c>
      <c r="BP21" s="6">
        <v>4616</v>
      </c>
      <c r="BQ21" s="6">
        <v>5232</v>
      </c>
      <c r="BR21" s="6">
        <v>5531</v>
      </c>
      <c r="BS21" s="6">
        <v>6092</v>
      </c>
      <c r="BT21" s="6">
        <v>6135</v>
      </c>
      <c r="BU21" s="6">
        <v>6470</v>
      </c>
      <c r="BV21" s="6">
        <v>6412</v>
      </c>
      <c r="BW21" s="6">
        <v>6440</v>
      </c>
      <c r="BX21" s="6">
        <v>6544</v>
      </c>
      <c r="BY21" s="6">
        <v>6457</v>
      </c>
      <c r="BZ21" s="6">
        <v>6427</v>
      </c>
      <c r="CA21" s="6">
        <v>6685</v>
      </c>
      <c r="CB21" s="6">
        <v>7067</v>
      </c>
      <c r="CC21" s="6">
        <v>7658</v>
      </c>
      <c r="CD21" s="6">
        <v>8076</v>
      </c>
      <c r="CE21" s="6">
        <v>8432</v>
      </c>
      <c r="CF21" s="6">
        <v>8934</v>
      </c>
      <c r="CG21" s="6">
        <v>9570</v>
      </c>
      <c r="CH21" s="6">
        <v>10497</v>
      </c>
      <c r="CI21" s="159">
        <v>12229</v>
      </c>
      <c r="CJ21">
        <v>12856</v>
      </c>
      <c r="CK21">
        <v>13320</v>
      </c>
    </row>
    <row r="22" spans="1:89">
      <c r="A22" s="20" t="s">
        <v>60</v>
      </c>
      <c r="B22" s="42">
        <v>733</v>
      </c>
      <c r="C22" s="31">
        <v>740</v>
      </c>
      <c r="D22" s="31">
        <v>861</v>
      </c>
      <c r="E22" s="31">
        <v>987</v>
      </c>
      <c r="F22" s="31">
        <v>984</v>
      </c>
      <c r="G22" s="31">
        <v>1039</v>
      </c>
      <c r="H22" s="31">
        <v>1153</v>
      </c>
      <c r="I22" s="31">
        <v>1048</v>
      </c>
      <c r="J22" s="31">
        <v>1083</v>
      </c>
      <c r="K22" s="31">
        <v>996</v>
      </c>
      <c r="L22" s="31">
        <v>1037</v>
      </c>
      <c r="M22" s="6">
        <v>941</v>
      </c>
      <c r="N22" s="6">
        <v>884</v>
      </c>
      <c r="O22" s="6">
        <v>866</v>
      </c>
      <c r="P22" s="50">
        <v>860</v>
      </c>
      <c r="Q22" s="50">
        <v>754</v>
      </c>
      <c r="R22" s="50">
        <v>781</v>
      </c>
      <c r="S22" s="50">
        <v>711</v>
      </c>
      <c r="T22" s="31">
        <v>678</v>
      </c>
      <c r="U22" s="31">
        <v>715</v>
      </c>
      <c r="V22" s="31">
        <v>632</v>
      </c>
      <c r="W22" s="31">
        <v>696</v>
      </c>
      <c r="X22" s="6">
        <v>809</v>
      </c>
      <c r="Y22" s="6">
        <v>768</v>
      </c>
      <c r="Z22" s="6">
        <v>833</v>
      </c>
      <c r="AA22" s="6">
        <v>946</v>
      </c>
      <c r="AB22" s="6">
        <v>969</v>
      </c>
      <c r="AC22" s="6">
        <v>937</v>
      </c>
      <c r="AD22" s="6">
        <v>1015</v>
      </c>
      <c r="AE22" s="6">
        <v>921</v>
      </c>
      <c r="AF22" s="6">
        <v>923</v>
      </c>
      <c r="AG22" s="6">
        <v>903</v>
      </c>
      <c r="AH22" s="6">
        <v>851</v>
      </c>
      <c r="AI22" s="6">
        <v>936</v>
      </c>
      <c r="AJ22" s="6">
        <v>1004</v>
      </c>
      <c r="AK22" s="6">
        <v>1107</v>
      </c>
      <c r="AL22" s="6">
        <v>1174</v>
      </c>
      <c r="AM22" s="6">
        <v>1466</v>
      </c>
      <c r="AN22" s="6">
        <v>1814</v>
      </c>
      <c r="AO22" s="6">
        <v>2020</v>
      </c>
      <c r="AP22" s="6">
        <v>2567</v>
      </c>
      <c r="AQ22" s="6">
        <v>1406</v>
      </c>
      <c r="AR22" s="6">
        <v>1169</v>
      </c>
      <c r="AS22" s="6">
        <v>1183</v>
      </c>
      <c r="AT22" s="51">
        <v>446</v>
      </c>
      <c r="AU22" s="6">
        <v>525</v>
      </c>
      <c r="AV22" s="6">
        <v>632</v>
      </c>
      <c r="AW22" s="6">
        <v>709</v>
      </c>
      <c r="AX22" s="6">
        <v>791</v>
      </c>
      <c r="AY22" s="6">
        <v>930</v>
      </c>
      <c r="AZ22" s="6">
        <v>1066</v>
      </c>
      <c r="BA22" s="6">
        <v>1111</v>
      </c>
      <c r="BB22" s="6">
        <v>1171</v>
      </c>
      <c r="BC22" s="6">
        <v>1180</v>
      </c>
      <c r="BD22" s="6">
        <v>1130</v>
      </c>
      <c r="BE22" s="6">
        <v>1113</v>
      </c>
      <c r="BF22" s="6">
        <v>1174</v>
      </c>
      <c r="BG22" s="6">
        <v>1146</v>
      </c>
      <c r="BH22" s="6">
        <v>1085</v>
      </c>
      <c r="BI22" s="6">
        <v>1025</v>
      </c>
      <c r="BJ22" s="6">
        <v>1039</v>
      </c>
      <c r="BK22" s="6">
        <v>1040</v>
      </c>
      <c r="BL22" s="6">
        <v>1146</v>
      </c>
      <c r="BM22" s="6">
        <v>976</v>
      </c>
      <c r="BN22" s="6">
        <v>1108</v>
      </c>
      <c r="BO22" s="6">
        <v>1011</v>
      </c>
      <c r="BP22" s="6">
        <v>1103</v>
      </c>
      <c r="BQ22" s="6">
        <v>1148</v>
      </c>
      <c r="BR22" s="6">
        <v>1199</v>
      </c>
      <c r="BS22" s="6">
        <v>1322</v>
      </c>
      <c r="BT22" s="6">
        <v>1214</v>
      </c>
      <c r="BU22" s="6">
        <v>1297</v>
      </c>
      <c r="BV22" s="6">
        <v>1547</v>
      </c>
      <c r="BW22" s="6">
        <v>1520</v>
      </c>
      <c r="BX22" s="6">
        <v>1542</v>
      </c>
      <c r="BY22" s="6">
        <v>1486</v>
      </c>
      <c r="BZ22" s="6">
        <v>1394</v>
      </c>
      <c r="CA22" s="6">
        <v>1543</v>
      </c>
      <c r="CB22" s="6">
        <v>1825</v>
      </c>
      <c r="CC22" s="6">
        <v>1628</v>
      </c>
      <c r="CD22" s="6">
        <v>1856</v>
      </c>
      <c r="CE22" s="6">
        <v>1836</v>
      </c>
      <c r="CF22" s="6">
        <v>2083</v>
      </c>
      <c r="CG22" s="6">
        <v>2200</v>
      </c>
      <c r="CH22" s="6">
        <v>2496</v>
      </c>
      <c r="CI22" s="159">
        <v>2092</v>
      </c>
      <c r="CJ22" s="162">
        <v>1962</v>
      </c>
      <c r="CK22" s="141">
        <v>1903</v>
      </c>
    </row>
    <row r="23" spans="1:89">
      <c r="A23" s="22" t="s">
        <v>61</v>
      </c>
      <c r="B23" s="52">
        <f t="shared" ref="B23:BQ23" si="19">SUM(B25:B37)</f>
        <v>24758</v>
      </c>
      <c r="C23" s="22">
        <f t="shared" si="19"/>
        <v>27279</v>
      </c>
      <c r="D23" s="22">
        <f t="shared" si="19"/>
        <v>28556</v>
      </c>
      <c r="E23" s="22">
        <f t="shared" si="19"/>
        <v>28827</v>
      </c>
      <c r="F23" s="22">
        <f t="shared" si="19"/>
        <v>29880</v>
      </c>
      <c r="G23" s="22">
        <f t="shared" si="19"/>
        <v>30894</v>
      </c>
      <c r="H23" s="22">
        <f t="shared" si="19"/>
        <v>33139</v>
      </c>
      <c r="I23" s="22">
        <f t="shared" si="19"/>
        <v>32732</v>
      </c>
      <c r="J23" s="22">
        <f t="shared" si="19"/>
        <v>32482</v>
      </c>
      <c r="K23" s="22">
        <f t="shared" si="19"/>
        <v>31356</v>
      </c>
      <c r="L23" s="22">
        <f t="shared" si="19"/>
        <v>30898</v>
      </c>
      <c r="M23" s="22">
        <f t="shared" si="19"/>
        <v>30396</v>
      </c>
      <c r="N23" s="22">
        <f t="shared" si="19"/>
        <v>29297</v>
      </c>
      <c r="O23" s="22">
        <f t="shared" si="19"/>
        <v>29201</v>
      </c>
      <c r="P23" s="22">
        <f t="shared" si="19"/>
        <v>29075</v>
      </c>
      <c r="Q23" s="22">
        <f t="shared" si="19"/>
        <v>29259</v>
      </c>
      <c r="R23" s="22">
        <f t="shared" si="19"/>
        <v>29046</v>
      </c>
      <c r="S23" s="22">
        <f t="shared" si="19"/>
        <v>28900</v>
      </c>
      <c r="T23" s="22">
        <f t="shared" si="19"/>
        <v>29272</v>
      </c>
      <c r="U23" s="22">
        <f t="shared" si="19"/>
        <v>29516</v>
      </c>
      <c r="V23" s="22">
        <f t="shared" si="19"/>
        <v>31404</v>
      </c>
      <c r="W23" s="22">
        <f t="shared" si="19"/>
        <v>31836</v>
      </c>
      <c r="X23" s="22">
        <f t="shared" si="19"/>
        <v>31431</v>
      </c>
      <c r="Y23" s="22">
        <f t="shared" si="19"/>
        <v>33000</v>
      </c>
      <c r="Z23" s="22">
        <f t="shared" si="19"/>
        <v>34620</v>
      </c>
      <c r="AA23" s="22">
        <f t="shared" si="19"/>
        <v>34580</v>
      </c>
      <c r="AB23" s="22">
        <f t="shared" si="19"/>
        <v>34396</v>
      </c>
      <c r="AC23" s="22">
        <f t="shared" si="19"/>
        <v>34490</v>
      </c>
      <c r="AD23" s="22">
        <f t="shared" si="19"/>
        <v>36227</v>
      </c>
      <c r="AE23" s="22">
        <f t="shared" si="19"/>
        <v>37464</v>
      </c>
      <c r="AF23" s="22">
        <f t="shared" si="19"/>
        <v>38636</v>
      </c>
      <c r="AG23" s="22">
        <f t="shared" si="19"/>
        <v>39076</v>
      </c>
      <c r="AH23" s="22">
        <f t="shared" si="19"/>
        <v>39734</v>
      </c>
      <c r="AI23" s="22">
        <f t="shared" si="19"/>
        <v>41951</v>
      </c>
      <c r="AJ23" s="22">
        <f t="shared" ref="AJ23" si="20">SUM(AJ25:AJ37)</f>
        <v>46569</v>
      </c>
      <c r="AK23" s="22">
        <f t="shared" si="19"/>
        <v>48564</v>
      </c>
      <c r="AL23" s="22">
        <f t="shared" si="19"/>
        <v>45043</v>
      </c>
      <c r="AM23" s="22">
        <f t="shared" si="19"/>
        <v>51192</v>
      </c>
      <c r="AN23" s="22">
        <f t="shared" si="19"/>
        <v>52970</v>
      </c>
      <c r="AO23" s="22">
        <f t="shared" si="19"/>
        <v>55622</v>
      </c>
      <c r="AP23" s="22">
        <f t="shared" ref="AP23:AQ23" si="21">SUM(AP25:AP37)</f>
        <v>59057</v>
      </c>
      <c r="AQ23" s="22">
        <f t="shared" si="21"/>
        <v>53264</v>
      </c>
      <c r="AR23" s="22">
        <f t="shared" ref="AR23:AS23" si="22">SUM(AR25:AR37)</f>
        <v>60088</v>
      </c>
      <c r="AS23" s="22">
        <f t="shared" si="22"/>
        <v>58346</v>
      </c>
      <c r="AT23" s="52">
        <f t="shared" si="19"/>
        <v>12566</v>
      </c>
      <c r="AU23" s="22">
        <f t="shared" si="19"/>
        <v>13625</v>
      </c>
      <c r="AV23" s="22">
        <f t="shared" si="19"/>
        <v>14810</v>
      </c>
      <c r="AW23" s="22">
        <f t="shared" si="19"/>
        <v>15229</v>
      </c>
      <c r="AX23" s="22">
        <f t="shared" si="19"/>
        <v>16842</v>
      </c>
      <c r="AY23" s="22">
        <f t="shared" si="19"/>
        <v>18447</v>
      </c>
      <c r="AZ23" s="22">
        <f t="shared" si="19"/>
        <v>21363</v>
      </c>
      <c r="BA23" s="22">
        <f t="shared" si="19"/>
        <v>22700</v>
      </c>
      <c r="BB23" s="22">
        <f t="shared" si="19"/>
        <v>23433</v>
      </c>
      <c r="BC23" s="22">
        <f t="shared" si="19"/>
        <v>23500</v>
      </c>
      <c r="BD23" s="22">
        <f t="shared" si="19"/>
        <v>23875</v>
      </c>
      <c r="BE23" s="22">
        <f t="shared" si="19"/>
        <v>24292</v>
      </c>
      <c r="BF23" s="22">
        <f t="shared" si="19"/>
        <v>24558</v>
      </c>
      <c r="BG23" s="22">
        <f t="shared" si="19"/>
        <v>24882</v>
      </c>
      <c r="BH23" s="22">
        <f t="shared" si="19"/>
        <v>25112</v>
      </c>
      <c r="BI23" s="22">
        <f t="shared" si="19"/>
        <v>24844</v>
      </c>
      <c r="BJ23" s="22">
        <f t="shared" si="19"/>
        <v>25559</v>
      </c>
      <c r="BK23" s="22">
        <f t="shared" si="19"/>
        <v>25741</v>
      </c>
      <c r="BL23" s="22">
        <f t="shared" si="19"/>
        <v>26595</v>
      </c>
      <c r="BM23" s="22">
        <f t="shared" si="19"/>
        <v>28130</v>
      </c>
      <c r="BN23" s="22">
        <f t="shared" si="19"/>
        <v>29973</v>
      </c>
      <c r="BO23" s="22">
        <f t="shared" si="19"/>
        <v>32214</v>
      </c>
      <c r="BP23" s="22">
        <f t="shared" si="19"/>
        <v>33803</v>
      </c>
      <c r="BQ23" s="22">
        <f t="shared" si="19"/>
        <v>36230</v>
      </c>
      <c r="BR23" s="22">
        <f t="shared" ref="BR23:CG23" si="23">SUM(BR25:BR37)</f>
        <v>38406</v>
      </c>
      <c r="BS23" s="22">
        <f t="shared" si="23"/>
        <v>39648</v>
      </c>
      <c r="BT23" s="22">
        <f t="shared" si="23"/>
        <v>40822</v>
      </c>
      <c r="BU23" s="22">
        <f t="shared" si="23"/>
        <v>41762</v>
      </c>
      <c r="BV23" s="22">
        <f t="shared" si="23"/>
        <v>43517</v>
      </c>
      <c r="BW23" s="22">
        <f t="shared" si="23"/>
        <v>46750</v>
      </c>
      <c r="BX23" s="22">
        <f t="shared" si="23"/>
        <v>48769</v>
      </c>
      <c r="BY23" s="22">
        <f t="shared" si="23"/>
        <v>50721</v>
      </c>
      <c r="BZ23" s="22">
        <f t="shared" si="23"/>
        <v>52668</v>
      </c>
      <c r="CA23" s="22">
        <f t="shared" si="23"/>
        <v>55631</v>
      </c>
      <c r="CB23" s="22">
        <f t="shared" si="23"/>
        <v>62393</v>
      </c>
      <c r="CC23" s="22">
        <f t="shared" si="23"/>
        <v>66765</v>
      </c>
      <c r="CD23" s="22">
        <f t="shared" si="23"/>
        <v>62650</v>
      </c>
      <c r="CE23" s="22">
        <f t="shared" si="23"/>
        <v>75398</v>
      </c>
      <c r="CF23" s="22">
        <f t="shared" si="23"/>
        <v>78206</v>
      </c>
      <c r="CG23" s="22">
        <f t="shared" si="23"/>
        <v>82196</v>
      </c>
      <c r="CH23" s="22">
        <f t="shared" ref="CH23:CI23" si="24">SUM(CH25:CH37)</f>
        <v>87412</v>
      </c>
      <c r="CI23" s="22">
        <f t="shared" si="24"/>
        <v>75730</v>
      </c>
      <c r="CJ23" s="22">
        <f t="shared" ref="CJ23:CK23" si="25">SUM(CJ25:CJ37)</f>
        <v>89715</v>
      </c>
      <c r="CK23" s="22">
        <f t="shared" si="25"/>
        <v>85834</v>
      </c>
    </row>
    <row r="24" spans="1:89">
      <c r="A24" s="17" t="s">
        <v>44</v>
      </c>
      <c r="B24" s="49">
        <f t="shared" ref="B24:BQ24" si="26">(B23/B4)*100</f>
        <v>19.848160529754605</v>
      </c>
      <c r="C24" s="17">
        <f t="shared" si="26"/>
        <v>19.883522603029288</v>
      </c>
      <c r="D24" s="17">
        <f t="shared" si="26"/>
        <v>19.227169587729517</v>
      </c>
      <c r="E24" s="17">
        <f t="shared" si="26"/>
        <v>18.787270511408444</v>
      </c>
      <c r="F24" s="17">
        <f t="shared" si="26"/>
        <v>19.039001917918199</v>
      </c>
      <c r="G24" s="17">
        <f t="shared" si="26"/>
        <v>19.236373146038034</v>
      </c>
      <c r="H24" s="17">
        <f t="shared" si="26"/>
        <v>19.913828329687764</v>
      </c>
      <c r="I24" s="17">
        <f t="shared" si="26"/>
        <v>19.61773819441531</v>
      </c>
      <c r="J24" s="17">
        <f t="shared" si="26"/>
        <v>20.26414129126038</v>
      </c>
      <c r="K24" s="17">
        <f t="shared" si="26"/>
        <v>20.563334098435913</v>
      </c>
      <c r="L24" s="17">
        <f t="shared" si="26"/>
        <v>20.632366198123602</v>
      </c>
      <c r="M24" s="17">
        <f t="shared" si="26"/>
        <v>20.799375936608296</v>
      </c>
      <c r="N24" s="17">
        <f t="shared" si="26"/>
        <v>20.248956346244228</v>
      </c>
      <c r="O24" s="17">
        <f t="shared" si="26"/>
        <v>20.349696158777945</v>
      </c>
      <c r="P24" s="17">
        <f t="shared" si="26"/>
        <v>20.441091691390486</v>
      </c>
      <c r="Q24" s="17">
        <f t="shared" si="26"/>
        <v>20.586372847011145</v>
      </c>
      <c r="R24" s="17">
        <f t="shared" si="26"/>
        <v>20.417114780371566</v>
      </c>
      <c r="S24" s="17">
        <f t="shared" si="26"/>
        <v>20.629448001656066</v>
      </c>
      <c r="T24" s="17">
        <f t="shared" si="26"/>
        <v>20.380852915578764</v>
      </c>
      <c r="U24" s="17">
        <f t="shared" si="26"/>
        <v>20.002710761724042</v>
      </c>
      <c r="V24" s="17">
        <f t="shared" si="26"/>
        <v>20.593597125132792</v>
      </c>
      <c r="W24" s="17">
        <f t="shared" si="26"/>
        <v>20.479370103052993</v>
      </c>
      <c r="X24" s="17">
        <f t="shared" si="26"/>
        <v>19.550167629734219</v>
      </c>
      <c r="Y24" s="17">
        <f t="shared" si="26"/>
        <v>19.634442381836354</v>
      </c>
      <c r="Z24" s="17">
        <f t="shared" si="26"/>
        <v>19.795639470057807</v>
      </c>
      <c r="AA24" s="17">
        <f t="shared" si="26"/>
        <v>19.484105072177961</v>
      </c>
      <c r="AB24" s="17">
        <f t="shared" si="26"/>
        <v>19.322835618823976</v>
      </c>
      <c r="AC24" s="17">
        <f t="shared" si="26"/>
        <v>19.189575648322791</v>
      </c>
      <c r="AD24" s="17">
        <f t="shared" si="26"/>
        <v>19.648542372881355</v>
      </c>
      <c r="AE24" s="17">
        <f t="shared" si="26"/>
        <v>20.125921309925435</v>
      </c>
      <c r="AF24" s="17">
        <f t="shared" si="26"/>
        <v>20.144740135146407</v>
      </c>
      <c r="AG24" s="17">
        <f t="shared" si="26"/>
        <v>20.105890888135384</v>
      </c>
      <c r="AH24" s="17">
        <f t="shared" si="26"/>
        <v>19.954801124949778</v>
      </c>
      <c r="AI24" s="17">
        <f t="shared" si="26"/>
        <v>19.819619774737319</v>
      </c>
      <c r="AJ24" s="17">
        <f t="shared" si="26"/>
        <v>20.311770786536457</v>
      </c>
      <c r="AK24" s="17">
        <f t="shared" si="26"/>
        <v>20.790273556231003</v>
      </c>
      <c r="AL24" s="17">
        <f t="shared" si="26"/>
        <v>19.604199127793105</v>
      </c>
      <c r="AM24" s="17">
        <f t="shared" si="26"/>
        <v>21.492176380941185</v>
      </c>
      <c r="AN24" s="17">
        <f t="shared" si="26"/>
        <v>21.404441714618219</v>
      </c>
      <c r="AO24" s="17">
        <f t="shared" si="26"/>
        <v>21.253539263374691</v>
      </c>
      <c r="AP24" s="17">
        <f t="shared" ref="AP24:AQ24" si="27">(AP23/AP4)*100</f>
        <v>21.55490831581406</v>
      </c>
      <c r="AQ24" s="17">
        <f t="shared" si="27"/>
        <v>19.138027055674325</v>
      </c>
      <c r="AR24" s="17">
        <f t="shared" ref="AR24:AS24" si="28">(AR23/AR4)*100</f>
        <v>20.475843221176454</v>
      </c>
      <c r="AS24" s="17">
        <f t="shared" si="28"/>
        <v>19.996230100930479</v>
      </c>
      <c r="AT24" s="49">
        <f t="shared" si="26"/>
        <v>15.201848513809416</v>
      </c>
      <c r="AU24" s="17">
        <f t="shared" si="26"/>
        <v>14.752536353497838</v>
      </c>
      <c r="AV24" s="17">
        <f t="shared" si="26"/>
        <v>14.508797366667972</v>
      </c>
      <c r="AW24" s="17">
        <f t="shared" si="26"/>
        <v>13.984517764166796</v>
      </c>
      <c r="AX24" s="17">
        <f t="shared" si="26"/>
        <v>14.130380065441731</v>
      </c>
      <c r="AY24" s="17">
        <f t="shared" si="26"/>
        <v>14.095452044746013</v>
      </c>
      <c r="AZ24" s="17">
        <f t="shared" si="26"/>
        <v>14.783162294389967</v>
      </c>
      <c r="BA24" s="17">
        <f t="shared" si="26"/>
        <v>15.196856192216798</v>
      </c>
      <c r="BB24" s="17">
        <f t="shared" si="26"/>
        <v>15.580866512407246</v>
      </c>
      <c r="BC24" s="17">
        <f t="shared" si="26"/>
        <v>15.911383748722011</v>
      </c>
      <c r="BD24" s="17">
        <f t="shared" si="26"/>
        <v>16.208748311235123</v>
      </c>
      <c r="BE24" s="17">
        <f t="shared" si="26"/>
        <v>16.339104349112823</v>
      </c>
      <c r="BF24" s="17">
        <f t="shared" si="26"/>
        <v>16.373419029649234</v>
      </c>
      <c r="BG24" s="17">
        <f t="shared" si="26"/>
        <v>17.134357547670039</v>
      </c>
      <c r="BH24" s="17">
        <f t="shared" si="26"/>
        <v>17.852090397890052</v>
      </c>
      <c r="BI24" s="17">
        <f t="shared" si="26"/>
        <v>17.390817390817389</v>
      </c>
      <c r="BJ24" s="17">
        <f t="shared" si="26"/>
        <v>17.620455971265674</v>
      </c>
      <c r="BK24" s="17">
        <f t="shared" si="26"/>
        <v>17.388337971844685</v>
      </c>
      <c r="BL24" s="17">
        <f t="shared" si="26"/>
        <v>17.294186500195082</v>
      </c>
      <c r="BM24" s="17">
        <f t="shared" si="26"/>
        <v>17.510115157173981</v>
      </c>
      <c r="BN24" s="17">
        <f t="shared" si="26"/>
        <v>17.567211154677967</v>
      </c>
      <c r="BO24" s="17">
        <f t="shared" si="26"/>
        <v>17.83938242753824</v>
      </c>
      <c r="BP24" s="17">
        <f t="shared" si="26"/>
        <v>17.709866873438081</v>
      </c>
      <c r="BQ24" s="17">
        <f t="shared" si="26"/>
        <v>18.094643526033213</v>
      </c>
      <c r="BR24" s="17">
        <f t="shared" ref="BR24:CG24" si="29">(BR23/BR4)*100</f>
        <v>18.213289830604928</v>
      </c>
      <c r="BS24" s="17">
        <f t="shared" si="29"/>
        <v>18.112711059133105</v>
      </c>
      <c r="BT24" s="17">
        <f t="shared" si="29"/>
        <v>17.975974494918358</v>
      </c>
      <c r="BU24" s="17">
        <f t="shared" si="29"/>
        <v>17.524527288444268</v>
      </c>
      <c r="BV24" s="17">
        <f t="shared" si="29"/>
        <v>17.705023414392016</v>
      </c>
      <c r="BW24" s="17">
        <f t="shared" si="29"/>
        <v>18.417258251325649</v>
      </c>
      <c r="BX24" s="17">
        <f t="shared" si="29"/>
        <v>18.385080523553892</v>
      </c>
      <c r="BY24" s="17">
        <f t="shared" si="29"/>
        <v>18.502872777017785</v>
      </c>
      <c r="BZ24" s="17">
        <f t="shared" si="29"/>
        <v>18.61073223132319</v>
      </c>
      <c r="CA24" s="17">
        <f t="shared" si="29"/>
        <v>18.440706057843705</v>
      </c>
      <c r="CB24" s="17">
        <f t="shared" si="29"/>
        <v>18.941581131582865</v>
      </c>
      <c r="CC24" s="17">
        <f t="shared" si="29"/>
        <v>19.577571343115522</v>
      </c>
      <c r="CD24" s="17">
        <f t="shared" si="29"/>
        <v>18.40519634657587</v>
      </c>
      <c r="CE24" s="17">
        <f t="shared" si="29"/>
        <v>20.577045887483695</v>
      </c>
      <c r="CF24" s="17">
        <f t="shared" si="29"/>
        <v>20.638912713597676</v>
      </c>
      <c r="CG24" s="17">
        <f t="shared" si="29"/>
        <v>20.675534269730754</v>
      </c>
      <c r="CH24" s="17">
        <f t="shared" ref="CH24:CI24" si="30">(CH23/CH4)*100</f>
        <v>21.042698295390259</v>
      </c>
      <c r="CI24" s="17">
        <f t="shared" si="30"/>
        <v>18.31629407653033</v>
      </c>
      <c r="CJ24" s="17">
        <f t="shared" ref="CJ24:CK24" si="31">(CJ23/CJ4)*100</f>
        <v>20.535763335713895</v>
      </c>
      <c r="CK24" s="17">
        <f t="shared" si="31"/>
        <v>19.84633277301598</v>
      </c>
    </row>
    <row r="25" spans="1:89">
      <c r="A25" s="18" t="s">
        <v>62</v>
      </c>
      <c r="B25" s="42">
        <v>103</v>
      </c>
      <c r="C25" s="31">
        <v>108</v>
      </c>
      <c r="D25" s="31">
        <v>142</v>
      </c>
      <c r="E25" s="31">
        <v>151</v>
      </c>
      <c r="F25" s="31">
        <v>128</v>
      </c>
      <c r="G25" s="6">
        <v>133</v>
      </c>
      <c r="H25" s="6">
        <v>110</v>
      </c>
      <c r="I25" s="31">
        <v>101</v>
      </c>
      <c r="J25" s="31">
        <v>86</v>
      </c>
      <c r="K25" s="31">
        <v>99</v>
      </c>
      <c r="L25" s="31">
        <v>84</v>
      </c>
      <c r="M25" s="31">
        <v>102</v>
      </c>
      <c r="N25" s="31">
        <v>89</v>
      </c>
      <c r="O25" s="31">
        <v>127</v>
      </c>
      <c r="P25" s="50">
        <v>116</v>
      </c>
      <c r="Q25" s="50">
        <v>144</v>
      </c>
      <c r="R25" s="50">
        <v>143</v>
      </c>
      <c r="S25" s="50">
        <v>159</v>
      </c>
      <c r="T25" s="31">
        <v>165</v>
      </c>
      <c r="U25" s="31">
        <v>144</v>
      </c>
      <c r="V25" s="31">
        <v>161</v>
      </c>
      <c r="W25" s="31">
        <v>156</v>
      </c>
      <c r="X25" s="6">
        <v>166</v>
      </c>
      <c r="Y25" s="6">
        <v>166</v>
      </c>
      <c r="Z25" s="6">
        <v>198</v>
      </c>
      <c r="AA25" s="6">
        <v>219</v>
      </c>
      <c r="AB25" s="6">
        <v>225</v>
      </c>
      <c r="AC25" s="6">
        <v>210</v>
      </c>
      <c r="AD25" s="6">
        <v>215</v>
      </c>
      <c r="AE25" s="6">
        <v>173</v>
      </c>
      <c r="AF25" s="6">
        <v>205</v>
      </c>
      <c r="AG25" s="6">
        <v>155</v>
      </c>
      <c r="AH25" s="6">
        <v>177</v>
      </c>
      <c r="AI25" s="6">
        <v>228</v>
      </c>
      <c r="AJ25" s="6">
        <v>238</v>
      </c>
      <c r="AK25" s="6">
        <v>277</v>
      </c>
      <c r="AL25" s="6">
        <v>225</v>
      </c>
      <c r="AM25" s="6">
        <v>289</v>
      </c>
      <c r="AN25" s="6">
        <v>279</v>
      </c>
      <c r="AO25" s="6">
        <v>222</v>
      </c>
      <c r="AP25" s="6">
        <v>227</v>
      </c>
      <c r="AQ25" s="6">
        <v>246</v>
      </c>
      <c r="AR25" s="6">
        <v>285</v>
      </c>
      <c r="AS25" s="6">
        <v>246</v>
      </c>
      <c r="AT25" s="51">
        <v>71</v>
      </c>
      <c r="AU25" s="6">
        <v>123</v>
      </c>
      <c r="AV25" s="6">
        <v>116</v>
      </c>
      <c r="AW25" s="6">
        <v>99</v>
      </c>
      <c r="AX25" s="6">
        <v>83</v>
      </c>
      <c r="AY25" s="6">
        <v>110</v>
      </c>
      <c r="AZ25" s="6">
        <v>101</v>
      </c>
      <c r="BA25" s="6">
        <v>94</v>
      </c>
      <c r="BB25" s="6">
        <v>74</v>
      </c>
      <c r="BC25" s="6">
        <v>76</v>
      </c>
      <c r="BD25" s="6">
        <v>100</v>
      </c>
      <c r="BE25" s="6">
        <v>88</v>
      </c>
      <c r="BF25" s="6">
        <v>110</v>
      </c>
      <c r="BG25" s="6">
        <v>129</v>
      </c>
      <c r="BH25" s="6">
        <v>136</v>
      </c>
      <c r="BI25" s="6">
        <v>136</v>
      </c>
      <c r="BJ25" s="6">
        <v>157</v>
      </c>
      <c r="BK25" s="6">
        <v>161</v>
      </c>
      <c r="BL25" s="6">
        <v>153</v>
      </c>
      <c r="BM25" s="6">
        <v>142</v>
      </c>
      <c r="BN25" s="6">
        <v>163</v>
      </c>
      <c r="BO25" s="6">
        <v>138</v>
      </c>
      <c r="BP25" s="6">
        <v>201</v>
      </c>
      <c r="BQ25" s="6">
        <v>197</v>
      </c>
      <c r="BR25" s="6">
        <v>224</v>
      </c>
      <c r="BS25" s="6">
        <v>244</v>
      </c>
      <c r="BT25" s="6">
        <v>249</v>
      </c>
      <c r="BU25" s="6">
        <v>306</v>
      </c>
      <c r="BV25" s="6">
        <v>269</v>
      </c>
      <c r="BW25" s="6">
        <v>307</v>
      </c>
      <c r="BX25" s="6">
        <v>312</v>
      </c>
      <c r="BY25" s="6">
        <v>251</v>
      </c>
      <c r="BZ25" s="6">
        <v>255</v>
      </c>
      <c r="CA25" s="6">
        <v>278</v>
      </c>
      <c r="CB25" s="6">
        <v>347</v>
      </c>
      <c r="CC25" s="6">
        <v>378</v>
      </c>
      <c r="CD25" s="6">
        <v>357</v>
      </c>
      <c r="CE25" s="6">
        <v>427</v>
      </c>
      <c r="CF25" s="6">
        <v>413</v>
      </c>
      <c r="CG25" s="6">
        <v>382</v>
      </c>
      <c r="CH25" s="6">
        <v>454</v>
      </c>
      <c r="CI25">
        <v>447</v>
      </c>
      <c r="CJ25">
        <v>418</v>
      </c>
      <c r="CK25">
        <v>478</v>
      </c>
    </row>
    <row r="26" spans="1:89">
      <c r="A26" s="18" t="s">
        <v>63</v>
      </c>
      <c r="B26" s="42">
        <v>1564</v>
      </c>
      <c r="C26" s="31">
        <v>1866</v>
      </c>
      <c r="D26" s="31">
        <v>2168</v>
      </c>
      <c r="E26" s="31">
        <v>2132</v>
      </c>
      <c r="F26" s="31">
        <v>2304</v>
      </c>
      <c r="G26" s="6">
        <v>2333</v>
      </c>
      <c r="H26" s="6">
        <v>2486</v>
      </c>
      <c r="I26" s="31">
        <v>2374</v>
      </c>
      <c r="J26" s="31">
        <v>2241</v>
      </c>
      <c r="K26" s="31">
        <v>2226</v>
      </c>
      <c r="L26" s="31">
        <v>2111</v>
      </c>
      <c r="M26" s="31">
        <v>2314</v>
      </c>
      <c r="N26" s="31">
        <v>2099</v>
      </c>
      <c r="O26" s="31">
        <v>2192</v>
      </c>
      <c r="P26" s="50">
        <v>2250</v>
      </c>
      <c r="Q26" s="50">
        <v>2605</v>
      </c>
      <c r="R26" s="50">
        <v>2597</v>
      </c>
      <c r="S26" s="50">
        <v>2533</v>
      </c>
      <c r="T26" s="31">
        <v>2559</v>
      </c>
      <c r="U26" s="31">
        <v>2521</v>
      </c>
      <c r="V26" s="31">
        <v>2687</v>
      </c>
      <c r="W26" s="31">
        <v>4055</v>
      </c>
      <c r="X26" s="6">
        <v>2561</v>
      </c>
      <c r="Y26" s="6">
        <v>2786</v>
      </c>
      <c r="Z26" s="6">
        <v>3059</v>
      </c>
      <c r="AA26" s="6">
        <v>3023</v>
      </c>
      <c r="AB26" s="6">
        <v>3071</v>
      </c>
      <c r="AC26" s="6">
        <v>3471</v>
      </c>
      <c r="AD26" s="6">
        <v>3598</v>
      </c>
      <c r="AE26" s="6">
        <v>4656</v>
      </c>
      <c r="AF26" s="6">
        <v>4795</v>
      </c>
      <c r="AG26" s="6">
        <v>4809</v>
      </c>
      <c r="AH26" s="6">
        <v>4690</v>
      </c>
      <c r="AI26" s="6">
        <v>5471</v>
      </c>
      <c r="AJ26" s="6">
        <v>7320</v>
      </c>
      <c r="AK26" s="6">
        <v>7942</v>
      </c>
      <c r="AL26" s="6">
        <v>4204</v>
      </c>
      <c r="AM26" s="6">
        <v>10191</v>
      </c>
      <c r="AN26" s="6">
        <v>9862</v>
      </c>
      <c r="AO26" s="6">
        <v>10638</v>
      </c>
      <c r="AP26" s="6">
        <v>11793</v>
      </c>
      <c r="AQ26" s="6">
        <v>5850</v>
      </c>
      <c r="AR26" s="6">
        <v>11571</v>
      </c>
      <c r="AS26" s="6">
        <v>10170</v>
      </c>
      <c r="AT26" s="51">
        <v>1261</v>
      </c>
      <c r="AU26" s="6">
        <v>1289</v>
      </c>
      <c r="AV26" s="6">
        <v>1382</v>
      </c>
      <c r="AW26" s="6">
        <v>1398</v>
      </c>
      <c r="AX26" s="6">
        <v>1374</v>
      </c>
      <c r="AY26" s="6">
        <v>1533</v>
      </c>
      <c r="AZ26" s="6">
        <v>1792</v>
      </c>
      <c r="BA26" s="6">
        <v>1953</v>
      </c>
      <c r="BB26" s="6">
        <v>1856</v>
      </c>
      <c r="BC26" s="6">
        <v>1714</v>
      </c>
      <c r="BD26" s="6">
        <v>1779</v>
      </c>
      <c r="BE26" s="6">
        <v>2036</v>
      </c>
      <c r="BF26" s="6">
        <v>1791</v>
      </c>
      <c r="BG26" s="6">
        <v>1828</v>
      </c>
      <c r="BH26" s="6">
        <v>2038</v>
      </c>
      <c r="BI26" s="6">
        <v>2286</v>
      </c>
      <c r="BJ26" s="6">
        <v>2271</v>
      </c>
      <c r="BK26" s="6">
        <v>2293</v>
      </c>
      <c r="BL26" s="6">
        <v>2411</v>
      </c>
      <c r="BM26" s="6">
        <v>2363</v>
      </c>
      <c r="BN26" s="6">
        <v>2491</v>
      </c>
      <c r="BO26" s="6">
        <v>3542</v>
      </c>
      <c r="BP26" s="6">
        <v>2532</v>
      </c>
      <c r="BQ26" s="6">
        <v>2908</v>
      </c>
      <c r="BR26" s="6">
        <v>3340</v>
      </c>
      <c r="BS26" s="6">
        <v>3475</v>
      </c>
      <c r="BT26" s="6">
        <v>3797</v>
      </c>
      <c r="BU26" s="6">
        <v>4175</v>
      </c>
      <c r="BV26" s="6">
        <v>4155</v>
      </c>
      <c r="BW26" s="6">
        <v>5027</v>
      </c>
      <c r="BX26" s="6">
        <v>5439</v>
      </c>
      <c r="BY26" s="6">
        <v>5728</v>
      </c>
      <c r="BZ26" s="6">
        <v>6558</v>
      </c>
      <c r="CA26" s="6">
        <v>7147</v>
      </c>
      <c r="CB26" s="6">
        <v>10108</v>
      </c>
      <c r="CC26" s="6">
        <v>11940</v>
      </c>
      <c r="CD26" s="6">
        <v>6122</v>
      </c>
      <c r="CE26" s="6">
        <v>17640</v>
      </c>
      <c r="CF26" s="6">
        <v>18198</v>
      </c>
      <c r="CG26" s="6">
        <v>19948</v>
      </c>
      <c r="CH26" s="6">
        <v>23067</v>
      </c>
      <c r="CI26" s="159">
        <v>10315</v>
      </c>
      <c r="CJ26">
        <v>23322</v>
      </c>
      <c r="CK26">
        <v>19193</v>
      </c>
    </row>
    <row r="27" spans="1:89">
      <c r="A27" s="18" t="s">
        <v>64</v>
      </c>
      <c r="B27" s="42">
        <v>13539</v>
      </c>
      <c r="C27" s="31">
        <v>14642</v>
      </c>
      <c r="D27" s="31">
        <v>15336</v>
      </c>
      <c r="E27" s="31">
        <v>15380</v>
      </c>
      <c r="F27" s="31">
        <v>16019</v>
      </c>
      <c r="G27" s="6">
        <v>17533</v>
      </c>
      <c r="H27" s="6">
        <v>18966</v>
      </c>
      <c r="I27" s="31">
        <v>18697</v>
      </c>
      <c r="J27" s="31">
        <v>18786</v>
      </c>
      <c r="K27" s="31">
        <v>18152</v>
      </c>
      <c r="L27" s="31">
        <v>17990</v>
      </c>
      <c r="M27" s="31">
        <v>17362</v>
      </c>
      <c r="N27" s="31">
        <v>16910</v>
      </c>
      <c r="O27" s="31">
        <v>17001</v>
      </c>
      <c r="P27" s="50">
        <v>17245</v>
      </c>
      <c r="Q27" s="50">
        <v>16904</v>
      </c>
      <c r="R27" s="50">
        <v>16722</v>
      </c>
      <c r="S27" s="50">
        <v>16821</v>
      </c>
      <c r="T27" s="31">
        <v>16722</v>
      </c>
      <c r="U27" s="31">
        <v>17095</v>
      </c>
      <c r="V27" s="31">
        <v>17974</v>
      </c>
      <c r="W27" s="31">
        <v>17087</v>
      </c>
      <c r="X27" s="6">
        <v>17194</v>
      </c>
      <c r="Y27" s="6">
        <v>17790</v>
      </c>
      <c r="Z27" s="6">
        <v>18371</v>
      </c>
      <c r="AA27" s="6">
        <v>17878</v>
      </c>
      <c r="AB27" s="6">
        <v>17578</v>
      </c>
      <c r="AC27" s="6">
        <v>17347</v>
      </c>
      <c r="AD27" s="6">
        <v>18444</v>
      </c>
      <c r="AE27" s="6">
        <v>18848</v>
      </c>
      <c r="AF27" s="6">
        <v>19256</v>
      </c>
      <c r="AG27" s="6">
        <v>19761</v>
      </c>
      <c r="AH27" s="6">
        <v>20403</v>
      </c>
      <c r="AI27" s="6">
        <v>20487</v>
      </c>
      <c r="AJ27" s="6">
        <v>22547</v>
      </c>
      <c r="AK27" s="6">
        <v>22822</v>
      </c>
      <c r="AL27" s="6">
        <v>23507</v>
      </c>
      <c r="AM27" s="6">
        <v>23365</v>
      </c>
      <c r="AN27" s="6">
        <v>25000</v>
      </c>
      <c r="AO27" s="6">
        <v>26043</v>
      </c>
      <c r="AP27" s="6">
        <v>27567</v>
      </c>
      <c r="AQ27" s="6">
        <v>27713</v>
      </c>
      <c r="AR27" s="6">
        <v>28109</v>
      </c>
      <c r="AS27" s="6">
        <v>28441</v>
      </c>
      <c r="AT27" s="51">
        <v>5928</v>
      </c>
      <c r="AU27" s="6">
        <v>6455</v>
      </c>
      <c r="AV27" s="6">
        <v>6929</v>
      </c>
      <c r="AW27" s="6">
        <v>7501</v>
      </c>
      <c r="AX27" s="6">
        <v>8548</v>
      </c>
      <c r="AY27" s="6">
        <v>10051</v>
      </c>
      <c r="AZ27" s="6">
        <v>11832</v>
      </c>
      <c r="BA27" s="6">
        <v>12463</v>
      </c>
      <c r="BB27" s="6">
        <v>12925</v>
      </c>
      <c r="BC27" s="6">
        <v>13103</v>
      </c>
      <c r="BD27" s="6">
        <v>13171</v>
      </c>
      <c r="BE27" s="6">
        <v>13264</v>
      </c>
      <c r="BF27" s="6">
        <v>13618</v>
      </c>
      <c r="BG27" s="6">
        <v>14189</v>
      </c>
      <c r="BH27" s="6">
        <v>14522</v>
      </c>
      <c r="BI27" s="6">
        <v>13886</v>
      </c>
      <c r="BJ27" s="6">
        <v>14414</v>
      </c>
      <c r="BK27" s="6">
        <v>14425</v>
      </c>
      <c r="BL27" s="6">
        <v>14784</v>
      </c>
      <c r="BM27" s="6">
        <v>15965</v>
      </c>
      <c r="BN27" s="6">
        <v>16515</v>
      </c>
      <c r="BO27" s="6">
        <v>17332</v>
      </c>
      <c r="BP27" s="6">
        <v>18235</v>
      </c>
      <c r="BQ27" s="6">
        <v>19256</v>
      </c>
      <c r="BR27" s="6">
        <v>20337</v>
      </c>
      <c r="BS27" s="6">
        <v>20187</v>
      </c>
      <c r="BT27" s="6">
        <v>20510</v>
      </c>
      <c r="BU27" s="6">
        <v>20991</v>
      </c>
      <c r="BV27" s="6">
        <v>22162</v>
      </c>
      <c r="BW27" s="6">
        <v>23852</v>
      </c>
      <c r="BX27" s="6">
        <v>25001</v>
      </c>
      <c r="BY27" s="6">
        <v>26172</v>
      </c>
      <c r="BZ27" s="6">
        <v>27296</v>
      </c>
      <c r="CA27" s="6">
        <v>28185</v>
      </c>
      <c r="CB27" s="6">
        <v>30657</v>
      </c>
      <c r="CC27" s="6">
        <v>31432</v>
      </c>
      <c r="CD27" s="6">
        <v>32522</v>
      </c>
      <c r="CE27" s="6">
        <v>33432</v>
      </c>
      <c r="CF27" s="6">
        <v>34800</v>
      </c>
      <c r="CG27" s="6">
        <v>36370</v>
      </c>
      <c r="CH27" s="6">
        <v>37198</v>
      </c>
      <c r="CI27" s="159">
        <v>38097</v>
      </c>
      <c r="CJ27">
        <v>38574</v>
      </c>
      <c r="CK27">
        <v>39197</v>
      </c>
    </row>
    <row r="28" spans="1:89">
      <c r="A28" s="18" t="s">
        <v>65</v>
      </c>
      <c r="B28" s="42">
        <v>1958</v>
      </c>
      <c r="C28" s="31">
        <v>2117</v>
      </c>
      <c r="D28" s="31">
        <v>2091</v>
      </c>
      <c r="E28" s="31">
        <v>2305</v>
      </c>
      <c r="F28" s="31">
        <v>2621</v>
      </c>
      <c r="G28" s="6">
        <v>2234</v>
      </c>
      <c r="H28" s="6">
        <v>2995</v>
      </c>
      <c r="I28" s="31">
        <v>2841</v>
      </c>
      <c r="J28" s="31">
        <v>2889</v>
      </c>
      <c r="K28" s="31">
        <v>2508</v>
      </c>
      <c r="L28" s="31">
        <v>2499</v>
      </c>
      <c r="M28" s="31">
        <v>2443</v>
      </c>
      <c r="N28" s="31">
        <v>2226</v>
      </c>
      <c r="O28" s="31">
        <v>2132</v>
      </c>
      <c r="P28" s="50">
        <v>2028</v>
      </c>
      <c r="Q28" s="50">
        <v>2038</v>
      </c>
      <c r="R28" s="50">
        <v>2050</v>
      </c>
      <c r="S28" s="50">
        <v>2042</v>
      </c>
      <c r="T28" s="31">
        <v>2168</v>
      </c>
      <c r="U28" s="31">
        <v>2199</v>
      </c>
      <c r="V28" s="31">
        <v>2458</v>
      </c>
      <c r="W28" s="31">
        <v>2667</v>
      </c>
      <c r="X28" s="6">
        <v>2738</v>
      </c>
      <c r="Y28" s="6">
        <v>3137</v>
      </c>
      <c r="Z28" s="6">
        <v>3446</v>
      </c>
      <c r="AA28" s="6">
        <v>3447</v>
      </c>
      <c r="AB28" s="6">
        <v>3314</v>
      </c>
      <c r="AC28" s="6">
        <v>3591</v>
      </c>
      <c r="AD28" s="6">
        <v>3771</v>
      </c>
      <c r="AE28" s="6">
        <v>3588</v>
      </c>
      <c r="AF28" s="6">
        <v>3948</v>
      </c>
      <c r="AG28" s="6">
        <v>3776</v>
      </c>
      <c r="AH28" s="6">
        <v>3942</v>
      </c>
      <c r="AI28" s="6">
        <v>4258</v>
      </c>
      <c r="AJ28" s="6">
        <v>4580</v>
      </c>
      <c r="AK28" s="6">
        <v>4961</v>
      </c>
      <c r="AL28" s="6">
        <v>4530</v>
      </c>
      <c r="AM28" s="6">
        <v>5120</v>
      </c>
      <c r="AN28" s="6">
        <v>5014</v>
      </c>
      <c r="AO28" s="6">
        <v>5516</v>
      </c>
      <c r="AP28" s="6">
        <v>5553</v>
      </c>
      <c r="AQ28" s="6">
        <v>5258</v>
      </c>
      <c r="AR28" s="6">
        <v>5614</v>
      </c>
      <c r="AS28" s="6">
        <v>5281</v>
      </c>
      <c r="AT28" s="51">
        <v>1372</v>
      </c>
      <c r="AU28" s="6">
        <v>1454</v>
      </c>
      <c r="AV28" s="6">
        <v>1502</v>
      </c>
      <c r="AW28" s="6">
        <v>1552</v>
      </c>
      <c r="AX28" s="6">
        <v>1641</v>
      </c>
      <c r="AY28" s="6">
        <v>1706</v>
      </c>
      <c r="AZ28" s="6">
        <v>2191</v>
      </c>
      <c r="BA28" s="6">
        <v>2289</v>
      </c>
      <c r="BB28" s="6">
        <v>2464</v>
      </c>
      <c r="BC28" s="6">
        <v>2345</v>
      </c>
      <c r="BD28" s="6">
        <v>2454</v>
      </c>
      <c r="BE28" s="6">
        <v>2368</v>
      </c>
      <c r="BF28" s="6">
        <v>2203</v>
      </c>
      <c r="BG28" s="6">
        <v>2084</v>
      </c>
      <c r="BH28" s="6">
        <v>2056</v>
      </c>
      <c r="BI28" s="6">
        <v>2060</v>
      </c>
      <c r="BJ28" s="6">
        <v>2067</v>
      </c>
      <c r="BK28" s="6">
        <v>2046</v>
      </c>
      <c r="BL28" s="6">
        <v>2229</v>
      </c>
      <c r="BM28" s="6">
        <v>2375</v>
      </c>
      <c r="BN28" s="6">
        <v>2641</v>
      </c>
      <c r="BO28" s="6">
        <v>2574</v>
      </c>
      <c r="BP28" s="6">
        <v>2917</v>
      </c>
      <c r="BQ28" s="6">
        <v>3254</v>
      </c>
      <c r="BR28" s="6">
        <v>3413</v>
      </c>
      <c r="BS28" s="6">
        <v>3664</v>
      </c>
      <c r="BT28" s="6">
        <v>3539</v>
      </c>
      <c r="BU28" s="6">
        <v>4022</v>
      </c>
      <c r="BV28" s="6">
        <v>4389</v>
      </c>
      <c r="BW28" s="6">
        <v>4491</v>
      </c>
      <c r="BX28" s="6">
        <v>4460</v>
      </c>
      <c r="BY28" s="6">
        <v>4622</v>
      </c>
      <c r="BZ28" s="6">
        <v>4623</v>
      </c>
      <c r="CA28" s="6">
        <v>4994</v>
      </c>
      <c r="CB28" s="6">
        <v>5338</v>
      </c>
      <c r="CC28" s="6">
        <v>5960</v>
      </c>
      <c r="CD28" s="6">
        <v>6172</v>
      </c>
      <c r="CE28" s="6">
        <v>6552</v>
      </c>
      <c r="CF28" s="6">
        <v>6850</v>
      </c>
      <c r="CG28" s="6">
        <v>7325</v>
      </c>
      <c r="CH28" s="6">
        <v>7501</v>
      </c>
      <c r="CI28" s="159">
        <v>6883</v>
      </c>
      <c r="CJ28">
        <v>7367</v>
      </c>
      <c r="CK28">
        <v>7380</v>
      </c>
    </row>
    <row r="29" spans="1:89">
      <c r="A29" s="18" t="s">
        <v>66</v>
      </c>
      <c r="B29" s="42">
        <v>509</v>
      </c>
      <c r="C29" s="31">
        <v>583</v>
      </c>
      <c r="D29" s="31">
        <v>701</v>
      </c>
      <c r="E29" s="31">
        <v>831</v>
      </c>
      <c r="F29" s="31">
        <v>729</v>
      </c>
      <c r="G29" s="6">
        <v>656</v>
      </c>
      <c r="H29" s="6">
        <v>564</v>
      </c>
      <c r="I29" s="31">
        <v>525</v>
      </c>
      <c r="J29" s="31">
        <v>488</v>
      </c>
      <c r="K29" s="31">
        <v>532</v>
      </c>
      <c r="L29" s="31">
        <v>483</v>
      </c>
      <c r="M29" s="31">
        <v>471</v>
      </c>
      <c r="N29" s="31">
        <v>461</v>
      </c>
      <c r="O29" s="31">
        <v>474</v>
      </c>
      <c r="P29" s="50">
        <v>475</v>
      </c>
      <c r="Q29" s="50">
        <v>443</v>
      </c>
      <c r="R29" s="50">
        <v>420</v>
      </c>
      <c r="S29" s="50">
        <v>430</v>
      </c>
      <c r="T29" s="31">
        <v>450</v>
      </c>
      <c r="U29" s="31">
        <v>470</v>
      </c>
      <c r="V29" s="31">
        <v>456</v>
      </c>
      <c r="W29" s="31">
        <v>494</v>
      </c>
      <c r="X29" s="6">
        <v>541</v>
      </c>
      <c r="Y29" s="6">
        <v>651</v>
      </c>
      <c r="Z29" s="6">
        <v>638</v>
      </c>
      <c r="AA29" s="6">
        <v>700</v>
      </c>
      <c r="AB29" s="6">
        <v>698</v>
      </c>
      <c r="AC29" s="6">
        <v>743</v>
      </c>
      <c r="AD29" s="6">
        <v>696</v>
      </c>
      <c r="AE29" s="6">
        <v>739</v>
      </c>
      <c r="AF29" s="6">
        <v>687</v>
      </c>
      <c r="AG29" s="6">
        <v>712</v>
      </c>
      <c r="AH29" s="6">
        <v>609</v>
      </c>
      <c r="AI29" s="6">
        <v>694</v>
      </c>
      <c r="AJ29" s="6">
        <v>725</v>
      </c>
      <c r="AK29" s="6">
        <v>784</v>
      </c>
      <c r="AL29" s="6">
        <v>719</v>
      </c>
      <c r="AM29" s="6">
        <v>701</v>
      </c>
      <c r="AN29" s="6">
        <v>759</v>
      </c>
      <c r="AO29" s="6">
        <v>726</v>
      </c>
      <c r="AP29" s="6">
        <v>769</v>
      </c>
      <c r="AQ29" s="6">
        <v>769</v>
      </c>
      <c r="AR29" s="6">
        <v>732</v>
      </c>
      <c r="AS29" s="6">
        <v>715</v>
      </c>
      <c r="AT29" s="51">
        <v>508</v>
      </c>
      <c r="AU29" s="6">
        <v>521</v>
      </c>
      <c r="AV29" s="6">
        <v>853</v>
      </c>
      <c r="AW29" s="6">
        <v>830</v>
      </c>
      <c r="AX29" s="6">
        <v>694</v>
      </c>
      <c r="AY29" s="6">
        <v>642</v>
      </c>
      <c r="AZ29" s="6">
        <v>567</v>
      </c>
      <c r="BA29" s="6">
        <v>494</v>
      </c>
      <c r="BB29" s="6">
        <v>558</v>
      </c>
      <c r="BC29" s="6">
        <v>573</v>
      </c>
      <c r="BD29" s="6">
        <v>526</v>
      </c>
      <c r="BE29" s="6">
        <v>537</v>
      </c>
      <c r="BF29" s="6">
        <v>591</v>
      </c>
      <c r="BG29" s="6">
        <v>518</v>
      </c>
      <c r="BH29" s="6">
        <v>533</v>
      </c>
      <c r="BI29" s="6">
        <v>524</v>
      </c>
      <c r="BJ29" s="6">
        <v>491</v>
      </c>
      <c r="BK29" s="6">
        <v>495</v>
      </c>
      <c r="BL29" s="6">
        <v>519</v>
      </c>
      <c r="BM29" s="6">
        <v>547</v>
      </c>
      <c r="BN29" s="6">
        <v>551</v>
      </c>
      <c r="BO29" s="6">
        <v>592</v>
      </c>
      <c r="BP29" s="6">
        <v>658</v>
      </c>
      <c r="BQ29" s="6">
        <v>732</v>
      </c>
      <c r="BR29" s="6">
        <v>731</v>
      </c>
      <c r="BS29" s="6">
        <v>820</v>
      </c>
      <c r="BT29" s="6">
        <v>881</v>
      </c>
      <c r="BU29" s="6">
        <v>955</v>
      </c>
      <c r="BV29" s="6">
        <v>833</v>
      </c>
      <c r="BW29" s="6">
        <v>1006</v>
      </c>
      <c r="BX29" s="6">
        <v>1037</v>
      </c>
      <c r="BY29" s="6">
        <v>992</v>
      </c>
      <c r="BZ29" s="6">
        <v>934</v>
      </c>
      <c r="CA29" s="6">
        <v>1034</v>
      </c>
      <c r="CB29" s="6">
        <v>1175</v>
      </c>
      <c r="CC29" s="6">
        <v>1241</v>
      </c>
      <c r="CD29" s="6">
        <v>1272</v>
      </c>
      <c r="CE29" s="6">
        <v>1221</v>
      </c>
      <c r="CF29" s="6">
        <v>1200</v>
      </c>
      <c r="CG29" s="6">
        <v>1267</v>
      </c>
      <c r="CH29" s="6">
        <v>1250</v>
      </c>
      <c r="CI29" s="159">
        <v>1293</v>
      </c>
      <c r="CJ29">
        <v>1383</v>
      </c>
      <c r="CK29">
        <v>1263</v>
      </c>
    </row>
    <row r="30" spans="1:89">
      <c r="A30" s="18" t="s">
        <v>67</v>
      </c>
      <c r="B30" s="42">
        <v>292</v>
      </c>
      <c r="C30" s="31">
        <v>343</v>
      </c>
      <c r="D30" s="31">
        <v>361</v>
      </c>
      <c r="E30" s="31">
        <v>405</v>
      </c>
      <c r="F30" s="31">
        <v>426</v>
      </c>
      <c r="G30" s="6">
        <v>413</v>
      </c>
      <c r="H30" s="6">
        <v>437</v>
      </c>
      <c r="I30" s="31">
        <v>428</v>
      </c>
      <c r="J30" s="31">
        <v>426</v>
      </c>
      <c r="K30" s="31">
        <v>396</v>
      </c>
      <c r="L30" s="31">
        <v>420</v>
      </c>
      <c r="M30" s="31">
        <v>410</v>
      </c>
      <c r="N30" s="31">
        <v>388</v>
      </c>
      <c r="O30" s="31">
        <v>373</v>
      </c>
      <c r="P30" s="50">
        <v>372</v>
      </c>
      <c r="Q30" s="50">
        <v>358</v>
      </c>
      <c r="R30" s="50">
        <v>381</v>
      </c>
      <c r="S30" s="50">
        <v>384</v>
      </c>
      <c r="T30" s="31">
        <v>383</v>
      </c>
      <c r="U30" s="31">
        <v>400</v>
      </c>
      <c r="V30" s="31">
        <v>412</v>
      </c>
      <c r="W30" s="31">
        <v>370</v>
      </c>
      <c r="X30" s="6">
        <v>430</v>
      </c>
      <c r="Y30" s="6">
        <v>463</v>
      </c>
      <c r="Z30" s="6">
        <v>474</v>
      </c>
      <c r="AA30" s="6">
        <v>531</v>
      </c>
      <c r="AB30" s="6">
        <v>535</v>
      </c>
      <c r="AC30" s="6">
        <v>437</v>
      </c>
      <c r="AD30" s="6">
        <v>505</v>
      </c>
      <c r="AE30" s="6">
        <v>551</v>
      </c>
      <c r="AF30" s="6">
        <v>549</v>
      </c>
      <c r="AG30" s="6">
        <v>515</v>
      </c>
      <c r="AH30" s="6">
        <v>571</v>
      </c>
      <c r="AI30" s="6">
        <v>672</v>
      </c>
      <c r="AJ30" s="6">
        <v>531</v>
      </c>
      <c r="AK30" s="6">
        <v>733</v>
      </c>
      <c r="AL30" s="6">
        <v>757</v>
      </c>
      <c r="AM30" s="6">
        <v>739</v>
      </c>
      <c r="AN30" s="6">
        <v>753</v>
      </c>
      <c r="AO30" s="6">
        <v>742</v>
      </c>
      <c r="AP30" s="6">
        <v>790</v>
      </c>
      <c r="AQ30" s="6">
        <v>844</v>
      </c>
      <c r="AR30" s="6">
        <v>954</v>
      </c>
      <c r="AS30" s="6">
        <v>923</v>
      </c>
      <c r="AT30" s="51">
        <v>93</v>
      </c>
      <c r="AU30" s="6">
        <v>119</v>
      </c>
      <c r="AV30" s="6">
        <v>146</v>
      </c>
      <c r="AW30" s="6">
        <v>146</v>
      </c>
      <c r="AX30" s="6">
        <v>141</v>
      </c>
      <c r="AY30" s="6">
        <v>186</v>
      </c>
      <c r="AZ30" s="6">
        <v>178</v>
      </c>
      <c r="BA30" s="6">
        <v>231</v>
      </c>
      <c r="BB30" s="6">
        <v>250</v>
      </c>
      <c r="BC30" s="6">
        <v>217</v>
      </c>
      <c r="BD30" s="6">
        <v>240</v>
      </c>
      <c r="BE30" s="6">
        <v>274</v>
      </c>
      <c r="BF30" s="6">
        <v>263</v>
      </c>
      <c r="BG30" s="6">
        <v>260</v>
      </c>
      <c r="BH30" s="6">
        <v>230</v>
      </c>
      <c r="BI30" s="6">
        <v>238</v>
      </c>
      <c r="BJ30" s="6">
        <v>263</v>
      </c>
      <c r="BK30" s="6">
        <v>338</v>
      </c>
      <c r="BL30" s="6">
        <v>320</v>
      </c>
      <c r="BM30" s="6">
        <v>306</v>
      </c>
      <c r="BN30" s="6">
        <v>378</v>
      </c>
      <c r="BO30" s="6">
        <v>408</v>
      </c>
      <c r="BP30" s="6">
        <v>491</v>
      </c>
      <c r="BQ30" s="6">
        <v>542</v>
      </c>
      <c r="BR30" s="6">
        <v>543</v>
      </c>
      <c r="BS30" s="6">
        <v>546</v>
      </c>
      <c r="BT30" s="6">
        <v>568</v>
      </c>
      <c r="BU30" s="6">
        <v>620</v>
      </c>
      <c r="BV30" s="6">
        <v>521</v>
      </c>
      <c r="BW30" s="6">
        <v>587</v>
      </c>
      <c r="BX30" s="6">
        <v>578</v>
      </c>
      <c r="BY30" s="6">
        <v>557</v>
      </c>
      <c r="BZ30" s="6">
        <v>670</v>
      </c>
      <c r="CA30" s="6">
        <v>815</v>
      </c>
      <c r="CB30" s="6">
        <v>585</v>
      </c>
      <c r="CC30" s="6">
        <v>890</v>
      </c>
      <c r="CD30" s="6">
        <v>903</v>
      </c>
      <c r="CE30" s="6">
        <v>870</v>
      </c>
      <c r="CF30" s="6">
        <v>823</v>
      </c>
      <c r="CG30" s="6">
        <v>849</v>
      </c>
      <c r="CH30" s="6">
        <v>890</v>
      </c>
      <c r="CI30">
        <v>946</v>
      </c>
      <c r="CJ30">
        <v>1087</v>
      </c>
      <c r="CK30">
        <v>1126</v>
      </c>
    </row>
    <row r="31" spans="1:89">
      <c r="A31" s="18" t="s">
        <v>68</v>
      </c>
      <c r="B31" s="42">
        <v>433</v>
      </c>
      <c r="C31" s="31">
        <v>512</v>
      </c>
      <c r="D31" s="31">
        <v>480</v>
      </c>
      <c r="E31" s="31">
        <v>516</v>
      </c>
      <c r="F31" s="31">
        <v>485</v>
      </c>
      <c r="G31" s="31">
        <v>435</v>
      </c>
      <c r="H31" s="31">
        <v>465</v>
      </c>
      <c r="I31" s="31">
        <v>454</v>
      </c>
      <c r="J31" s="31">
        <v>386</v>
      </c>
      <c r="K31" s="31">
        <v>363</v>
      </c>
      <c r="L31" s="31">
        <v>366</v>
      </c>
      <c r="M31" s="31">
        <v>385</v>
      </c>
      <c r="N31" s="31">
        <v>327</v>
      </c>
      <c r="O31" s="31">
        <v>380</v>
      </c>
      <c r="P31" s="50">
        <v>381</v>
      </c>
      <c r="Q31" s="50">
        <v>430</v>
      </c>
      <c r="R31" s="50">
        <v>421</v>
      </c>
      <c r="S31" s="50">
        <v>406</v>
      </c>
      <c r="T31" s="31">
        <v>402</v>
      </c>
      <c r="U31" s="31">
        <v>389</v>
      </c>
      <c r="V31" s="31">
        <v>386</v>
      </c>
      <c r="W31" s="31">
        <v>370</v>
      </c>
      <c r="X31" s="6">
        <v>384</v>
      </c>
      <c r="Y31" s="6">
        <v>369</v>
      </c>
      <c r="Z31" s="6">
        <v>414</v>
      </c>
      <c r="AA31" s="6">
        <v>440</v>
      </c>
      <c r="AB31" s="6">
        <v>442</v>
      </c>
      <c r="AC31" s="6">
        <v>454</v>
      </c>
      <c r="AD31" s="6">
        <v>387</v>
      </c>
      <c r="AE31" s="6">
        <v>413</v>
      </c>
      <c r="AF31" s="6">
        <v>443</v>
      </c>
      <c r="AG31" s="6">
        <v>447</v>
      </c>
      <c r="AH31" s="6">
        <v>467</v>
      </c>
      <c r="AI31" s="6">
        <v>451</v>
      </c>
      <c r="AJ31" s="6">
        <v>461</v>
      </c>
      <c r="AK31" s="6">
        <v>482</v>
      </c>
      <c r="AL31" s="6">
        <v>468</v>
      </c>
      <c r="AM31" s="6">
        <v>500</v>
      </c>
      <c r="AN31" s="6">
        <v>500</v>
      </c>
      <c r="AO31" s="6">
        <v>462</v>
      </c>
      <c r="AP31" s="6">
        <v>476</v>
      </c>
      <c r="AQ31" s="6">
        <v>475</v>
      </c>
      <c r="AR31" s="6">
        <v>527</v>
      </c>
      <c r="AS31" s="6">
        <v>501</v>
      </c>
      <c r="AT31" s="51">
        <v>153</v>
      </c>
      <c r="AU31" s="6">
        <v>170</v>
      </c>
      <c r="AV31" s="6">
        <v>182</v>
      </c>
      <c r="AW31" s="6">
        <v>149</v>
      </c>
      <c r="AX31" s="6">
        <v>187</v>
      </c>
      <c r="AY31" s="6">
        <v>178</v>
      </c>
      <c r="AZ31" s="6">
        <v>215</v>
      </c>
      <c r="BA31" s="6">
        <v>218</v>
      </c>
      <c r="BB31" s="6">
        <v>249</v>
      </c>
      <c r="BC31" s="6">
        <v>243</v>
      </c>
      <c r="BD31" s="6">
        <v>272</v>
      </c>
      <c r="BE31" s="6">
        <v>284</v>
      </c>
      <c r="BF31" s="6">
        <v>247</v>
      </c>
      <c r="BG31" s="6">
        <v>306</v>
      </c>
      <c r="BH31" s="6">
        <v>262</v>
      </c>
      <c r="BI31" s="6">
        <v>271</v>
      </c>
      <c r="BJ31" s="6">
        <v>319</v>
      </c>
      <c r="BK31" s="6">
        <v>359</v>
      </c>
      <c r="BL31" s="6">
        <v>322</v>
      </c>
      <c r="BM31" s="6">
        <v>285</v>
      </c>
      <c r="BN31" s="6">
        <v>323</v>
      </c>
      <c r="BO31" s="6">
        <v>383</v>
      </c>
      <c r="BP31" s="6">
        <v>346</v>
      </c>
      <c r="BQ31" s="6">
        <v>387</v>
      </c>
      <c r="BR31" s="6">
        <v>389</v>
      </c>
      <c r="BS31" s="6">
        <v>417</v>
      </c>
      <c r="BT31" s="6">
        <v>410</v>
      </c>
      <c r="BU31" s="6">
        <v>407</v>
      </c>
      <c r="BV31" s="6">
        <v>435</v>
      </c>
      <c r="BW31" s="6">
        <v>475</v>
      </c>
      <c r="BX31" s="6">
        <v>508</v>
      </c>
      <c r="BY31" s="6">
        <v>530</v>
      </c>
      <c r="BZ31" s="6">
        <v>523</v>
      </c>
      <c r="CA31" s="6">
        <v>528</v>
      </c>
      <c r="CB31" s="6">
        <v>626</v>
      </c>
      <c r="CC31" s="6">
        <v>640</v>
      </c>
      <c r="CD31" s="6">
        <v>635</v>
      </c>
      <c r="CE31" s="6">
        <v>659</v>
      </c>
      <c r="CF31" s="6">
        <v>614</v>
      </c>
      <c r="CG31" s="6">
        <v>705</v>
      </c>
      <c r="CH31" s="6">
        <v>664</v>
      </c>
      <c r="CI31">
        <v>726</v>
      </c>
      <c r="CJ31">
        <v>759</v>
      </c>
      <c r="CK31">
        <v>779</v>
      </c>
    </row>
    <row r="32" spans="1:89">
      <c r="A32" s="18" t="s">
        <v>69</v>
      </c>
      <c r="B32" s="42">
        <v>137</v>
      </c>
      <c r="C32" s="31">
        <v>160</v>
      </c>
      <c r="D32" s="31">
        <v>193</v>
      </c>
      <c r="E32" s="31">
        <v>190</v>
      </c>
      <c r="F32" s="31">
        <v>247</v>
      </c>
      <c r="G32" s="31">
        <v>266</v>
      </c>
      <c r="H32" s="31">
        <v>249</v>
      </c>
      <c r="I32" s="31">
        <v>231</v>
      </c>
      <c r="J32" s="31">
        <v>231</v>
      </c>
      <c r="K32" s="31">
        <v>202</v>
      </c>
      <c r="L32" s="31">
        <v>188</v>
      </c>
      <c r="M32" s="31">
        <v>220</v>
      </c>
      <c r="N32" s="31">
        <v>210</v>
      </c>
      <c r="O32" s="31">
        <v>191</v>
      </c>
      <c r="P32" s="50">
        <v>177</v>
      </c>
      <c r="Q32" s="50">
        <v>193</v>
      </c>
      <c r="R32" s="50">
        <v>182</v>
      </c>
      <c r="S32" s="50">
        <v>198</v>
      </c>
      <c r="T32" s="31">
        <v>193</v>
      </c>
      <c r="U32" s="31">
        <v>219</v>
      </c>
      <c r="V32" s="31">
        <v>232</v>
      </c>
      <c r="W32" s="31">
        <v>266</v>
      </c>
      <c r="X32" s="6">
        <v>303</v>
      </c>
      <c r="Y32" s="6">
        <v>379</v>
      </c>
      <c r="Z32" s="6">
        <v>385</v>
      </c>
      <c r="AA32" s="6">
        <v>367</v>
      </c>
      <c r="AB32" s="6">
        <v>406</v>
      </c>
      <c r="AC32" s="6">
        <v>433</v>
      </c>
      <c r="AD32" s="6">
        <v>546</v>
      </c>
      <c r="AE32" s="6">
        <v>491</v>
      </c>
      <c r="AF32" s="6">
        <v>545</v>
      </c>
      <c r="AG32" s="6">
        <v>556</v>
      </c>
      <c r="AH32" s="6">
        <v>543</v>
      </c>
      <c r="AI32" s="6">
        <v>580</v>
      </c>
      <c r="AJ32" s="6">
        <v>663</v>
      </c>
      <c r="AK32" s="6">
        <v>739</v>
      </c>
      <c r="AL32" s="6">
        <v>785</v>
      </c>
      <c r="AM32" s="6">
        <v>735</v>
      </c>
      <c r="AN32" s="6">
        <v>945</v>
      </c>
      <c r="AO32" s="6">
        <v>897</v>
      </c>
      <c r="AP32" s="6">
        <v>914</v>
      </c>
      <c r="AQ32" s="6">
        <v>977</v>
      </c>
      <c r="AR32" s="6">
        <v>1011</v>
      </c>
      <c r="AS32" s="6">
        <v>926</v>
      </c>
      <c r="AT32" s="51">
        <v>85</v>
      </c>
      <c r="AU32" s="6">
        <v>100</v>
      </c>
      <c r="AV32" s="6">
        <v>110</v>
      </c>
      <c r="AW32" s="6">
        <v>136</v>
      </c>
      <c r="AX32" s="6">
        <v>214</v>
      </c>
      <c r="AY32" s="6">
        <v>177</v>
      </c>
      <c r="AZ32" s="6">
        <v>220</v>
      </c>
      <c r="BA32" s="6">
        <v>245</v>
      </c>
      <c r="BB32" s="6">
        <v>248</v>
      </c>
      <c r="BC32" s="6">
        <v>224</v>
      </c>
      <c r="BD32" s="6">
        <v>237</v>
      </c>
      <c r="BE32" s="6">
        <v>241</v>
      </c>
      <c r="BF32" s="6">
        <v>260</v>
      </c>
      <c r="BG32" s="6">
        <v>266</v>
      </c>
      <c r="BH32" s="6">
        <v>275</v>
      </c>
      <c r="BI32" s="6">
        <v>232</v>
      </c>
      <c r="BJ32" s="6">
        <v>249</v>
      </c>
      <c r="BK32" s="6">
        <v>221</v>
      </c>
      <c r="BL32" s="6">
        <v>241</v>
      </c>
      <c r="BM32" s="6">
        <v>283</v>
      </c>
      <c r="BN32" s="6">
        <v>311</v>
      </c>
      <c r="BO32" s="6">
        <v>347</v>
      </c>
      <c r="BP32" s="6">
        <v>407</v>
      </c>
      <c r="BQ32" s="6">
        <v>466</v>
      </c>
      <c r="BR32" s="6">
        <v>537</v>
      </c>
      <c r="BS32" s="6">
        <v>530</v>
      </c>
      <c r="BT32" s="6">
        <v>580</v>
      </c>
      <c r="BU32" s="6">
        <v>590</v>
      </c>
      <c r="BV32" s="6">
        <v>755</v>
      </c>
      <c r="BW32" s="6">
        <v>841</v>
      </c>
      <c r="BX32" s="6">
        <v>908</v>
      </c>
      <c r="BY32" s="6">
        <v>961</v>
      </c>
      <c r="BZ32" s="6">
        <v>958</v>
      </c>
      <c r="CA32" s="6">
        <v>947</v>
      </c>
      <c r="CB32" s="6">
        <v>1133</v>
      </c>
      <c r="CC32" s="6">
        <v>1303</v>
      </c>
      <c r="CD32" s="6">
        <v>1367</v>
      </c>
      <c r="CE32" s="6">
        <v>1324</v>
      </c>
      <c r="CF32" s="6">
        <v>1623</v>
      </c>
      <c r="CG32" s="6">
        <v>1608</v>
      </c>
      <c r="CH32" s="6">
        <v>1662</v>
      </c>
      <c r="CI32" s="159">
        <v>1743</v>
      </c>
      <c r="CJ32">
        <v>1593</v>
      </c>
      <c r="CK32">
        <v>1320</v>
      </c>
    </row>
    <row r="33" spans="1:89">
      <c r="A33" s="18" t="s">
        <v>70</v>
      </c>
      <c r="B33" s="42">
        <v>813</v>
      </c>
      <c r="C33" s="31">
        <v>876</v>
      </c>
      <c r="D33" s="31">
        <v>979</v>
      </c>
      <c r="E33" s="31">
        <v>1048</v>
      </c>
      <c r="F33" s="31">
        <v>987</v>
      </c>
      <c r="G33" s="31">
        <v>889</v>
      </c>
      <c r="H33" s="31">
        <v>902</v>
      </c>
      <c r="I33" s="31">
        <v>934</v>
      </c>
      <c r="J33" s="31">
        <v>1020</v>
      </c>
      <c r="K33" s="31">
        <v>930</v>
      </c>
      <c r="L33" s="31">
        <v>930</v>
      </c>
      <c r="M33" s="31">
        <v>912</v>
      </c>
      <c r="N33" s="31">
        <v>888</v>
      </c>
      <c r="O33" s="31">
        <v>836</v>
      </c>
      <c r="P33" s="50">
        <v>884</v>
      </c>
      <c r="Q33" s="50">
        <v>823</v>
      </c>
      <c r="R33" s="50">
        <v>833</v>
      </c>
      <c r="S33" s="50">
        <v>762</v>
      </c>
      <c r="T33" s="31">
        <v>802</v>
      </c>
      <c r="U33" s="31">
        <v>837</v>
      </c>
      <c r="V33" s="31">
        <v>829</v>
      </c>
      <c r="W33" s="31">
        <v>830</v>
      </c>
      <c r="X33" s="6">
        <v>988</v>
      </c>
      <c r="Y33" s="6">
        <v>975</v>
      </c>
      <c r="Z33" s="6">
        <v>1067</v>
      </c>
      <c r="AA33" s="6">
        <v>1093</v>
      </c>
      <c r="AB33" s="6">
        <v>1115</v>
      </c>
      <c r="AC33" s="6">
        <v>1152</v>
      </c>
      <c r="AD33" s="6">
        <v>1083</v>
      </c>
      <c r="AE33" s="6">
        <v>1019</v>
      </c>
      <c r="AF33" s="6">
        <v>1058</v>
      </c>
      <c r="AG33" s="6">
        <v>1087</v>
      </c>
      <c r="AH33" s="6">
        <v>1057</v>
      </c>
      <c r="AI33" s="6">
        <v>1083</v>
      </c>
      <c r="AJ33" s="6">
        <v>1192</v>
      </c>
      <c r="AK33" s="6">
        <v>1218</v>
      </c>
      <c r="AL33" s="6">
        <v>1244</v>
      </c>
      <c r="AM33" s="6">
        <v>1096</v>
      </c>
      <c r="AN33" s="6">
        <v>1231</v>
      </c>
      <c r="AO33" s="6">
        <v>1291</v>
      </c>
      <c r="AP33" s="6">
        <v>1130</v>
      </c>
      <c r="AQ33" s="6">
        <v>1230</v>
      </c>
      <c r="AR33" s="6">
        <v>1228</v>
      </c>
      <c r="AS33" s="6">
        <v>1240</v>
      </c>
      <c r="AT33" s="51">
        <v>441</v>
      </c>
      <c r="AU33" s="6">
        <v>443</v>
      </c>
      <c r="AV33" s="6">
        <v>529</v>
      </c>
      <c r="AW33" s="6">
        <v>536</v>
      </c>
      <c r="AX33" s="6">
        <v>633</v>
      </c>
      <c r="AY33" s="6">
        <v>473</v>
      </c>
      <c r="AZ33" s="6">
        <v>692</v>
      </c>
      <c r="BA33" s="6">
        <v>780</v>
      </c>
      <c r="BB33" s="6">
        <v>771</v>
      </c>
      <c r="BC33" s="6">
        <v>809</v>
      </c>
      <c r="BD33" s="6">
        <v>811</v>
      </c>
      <c r="BE33" s="6">
        <v>861</v>
      </c>
      <c r="BF33" s="6">
        <v>895</v>
      </c>
      <c r="BG33" s="6">
        <v>863</v>
      </c>
      <c r="BH33" s="6">
        <v>880</v>
      </c>
      <c r="BI33" s="6">
        <v>880</v>
      </c>
      <c r="BJ33" s="6">
        <v>938</v>
      </c>
      <c r="BK33" s="6">
        <v>970</v>
      </c>
      <c r="BL33" s="6">
        <v>996</v>
      </c>
      <c r="BM33" s="6">
        <v>1031</v>
      </c>
      <c r="BN33" s="6">
        <v>1009</v>
      </c>
      <c r="BO33" s="6">
        <v>1086</v>
      </c>
      <c r="BP33" s="6">
        <v>1236</v>
      </c>
      <c r="BQ33" s="6">
        <v>1167</v>
      </c>
      <c r="BR33" s="6">
        <v>1281</v>
      </c>
      <c r="BS33" s="6">
        <v>1345</v>
      </c>
      <c r="BT33" s="6">
        <v>1464</v>
      </c>
      <c r="BU33" s="6">
        <v>1483</v>
      </c>
      <c r="BV33" s="6">
        <v>1481</v>
      </c>
      <c r="BW33" s="6">
        <v>1518</v>
      </c>
      <c r="BX33" s="6">
        <v>1608</v>
      </c>
      <c r="BY33" s="6">
        <v>1509</v>
      </c>
      <c r="BZ33" s="6">
        <v>1559</v>
      </c>
      <c r="CA33" s="6">
        <v>1539</v>
      </c>
      <c r="CB33" s="6">
        <v>1791</v>
      </c>
      <c r="CC33" s="6">
        <v>2001</v>
      </c>
      <c r="CD33" s="6">
        <v>2103</v>
      </c>
      <c r="CE33" s="6">
        <v>2009</v>
      </c>
      <c r="CF33" s="6">
        <v>2069</v>
      </c>
      <c r="CG33" s="6">
        <v>1912</v>
      </c>
      <c r="CH33" s="6">
        <v>1927</v>
      </c>
      <c r="CI33" s="159">
        <v>2036</v>
      </c>
      <c r="CJ33">
        <v>2031</v>
      </c>
      <c r="CK33">
        <v>1999</v>
      </c>
    </row>
    <row r="34" spans="1:89">
      <c r="A34" s="18" t="s">
        <v>71</v>
      </c>
      <c r="B34" s="42">
        <v>1812</v>
      </c>
      <c r="C34" s="31">
        <v>1987</v>
      </c>
      <c r="D34" s="31">
        <v>1943</v>
      </c>
      <c r="E34" s="31">
        <v>1769</v>
      </c>
      <c r="F34" s="31">
        <v>1730</v>
      </c>
      <c r="G34" s="31">
        <v>1738</v>
      </c>
      <c r="H34" s="31">
        <v>1719</v>
      </c>
      <c r="I34" s="31">
        <v>1750</v>
      </c>
      <c r="J34" s="31">
        <v>1816</v>
      </c>
      <c r="K34" s="31">
        <v>1693</v>
      </c>
      <c r="L34" s="31">
        <v>1633</v>
      </c>
      <c r="M34" s="31">
        <v>1607</v>
      </c>
      <c r="N34" s="31">
        <v>1538</v>
      </c>
      <c r="O34" s="31">
        <v>1426</v>
      </c>
      <c r="P34" s="50">
        <v>1407</v>
      </c>
      <c r="Q34" s="50">
        <v>1335</v>
      </c>
      <c r="R34" s="50">
        <v>1280</v>
      </c>
      <c r="S34" s="50">
        <v>1389</v>
      </c>
      <c r="T34" s="31">
        <v>1427</v>
      </c>
      <c r="U34" s="31">
        <v>1479</v>
      </c>
      <c r="V34" s="31">
        <v>1560</v>
      </c>
      <c r="W34" s="31">
        <v>1597</v>
      </c>
      <c r="X34" s="6">
        <v>1760</v>
      </c>
      <c r="Y34" s="6">
        <v>1663</v>
      </c>
      <c r="Z34" s="6">
        <v>1669</v>
      </c>
      <c r="AA34" s="6">
        <v>1678</v>
      </c>
      <c r="AB34" s="6">
        <v>1750</v>
      </c>
      <c r="AC34" s="6">
        <v>1711</v>
      </c>
      <c r="AD34" s="6">
        <v>1803</v>
      </c>
      <c r="AE34" s="6">
        <v>1889</v>
      </c>
      <c r="AF34" s="6">
        <v>1961</v>
      </c>
      <c r="AG34" s="6">
        <v>1900</v>
      </c>
      <c r="AH34" s="6">
        <v>1950</v>
      </c>
      <c r="AI34" s="6">
        <v>2280</v>
      </c>
      <c r="AJ34" s="6">
        <v>2341</v>
      </c>
      <c r="AK34" s="6">
        <v>2490</v>
      </c>
      <c r="AL34" s="6">
        <v>2349</v>
      </c>
      <c r="AM34" s="6">
        <v>2320</v>
      </c>
      <c r="AN34" s="6">
        <v>2273</v>
      </c>
      <c r="AO34" s="6">
        <v>2507</v>
      </c>
      <c r="AP34" s="6">
        <v>2723</v>
      </c>
      <c r="AQ34" s="6">
        <v>2894</v>
      </c>
      <c r="AR34" s="6">
        <v>2983</v>
      </c>
      <c r="AS34" s="6">
        <v>2782</v>
      </c>
      <c r="AT34" s="51">
        <v>1120</v>
      </c>
      <c r="AU34" s="6">
        <v>1264</v>
      </c>
      <c r="AV34" s="6">
        <v>1280</v>
      </c>
      <c r="AW34" s="6">
        <v>1146</v>
      </c>
      <c r="AX34" s="6">
        <v>1276</v>
      </c>
      <c r="AY34" s="6">
        <v>1394</v>
      </c>
      <c r="AZ34" s="6">
        <v>1349</v>
      </c>
      <c r="BA34" s="6">
        <v>1526</v>
      </c>
      <c r="BB34" s="6">
        <v>1587</v>
      </c>
      <c r="BC34" s="6">
        <v>1566</v>
      </c>
      <c r="BD34" s="6">
        <v>1570</v>
      </c>
      <c r="BE34" s="6">
        <v>1456</v>
      </c>
      <c r="BF34" s="6">
        <v>1512</v>
      </c>
      <c r="BG34" s="6">
        <v>1458</v>
      </c>
      <c r="BH34" s="6">
        <v>1420</v>
      </c>
      <c r="BI34" s="6">
        <v>1350</v>
      </c>
      <c r="BJ34" s="6">
        <v>1369</v>
      </c>
      <c r="BK34" s="6">
        <v>1395</v>
      </c>
      <c r="BL34" s="6">
        <v>1442</v>
      </c>
      <c r="BM34" s="6">
        <v>1641</v>
      </c>
      <c r="BN34" s="6">
        <v>1716</v>
      </c>
      <c r="BO34" s="6">
        <v>1800</v>
      </c>
      <c r="BP34" s="6">
        <v>2158</v>
      </c>
      <c r="BQ34" s="6">
        <v>1987</v>
      </c>
      <c r="BR34" s="6">
        <v>1948</v>
      </c>
      <c r="BS34" s="6">
        <v>2236</v>
      </c>
      <c r="BT34" s="6">
        <v>2261</v>
      </c>
      <c r="BU34" s="6">
        <v>2388</v>
      </c>
      <c r="BV34" s="6">
        <v>2419</v>
      </c>
      <c r="BW34" s="6">
        <v>2525</v>
      </c>
      <c r="BX34" s="6">
        <v>2836</v>
      </c>
      <c r="BY34" s="6">
        <v>2948</v>
      </c>
      <c r="BZ34" s="6">
        <v>2955</v>
      </c>
      <c r="CA34" s="6">
        <v>3357</v>
      </c>
      <c r="CB34" s="6">
        <v>3536</v>
      </c>
      <c r="CC34" s="6">
        <v>3658</v>
      </c>
      <c r="CD34" s="6">
        <v>3587</v>
      </c>
      <c r="CE34" s="6">
        <v>3734</v>
      </c>
      <c r="CF34" s="6">
        <v>3683</v>
      </c>
      <c r="CG34" s="6">
        <v>3862</v>
      </c>
      <c r="CH34" s="6">
        <v>4056</v>
      </c>
      <c r="CI34" s="159">
        <v>4432</v>
      </c>
      <c r="CJ34">
        <v>4557</v>
      </c>
      <c r="CK34">
        <v>4739</v>
      </c>
    </row>
    <row r="35" spans="1:89">
      <c r="A35" s="18" t="s">
        <v>72</v>
      </c>
      <c r="B35" s="51">
        <v>1460</v>
      </c>
      <c r="C35" s="6">
        <v>1607</v>
      </c>
      <c r="D35" s="6">
        <v>1624</v>
      </c>
      <c r="E35" s="31">
        <v>1697</v>
      </c>
      <c r="F35" s="31">
        <v>1783</v>
      </c>
      <c r="G35" s="31">
        <v>1776</v>
      </c>
      <c r="H35" s="31">
        <v>1735</v>
      </c>
      <c r="I35" s="31">
        <v>1814</v>
      </c>
      <c r="J35" s="31">
        <v>1616</v>
      </c>
      <c r="K35" s="31">
        <v>1767</v>
      </c>
      <c r="L35" s="31">
        <v>1649</v>
      </c>
      <c r="M35" s="31">
        <v>1582</v>
      </c>
      <c r="N35" s="31">
        <v>1559</v>
      </c>
      <c r="O35" s="31">
        <v>1529</v>
      </c>
      <c r="P35" s="50">
        <v>1438</v>
      </c>
      <c r="Q35" s="50">
        <v>1555</v>
      </c>
      <c r="R35" s="50">
        <v>1480</v>
      </c>
      <c r="S35" s="50">
        <v>1508</v>
      </c>
      <c r="T35" s="31">
        <v>1632</v>
      </c>
      <c r="U35" s="31">
        <v>1460</v>
      </c>
      <c r="V35" s="31">
        <v>1555</v>
      </c>
      <c r="W35" s="31">
        <v>1480</v>
      </c>
      <c r="X35" s="6">
        <v>1534</v>
      </c>
      <c r="Y35" s="6">
        <v>1654</v>
      </c>
      <c r="Z35" s="6">
        <v>1633</v>
      </c>
      <c r="AA35" s="6">
        <v>1786</v>
      </c>
      <c r="AB35" s="6">
        <v>1737</v>
      </c>
      <c r="AC35" s="6">
        <v>1803</v>
      </c>
      <c r="AD35" s="6">
        <v>1956</v>
      </c>
      <c r="AE35" s="6">
        <v>1957</v>
      </c>
      <c r="AF35" s="6">
        <v>2017</v>
      </c>
      <c r="AG35" s="6">
        <v>2019</v>
      </c>
      <c r="AH35" s="6">
        <v>2065</v>
      </c>
      <c r="AI35" s="6">
        <v>2239</v>
      </c>
      <c r="AJ35" s="6">
        <v>2354</v>
      </c>
      <c r="AK35" s="6">
        <v>2457</v>
      </c>
      <c r="AL35" s="6">
        <v>2538</v>
      </c>
      <c r="AM35" s="6">
        <v>2476</v>
      </c>
      <c r="AN35" s="6">
        <v>2747</v>
      </c>
      <c r="AO35" s="6">
        <v>2727</v>
      </c>
      <c r="AP35" s="6">
        <v>3139</v>
      </c>
      <c r="AQ35" s="6">
        <v>3036</v>
      </c>
      <c r="AR35" s="6">
        <v>3110</v>
      </c>
      <c r="AS35" s="6">
        <v>3102</v>
      </c>
      <c r="AT35" s="51">
        <v>367</v>
      </c>
      <c r="AU35" s="6">
        <v>409</v>
      </c>
      <c r="AV35" s="6">
        <v>541</v>
      </c>
      <c r="AW35" s="6">
        <v>465</v>
      </c>
      <c r="AX35" s="6">
        <v>588</v>
      </c>
      <c r="AY35" s="6">
        <v>517</v>
      </c>
      <c r="AZ35" s="6">
        <v>525</v>
      </c>
      <c r="BA35" s="6">
        <v>657</v>
      </c>
      <c r="BB35" s="6">
        <v>639</v>
      </c>
      <c r="BC35" s="6">
        <v>720</v>
      </c>
      <c r="BD35" s="6">
        <v>684</v>
      </c>
      <c r="BE35" s="6">
        <v>794</v>
      </c>
      <c r="BF35" s="6">
        <v>808</v>
      </c>
      <c r="BG35" s="6">
        <v>843</v>
      </c>
      <c r="BH35" s="6">
        <v>800</v>
      </c>
      <c r="BI35" s="6">
        <v>846</v>
      </c>
      <c r="BJ35" s="6">
        <v>808</v>
      </c>
      <c r="BK35" s="6">
        <v>895</v>
      </c>
      <c r="BL35" s="6">
        <v>942</v>
      </c>
      <c r="BM35" s="6">
        <v>885</v>
      </c>
      <c r="BN35" s="6">
        <v>924</v>
      </c>
      <c r="BO35" s="6">
        <v>972</v>
      </c>
      <c r="BP35" s="6">
        <v>1016</v>
      </c>
      <c r="BQ35" s="6">
        <v>1214</v>
      </c>
      <c r="BR35" s="6">
        <v>1204</v>
      </c>
      <c r="BS35" s="6">
        <v>1259</v>
      </c>
      <c r="BT35" s="6">
        <v>1344</v>
      </c>
      <c r="BU35" s="6">
        <v>1383</v>
      </c>
      <c r="BV35" s="6">
        <v>1517</v>
      </c>
      <c r="BW35" s="6">
        <v>1546</v>
      </c>
      <c r="BX35" s="6">
        <v>1441</v>
      </c>
      <c r="BY35" s="6">
        <v>1623</v>
      </c>
      <c r="BZ35" s="6">
        <v>1601</v>
      </c>
      <c r="CA35" s="6">
        <v>1588</v>
      </c>
      <c r="CB35" s="6">
        <v>1813</v>
      </c>
      <c r="CC35" s="6">
        <v>1753</v>
      </c>
      <c r="CD35" s="6">
        <v>1959</v>
      </c>
      <c r="CE35" s="6">
        <v>1989</v>
      </c>
      <c r="CF35" s="6">
        <v>2309</v>
      </c>
      <c r="CG35" s="6">
        <v>2298</v>
      </c>
      <c r="CH35" s="6">
        <v>2662</v>
      </c>
      <c r="CI35" s="159">
        <v>2452</v>
      </c>
      <c r="CJ35">
        <v>2511</v>
      </c>
      <c r="CK35">
        <v>2374</v>
      </c>
    </row>
    <row r="36" spans="1:89">
      <c r="A36" s="18" t="s">
        <v>73</v>
      </c>
      <c r="B36" s="51">
        <v>1886</v>
      </c>
      <c r="C36" s="6">
        <v>2236</v>
      </c>
      <c r="D36" s="6">
        <v>2252</v>
      </c>
      <c r="E36" s="31">
        <v>2168</v>
      </c>
      <c r="F36" s="31">
        <v>2163</v>
      </c>
      <c r="G36" s="31">
        <v>2249</v>
      </c>
      <c r="H36" s="31">
        <v>2243</v>
      </c>
      <c r="I36" s="31">
        <v>2297</v>
      </c>
      <c r="J36" s="31">
        <v>2219</v>
      </c>
      <c r="K36" s="31">
        <v>2265</v>
      </c>
      <c r="L36" s="31">
        <v>2362</v>
      </c>
      <c r="M36" s="31">
        <v>2377</v>
      </c>
      <c r="N36" s="31">
        <v>2415</v>
      </c>
      <c r="O36" s="31">
        <v>2327</v>
      </c>
      <c r="P36" s="50">
        <v>2097</v>
      </c>
      <c r="Q36" s="50">
        <v>2232</v>
      </c>
      <c r="R36" s="50">
        <v>2324</v>
      </c>
      <c r="S36" s="50">
        <v>2066</v>
      </c>
      <c r="T36" s="31">
        <v>2172</v>
      </c>
      <c r="U36" s="31">
        <v>2110</v>
      </c>
      <c r="V36" s="31">
        <v>2502</v>
      </c>
      <c r="W36" s="31">
        <v>2303</v>
      </c>
      <c r="X36" s="6">
        <v>2623</v>
      </c>
      <c r="Y36" s="6">
        <v>2777</v>
      </c>
      <c r="Z36" s="6">
        <v>3010</v>
      </c>
      <c r="AA36" s="6">
        <v>3196</v>
      </c>
      <c r="AB36" s="6">
        <v>3314</v>
      </c>
      <c r="AC36" s="6">
        <v>2937</v>
      </c>
      <c r="AD36" s="6">
        <v>3046</v>
      </c>
      <c r="AE36" s="6">
        <v>2968</v>
      </c>
      <c r="AF36" s="6">
        <v>3001</v>
      </c>
      <c r="AG36" s="6">
        <v>3139</v>
      </c>
      <c r="AH36" s="6">
        <v>3067</v>
      </c>
      <c r="AI36" s="6">
        <v>3319</v>
      </c>
      <c r="AJ36" s="6">
        <v>3447</v>
      </c>
      <c r="AK36" s="6">
        <v>3477</v>
      </c>
      <c r="AL36" s="6">
        <v>3549</v>
      </c>
      <c r="AM36" s="6">
        <v>3463</v>
      </c>
      <c r="AN36" s="6">
        <v>3446</v>
      </c>
      <c r="AO36" s="6">
        <v>3674</v>
      </c>
      <c r="AP36" s="6">
        <v>3821</v>
      </c>
      <c r="AQ36" s="6">
        <v>3776</v>
      </c>
      <c r="AR36" s="6">
        <v>3778</v>
      </c>
      <c r="AS36" s="6">
        <v>3815</v>
      </c>
      <c r="AT36" s="51">
        <v>1078</v>
      </c>
      <c r="AU36" s="6">
        <v>1191</v>
      </c>
      <c r="AV36" s="6">
        <v>1150</v>
      </c>
      <c r="AW36" s="6">
        <v>1169</v>
      </c>
      <c r="AX36" s="6">
        <v>1373</v>
      </c>
      <c r="AY36" s="6">
        <v>1367</v>
      </c>
      <c r="AZ36" s="6">
        <v>1581</v>
      </c>
      <c r="BA36" s="6">
        <v>1658</v>
      </c>
      <c r="BB36" s="6">
        <v>1676</v>
      </c>
      <c r="BC36" s="6">
        <v>1780</v>
      </c>
      <c r="BD36" s="6">
        <v>1919</v>
      </c>
      <c r="BE36" s="6">
        <v>1967</v>
      </c>
      <c r="BF36" s="6">
        <v>2136</v>
      </c>
      <c r="BG36" s="6">
        <v>2001</v>
      </c>
      <c r="BH36" s="6">
        <v>1826</v>
      </c>
      <c r="BI36" s="6">
        <v>1987</v>
      </c>
      <c r="BJ36" s="6">
        <v>2046</v>
      </c>
      <c r="BK36" s="6">
        <v>2000</v>
      </c>
      <c r="BL36" s="6">
        <v>2090</v>
      </c>
      <c r="BM36" s="6">
        <v>2165</v>
      </c>
      <c r="BN36" s="6">
        <v>2782</v>
      </c>
      <c r="BO36" s="6">
        <v>2897</v>
      </c>
      <c r="BP36" s="6">
        <v>3465</v>
      </c>
      <c r="BQ36" s="6">
        <v>3968</v>
      </c>
      <c r="BR36" s="6">
        <v>4258</v>
      </c>
      <c r="BS36" s="6">
        <v>4751</v>
      </c>
      <c r="BT36" s="6">
        <v>5020</v>
      </c>
      <c r="BU36" s="6">
        <v>4250</v>
      </c>
      <c r="BV36" s="6">
        <v>4371</v>
      </c>
      <c r="BW36" s="6">
        <v>4351</v>
      </c>
      <c r="BX36" s="6">
        <v>4435</v>
      </c>
      <c r="BY36" s="6">
        <v>4614</v>
      </c>
      <c r="BZ36" s="6">
        <v>4484</v>
      </c>
      <c r="CA36" s="6">
        <v>4991</v>
      </c>
      <c r="CB36" s="6">
        <v>5034</v>
      </c>
      <c r="CC36" s="6">
        <v>5296</v>
      </c>
      <c r="CD36" s="6">
        <v>5382</v>
      </c>
      <c r="CE36" s="6">
        <v>5315</v>
      </c>
      <c r="CF36" s="6">
        <v>5362</v>
      </c>
      <c r="CG36" s="6">
        <v>5419</v>
      </c>
      <c r="CH36" s="6">
        <v>5848</v>
      </c>
      <c r="CI36" s="159">
        <v>6074</v>
      </c>
      <c r="CJ36">
        <v>5810</v>
      </c>
      <c r="CK36">
        <v>5704</v>
      </c>
    </row>
    <row r="37" spans="1:89">
      <c r="A37" s="20" t="s">
        <v>74</v>
      </c>
      <c r="B37" s="51">
        <v>252</v>
      </c>
      <c r="C37" s="6">
        <v>242</v>
      </c>
      <c r="D37" s="6">
        <v>286</v>
      </c>
      <c r="E37" s="31">
        <v>235</v>
      </c>
      <c r="F37" s="31">
        <v>258</v>
      </c>
      <c r="G37" s="31">
        <v>239</v>
      </c>
      <c r="H37" s="31">
        <v>268</v>
      </c>
      <c r="I37" s="31">
        <v>286</v>
      </c>
      <c r="J37" s="31">
        <v>278</v>
      </c>
      <c r="K37" s="31">
        <v>223</v>
      </c>
      <c r="L37" s="31">
        <v>183</v>
      </c>
      <c r="M37" s="31">
        <v>211</v>
      </c>
      <c r="N37" s="31">
        <v>187</v>
      </c>
      <c r="O37" s="31">
        <v>213</v>
      </c>
      <c r="P37" s="50">
        <v>205</v>
      </c>
      <c r="Q37" s="50">
        <v>199</v>
      </c>
      <c r="R37" s="50">
        <v>213</v>
      </c>
      <c r="S37" s="50">
        <v>202</v>
      </c>
      <c r="T37" s="31">
        <v>197</v>
      </c>
      <c r="U37" s="31">
        <v>193</v>
      </c>
      <c r="V37" s="31">
        <v>192</v>
      </c>
      <c r="W37" s="31">
        <v>161</v>
      </c>
      <c r="X37" s="6">
        <v>209</v>
      </c>
      <c r="Y37" s="6">
        <v>190</v>
      </c>
      <c r="Z37" s="6">
        <v>256</v>
      </c>
      <c r="AA37" s="6">
        <v>222</v>
      </c>
      <c r="AB37" s="6">
        <v>211</v>
      </c>
      <c r="AC37" s="6">
        <v>201</v>
      </c>
      <c r="AD37" s="6">
        <v>177</v>
      </c>
      <c r="AE37" s="6">
        <v>172</v>
      </c>
      <c r="AF37" s="6">
        <v>171</v>
      </c>
      <c r="AG37" s="6">
        <v>200</v>
      </c>
      <c r="AH37" s="6">
        <v>193</v>
      </c>
      <c r="AI37" s="6">
        <v>189</v>
      </c>
      <c r="AJ37" s="6">
        <v>170</v>
      </c>
      <c r="AK37" s="6">
        <v>182</v>
      </c>
      <c r="AL37" s="6">
        <v>168</v>
      </c>
      <c r="AM37" s="6">
        <v>197</v>
      </c>
      <c r="AN37" s="6">
        <v>161</v>
      </c>
      <c r="AO37" s="6">
        <v>177</v>
      </c>
      <c r="AP37" s="6">
        <v>155</v>
      </c>
      <c r="AQ37" s="6">
        <v>196</v>
      </c>
      <c r="AR37" s="6">
        <v>186</v>
      </c>
      <c r="AS37" s="6">
        <v>204</v>
      </c>
      <c r="AT37" s="51">
        <v>89</v>
      </c>
      <c r="AU37" s="6">
        <v>87</v>
      </c>
      <c r="AV37" s="6">
        <v>90</v>
      </c>
      <c r="AW37" s="6">
        <v>102</v>
      </c>
      <c r="AX37" s="6">
        <v>90</v>
      </c>
      <c r="AY37" s="6">
        <v>113</v>
      </c>
      <c r="AZ37" s="6">
        <v>120</v>
      </c>
      <c r="BA37" s="6">
        <v>92</v>
      </c>
      <c r="BB37" s="6">
        <v>136</v>
      </c>
      <c r="BC37" s="6">
        <v>130</v>
      </c>
      <c r="BD37" s="6">
        <v>112</v>
      </c>
      <c r="BE37" s="6">
        <v>122</v>
      </c>
      <c r="BF37" s="6">
        <v>124</v>
      </c>
      <c r="BG37" s="6">
        <v>137</v>
      </c>
      <c r="BH37" s="6">
        <v>134</v>
      </c>
      <c r="BI37" s="6">
        <v>148</v>
      </c>
      <c r="BJ37" s="6">
        <v>167</v>
      </c>
      <c r="BK37" s="6">
        <v>143</v>
      </c>
      <c r="BL37" s="6">
        <v>146</v>
      </c>
      <c r="BM37" s="6">
        <v>142</v>
      </c>
      <c r="BN37" s="6">
        <v>169</v>
      </c>
      <c r="BO37" s="6">
        <v>143</v>
      </c>
      <c r="BP37" s="6">
        <v>141</v>
      </c>
      <c r="BQ37" s="6">
        <v>152</v>
      </c>
      <c r="BR37" s="6">
        <v>201</v>
      </c>
      <c r="BS37" s="6">
        <v>174</v>
      </c>
      <c r="BT37" s="6">
        <v>199</v>
      </c>
      <c r="BU37" s="6">
        <v>192</v>
      </c>
      <c r="BV37" s="6">
        <v>210</v>
      </c>
      <c r="BW37" s="6">
        <v>224</v>
      </c>
      <c r="BX37" s="6">
        <v>206</v>
      </c>
      <c r="BY37" s="6">
        <v>214</v>
      </c>
      <c r="BZ37" s="6">
        <v>252</v>
      </c>
      <c r="CA37" s="6">
        <v>228</v>
      </c>
      <c r="CB37" s="6">
        <v>250</v>
      </c>
      <c r="CC37" s="6">
        <v>273</v>
      </c>
      <c r="CD37" s="6">
        <v>269</v>
      </c>
      <c r="CE37" s="6">
        <v>226</v>
      </c>
      <c r="CF37" s="6">
        <v>262</v>
      </c>
      <c r="CG37" s="6">
        <v>251</v>
      </c>
      <c r="CH37" s="6">
        <v>233</v>
      </c>
      <c r="CI37">
        <v>286</v>
      </c>
      <c r="CJ37" s="162">
        <v>303</v>
      </c>
      <c r="CK37" s="141">
        <v>282</v>
      </c>
    </row>
    <row r="38" spans="1:89">
      <c r="A38" s="15" t="s">
        <v>75</v>
      </c>
      <c r="B38" s="48">
        <f t="shared" ref="B38:BQ38" si="32">SUM(B40:B51)</f>
        <v>37417</v>
      </c>
      <c r="C38" s="15">
        <f t="shared" si="32"/>
        <v>40790</v>
      </c>
      <c r="D38" s="15">
        <f t="shared" si="32"/>
        <v>42988</v>
      </c>
      <c r="E38" s="15">
        <f t="shared" si="32"/>
        <v>43344</v>
      </c>
      <c r="F38" s="15">
        <f t="shared" si="32"/>
        <v>43420</v>
      </c>
      <c r="G38" s="15">
        <f t="shared" si="32"/>
        <v>44071</v>
      </c>
      <c r="H38" s="15">
        <f t="shared" si="32"/>
        <v>44840</v>
      </c>
      <c r="I38" s="15">
        <f t="shared" si="32"/>
        <v>45776</v>
      </c>
      <c r="J38" s="15">
        <f t="shared" si="32"/>
        <v>43355</v>
      </c>
      <c r="K38" s="15">
        <f t="shared" si="32"/>
        <v>40962</v>
      </c>
      <c r="L38" s="15">
        <f t="shared" si="32"/>
        <v>40083</v>
      </c>
      <c r="M38" s="15">
        <f t="shared" si="32"/>
        <v>39082</v>
      </c>
      <c r="N38" s="15">
        <f t="shared" si="32"/>
        <v>39411</v>
      </c>
      <c r="O38" s="15">
        <f t="shared" si="32"/>
        <v>39067</v>
      </c>
      <c r="P38" s="15">
        <f t="shared" si="32"/>
        <v>38408</v>
      </c>
      <c r="Q38" s="15">
        <f t="shared" si="32"/>
        <v>36974</v>
      </c>
      <c r="R38" s="15">
        <f t="shared" si="32"/>
        <v>37005</v>
      </c>
      <c r="S38" s="15">
        <f t="shared" si="32"/>
        <v>36042</v>
      </c>
      <c r="T38" s="15">
        <f t="shared" si="32"/>
        <v>36439</v>
      </c>
      <c r="U38" s="15">
        <f t="shared" si="32"/>
        <v>38210</v>
      </c>
      <c r="V38" s="15">
        <f t="shared" si="32"/>
        <v>38857</v>
      </c>
      <c r="W38" s="15">
        <f t="shared" si="32"/>
        <v>39236</v>
      </c>
      <c r="X38" s="15">
        <f t="shared" si="32"/>
        <v>40759</v>
      </c>
      <c r="Y38" s="15">
        <f t="shared" si="32"/>
        <v>42241</v>
      </c>
      <c r="Z38" s="15">
        <f t="shared" si="32"/>
        <v>43744</v>
      </c>
      <c r="AA38" s="15">
        <f t="shared" si="32"/>
        <v>43966</v>
      </c>
      <c r="AB38" s="15">
        <f t="shared" si="32"/>
        <v>45040</v>
      </c>
      <c r="AC38" s="15">
        <f t="shared" si="32"/>
        <v>44810</v>
      </c>
      <c r="AD38" s="15">
        <f t="shared" si="32"/>
        <v>46305</v>
      </c>
      <c r="AE38" s="15">
        <f t="shared" si="32"/>
        <v>46833</v>
      </c>
      <c r="AF38" s="15">
        <f t="shared" si="32"/>
        <v>47899</v>
      </c>
      <c r="AG38" s="15">
        <f t="shared" si="32"/>
        <v>49484</v>
      </c>
      <c r="AH38" s="15">
        <f t="shared" si="32"/>
        <v>51267</v>
      </c>
      <c r="AI38" s="15">
        <f t="shared" si="32"/>
        <v>54728</v>
      </c>
      <c r="AJ38" s="15">
        <f t="shared" ref="AJ38" si="33">SUM(AJ40:AJ51)</f>
        <v>57682</v>
      </c>
      <c r="AK38" s="15">
        <f t="shared" si="32"/>
        <v>59684</v>
      </c>
      <c r="AL38" s="15">
        <f t="shared" si="32"/>
        <v>58016</v>
      </c>
      <c r="AM38" s="15">
        <f t="shared" si="32"/>
        <v>59418</v>
      </c>
      <c r="AN38" s="15">
        <f t="shared" si="32"/>
        <v>61603</v>
      </c>
      <c r="AO38" s="15">
        <f t="shared" si="32"/>
        <v>64305</v>
      </c>
      <c r="AP38" s="15">
        <f t="shared" ref="AP38:AQ38" si="34">SUM(AP40:AP51)</f>
        <v>66517</v>
      </c>
      <c r="AQ38" s="15">
        <f t="shared" si="34"/>
        <v>68512</v>
      </c>
      <c r="AR38" s="15">
        <f t="shared" ref="AR38:AS38" si="35">SUM(AR40:AR51)</f>
        <v>69516</v>
      </c>
      <c r="AS38" s="15">
        <f t="shared" si="35"/>
        <v>68354</v>
      </c>
      <c r="AT38" s="48">
        <f t="shared" si="32"/>
        <v>24319</v>
      </c>
      <c r="AU38" s="15">
        <f t="shared" si="32"/>
        <v>26657</v>
      </c>
      <c r="AV38" s="15">
        <f t="shared" si="32"/>
        <v>28144</v>
      </c>
      <c r="AW38" s="15">
        <f t="shared" si="32"/>
        <v>28461</v>
      </c>
      <c r="AX38" s="15">
        <f t="shared" si="32"/>
        <v>30523</v>
      </c>
      <c r="AY38" s="15">
        <f t="shared" si="32"/>
        <v>32496</v>
      </c>
      <c r="AZ38" s="15">
        <f t="shared" si="32"/>
        <v>35473</v>
      </c>
      <c r="BA38" s="15">
        <f t="shared" si="32"/>
        <v>37616</v>
      </c>
      <c r="BB38" s="15">
        <f t="shared" si="32"/>
        <v>37946</v>
      </c>
      <c r="BC38" s="15">
        <f t="shared" si="32"/>
        <v>37119</v>
      </c>
      <c r="BD38" s="15">
        <f t="shared" si="32"/>
        <v>37125</v>
      </c>
      <c r="BE38" s="15">
        <f t="shared" si="32"/>
        <v>37916</v>
      </c>
      <c r="BF38" s="15">
        <f t="shared" si="32"/>
        <v>38688</v>
      </c>
      <c r="BG38" s="15">
        <f t="shared" si="32"/>
        <v>36875</v>
      </c>
      <c r="BH38" s="15">
        <f t="shared" si="32"/>
        <v>35546</v>
      </c>
      <c r="BI38" s="15">
        <f t="shared" si="32"/>
        <v>35399</v>
      </c>
      <c r="BJ38" s="15">
        <f t="shared" si="32"/>
        <v>35844</v>
      </c>
      <c r="BK38" s="15">
        <f t="shared" si="32"/>
        <v>37030</v>
      </c>
      <c r="BL38" s="15">
        <f t="shared" si="32"/>
        <v>38849</v>
      </c>
      <c r="BM38" s="15">
        <f t="shared" si="32"/>
        <v>41058</v>
      </c>
      <c r="BN38" s="15">
        <f t="shared" si="32"/>
        <v>42290</v>
      </c>
      <c r="BO38" s="15">
        <f t="shared" si="32"/>
        <v>44111</v>
      </c>
      <c r="BP38" s="15">
        <f t="shared" si="32"/>
        <v>46635</v>
      </c>
      <c r="BQ38" s="15">
        <f t="shared" si="32"/>
        <v>48496</v>
      </c>
      <c r="BR38" s="15">
        <f t="shared" ref="BR38:CF38" si="36">SUM(BR40:BR51)</f>
        <v>51468</v>
      </c>
      <c r="BS38" s="15">
        <f t="shared" si="36"/>
        <v>52241</v>
      </c>
      <c r="BT38" s="15">
        <f t="shared" si="36"/>
        <v>55350</v>
      </c>
      <c r="BU38" s="15">
        <f t="shared" si="36"/>
        <v>57609</v>
      </c>
      <c r="BV38" s="15">
        <f t="shared" si="36"/>
        <v>59999</v>
      </c>
      <c r="BW38" s="15">
        <f t="shared" si="36"/>
        <v>62316</v>
      </c>
      <c r="BX38" s="15">
        <f t="shared" si="36"/>
        <v>65556</v>
      </c>
      <c r="BY38" s="15">
        <f t="shared" si="36"/>
        <v>67793</v>
      </c>
      <c r="BZ38" s="15">
        <f t="shared" si="36"/>
        <v>70610</v>
      </c>
      <c r="CA38" s="15">
        <f t="shared" si="36"/>
        <v>75228</v>
      </c>
      <c r="CB38" s="15">
        <f t="shared" si="36"/>
        <v>81727</v>
      </c>
      <c r="CC38" s="15">
        <f t="shared" si="36"/>
        <v>85778</v>
      </c>
      <c r="CD38" s="15">
        <f t="shared" si="36"/>
        <v>82578</v>
      </c>
      <c r="CE38" s="15">
        <f t="shared" si="36"/>
        <v>90615</v>
      </c>
      <c r="CF38" s="15">
        <f t="shared" si="36"/>
        <v>94857</v>
      </c>
      <c r="CG38" s="15">
        <f>SUM(CG40:CG51)</f>
        <v>98803</v>
      </c>
      <c r="CH38" s="15">
        <f>SUM(CH40:CH51)</f>
        <v>103167</v>
      </c>
      <c r="CI38" s="15">
        <f>SUM(CI40:CI51)</f>
        <v>100911</v>
      </c>
      <c r="CJ38" s="15">
        <f>SUM(CJ40:CJ51)</f>
        <v>101177</v>
      </c>
      <c r="CK38" s="15">
        <f>SUM(CK40:CK51)</f>
        <v>99276</v>
      </c>
    </row>
    <row r="39" spans="1:89">
      <c r="A39" s="17" t="s">
        <v>44</v>
      </c>
      <c r="B39" s="49">
        <f t="shared" ref="B39:BQ39" si="37">(B38/B4)*100</f>
        <v>29.996713084329429</v>
      </c>
      <c r="C39" s="17">
        <f t="shared" si="37"/>
        <v>29.731620916366602</v>
      </c>
      <c r="D39" s="17">
        <f t="shared" si="37"/>
        <v>28.944444818508071</v>
      </c>
      <c r="E39" s="17">
        <f t="shared" si="37"/>
        <v>28.248359282842038</v>
      </c>
      <c r="F39" s="17">
        <f t="shared" si="37"/>
        <v>27.666447900803487</v>
      </c>
      <c r="G39" s="17">
        <f t="shared" si="37"/>
        <v>27.441127756814982</v>
      </c>
      <c r="H39" s="17">
        <f t="shared" si="37"/>
        <v>26.945172223156984</v>
      </c>
      <c r="I39" s="17">
        <f t="shared" si="37"/>
        <v>27.43558546949637</v>
      </c>
      <c r="J39" s="17">
        <f t="shared" si="37"/>
        <v>27.04734455029228</v>
      </c>
      <c r="K39" s="17">
        <f t="shared" si="37"/>
        <v>26.862970128209334</v>
      </c>
      <c r="L39" s="17">
        <f t="shared" si="37"/>
        <v>26.765717338319256</v>
      </c>
      <c r="M39" s="17">
        <f t="shared" si="37"/>
        <v>26.743032318546039</v>
      </c>
      <c r="N39" s="17">
        <f t="shared" si="37"/>
        <v>27.239363025628265</v>
      </c>
      <c r="O39" s="17">
        <f t="shared" si="37"/>
        <v>27.225149133076883</v>
      </c>
      <c r="P39" s="17">
        <f t="shared" si="37"/>
        <v>27.002629395801403</v>
      </c>
      <c r="Q39" s="17">
        <f t="shared" si="37"/>
        <v>26.014578408195426</v>
      </c>
      <c r="R39" s="17">
        <f t="shared" si="37"/>
        <v>26.011682587883005</v>
      </c>
      <c r="S39" s="17">
        <f t="shared" si="37"/>
        <v>25.727562798466714</v>
      </c>
      <c r="T39" s="17">
        <f t="shared" si="37"/>
        <v>25.370931244560484</v>
      </c>
      <c r="U39" s="17">
        <f t="shared" si="37"/>
        <v>25.894551368934671</v>
      </c>
      <c r="V39" s="17">
        <f t="shared" si="37"/>
        <v>25.481002531247132</v>
      </c>
      <c r="W39" s="17">
        <f t="shared" si="37"/>
        <v>25.239620723815403</v>
      </c>
      <c r="X39" s="17">
        <f t="shared" si="37"/>
        <v>25.352209042675604</v>
      </c>
      <c r="Y39" s="17">
        <f t="shared" si="37"/>
        <v>25.132681231853017</v>
      </c>
      <c r="Z39" s="17">
        <f t="shared" si="37"/>
        <v>25.01272250081481</v>
      </c>
      <c r="AA39" s="17">
        <f t="shared" si="37"/>
        <v>24.772647877483404</v>
      </c>
      <c r="AB39" s="17">
        <f t="shared" si="37"/>
        <v>25.302375749268286</v>
      </c>
      <c r="AC39" s="17">
        <f t="shared" si="37"/>
        <v>24.93142605976643</v>
      </c>
      <c r="AD39" s="17">
        <f t="shared" si="37"/>
        <v>25.11457627118644</v>
      </c>
      <c r="AE39" s="17">
        <f t="shared" si="37"/>
        <v>25.159013258267613</v>
      </c>
      <c r="AF39" s="17">
        <f t="shared" si="37"/>
        <v>24.974451489113207</v>
      </c>
      <c r="AG39" s="17">
        <f t="shared" si="37"/>
        <v>25.461150187032739</v>
      </c>
      <c r="AH39" s="17">
        <f t="shared" si="37"/>
        <v>25.746785857774206</v>
      </c>
      <c r="AI39" s="17">
        <f t="shared" si="37"/>
        <v>25.856073777307429</v>
      </c>
      <c r="AJ39" s="17">
        <f t="shared" si="37"/>
        <v>25.158873123945025</v>
      </c>
      <c r="AK39" s="17">
        <f t="shared" si="37"/>
        <v>25.550751316409091</v>
      </c>
      <c r="AL39" s="17">
        <f t="shared" si="37"/>
        <v>25.250476580113336</v>
      </c>
      <c r="AM39" s="17">
        <f t="shared" si="37"/>
        <v>24.945736369017883</v>
      </c>
      <c r="AN39" s="17">
        <f t="shared" si="37"/>
        <v>24.892917178509084</v>
      </c>
      <c r="AO39" s="17">
        <f t="shared" si="37"/>
        <v>24.571371801289228</v>
      </c>
      <c r="AP39" s="17">
        <f t="shared" ref="AP39:AQ39" si="38">(AP38/AP4)*100</f>
        <v>24.277695047886009</v>
      </c>
      <c r="AQ39" s="17">
        <f t="shared" si="38"/>
        <v>24.616711280383736</v>
      </c>
      <c r="AR39" s="17">
        <f t="shared" ref="AR39:AS39" si="39">(AR38/AR4)*100</f>
        <v>23.688568721929542</v>
      </c>
      <c r="AS39" s="17">
        <f t="shared" si="39"/>
        <v>23.426152817999554</v>
      </c>
      <c r="AT39" s="49">
        <f t="shared" si="37"/>
        <v>29.420161865934357</v>
      </c>
      <c r="AU39" s="17">
        <f t="shared" si="37"/>
        <v>28.862999014692985</v>
      </c>
      <c r="AV39" s="17">
        <f t="shared" si="37"/>
        <v>27.571613307731496</v>
      </c>
      <c r="AW39" s="17">
        <f t="shared" si="37"/>
        <v>26.135226218789885</v>
      </c>
      <c r="AX39" s="17">
        <f t="shared" si="37"/>
        <v>25.608692004362783</v>
      </c>
      <c r="AY39" s="17">
        <f t="shared" si="37"/>
        <v>24.830368604437925</v>
      </c>
      <c r="AZ39" s="17">
        <f t="shared" si="37"/>
        <v>24.547260032247127</v>
      </c>
      <c r="BA39" s="17">
        <f t="shared" si="37"/>
        <v>25.182596587067273</v>
      </c>
      <c r="BB39" s="17">
        <f t="shared" si="37"/>
        <v>25.230724221388869</v>
      </c>
      <c r="BC39" s="17">
        <f t="shared" si="37"/>
        <v>25.132538441226053</v>
      </c>
      <c r="BD39" s="17">
        <f t="shared" si="37"/>
        <v>25.204179311187602</v>
      </c>
      <c r="BE39" s="17">
        <f t="shared" si="37"/>
        <v>25.502777889879873</v>
      </c>
      <c r="BF39" s="17">
        <f t="shared" si="37"/>
        <v>25.794235500410036</v>
      </c>
      <c r="BG39" s="17">
        <f t="shared" si="37"/>
        <v>25.39303249619535</v>
      </c>
      <c r="BH39" s="17">
        <f t="shared" si="37"/>
        <v>25.269608365856953</v>
      </c>
      <c r="BI39" s="17">
        <f t="shared" si="37"/>
        <v>24.779324779324778</v>
      </c>
      <c r="BJ39" s="17">
        <f t="shared" si="37"/>
        <v>24.710967715248909</v>
      </c>
      <c r="BK39" s="17">
        <f t="shared" si="37"/>
        <v>25.014185738604123</v>
      </c>
      <c r="BL39" s="17">
        <f t="shared" si="37"/>
        <v>25.262712966575627</v>
      </c>
      <c r="BM39" s="17">
        <f t="shared" si="37"/>
        <v>25.557422969187677</v>
      </c>
      <c r="BN39" s="17">
        <f t="shared" si="37"/>
        <v>24.786219588674179</v>
      </c>
      <c r="BO39" s="17">
        <f t="shared" si="37"/>
        <v>24.42767114487922</v>
      </c>
      <c r="BP39" s="17">
        <f t="shared" si="37"/>
        <v>24.432732054633757</v>
      </c>
      <c r="BQ39" s="17">
        <f t="shared" si="37"/>
        <v>24.22075165438881</v>
      </c>
      <c r="BR39" s="17">
        <f t="shared" ref="BR39:CG39" si="40">(BR38/BR4)*100</f>
        <v>24.407686325094371</v>
      </c>
      <c r="BS39" s="17">
        <f t="shared" si="40"/>
        <v>23.86567136905197</v>
      </c>
      <c r="BT39" s="17">
        <f t="shared" si="40"/>
        <v>24.373381713138286</v>
      </c>
      <c r="BU39" s="17">
        <f t="shared" si="40"/>
        <v>24.174380838082129</v>
      </c>
      <c r="BV39" s="17">
        <f t="shared" si="40"/>
        <v>24.410775095712175</v>
      </c>
      <c r="BW39" s="17">
        <f t="shared" si="40"/>
        <v>24.549515832932816</v>
      </c>
      <c r="BX39" s="17">
        <f t="shared" si="40"/>
        <v>24.713492973038182</v>
      </c>
      <c r="BY39" s="17">
        <f t="shared" si="40"/>
        <v>24.730688554491564</v>
      </c>
      <c r="BZ39" s="17">
        <f t="shared" si="40"/>
        <v>24.950706365416011</v>
      </c>
      <c r="CA39" s="17">
        <f t="shared" si="40"/>
        <v>24.936769702494406</v>
      </c>
      <c r="CB39" s="17">
        <f t="shared" si="40"/>
        <v>24.811094211544123</v>
      </c>
      <c r="CC39" s="17">
        <f t="shared" si="40"/>
        <v>25.152773379311959</v>
      </c>
      <c r="CD39" s="17">
        <f t="shared" si="40"/>
        <v>24.25960580858008</v>
      </c>
      <c r="CE39" s="17">
        <f t="shared" si="40"/>
        <v>24.729953222822022</v>
      </c>
      <c r="CF39" s="17">
        <f t="shared" si="40"/>
        <v>25.033185986672823</v>
      </c>
      <c r="CG39" s="17">
        <f t="shared" si="40"/>
        <v>24.852849438564011</v>
      </c>
      <c r="CH39" s="17">
        <f t="shared" ref="CH39:CI39" si="41">(CH38/CH4)*100</f>
        <v>24.835400803557029</v>
      </c>
      <c r="CI39" s="17">
        <f t="shared" si="41"/>
        <v>24.406649300894649</v>
      </c>
      <c r="CJ39" s="17">
        <f t="shared" ref="CJ39:CK39" si="42">(CJ38/CJ4)*100</f>
        <v>23.159415114724681</v>
      </c>
      <c r="CK39" s="17">
        <f t="shared" si="42"/>
        <v>22.954359954958807</v>
      </c>
    </row>
    <row r="40" spans="1:89">
      <c r="A40" s="18" t="s">
        <v>76</v>
      </c>
      <c r="B40" s="42">
        <v>7823</v>
      </c>
      <c r="C40" s="31">
        <v>8413</v>
      </c>
      <c r="D40" s="31">
        <v>9295</v>
      </c>
      <c r="E40" s="31">
        <v>9309</v>
      </c>
      <c r="F40" s="31">
        <v>9827</v>
      </c>
      <c r="G40" s="31">
        <v>9873</v>
      </c>
      <c r="H40" s="31">
        <v>9956</v>
      </c>
      <c r="I40" s="31">
        <v>9869</v>
      </c>
      <c r="J40" s="31">
        <v>9403</v>
      </c>
      <c r="K40" s="31">
        <v>8883</v>
      </c>
      <c r="L40" s="31">
        <v>8736</v>
      </c>
      <c r="M40" s="31">
        <v>8430</v>
      </c>
      <c r="N40" s="31">
        <v>8627</v>
      </c>
      <c r="O40" s="31">
        <v>9009</v>
      </c>
      <c r="P40" s="50">
        <v>8813</v>
      </c>
      <c r="Q40" s="50">
        <v>8537</v>
      </c>
      <c r="R40" s="50">
        <v>8930</v>
      </c>
      <c r="S40" s="50">
        <v>8595</v>
      </c>
      <c r="T40" s="31">
        <v>8614</v>
      </c>
      <c r="U40" s="31">
        <v>9097</v>
      </c>
      <c r="V40" s="31">
        <v>9194</v>
      </c>
      <c r="W40" s="31">
        <v>9445</v>
      </c>
      <c r="X40" s="6">
        <v>9831</v>
      </c>
      <c r="Y40" s="6">
        <v>10403</v>
      </c>
      <c r="Z40" s="6">
        <v>10727</v>
      </c>
      <c r="AA40" s="6">
        <v>10765</v>
      </c>
      <c r="AB40" s="6">
        <v>11025</v>
      </c>
      <c r="AC40" s="6">
        <v>10964</v>
      </c>
      <c r="AD40" s="6">
        <v>11096</v>
      </c>
      <c r="AE40" s="6">
        <v>11166</v>
      </c>
      <c r="AF40" s="6">
        <v>11323</v>
      </c>
      <c r="AG40" s="6">
        <v>11489</v>
      </c>
      <c r="AH40" s="6">
        <v>12225</v>
      </c>
      <c r="AI40" s="6">
        <v>13104</v>
      </c>
      <c r="AJ40" s="6">
        <v>13828</v>
      </c>
      <c r="AK40" s="6">
        <v>14930</v>
      </c>
      <c r="AL40" s="6">
        <v>14400</v>
      </c>
      <c r="AM40" s="6">
        <v>15577</v>
      </c>
      <c r="AN40" s="6">
        <v>15945</v>
      </c>
      <c r="AO40" s="6">
        <v>16025</v>
      </c>
      <c r="AP40" s="6">
        <v>16768</v>
      </c>
      <c r="AQ40" s="6">
        <v>17307</v>
      </c>
      <c r="AR40" s="6">
        <v>16908</v>
      </c>
      <c r="AS40" s="6">
        <v>17241</v>
      </c>
      <c r="AT40" s="51">
        <v>4889</v>
      </c>
      <c r="AU40" s="6">
        <v>5354</v>
      </c>
      <c r="AV40" s="6">
        <v>5611</v>
      </c>
      <c r="AW40" s="6">
        <v>5733</v>
      </c>
      <c r="AX40" s="6">
        <v>6213</v>
      </c>
      <c r="AY40" s="6">
        <v>6738</v>
      </c>
      <c r="AZ40" s="6">
        <v>7779</v>
      </c>
      <c r="BA40" s="6">
        <v>8054</v>
      </c>
      <c r="BB40" s="6">
        <v>8020</v>
      </c>
      <c r="BC40" s="6">
        <v>7667</v>
      </c>
      <c r="BD40" s="6">
        <v>7562</v>
      </c>
      <c r="BE40" s="6">
        <v>7993</v>
      </c>
      <c r="BF40" s="6">
        <v>8548</v>
      </c>
      <c r="BG40" s="6">
        <v>8146</v>
      </c>
      <c r="BH40" s="6">
        <v>8075</v>
      </c>
      <c r="BI40" s="6">
        <v>8029</v>
      </c>
      <c r="BJ40" s="6">
        <v>8278</v>
      </c>
      <c r="BK40" s="6">
        <v>8480</v>
      </c>
      <c r="BL40" s="6">
        <v>9169</v>
      </c>
      <c r="BM40" s="6">
        <v>9567</v>
      </c>
      <c r="BN40" s="6">
        <v>10094</v>
      </c>
      <c r="BO40" s="6">
        <v>10503</v>
      </c>
      <c r="BP40" s="6">
        <v>11843</v>
      </c>
      <c r="BQ40" s="6">
        <v>12037</v>
      </c>
      <c r="BR40" s="6">
        <v>12962</v>
      </c>
      <c r="BS40" s="6">
        <v>12722</v>
      </c>
      <c r="BT40" s="6">
        <v>13820</v>
      </c>
      <c r="BU40" s="6">
        <v>14174</v>
      </c>
      <c r="BV40" s="6">
        <v>14015</v>
      </c>
      <c r="BW40" s="6">
        <v>14677</v>
      </c>
      <c r="BX40" s="6">
        <v>15255</v>
      </c>
      <c r="BY40" s="6">
        <v>15681</v>
      </c>
      <c r="BZ40" s="6">
        <v>16304</v>
      </c>
      <c r="CA40" s="6">
        <v>17136</v>
      </c>
      <c r="CB40" s="6">
        <v>18904</v>
      </c>
      <c r="CC40" s="6">
        <v>21062</v>
      </c>
      <c r="CD40" s="6">
        <v>20053</v>
      </c>
      <c r="CE40" s="6">
        <v>22251</v>
      </c>
      <c r="CF40" s="6">
        <v>23394</v>
      </c>
      <c r="CG40" s="6">
        <v>23725</v>
      </c>
      <c r="CH40" s="6">
        <v>24780</v>
      </c>
      <c r="CI40" s="159">
        <v>24469</v>
      </c>
      <c r="CJ40">
        <v>25304</v>
      </c>
      <c r="CK40">
        <v>24625</v>
      </c>
    </row>
    <row r="41" spans="1:89">
      <c r="A41" s="18" t="s">
        <v>77</v>
      </c>
      <c r="B41" s="42">
        <v>4191</v>
      </c>
      <c r="C41" s="31">
        <v>4449</v>
      </c>
      <c r="D41" s="31">
        <v>4728</v>
      </c>
      <c r="E41" s="31">
        <v>5097</v>
      </c>
      <c r="F41" s="31">
        <v>5010</v>
      </c>
      <c r="G41" s="31">
        <v>4865</v>
      </c>
      <c r="H41" s="31">
        <v>4531</v>
      </c>
      <c r="I41" s="31">
        <v>4627</v>
      </c>
      <c r="J41" s="31">
        <v>4342</v>
      </c>
      <c r="K41" s="31">
        <v>3873</v>
      </c>
      <c r="L41" s="31">
        <v>3685</v>
      </c>
      <c r="M41" s="31">
        <v>3570</v>
      </c>
      <c r="N41" s="31">
        <v>3715</v>
      </c>
      <c r="O41" s="31">
        <v>3512</v>
      </c>
      <c r="P41" s="50">
        <v>3351</v>
      </c>
      <c r="Q41" s="50">
        <v>3295</v>
      </c>
      <c r="R41" s="50">
        <v>3168</v>
      </c>
      <c r="S41" s="50">
        <v>3247</v>
      </c>
      <c r="T41" s="31">
        <v>3290</v>
      </c>
      <c r="U41" s="31">
        <v>3487</v>
      </c>
      <c r="V41" s="31">
        <v>3527</v>
      </c>
      <c r="W41" s="31">
        <v>3454</v>
      </c>
      <c r="X41" s="6">
        <v>3404</v>
      </c>
      <c r="Y41" s="6">
        <v>3620</v>
      </c>
      <c r="Z41" s="6">
        <v>3509</v>
      </c>
      <c r="AA41" s="6">
        <v>3898</v>
      </c>
      <c r="AB41" s="6">
        <v>3661</v>
      </c>
      <c r="AC41" s="6">
        <v>3716</v>
      </c>
      <c r="AD41" s="6">
        <v>3743</v>
      </c>
      <c r="AE41" s="6">
        <v>3645</v>
      </c>
      <c r="AF41" s="6">
        <v>4027</v>
      </c>
      <c r="AG41" s="6">
        <v>4045</v>
      </c>
      <c r="AH41" s="6">
        <v>4378</v>
      </c>
      <c r="AI41" s="6">
        <v>4522</v>
      </c>
      <c r="AJ41" s="6">
        <v>5134</v>
      </c>
      <c r="AK41" s="6">
        <v>5185</v>
      </c>
      <c r="AL41" s="6">
        <v>5288</v>
      </c>
      <c r="AM41" s="6">
        <v>5491</v>
      </c>
      <c r="AN41" s="6">
        <v>5496</v>
      </c>
      <c r="AO41" s="6">
        <v>5861</v>
      </c>
      <c r="AP41" s="6">
        <v>6257</v>
      </c>
      <c r="AQ41" s="6">
        <v>6390</v>
      </c>
      <c r="AR41" s="6">
        <v>6563</v>
      </c>
      <c r="AS41" s="6">
        <v>6485</v>
      </c>
      <c r="AT41" s="51">
        <v>3914</v>
      </c>
      <c r="AU41" s="6">
        <v>4183</v>
      </c>
      <c r="AV41" s="6">
        <v>4535</v>
      </c>
      <c r="AW41" s="6">
        <v>4754</v>
      </c>
      <c r="AX41" s="6">
        <v>5145</v>
      </c>
      <c r="AY41" s="6">
        <v>5181</v>
      </c>
      <c r="AZ41" s="6">
        <v>5166</v>
      </c>
      <c r="BA41" s="6">
        <v>5175</v>
      </c>
      <c r="BB41" s="6">
        <v>5130</v>
      </c>
      <c r="BC41" s="6">
        <v>4743</v>
      </c>
      <c r="BD41" s="6">
        <v>4628</v>
      </c>
      <c r="BE41" s="6">
        <v>4461</v>
      </c>
      <c r="BF41" s="6">
        <v>4219</v>
      </c>
      <c r="BG41" s="6">
        <v>4079</v>
      </c>
      <c r="BH41" s="6">
        <v>3622</v>
      </c>
      <c r="BI41" s="6">
        <v>3587</v>
      </c>
      <c r="BJ41" s="6">
        <v>3442</v>
      </c>
      <c r="BK41" s="6">
        <v>3696</v>
      </c>
      <c r="BL41" s="6">
        <v>3789</v>
      </c>
      <c r="BM41" s="6">
        <v>4027</v>
      </c>
      <c r="BN41" s="6">
        <v>3843</v>
      </c>
      <c r="BO41" s="6">
        <v>3389</v>
      </c>
      <c r="BP41" s="6">
        <v>3246</v>
      </c>
      <c r="BQ41" s="6">
        <v>3254</v>
      </c>
      <c r="BR41" s="6">
        <v>3453</v>
      </c>
      <c r="BS41" s="6">
        <v>3699</v>
      </c>
      <c r="BT41" s="6">
        <v>3911</v>
      </c>
      <c r="BU41" s="6">
        <v>3874</v>
      </c>
      <c r="BV41" s="6">
        <v>4130</v>
      </c>
      <c r="BW41" s="6">
        <v>4011</v>
      </c>
      <c r="BX41" s="6">
        <v>4443</v>
      </c>
      <c r="BY41" s="6">
        <v>4428</v>
      </c>
      <c r="BZ41" s="6">
        <v>4711</v>
      </c>
      <c r="CA41" s="6">
        <v>5027</v>
      </c>
      <c r="CB41" s="6">
        <v>5702</v>
      </c>
      <c r="CC41" s="6">
        <v>5902</v>
      </c>
      <c r="CD41" s="6">
        <v>6057</v>
      </c>
      <c r="CE41" s="6">
        <v>6341</v>
      </c>
      <c r="CF41" s="6">
        <v>6814</v>
      </c>
      <c r="CG41" s="6">
        <v>7063</v>
      </c>
      <c r="CH41" s="6">
        <v>7416</v>
      </c>
      <c r="CI41" s="159">
        <v>7947</v>
      </c>
      <c r="CJ41">
        <v>7652</v>
      </c>
      <c r="CK41">
        <v>8178</v>
      </c>
    </row>
    <row r="42" spans="1:89">
      <c r="A42" s="18" t="s">
        <v>78</v>
      </c>
      <c r="B42" s="42">
        <v>1421</v>
      </c>
      <c r="C42" s="31">
        <v>1696</v>
      </c>
      <c r="D42" s="31">
        <v>1647</v>
      </c>
      <c r="E42" s="31">
        <v>1560</v>
      </c>
      <c r="F42" s="31">
        <v>1492</v>
      </c>
      <c r="G42" s="6">
        <v>1443</v>
      </c>
      <c r="H42" s="6">
        <v>1379</v>
      </c>
      <c r="I42" s="31">
        <v>1460</v>
      </c>
      <c r="J42" s="31">
        <v>1281</v>
      </c>
      <c r="K42" s="31">
        <v>1328</v>
      </c>
      <c r="L42" s="31">
        <v>1388</v>
      </c>
      <c r="M42" s="31">
        <v>1308</v>
      </c>
      <c r="N42" s="31">
        <v>1257</v>
      </c>
      <c r="O42" s="31">
        <v>1221</v>
      </c>
      <c r="P42" s="50">
        <v>1431</v>
      </c>
      <c r="Q42" s="50">
        <v>1311</v>
      </c>
      <c r="R42" s="50">
        <v>1615</v>
      </c>
      <c r="S42" s="50">
        <v>1383</v>
      </c>
      <c r="T42" s="31">
        <v>1436</v>
      </c>
      <c r="U42" s="31">
        <v>1537</v>
      </c>
      <c r="V42" s="31">
        <v>1571</v>
      </c>
      <c r="W42" s="31">
        <v>1558</v>
      </c>
      <c r="X42" s="6">
        <v>1637</v>
      </c>
      <c r="Y42" s="6">
        <v>1669</v>
      </c>
      <c r="Z42" s="6">
        <v>1656</v>
      </c>
      <c r="AA42" s="6">
        <v>1581</v>
      </c>
      <c r="AB42" s="6">
        <v>1571</v>
      </c>
      <c r="AC42" s="6">
        <v>1539</v>
      </c>
      <c r="AD42" s="6">
        <v>1653</v>
      </c>
      <c r="AE42" s="6">
        <v>1708</v>
      </c>
      <c r="AF42" s="6">
        <v>1721</v>
      </c>
      <c r="AG42" s="6">
        <v>1612</v>
      </c>
      <c r="AH42" s="6">
        <v>1764</v>
      </c>
      <c r="AI42" s="6">
        <v>1752</v>
      </c>
      <c r="AJ42" s="6">
        <v>1738</v>
      </c>
      <c r="AK42" s="6">
        <v>1933</v>
      </c>
      <c r="AL42" s="6">
        <v>1891</v>
      </c>
      <c r="AM42" s="6">
        <v>1780</v>
      </c>
      <c r="AN42" s="6">
        <v>2117</v>
      </c>
      <c r="AO42" s="6">
        <v>2491</v>
      </c>
      <c r="AP42" s="6">
        <v>2811</v>
      </c>
      <c r="AQ42" s="6">
        <v>3515</v>
      </c>
      <c r="AR42" s="6">
        <v>4201</v>
      </c>
      <c r="AS42" s="6">
        <v>3955</v>
      </c>
      <c r="AT42" s="51">
        <v>823</v>
      </c>
      <c r="AU42" s="6">
        <v>970</v>
      </c>
      <c r="AV42" s="6">
        <v>959</v>
      </c>
      <c r="AW42" s="6">
        <v>916</v>
      </c>
      <c r="AX42" s="6">
        <v>921</v>
      </c>
      <c r="AY42" s="6">
        <v>934</v>
      </c>
      <c r="AZ42" s="6">
        <v>1032</v>
      </c>
      <c r="BA42" s="6">
        <v>1164</v>
      </c>
      <c r="BB42" s="6">
        <v>1189</v>
      </c>
      <c r="BC42" s="6">
        <v>1207</v>
      </c>
      <c r="BD42" s="6">
        <v>1196</v>
      </c>
      <c r="BE42" s="6">
        <v>1203</v>
      </c>
      <c r="BF42" s="6">
        <v>1209</v>
      </c>
      <c r="BG42" s="6">
        <v>1124</v>
      </c>
      <c r="BH42" s="6">
        <v>1212</v>
      </c>
      <c r="BI42" s="6">
        <v>1322</v>
      </c>
      <c r="BJ42" s="6">
        <v>1275</v>
      </c>
      <c r="BK42" s="6">
        <v>1392</v>
      </c>
      <c r="BL42" s="6">
        <v>1565</v>
      </c>
      <c r="BM42" s="6">
        <v>1681</v>
      </c>
      <c r="BN42" s="6">
        <v>1435</v>
      </c>
      <c r="BO42" s="6">
        <v>1610</v>
      </c>
      <c r="BP42" s="6">
        <v>1732</v>
      </c>
      <c r="BQ42" s="6">
        <v>1848</v>
      </c>
      <c r="BR42" s="6">
        <v>1832</v>
      </c>
      <c r="BS42" s="6">
        <v>1897</v>
      </c>
      <c r="BT42" s="6">
        <v>1813</v>
      </c>
      <c r="BU42" s="6">
        <v>1801</v>
      </c>
      <c r="BV42" s="6">
        <v>1936</v>
      </c>
      <c r="BW42" s="6">
        <v>1990</v>
      </c>
      <c r="BX42" s="6">
        <v>2125</v>
      </c>
      <c r="BY42" s="6">
        <v>1881</v>
      </c>
      <c r="BZ42" s="6">
        <v>2114</v>
      </c>
      <c r="CA42" s="6">
        <v>2196</v>
      </c>
      <c r="CB42" s="6">
        <v>2229</v>
      </c>
      <c r="CC42" s="6">
        <v>2383</v>
      </c>
      <c r="CD42" s="6">
        <v>2539</v>
      </c>
      <c r="CE42" s="6">
        <v>2764</v>
      </c>
      <c r="CF42" s="6">
        <v>3140</v>
      </c>
      <c r="CG42" s="6">
        <v>3673</v>
      </c>
      <c r="CH42" s="6">
        <v>4641</v>
      </c>
      <c r="CI42" s="159">
        <v>6467</v>
      </c>
      <c r="CJ42">
        <v>7899</v>
      </c>
      <c r="CK42">
        <v>8172</v>
      </c>
    </row>
    <row r="43" spans="1:89">
      <c r="A43" s="18" t="s">
        <v>79</v>
      </c>
      <c r="B43" s="42">
        <v>1756</v>
      </c>
      <c r="C43" s="31">
        <v>1684</v>
      </c>
      <c r="D43" s="31">
        <v>1782</v>
      </c>
      <c r="E43" s="31">
        <v>1794</v>
      </c>
      <c r="F43" s="31">
        <v>1830</v>
      </c>
      <c r="G43" s="31">
        <v>1711</v>
      </c>
      <c r="H43" s="31">
        <v>1771</v>
      </c>
      <c r="I43" s="31">
        <v>1876</v>
      </c>
      <c r="J43" s="31">
        <v>1860</v>
      </c>
      <c r="K43" s="31">
        <v>1557</v>
      </c>
      <c r="L43" s="31">
        <v>1414</v>
      </c>
      <c r="M43" s="31">
        <v>1456</v>
      </c>
      <c r="N43" s="31">
        <v>1491</v>
      </c>
      <c r="O43" s="31">
        <v>1412</v>
      </c>
      <c r="P43" s="50">
        <v>1338</v>
      </c>
      <c r="Q43" s="50">
        <v>1392</v>
      </c>
      <c r="R43" s="50">
        <v>1362</v>
      </c>
      <c r="S43" s="50">
        <v>1321</v>
      </c>
      <c r="T43" s="31">
        <v>1324</v>
      </c>
      <c r="U43" s="31">
        <v>1440</v>
      </c>
      <c r="V43" s="31">
        <v>1439</v>
      </c>
      <c r="W43" s="31">
        <v>1412</v>
      </c>
      <c r="X43" s="6">
        <v>1627</v>
      </c>
      <c r="Y43" s="6">
        <v>1692</v>
      </c>
      <c r="Z43" s="6">
        <v>2003</v>
      </c>
      <c r="AA43" s="6">
        <v>1813</v>
      </c>
      <c r="AB43" s="6">
        <v>1977</v>
      </c>
      <c r="AC43" s="6">
        <v>1914</v>
      </c>
      <c r="AD43" s="6">
        <v>1876</v>
      </c>
      <c r="AE43" s="6">
        <v>1972</v>
      </c>
      <c r="AF43" s="6">
        <v>2026</v>
      </c>
      <c r="AG43" s="6">
        <v>2151</v>
      </c>
      <c r="AH43" s="6">
        <v>2078</v>
      </c>
      <c r="AI43" s="6">
        <v>2299</v>
      </c>
      <c r="AJ43" s="6">
        <v>2458</v>
      </c>
      <c r="AK43" s="6">
        <v>2313</v>
      </c>
      <c r="AL43" s="6">
        <v>2376</v>
      </c>
      <c r="AM43" s="6">
        <v>2237</v>
      </c>
      <c r="AN43" s="6">
        <v>2443</v>
      </c>
      <c r="AO43" s="6">
        <v>2461</v>
      </c>
      <c r="AP43" s="6">
        <v>2687</v>
      </c>
      <c r="AQ43" s="6">
        <v>2850</v>
      </c>
      <c r="AR43" s="6">
        <v>2872</v>
      </c>
      <c r="AS43" s="6">
        <v>2593</v>
      </c>
      <c r="AT43" s="51">
        <v>1127</v>
      </c>
      <c r="AU43" s="6">
        <v>1165</v>
      </c>
      <c r="AV43" s="6">
        <v>1245</v>
      </c>
      <c r="AW43" s="6">
        <v>1286</v>
      </c>
      <c r="AX43" s="6">
        <v>1303</v>
      </c>
      <c r="AY43" s="6">
        <v>1335</v>
      </c>
      <c r="AZ43" s="6">
        <v>1501</v>
      </c>
      <c r="BA43" s="6">
        <v>1666</v>
      </c>
      <c r="BB43" s="6">
        <v>1785</v>
      </c>
      <c r="BC43" s="6">
        <v>1711</v>
      </c>
      <c r="BD43" s="6">
        <v>1712</v>
      </c>
      <c r="BE43" s="6">
        <v>1746</v>
      </c>
      <c r="BF43" s="6">
        <v>1691</v>
      </c>
      <c r="BG43" s="6">
        <v>1666</v>
      </c>
      <c r="BH43" s="6">
        <v>1621</v>
      </c>
      <c r="BI43" s="6">
        <v>1592</v>
      </c>
      <c r="BJ43" s="6">
        <v>1686</v>
      </c>
      <c r="BK43" s="6">
        <v>1665</v>
      </c>
      <c r="BL43" s="6">
        <v>1659</v>
      </c>
      <c r="BM43" s="6">
        <v>1692</v>
      </c>
      <c r="BN43" s="6">
        <v>1870</v>
      </c>
      <c r="BO43" s="6">
        <v>1990</v>
      </c>
      <c r="BP43" s="6">
        <v>2164</v>
      </c>
      <c r="BQ43" s="6">
        <v>2228</v>
      </c>
      <c r="BR43" s="6">
        <v>2615</v>
      </c>
      <c r="BS43" s="6">
        <v>2537</v>
      </c>
      <c r="BT43" s="6">
        <v>2755</v>
      </c>
      <c r="BU43" s="6">
        <v>2757</v>
      </c>
      <c r="BV43" s="6">
        <v>2720</v>
      </c>
      <c r="BW43" s="6">
        <v>2916</v>
      </c>
      <c r="BX43" s="6">
        <v>2882</v>
      </c>
      <c r="BY43" s="6">
        <v>3004</v>
      </c>
      <c r="BZ43" s="6">
        <v>2977</v>
      </c>
      <c r="CA43" s="6">
        <v>3305</v>
      </c>
      <c r="CB43" s="6">
        <v>3531</v>
      </c>
      <c r="CC43" s="6">
        <v>3355</v>
      </c>
      <c r="CD43" s="6">
        <v>3476</v>
      </c>
      <c r="CE43" s="6">
        <v>3593</v>
      </c>
      <c r="CF43" s="6">
        <v>3825</v>
      </c>
      <c r="CG43" s="6">
        <v>3848</v>
      </c>
      <c r="CH43" s="6">
        <v>4035</v>
      </c>
      <c r="CI43" s="159">
        <v>4377</v>
      </c>
      <c r="CJ43">
        <v>4149</v>
      </c>
      <c r="CK43">
        <v>3993</v>
      </c>
    </row>
    <row r="44" spans="1:89">
      <c r="A44" s="18" t="s">
        <v>80</v>
      </c>
      <c r="B44" s="42">
        <v>7127</v>
      </c>
      <c r="C44" s="31">
        <v>7809</v>
      </c>
      <c r="D44" s="31">
        <v>8047</v>
      </c>
      <c r="E44" s="31">
        <v>7896</v>
      </c>
      <c r="F44" s="31">
        <v>7853</v>
      </c>
      <c r="G44" s="31">
        <v>8510</v>
      </c>
      <c r="H44" s="31">
        <v>8875</v>
      </c>
      <c r="I44" s="31">
        <v>8785</v>
      </c>
      <c r="J44" s="31">
        <v>8340</v>
      </c>
      <c r="K44" s="31">
        <v>7989</v>
      </c>
      <c r="L44" s="31">
        <v>7889</v>
      </c>
      <c r="M44" s="31">
        <v>7773</v>
      </c>
      <c r="N44" s="31">
        <v>7516</v>
      </c>
      <c r="O44" s="31">
        <v>6951</v>
      </c>
      <c r="P44" s="50">
        <v>6884</v>
      </c>
      <c r="Q44" s="50">
        <v>6237</v>
      </c>
      <c r="R44" s="50">
        <v>6032</v>
      </c>
      <c r="S44" s="50">
        <v>5873</v>
      </c>
      <c r="T44" s="31">
        <v>5910</v>
      </c>
      <c r="U44" s="31">
        <v>6145</v>
      </c>
      <c r="V44" s="31">
        <v>6425</v>
      </c>
      <c r="W44" s="31">
        <v>6772</v>
      </c>
      <c r="X44" s="6">
        <v>6887</v>
      </c>
      <c r="Y44" s="6">
        <v>7216</v>
      </c>
      <c r="Z44" s="6">
        <v>7441</v>
      </c>
      <c r="AA44" s="6">
        <v>7350</v>
      </c>
      <c r="AB44" s="6">
        <v>7468</v>
      </c>
      <c r="AC44" s="6">
        <v>7588</v>
      </c>
      <c r="AD44" s="6">
        <v>7967</v>
      </c>
      <c r="AE44" s="6">
        <v>8156</v>
      </c>
      <c r="AF44" s="6">
        <v>8456</v>
      </c>
      <c r="AG44" s="6">
        <v>9033</v>
      </c>
      <c r="AH44" s="6">
        <v>9261</v>
      </c>
      <c r="AI44" s="6">
        <v>9828</v>
      </c>
      <c r="AJ44" s="6">
        <v>10215</v>
      </c>
      <c r="AK44" s="6">
        <v>9506</v>
      </c>
      <c r="AL44" s="6">
        <v>9022</v>
      </c>
      <c r="AM44" s="6">
        <v>8701</v>
      </c>
      <c r="AN44" s="6">
        <v>8742</v>
      </c>
      <c r="AO44" s="6">
        <v>8966</v>
      </c>
      <c r="AP44" s="6">
        <v>8787</v>
      </c>
      <c r="AQ44" s="6">
        <v>8967</v>
      </c>
      <c r="AR44" s="6">
        <v>9223</v>
      </c>
      <c r="AS44" s="6">
        <v>9094</v>
      </c>
      <c r="AT44" s="51">
        <v>4916</v>
      </c>
      <c r="AU44" s="6">
        <v>5452</v>
      </c>
      <c r="AV44" s="6">
        <v>5602</v>
      </c>
      <c r="AW44" s="6">
        <v>5607</v>
      </c>
      <c r="AX44" s="6">
        <v>5964</v>
      </c>
      <c r="AY44" s="6">
        <v>6377</v>
      </c>
      <c r="AZ44" s="6">
        <v>7130</v>
      </c>
      <c r="BA44" s="6">
        <v>7313</v>
      </c>
      <c r="BB44" s="6">
        <v>7218</v>
      </c>
      <c r="BC44" s="6">
        <v>6907</v>
      </c>
      <c r="BD44" s="6">
        <v>7167</v>
      </c>
      <c r="BE44" s="6">
        <v>7143</v>
      </c>
      <c r="BF44" s="6">
        <v>6852</v>
      </c>
      <c r="BG44" s="6">
        <v>6344</v>
      </c>
      <c r="BH44" s="6">
        <v>5784</v>
      </c>
      <c r="BI44" s="6">
        <v>5567</v>
      </c>
      <c r="BJ44" s="6">
        <v>5436</v>
      </c>
      <c r="BK44" s="6">
        <v>5661</v>
      </c>
      <c r="BL44" s="6">
        <v>5994</v>
      </c>
      <c r="BM44" s="6">
        <v>6575</v>
      </c>
      <c r="BN44" s="6">
        <v>6872</v>
      </c>
      <c r="BO44" s="6">
        <v>7367</v>
      </c>
      <c r="BP44" s="6">
        <v>7487</v>
      </c>
      <c r="BQ44" s="6">
        <v>7728</v>
      </c>
      <c r="BR44" s="6">
        <v>8033</v>
      </c>
      <c r="BS44" s="6">
        <v>8110</v>
      </c>
      <c r="BT44" s="6">
        <v>8216</v>
      </c>
      <c r="BU44" s="6">
        <v>9205</v>
      </c>
      <c r="BV44" s="6">
        <v>9931</v>
      </c>
      <c r="BW44" s="6">
        <v>10343</v>
      </c>
      <c r="BX44" s="6">
        <v>11861</v>
      </c>
      <c r="BY44" s="6">
        <v>12309</v>
      </c>
      <c r="BZ44" s="6">
        <v>12808</v>
      </c>
      <c r="CA44" s="6">
        <v>13368</v>
      </c>
      <c r="CB44" s="6">
        <v>13989</v>
      </c>
      <c r="CC44" s="6">
        <v>13328</v>
      </c>
      <c r="CD44" s="6">
        <v>12964</v>
      </c>
      <c r="CE44" s="6">
        <v>12389</v>
      </c>
      <c r="CF44" s="6">
        <v>12163</v>
      </c>
      <c r="CG44" s="6">
        <v>12754</v>
      </c>
      <c r="CH44" s="6">
        <v>12389</v>
      </c>
      <c r="CI44" s="159">
        <v>12285</v>
      </c>
      <c r="CJ44">
        <v>12169</v>
      </c>
      <c r="CK44">
        <v>11954</v>
      </c>
    </row>
    <row r="45" spans="1:89">
      <c r="A45" s="18" t="s">
        <v>81</v>
      </c>
      <c r="B45" s="42">
        <v>1731</v>
      </c>
      <c r="C45" s="31">
        <v>1835</v>
      </c>
      <c r="D45" s="31">
        <v>1918</v>
      </c>
      <c r="E45" s="31">
        <v>1800</v>
      </c>
      <c r="F45" s="31">
        <v>1817</v>
      </c>
      <c r="G45" s="31">
        <v>1871</v>
      </c>
      <c r="H45" s="31">
        <v>1809</v>
      </c>
      <c r="I45" s="31">
        <v>2059</v>
      </c>
      <c r="J45" s="31">
        <v>1979</v>
      </c>
      <c r="K45" s="31">
        <v>1842</v>
      </c>
      <c r="L45" s="31">
        <v>1746</v>
      </c>
      <c r="M45" s="31">
        <v>1747</v>
      </c>
      <c r="N45" s="31">
        <v>1782</v>
      </c>
      <c r="O45" s="31">
        <v>1810</v>
      </c>
      <c r="P45" s="50">
        <v>2120</v>
      </c>
      <c r="Q45" s="50">
        <v>1695</v>
      </c>
      <c r="R45" s="50">
        <v>1680</v>
      </c>
      <c r="S45" s="50">
        <v>1733</v>
      </c>
      <c r="T45" s="31">
        <v>1836</v>
      </c>
      <c r="U45" s="31">
        <v>1842</v>
      </c>
      <c r="V45" s="31">
        <v>2023</v>
      </c>
      <c r="W45" s="31">
        <v>1966</v>
      </c>
      <c r="X45" s="6">
        <v>2149</v>
      </c>
      <c r="Y45" s="6">
        <v>2178</v>
      </c>
      <c r="Z45" s="6">
        <v>2298</v>
      </c>
      <c r="AA45" s="6">
        <v>2354</v>
      </c>
      <c r="AB45" s="6">
        <v>2588</v>
      </c>
      <c r="AC45" s="6">
        <v>2497</v>
      </c>
      <c r="AD45" s="6">
        <v>2760</v>
      </c>
      <c r="AE45" s="6">
        <v>2758</v>
      </c>
      <c r="AF45" s="6">
        <v>2989</v>
      </c>
      <c r="AG45" s="6">
        <v>3104</v>
      </c>
      <c r="AH45" s="6">
        <v>3239</v>
      </c>
      <c r="AI45" s="6">
        <v>3242</v>
      </c>
      <c r="AJ45" s="6">
        <v>3789</v>
      </c>
      <c r="AK45" s="6">
        <v>4288</v>
      </c>
      <c r="AL45" s="6">
        <v>3873</v>
      </c>
      <c r="AM45" s="6">
        <v>4933</v>
      </c>
      <c r="AN45" s="6">
        <v>5370</v>
      </c>
      <c r="AO45" s="6">
        <v>5822</v>
      </c>
      <c r="AP45" s="6">
        <v>6258</v>
      </c>
      <c r="AQ45" s="6">
        <v>5157</v>
      </c>
      <c r="AR45" s="6">
        <v>4177</v>
      </c>
      <c r="AS45" s="6">
        <v>3969</v>
      </c>
      <c r="AT45" s="51">
        <v>851</v>
      </c>
      <c r="AU45" s="6">
        <v>946</v>
      </c>
      <c r="AV45" s="6">
        <v>986</v>
      </c>
      <c r="AW45" s="6">
        <v>868</v>
      </c>
      <c r="AX45" s="6">
        <v>969</v>
      </c>
      <c r="AY45" s="6">
        <v>1047</v>
      </c>
      <c r="AZ45" s="6">
        <v>1132</v>
      </c>
      <c r="BA45" s="6">
        <v>1450</v>
      </c>
      <c r="BB45" s="6">
        <v>1575</v>
      </c>
      <c r="BC45" s="6">
        <v>1475</v>
      </c>
      <c r="BD45" s="6">
        <v>1476</v>
      </c>
      <c r="BE45" s="6">
        <v>1552</v>
      </c>
      <c r="BF45" s="6">
        <v>1753</v>
      </c>
      <c r="BG45" s="6">
        <v>1689</v>
      </c>
      <c r="BH45" s="6">
        <v>1912</v>
      </c>
      <c r="BI45" s="6">
        <v>1785</v>
      </c>
      <c r="BJ45" s="6">
        <v>1783</v>
      </c>
      <c r="BK45" s="6">
        <v>1874</v>
      </c>
      <c r="BL45" s="6">
        <v>2003</v>
      </c>
      <c r="BM45" s="6">
        <v>2272</v>
      </c>
      <c r="BN45" s="6">
        <v>2343</v>
      </c>
      <c r="BO45" s="6">
        <v>2619</v>
      </c>
      <c r="BP45" s="6">
        <v>2704</v>
      </c>
      <c r="BQ45" s="6">
        <v>3039</v>
      </c>
      <c r="BR45" s="6">
        <v>3380</v>
      </c>
      <c r="BS45" s="6">
        <v>3406</v>
      </c>
      <c r="BT45" s="6">
        <v>3987</v>
      </c>
      <c r="BU45" s="6">
        <v>4010</v>
      </c>
      <c r="BV45" s="6">
        <v>4466</v>
      </c>
      <c r="BW45" s="6">
        <v>4600</v>
      </c>
      <c r="BX45" s="6">
        <v>4808</v>
      </c>
      <c r="BY45" s="6">
        <v>4992</v>
      </c>
      <c r="BZ45" s="6">
        <v>5138</v>
      </c>
      <c r="CA45" s="6">
        <v>5943</v>
      </c>
      <c r="CB45" s="6">
        <v>7448</v>
      </c>
      <c r="CC45" s="6">
        <v>8764</v>
      </c>
      <c r="CD45" s="6">
        <v>6051</v>
      </c>
      <c r="CE45" s="6">
        <v>11454</v>
      </c>
      <c r="CF45" s="6">
        <v>12642</v>
      </c>
      <c r="CG45" s="6">
        <v>13364</v>
      </c>
      <c r="CH45" s="6">
        <v>14757</v>
      </c>
      <c r="CI45" s="159">
        <v>9247</v>
      </c>
      <c r="CJ45">
        <v>6616</v>
      </c>
      <c r="CK45">
        <v>6423</v>
      </c>
    </row>
    <row r="46" spans="1:89">
      <c r="A46" s="18" t="s">
        <v>82</v>
      </c>
      <c r="B46" s="42">
        <v>3341</v>
      </c>
      <c r="C46" s="31">
        <v>3872</v>
      </c>
      <c r="D46" s="31">
        <v>3842</v>
      </c>
      <c r="E46" s="31">
        <v>3727</v>
      </c>
      <c r="F46" s="31">
        <v>3748</v>
      </c>
      <c r="G46" s="31">
        <v>4014</v>
      </c>
      <c r="H46" s="31">
        <v>4651</v>
      </c>
      <c r="I46" s="31">
        <v>5120</v>
      </c>
      <c r="J46" s="31">
        <v>4914</v>
      </c>
      <c r="K46" s="31">
        <v>4506</v>
      </c>
      <c r="L46" s="31">
        <v>4356</v>
      </c>
      <c r="M46" s="31">
        <v>4183</v>
      </c>
      <c r="N46" s="31">
        <v>4319</v>
      </c>
      <c r="O46" s="31">
        <v>4572</v>
      </c>
      <c r="P46" s="50">
        <v>4023</v>
      </c>
      <c r="Q46" s="50">
        <v>4230</v>
      </c>
      <c r="R46" s="50">
        <v>4274</v>
      </c>
      <c r="S46" s="50">
        <v>4143</v>
      </c>
      <c r="T46" s="31">
        <v>4319</v>
      </c>
      <c r="U46" s="31">
        <v>4579</v>
      </c>
      <c r="V46" s="31">
        <v>4507</v>
      </c>
      <c r="W46" s="31">
        <v>4446</v>
      </c>
      <c r="X46" s="6">
        <v>4733</v>
      </c>
      <c r="Y46" s="6">
        <v>4590</v>
      </c>
      <c r="Z46" s="6">
        <v>5060</v>
      </c>
      <c r="AA46" s="6">
        <v>5077</v>
      </c>
      <c r="AB46" s="6">
        <v>5339</v>
      </c>
      <c r="AC46" s="6">
        <v>5049</v>
      </c>
      <c r="AD46" s="6">
        <v>5126</v>
      </c>
      <c r="AE46" s="6">
        <v>5459</v>
      </c>
      <c r="AF46" s="6">
        <v>5519</v>
      </c>
      <c r="AG46" s="6">
        <v>5797</v>
      </c>
      <c r="AH46" s="6">
        <v>5859</v>
      </c>
      <c r="AI46" s="6">
        <v>6718</v>
      </c>
      <c r="AJ46" s="6">
        <v>6846</v>
      </c>
      <c r="AK46" s="6">
        <v>7294</v>
      </c>
      <c r="AL46" s="6">
        <v>7050</v>
      </c>
      <c r="AM46" s="6">
        <v>7013</v>
      </c>
      <c r="AN46" s="6">
        <v>7392</v>
      </c>
      <c r="AO46" s="6">
        <v>8198</v>
      </c>
      <c r="AP46" s="6">
        <v>7998</v>
      </c>
      <c r="AQ46" s="6">
        <v>8717</v>
      </c>
      <c r="AR46" s="6">
        <v>8747</v>
      </c>
      <c r="AS46" s="6">
        <v>8695</v>
      </c>
      <c r="AT46" s="51">
        <v>1967</v>
      </c>
      <c r="AU46" s="6">
        <v>2137</v>
      </c>
      <c r="AV46" s="6">
        <v>2259</v>
      </c>
      <c r="AW46" s="6">
        <v>2298</v>
      </c>
      <c r="AX46" s="6">
        <v>2481</v>
      </c>
      <c r="AY46" s="6">
        <v>2686</v>
      </c>
      <c r="AZ46" s="6">
        <v>2883</v>
      </c>
      <c r="BA46" s="6">
        <v>3165</v>
      </c>
      <c r="BB46" s="6">
        <v>3233</v>
      </c>
      <c r="BC46" s="6">
        <v>3208</v>
      </c>
      <c r="BD46" s="6">
        <v>3199</v>
      </c>
      <c r="BE46" s="6">
        <v>3281</v>
      </c>
      <c r="BF46" s="6">
        <v>3598</v>
      </c>
      <c r="BG46" s="6">
        <v>3436</v>
      </c>
      <c r="BH46" s="6">
        <v>3058</v>
      </c>
      <c r="BI46" s="6">
        <v>3257</v>
      </c>
      <c r="BJ46" s="6">
        <v>3532</v>
      </c>
      <c r="BK46" s="6">
        <v>3530</v>
      </c>
      <c r="BL46" s="6">
        <v>3601</v>
      </c>
      <c r="BM46" s="6">
        <v>3990</v>
      </c>
      <c r="BN46" s="6">
        <v>4093</v>
      </c>
      <c r="BO46" s="6">
        <v>4344</v>
      </c>
      <c r="BP46" s="6">
        <v>4672</v>
      </c>
      <c r="BQ46" s="6">
        <v>4713</v>
      </c>
      <c r="BR46" s="6">
        <v>5070</v>
      </c>
      <c r="BS46" s="6">
        <v>5278</v>
      </c>
      <c r="BT46" s="6">
        <v>5496</v>
      </c>
      <c r="BU46" s="6">
        <v>6210</v>
      </c>
      <c r="BV46" s="6">
        <v>6535</v>
      </c>
      <c r="BW46" s="6">
        <v>7178</v>
      </c>
      <c r="BX46" s="6">
        <v>7495</v>
      </c>
      <c r="BY46" s="6">
        <v>7659</v>
      </c>
      <c r="BZ46" s="6">
        <v>8055</v>
      </c>
      <c r="CA46" s="6">
        <v>8873</v>
      </c>
      <c r="CB46" s="6">
        <v>9415</v>
      </c>
      <c r="CC46" s="6">
        <v>9886</v>
      </c>
      <c r="CD46" s="6">
        <v>10033</v>
      </c>
      <c r="CE46" s="6">
        <v>10355</v>
      </c>
      <c r="CF46" s="6">
        <v>10353</v>
      </c>
      <c r="CG46" s="6">
        <v>11314</v>
      </c>
      <c r="CH46" s="6">
        <v>11375</v>
      </c>
      <c r="CI46" s="159">
        <v>11714</v>
      </c>
      <c r="CJ46">
        <v>11839</v>
      </c>
      <c r="CK46">
        <v>11410</v>
      </c>
    </row>
    <row r="47" spans="1:89">
      <c r="A47" s="18" t="s">
        <v>83</v>
      </c>
      <c r="B47" s="42">
        <v>787</v>
      </c>
      <c r="C47" s="31">
        <v>840</v>
      </c>
      <c r="D47" s="31">
        <v>983</v>
      </c>
      <c r="E47" s="31">
        <v>989</v>
      </c>
      <c r="F47" s="31">
        <v>926</v>
      </c>
      <c r="G47" s="31">
        <v>878</v>
      </c>
      <c r="H47" s="31">
        <v>954</v>
      </c>
      <c r="I47" s="31">
        <v>986</v>
      </c>
      <c r="J47" s="31">
        <v>998</v>
      </c>
      <c r="K47" s="31">
        <v>902</v>
      </c>
      <c r="L47" s="31">
        <v>824</v>
      </c>
      <c r="M47" s="31">
        <v>846</v>
      </c>
      <c r="N47" s="31">
        <v>718</v>
      </c>
      <c r="O47" s="31">
        <v>818</v>
      </c>
      <c r="P47" s="50">
        <v>742</v>
      </c>
      <c r="Q47" s="50">
        <v>775</v>
      </c>
      <c r="R47" s="50">
        <v>744</v>
      </c>
      <c r="S47" s="50">
        <v>705</v>
      </c>
      <c r="T47" s="31">
        <v>755</v>
      </c>
      <c r="U47" s="31">
        <v>800</v>
      </c>
      <c r="V47" s="31">
        <v>782</v>
      </c>
      <c r="W47" s="31">
        <v>676</v>
      </c>
      <c r="X47" s="6">
        <v>842</v>
      </c>
      <c r="Y47" s="6">
        <v>825</v>
      </c>
      <c r="Z47" s="6">
        <v>943</v>
      </c>
      <c r="AA47" s="6">
        <v>927</v>
      </c>
      <c r="AB47" s="6">
        <v>935</v>
      </c>
      <c r="AC47" s="6">
        <v>975</v>
      </c>
      <c r="AD47" s="6">
        <v>1280</v>
      </c>
      <c r="AE47" s="6">
        <v>1347</v>
      </c>
      <c r="AF47" s="6">
        <v>1324</v>
      </c>
      <c r="AG47" s="6">
        <v>1387</v>
      </c>
      <c r="AH47" s="6">
        <v>1345</v>
      </c>
      <c r="AI47" s="6">
        <v>1490</v>
      </c>
      <c r="AJ47" s="6">
        <v>1456</v>
      </c>
      <c r="AK47" s="6">
        <v>1581</v>
      </c>
      <c r="AL47" s="6">
        <v>1594</v>
      </c>
      <c r="AM47" s="6">
        <v>1365</v>
      </c>
      <c r="AN47" s="6">
        <v>1610</v>
      </c>
      <c r="AO47" s="6">
        <v>1583</v>
      </c>
      <c r="AP47" s="6">
        <v>1656</v>
      </c>
      <c r="AQ47" s="6">
        <v>1755</v>
      </c>
      <c r="AR47" s="6">
        <v>1994</v>
      </c>
      <c r="AS47" s="6">
        <v>1937</v>
      </c>
      <c r="AT47" s="51">
        <v>460</v>
      </c>
      <c r="AU47" s="6">
        <v>534</v>
      </c>
      <c r="AV47" s="6">
        <v>565</v>
      </c>
      <c r="AW47" s="6">
        <v>558</v>
      </c>
      <c r="AX47" s="6">
        <v>595</v>
      </c>
      <c r="AY47" s="6">
        <v>639</v>
      </c>
      <c r="AZ47" s="6">
        <v>598</v>
      </c>
      <c r="BA47" s="6">
        <v>785</v>
      </c>
      <c r="BB47" s="6">
        <v>818</v>
      </c>
      <c r="BC47" s="6">
        <v>819</v>
      </c>
      <c r="BD47" s="6">
        <v>865</v>
      </c>
      <c r="BE47" s="6">
        <v>864</v>
      </c>
      <c r="BF47" s="6">
        <v>831</v>
      </c>
      <c r="BG47" s="6">
        <v>858</v>
      </c>
      <c r="BH47" s="6">
        <v>821</v>
      </c>
      <c r="BI47" s="6">
        <v>893</v>
      </c>
      <c r="BJ47" s="6">
        <v>890</v>
      </c>
      <c r="BK47" s="6">
        <v>904</v>
      </c>
      <c r="BL47" s="6">
        <v>967</v>
      </c>
      <c r="BM47" s="6">
        <v>976</v>
      </c>
      <c r="BN47" s="6">
        <v>931</v>
      </c>
      <c r="BO47" s="6">
        <v>1015</v>
      </c>
      <c r="BP47" s="6">
        <v>1067</v>
      </c>
      <c r="BQ47" s="6">
        <v>1182</v>
      </c>
      <c r="BR47" s="6">
        <v>1258</v>
      </c>
      <c r="BS47" s="6">
        <v>1325</v>
      </c>
      <c r="BT47" s="6">
        <v>1438</v>
      </c>
      <c r="BU47" s="6">
        <v>1420</v>
      </c>
      <c r="BV47" s="6">
        <v>1625</v>
      </c>
      <c r="BW47" s="6">
        <v>1606</v>
      </c>
      <c r="BX47" s="6">
        <v>1574</v>
      </c>
      <c r="BY47" s="6">
        <v>1800</v>
      </c>
      <c r="BZ47" s="6">
        <v>1866</v>
      </c>
      <c r="CA47" s="6">
        <v>2043</v>
      </c>
      <c r="CB47" s="6">
        <v>2174</v>
      </c>
      <c r="CC47" s="6">
        <v>2355</v>
      </c>
      <c r="CD47" s="6">
        <v>2359</v>
      </c>
      <c r="CE47" s="6">
        <v>2186</v>
      </c>
      <c r="CF47" s="6">
        <v>2538</v>
      </c>
      <c r="CG47" s="6">
        <v>2877</v>
      </c>
      <c r="CH47" s="6">
        <v>2708</v>
      </c>
      <c r="CI47" s="159">
        <v>2929</v>
      </c>
      <c r="CJ47">
        <v>3184</v>
      </c>
      <c r="CK47">
        <v>3071</v>
      </c>
    </row>
    <row r="48" spans="1:89">
      <c r="A48" s="18" t="s">
        <v>84</v>
      </c>
      <c r="B48" s="42">
        <v>552</v>
      </c>
      <c r="C48" s="31">
        <v>484</v>
      </c>
      <c r="D48" s="31">
        <v>488</v>
      </c>
      <c r="E48" s="31">
        <v>423</v>
      </c>
      <c r="F48" s="31">
        <v>419</v>
      </c>
      <c r="G48" s="31">
        <v>345</v>
      </c>
      <c r="H48" s="31">
        <v>323</v>
      </c>
      <c r="I48" s="31">
        <v>357</v>
      </c>
      <c r="J48" s="31">
        <v>336</v>
      </c>
      <c r="K48" s="31">
        <v>294</v>
      </c>
      <c r="L48" s="31">
        <v>284</v>
      </c>
      <c r="M48" s="31">
        <v>257</v>
      </c>
      <c r="N48" s="31">
        <v>275</v>
      </c>
      <c r="O48" s="31">
        <v>283</v>
      </c>
      <c r="P48" s="50">
        <v>295</v>
      </c>
      <c r="Q48" s="50">
        <v>298</v>
      </c>
      <c r="R48" s="50">
        <v>278</v>
      </c>
      <c r="S48" s="50">
        <v>263</v>
      </c>
      <c r="T48" s="31">
        <v>307</v>
      </c>
      <c r="U48" s="31">
        <v>293</v>
      </c>
      <c r="V48" s="31">
        <v>321</v>
      </c>
      <c r="W48" s="31">
        <v>296</v>
      </c>
      <c r="X48" s="6">
        <v>256</v>
      </c>
      <c r="Y48" s="6">
        <v>275</v>
      </c>
      <c r="Z48" s="6">
        <v>297</v>
      </c>
      <c r="AA48" s="6">
        <v>285</v>
      </c>
      <c r="AB48" s="6">
        <v>303</v>
      </c>
      <c r="AC48" s="6">
        <v>269</v>
      </c>
      <c r="AD48" s="6">
        <v>330</v>
      </c>
      <c r="AE48" s="6">
        <v>315</v>
      </c>
      <c r="AF48" s="6">
        <v>322</v>
      </c>
      <c r="AG48" s="6">
        <v>331</v>
      </c>
      <c r="AH48" s="6">
        <v>374</v>
      </c>
      <c r="AI48" s="6">
        <v>393</v>
      </c>
      <c r="AJ48" s="6">
        <v>435</v>
      </c>
      <c r="AK48" s="6">
        <v>469</v>
      </c>
      <c r="AL48" s="6">
        <v>465</v>
      </c>
      <c r="AM48" s="6">
        <v>536</v>
      </c>
      <c r="AN48" s="6">
        <v>571</v>
      </c>
      <c r="AO48" s="6">
        <v>537</v>
      </c>
      <c r="AP48" s="6">
        <v>515</v>
      </c>
      <c r="AQ48" s="6">
        <v>551</v>
      </c>
      <c r="AR48" s="6">
        <v>633</v>
      </c>
      <c r="AS48" s="6">
        <v>639</v>
      </c>
      <c r="AT48" s="51">
        <v>151</v>
      </c>
      <c r="AU48" s="6">
        <v>181</v>
      </c>
      <c r="AV48" s="6">
        <v>221</v>
      </c>
      <c r="AW48" s="6">
        <v>152</v>
      </c>
      <c r="AX48" s="6">
        <v>161</v>
      </c>
      <c r="AY48" s="6">
        <v>121</v>
      </c>
      <c r="AZ48" s="6">
        <v>130</v>
      </c>
      <c r="BA48" s="6">
        <v>159</v>
      </c>
      <c r="BB48" s="6">
        <v>152</v>
      </c>
      <c r="BC48" s="6">
        <v>171</v>
      </c>
      <c r="BD48" s="6">
        <v>190</v>
      </c>
      <c r="BE48" s="6">
        <v>209</v>
      </c>
      <c r="BF48" s="6">
        <v>188</v>
      </c>
      <c r="BG48" s="6">
        <v>181</v>
      </c>
      <c r="BH48" s="6">
        <v>265</v>
      </c>
      <c r="BI48" s="6">
        <v>254</v>
      </c>
      <c r="BJ48" s="6">
        <v>256</v>
      </c>
      <c r="BK48" s="6">
        <v>324</v>
      </c>
      <c r="BL48" s="6">
        <v>277</v>
      </c>
      <c r="BM48" s="6">
        <v>286</v>
      </c>
      <c r="BN48" s="6">
        <v>299</v>
      </c>
      <c r="BO48" s="6">
        <v>291</v>
      </c>
      <c r="BP48" s="6">
        <v>316</v>
      </c>
      <c r="BQ48" s="6">
        <v>374</v>
      </c>
      <c r="BR48" s="6">
        <v>378</v>
      </c>
      <c r="BS48" s="6">
        <v>343</v>
      </c>
      <c r="BT48" s="6">
        <v>402</v>
      </c>
      <c r="BU48" s="6">
        <v>434</v>
      </c>
      <c r="BV48" s="6">
        <v>436</v>
      </c>
      <c r="BW48" s="6">
        <v>501</v>
      </c>
      <c r="BX48" s="6">
        <v>541</v>
      </c>
      <c r="BY48" s="6">
        <v>511</v>
      </c>
      <c r="BZ48" s="6">
        <v>539</v>
      </c>
      <c r="CA48" s="6">
        <v>535</v>
      </c>
      <c r="CB48" s="6">
        <v>619</v>
      </c>
      <c r="CC48" s="6">
        <v>635</v>
      </c>
      <c r="CD48" s="6">
        <v>702</v>
      </c>
      <c r="CE48" s="6">
        <v>781</v>
      </c>
      <c r="CF48" s="6">
        <v>755</v>
      </c>
      <c r="CG48" s="6">
        <v>812</v>
      </c>
      <c r="CH48" s="6">
        <v>877</v>
      </c>
      <c r="CI48" s="159">
        <v>1021</v>
      </c>
      <c r="CJ48">
        <v>1092</v>
      </c>
      <c r="CK48">
        <v>1037</v>
      </c>
    </row>
    <row r="49" spans="1:89">
      <c r="A49" s="18" t="s">
        <v>85</v>
      </c>
      <c r="B49" s="42">
        <v>5432</v>
      </c>
      <c r="C49" s="31">
        <v>6148</v>
      </c>
      <c r="D49" s="31">
        <v>6584</v>
      </c>
      <c r="E49" s="31">
        <v>6856</v>
      </c>
      <c r="F49" s="31">
        <v>6702</v>
      </c>
      <c r="G49" s="31">
        <v>6888</v>
      </c>
      <c r="H49" s="31">
        <v>6920</v>
      </c>
      <c r="I49" s="31">
        <v>7061</v>
      </c>
      <c r="J49" s="31">
        <v>6590</v>
      </c>
      <c r="K49" s="31">
        <v>6588</v>
      </c>
      <c r="L49" s="31">
        <v>6625</v>
      </c>
      <c r="M49" s="31">
        <v>6547</v>
      </c>
      <c r="N49" s="31">
        <v>6613</v>
      </c>
      <c r="O49" s="31">
        <v>6440</v>
      </c>
      <c r="P49" s="50">
        <v>6329</v>
      </c>
      <c r="Q49" s="50">
        <v>6096</v>
      </c>
      <c r="R49" s="50">
        <v>5909</v>
      </c>
      <c r="S49" s="50">
        <v>5723</v>
      </c>
      <c r="T49" s="31">
        <v>5670</v>
      </c>
      <c r="U49" s="31">
        <v>5922</v>
      </c>
      <c r="V49" s="31">
        <v>6026</v>
      </c>
      <c r="W49" s="31">
        <v>6161</v>
      </c>
      <c r="X49" s="6">
        <v>6236</v>
      </c>
      <c r="Y49" s="6">
        <v>6479</v>
      </c>
      <c r="Z49" s="6">
        <v>6635</v>
      </c>
      <c r="AA49" s="6">
        <v>6715</v>
      </c>
      <c r="AB49" s="6">
        <v>6794</v>
      </c>
      <c r="AC49" s="6">
        <v>7096</v>
      </c>
      <c r="AD49" s="6">
        <v>7283</v>
      </c>
      <c r="AE49" s="6">
        <v>7106</v>
      </c>
      <c r="AF49" s="6">
        <v>7005</v>
      </c>
      <c r="AG49" s="6">
        <v>7174</v>
      </c>
      <c r="AH49" s="6">
        <v>7305</v>
      </c>
      <c r="AI49" s="6">
        <v>7546</v>
      </c>
      <c r="AJ49" s="6">
        <v>7748</v>
      </c>
      <c r="AK49" s="6">
        <v>8232</v>
      </c>
      <c r="AL49" s="6">
        <v>8258</v>
      </c>
      <c r="AM49" s="6">
        <v>8044</v>
      </c>
      <c r="AN49" s="6">
        <v>8144</v>
      </c>
      <c r="AO49" s="6">
        <v>8527</v>
      </c>
      <c r="AP49" s="6">
        <v>8637</v>
      </c>
      <c r="AQ49" s="6">
        <v>8956</v>
      </c>
      <c r="AR49" s="6">
        <v>9811</v>
      </c>
      <c r="AS49" s="6">
        <v>9364</v>
      </c>
      <c r="AT49" s="51">
        <v>3329</v>
      </c>
      <c r="AU49" s="6">
        <v>3614</v>
      </c>
      <c r="AV49" s="6">
        <v>4058</v>
      </c>
      <c r="AW49" s="6">
        <v>4181</v>
      </c>
      <c r="AX49" s="6">
        <v>4510</v>
      </c>
      <c r="AY49" s="6">
        <v>5030</v>
      </c>
      <c r="AZ49" s="6">
        <v>5361</v>
      </c>
      <c r="BA49" s="6">
        <v>5823</v>
      </c>
      <c r="BB49" s="6">
        <v>6041</v>
      </c>
      <c r="BC49" s="6">
        <v>6408</v>
      </c>
      <c r="BD49" s="6">
        <v>6339</v>
      </c>
      <c r="BE49" s="6">
        <v>6652</v>
      </c>
      <c r="BF49" s="6">
        <v>6852</v>
      </c>
      <c r="BG49" s="6">
        <v>6524</v>
      </c>
      <c r="BH49" s="6">
        <v>6264</v>
      </c>
      <c r="BI49" s="6">
        <v>6139</v>
      </c>
      <c r="BJ49" s="6">
        <v>6179</v>
      </c>
      <c r="BK49" s="6">
        <v>6447</v>
      </c>
      <c r="BL49" s="6">
        <v>6568</v>
      </c>
      <c r="BM49" s="6">
        <v>6869</v>
      </c>
      <c r="BN49" s="6">
        <v>6995</v>
      </c>
      <c r="BO49" s="6">
        <v>7275</v>
      </c>
      <c r="BP49" s="6">
        <v>7524</v>
      </c>
      <c r="BQ49" s="6">
        <v>8134</v>
      </c>
      <c r="BR49" s="6">
        <v>8357</v>
      </c>
      <c r="BS49" s="6">
        <v>8672</v>
      </c>
      <c r="BT49" s="6">
        <v>9129</v>
      </c>
      <c r="BU49" s="6">
        <v>9387</v>
      </c>
      <c r="BV49" s="6">
        <v>9730</v>
      </c>
      <c r="BW49" s="6">
        <v>9691</v>
      </c>
      <c r="BX49" s="6">
        <v>9876</v>
      </c>
      <c r="BY49" s="6">
        <v>10438</v>
      </c>
      <c r="BZ49" s="6">
        <v>10771</v>
      </c>
      <c r="CA49" s="6">
        <v>11278</v>
      </c>
      <c r="CB49" s="6">
        <v>11480</v>
      </c>
      <c r="CC49" s="6">
        <v>12128</v>
      </c>
      <c r="CD49" s="6">
        <v>12422</v>
      </c>
      <c r="CE49" s="6">
        <v>12365</v>
      </c>
      <c r="CF49" s="6">
        <v>12945</v>
      </c>
      <c r="CG49" s="6">
        <v>12976</v>
      </c>
      <c r="CH49" s="6">
        <v>13547</v>
      </c>
      <c r="CI49" s="159">
        <v>13680</v>
      </c>
      <c r="CJ49">
        <v>14337</v>
      </c>
      <c r="CK49">
        <v>13630</v>
      </c>
    </row>
    <row r="50" spans="1:89">
      <c r="A50" s="18" t="s">
        <v>86</v>
      </c>
      <c r="B50" s="51">
        <v>674</v>
      </c>
      <c r="C50" s="6">
        <v>644</v>
      </c>
      <c r="D50" s="6">
        <v>646</v>
      </c>
      <c r="E50" s="31">
        <v>591</v>
      </c>
      <c r="F50" s="31">
        <v>511</v>
      </c>
      <c r="G50" s="31">
        <v>495</v>
      </c>
      <c r="H50" s="31">
        <v>463</v>
      </c>
      <c r="I50" s="31">
        <v>479</v>
      </c>
      <c r="J50" s="31">
        <v>415</v>
      </c>
      <c r="K50" s="31">
        <v>404</v>
      </c>
      <c r="L50" s="31">
        <v>380</v>
      </c>
      <c r="M50" s="31">
        <v>341</v>
      </c>
      <c r="N50" s="31">
        <v>404</v>
      </c>
      <c r="O50" s="31">
        <v>416</v>
      </c>
      <c r="P50" s="50">
        <v>419</v>
      </c>
      <c r="Q50" s="50">
        <v>417</v>
      </c>
      <c r="R50" s="50">
        <v>423</v>
      </c>
      <c r="S50" s="50">
        <v>404</v>
      </c>
      <c r="T50" s="31">
        <v>393</v>
      </c>
      <c r="U50" s="31">
        <v>421</v>
      </c>
      <c r="V50" s="31">
        <v>392</v>
      </c>
      <c r="W50" s="31">
        <v>377</v>
      </c>
      <c r="X50" s="6">
        <v>397</v>
      </c>
      <c r="Y50" s="6">
        <v>468</v>
      </c>
      <c r="Z50" s="6">
        <v>481</v>
      </c>
      <c r="AA50" s="6">
        <v>451</v>
      </c>
      <c r="AB50" s="6">
        <v>514</v>
      </c>
      <c r="AC50" s="6">
        <v>472</v>
      </c>
      <c r="AD50" s="6">
        <v>439</v>
      </c>
      <c r="AE50" s="6">
        <v>433</v>
      </c>
      <c r="AF50" s="6">
        <v>395</v>
      </c>
      <c r="AG50" s="6">
        <v>442</v>
      </c>
      <c r="AH50" s="6">
        <v>405</v>
      </c>
      <c r="AI50" s="6">
        <v>480</v>
      </c>
      <c r="AJ50" s="6">
        <v>489</v>
      </c>
      <c r="AK50" s="6">
        <v>549</v>
      </c>
      <c r="AL50" s="6">
        <v>488</v>
      </c>
      <c r="AM50" s="6">
        <v>499</v>
      </c>
      <c r="AN50" s="6">
        <v>512</v>
      </c>
      <c r="AO50" s="6">
        <v>509</v>
      </c>
      <c r="AP50" s="6">
        <v>532</v>
      </c>
      <c r="AQ50" s="6">
        <v>623</v>
      </c>
      <c r="AR50" s="6">
        <v>630</v>
      </c>
      <c r="AS50" s="6">
        <v>652</v>
      </c>
      <c r="AT50" s="51">
        <v>225</v>
      </c>
      <c r="AU50" s="6">
        <v>222</v>
      </c>
      <c r="AV50" s="6">
        <v>251</v>
      </c>
      <c r="AW50" s="6">
        <v>189</v>
      </c>
      <c r="AX50" s="6">
        <v>227</v>
      </c>
      <c r="AY50" s="6">
        <v>200</v>
      </c>
      <c r="AZ50" s="6">
        <v>257</v>
      </c>
      <c r="BA50" s="6">
        <v>298</v>
      </c>
      <c r="BB50" s="6">
        <v>244</v>
      </c>
      <c r="BC50" s="6">
        <v>279</v>
      </c>
      <c r="BD50" s="6">
        <v>224</v>
      </c>
      <c r="BE50" s="6">
        <v>236</v>
      </c>
      <c r="BF50" s="6">
        <v>324</v>
      </c>
      <c r="BG50" s="6">
        <v>321</v>
      </c>
      <c r="BH50" s="6">
        <v>300</v>
      </c>
      <c r="BI50" s="6">
        <v>314</v>
      </c>
      <c r="BJ50" s="6">
        <v>322</v>
      </c>
      <c r="BK50" s="6">
        <v>315</v>
      </c>
      <c r="BL50" s="6">
        <v>363</v>
      </c>
      <c r="BM50" s="6">
        <v>372</v>
      </c>
      <c r="BN50" s="6">
        <v>377</v>
      </c>
      <c r="BO50" s="6">
        <v>404</v>
      </c>
      <c r="BP50" s="6">
        <v>388</v>
      </c>
      <c r="BQ50" s="6">
        <v>445</v>
      </c>
      <c r="BR50" s="6">
        <v>557</v>
      </c>
      <c r="BS50" s="6">
        <v>556</v>
      </c>
      <c r="BT50" s="6">
        <v>548</v>
      </c>
      <c r="BU50" s="6">
        <v>555</v>
      </c>
      <c r="BV50" s="6">
        <v>498</v>
      </c>
      <c r="BW50" s="6">
        <v>547</v>
      </c>
      <c r="BX50" s="6">
        <v>489</v>
      </c>
      <c r="BY50" s="6">
        <v>541</v>
      </c>
      <c r="BZ50" s="6">
        <v>538</v>
      </c>
      <c r="CA50" s="6">
        <v>590</v>
      </c>
      <c r="CB50" s="6">
        <v>627</v>
      </c>
      <c r="CC50" s="6">
        <v>668</v>
      </c>
      <c r="CD50" s="6">
        <v>629</v>
      </c>
      <c r="CE50" s="6">
        <v>692</v>
      </c>
      <c r="CF50" s="6">
        <v>731</v>
      </c>
      <c r="CG50" s="6">
        <v>733</v>
      </c>
      <c r="CH50" s="6">
        <v>777</v>
      </c>
      <c r="CI50">
        <v>804</v>
      </c>
      <c r="CJ50">
        <v>837</v>
      </c>
      <c r="CK50">
        <v>860</v>
      </c>
    </row>
    <row r="51" spans="1:89">
      <c r="A51" s="20" t="s">
        <v>87</v>
      </c>
      <c r="B51" s="51">
        <v>2582</v>
      </c>
      <c r="C51" s="6">
        <v>2916</v>
      </c>
      <c r="D51" s="6">
        <v>3028</v>
      </c>
      <c r="E51" s="31">
        <v>3302</v>
      </c>
      <c r="F51" s="31">
        <v>3285</v>
      </c>
      <c r="G51" s="31">
        <v>3178</v>
      </c>
      <c r="H51" s="31">
        <v>3208</v>
      </c>
      <c r="I51" s="31">
        <v>3097</v>
      </c>
      <c r="J51" s="31">
        <v>2897</v>
      </c>
      <c r="K51" s="31">
        <v>2796</v>
      </c>
      <c r="L51" s="31">
        <v>2756</v>
      </c>
      <c r="M51" s="31">
        <v>2624</v>
      </c>
      <c r="N51" s="31">
        <v>2694</v>
      </c>
      <c r="O51" s="31">
        <v>2623</v>
      </c>
      <c r="P51" s="50">
        <v>2663</v>
      </c>
      <c r="Q51" s="50">
        <v>2691</v>
      </c>
      <c r="R51" s="50">
        <v>2590</v>
      </c>
      <c r="S51" s="50">
        <v>2652</v>
      </c>
      <c r="T51" s="31">
        <v>2585</v>
      </c>
      <c r="U51" s="31">
        <v>2647</v>
      </c>
      <c r="V51" s="31">
        <v>2650</v>
      </c>
      <c r="W51" s="31">
        <v>2673</v>
      </c>
      <c r="X51" s="6">
        <v>2760</v>
      </c>
      <c r="Y51" s="6">
        <v>2826</v>
      </c>
      <c r="Z51" s="6">
        <v>2694</v>
      </c>
      <c r="AA51" s="6">
        <v>2750</v>
      </c>
      <c r="AB51" s="6">
        <v>2865</v>
      </c>
      <c r="AC51" s="6">
        <v>2731</v>
      </c>
      <c r="AD51" s="6">
        <v>2752</v>
      </c>
      <c r="AE51" s="6">
        <v>2768</v>
      </c>
      <c r="AF51" s="6">
        <v>2792</v>
      </c>
      <c r="AG51" s="6">
        <v>2919</v>
      </c>
      <c r="AH51" s="6">
        <v>3034</v>
      </c>
      <c r="AI51" s="6">
        <v>3354</v>
      </c>
      <c r="AJ51" s="6">
        <v>3546</v>
      </c>
      <c r="AK51" s="6">
        <v>3404</v>
      </c>
      <c r="AL51" s="6">
        <v>3311</v>
      </c>
      <c r="AM51" s="6">
        <v>3242</v>
      </c>
      <c r="AN51" s="6">
        <v>3261</v>
      </c>
      <c r="AO51" s="6">
        <v>3325</v>
      </c>
      <c r="AP51" s="6">
        <v>3611</v>
      </c>
      <c r="AQ51" s="6">
        <v>3724</v>
      </c>
      <c r="AR51" s="6">
        <v>3757</v>
      </c>
      <c r="AS51" s="6">
        <v>3730</v>
      </c>
      <c r="AT51" s="51">
        <v>1667</v>
      </c>
      <c r="AU51" s="6">
        <v>1899</v>
      </c>
      <c r="AV51" s="6">
        <v>1852</v>
      </c>
      <c r="AW51" s="6">
        <v>1919</v>
      </c>
      <c r="AX51" s="6">
        <v>2034</v>
      </c>
      <c r="AY51" s="6">
        <v>2208</v>
      </c>
      <c r="AZ51" s="6">
        <v>2504</v>
      </c>
      <c r="BA51" s="6">
        <v>2564</v>
      </c>
      <c r="BB51" s="6">
        <v>2541</v>
      </c>
      <c r="BC51" s="6">
        <v>2524</v>
      </c>
      <c r="BD51" s="6">
        <v>2567</v>
      </c>
      <c r="BE51" s="6">
        <v>2576</v>
      </c>
      <c r="BF51" s="6">
        <v>2623</v>
      </c>
      <c r="BG51" s="6">
        <v>2507</v>
      </c>
      <c r="BH51" s="6">
        <v>2612</v>
      </c>
      <c r="BI51" s="6">
        <v>2660</v>
      </c>
      <c r="BJ51" s="6">
        <v>2765</v>
      </c>
      <c r="BK51" s="6">
        <v>2742</v>
      </c>
      <c r="BL51" s="6">
        <v>2894</v>
      </c>
      <c r="BM51" s="6">
        <v>2751</v>
      </c>
      <c r="BN51" s="6">
        <v>3138</v>
      </c>
      <c r="BO51" s="6">
        <v>3304</v>
      </c>
      <c r="BP51" s="6">
        <v>3492</v>
      </c>
      <c r="BQ51" s="6">
        <v>3514</v>
      </c>
      <c r="BR51" s="6">
        <v>3573</v>
      </c>
      <c r="BS51" s="6">
        <v>3696</v>
      </c>
      <c r="BT51" s="6">
        <v>3835</v>
      </c>
      <c r="BU51" s="6">
        <v>3782</v>
      </c>
      <c r="BV51" s="6">
        <v>3977</v>
      </c>
      <c r="BW51" s="6">
        <v>4256</v>
      </c>
      <c r="BX51" s="6">
        <v>4207</v>
      </c>
      <c r="BY51" s="6">
        <v>4549</v>
      </c>
      <c r="BZ51" s="6">
        <v>4789</v>
      </c>
      <c r="CA51" s="6">
        <v>4934</v>
      </c>
      <c r="CB51" s="6">
        <v>5609</v>
      </c>
      <c r="CC51" s="6">
        <v>5312</v>
      </c>
      <c r="CD51" s="6">
        <v>5293</v>
      </c>
      <c r="CE51" s="6">
        <v>5444</v>
      </c>
      <c r="CF51" s="6">
        <v>5557</v>
      </c>
      <c r="CG51" s="6">
        <v>5664</v>
      </c>
      <c r="CH51" s="6">
        <v>5865</v>
      </c>
      <c r="CI51" s="159">
        <v>5971</v>
      </c>
      <c r="CJ51" s="162">
        <v>6099</v>
      </c>
      <c r="CK51" s="141">
        <v>5923</v>
      </c>
    </row>
    <row r="52" spans="1:89">
      <c r="A52" s="15" t="s">
        <v>88</v>
      </c>
      <c r="B52" s="48">
        <f t="shared" ref="B52:BQ52" si="43">SUM(B54:B62)</f>
        <v>34827</v>
      </c>
      <c r="C52" s="15">
        <f t="shared" si="43"/>
        <v>38284</v>
      </c>
      <c r="D52" s="15">
        <f t="shared" si="43"/>
        <v>42300</v>
      </c>
      <c r="E52" s="15">
        <f t="shared" si="43"/>
        <v>43827</v>
      </c>
      <c r="F52" s="15">
        <f t="shared" si="43"/>
        <v>44435</v>
      </c>
      <c r="G52" s="15">
        <f t="shared" si="43"/>
        <v>44849</v>
      </c>
      <c r="H52" s="15">
        <f t="shared" si="43"/>
        <v>45046</v>
      </c>
      <c r="I52" s="15">
        <f t="shared" si="43"/>
        <v>44132</v>
      </c>
      <c r="J52" s="15">
        <f t="shared" si="43"/>
        <v>41508</v>
      </c>
      <c r="K52" s="15">
        <f t="shared" si="43"/>
        <v>39423</v>
      </c>
      <c r="L52" s="15">
        <f t="shared" si="43"/>
        <v>38669</v>
      </c>
      <c r="M52" s="15">
        <f t="shared" si="43"/>
        <v>37966</v>
      </c>
      <c r="N52" s="15">
        <f t="shared" si="43"/>
        <v>38025</v>
      </c>
      <c r="O52" s="15">
        <f t="shared" si="43"/>
        <v>37363</v>
      </c>
      <c r="P52" s="15">
        <f t="shared" si="43"/>
        <v>36972</v>
      </c>
      <c r="Q52" s="15">
        <f t="shared" si="43"/>
        <v>37431</v>
      </c>
      <c r="R52" s="15">
        <f t="shared" si="43"/>
        <v>36985</v>
      </c>
      <c r="S52" s="15">
        <f t="shared" si="43"/>
        <v>37386</v>
      </c>
      <c r="T52" s="15">
        <f t="shared" si="43"/>
        <v>38009</v>
      </c>
      <c r="U52" s="15">
        <f t="shared" si="43"/>
        <v>39472</v>
      </c>
      <c r="V52" s="15">
        <f t="shared" si="43"/>
        <v>40658</v>
      </c>
      <c r="W52" s="15">
        <f t="shared" si="43"/>
        <v>41609</v>
      </c>
      <c r="X52" s="15">
        <f t="shared" si="43"/>
        <v>43275</v>
      </c>
      <c r="Y52" s="15">
        <f t="shared" si="43"/>
        <v>43897</v>
      </c>
      <c r="Z52" s="15">
        <f t="shared" si="43"/>
        <v>45173</v>
      </c>
      <c r="AA52" s="15">
        <f t="shared" si="43"/>
        <v>45634</v>
      </c>
      <c r="AB52" s="15">
        <f t="shared" si="43"/>
        <v>45380</v>
      </c>
      <c r="AC52" s="15">
        <f t="shared" si="43"/>
        <v>45984</v>
      </c>
      <c r="AD52" s="15">
        <f t="shared" si="43"/>
        <v>46646</v>
      </c>
      <c r="AE52" s="15">
        <f t="shared" si="43"/>
        <v>46821</v>
      </c>
      <c r="AF52" s="15">
        <f t="shared" si="43"/>
        <v>47696</v>
      </c>
      <c r="AG52" s="15">
        <f t="shared" si="43"/>
        <v>47952</v>
      </c>
      <c r="AH52" s="15">
        <f t="shared" si="43"/>
        <v>49369</v>
      </c>
      <c r="AI52" s="15">
        <f t="shared" si="43"/>
        <v>52949</v>
      </c>
      <c r="AJ52" s="15">
        <f t="shared" ref="AJ52" si="44">SUM(AJ54:AJ62)</f>
        <v>57007</v>
      </c>
      <c r="AK52" s="15">
        <f t="shared" si="43"/>
        <v>56647</v>
      </c>
      <c r="AL52" s="15">
        <f t="shared" si="43"/>
        <v>58154</v>
      </c>
      <c r="AM52" s="15">
        <f t="shared" si="43"/>
        <v>57991</v>
      </c>
      <c r="AN52" s="15">
        <f t="shared" si="43"/>
        <v>59577</v>
      </c>
      <c r="AO52" s="15">
        <f t="shared" si="43"/>
        <v>62635</v>
      </c>
      <c r="AP52" s="15">
        <f t="shared" ref="AP52:AQ52" si="45">SUM(AP54:AP62)</f>
        <v>65266</v>
      </c>
      <c r="AQ52" s="15">
        <f t="shared" si="45"/>
        <v>68155</v>
      </c>
      <c r="AR52" s="15">
        <f t="shared" ref="AR52:AS52" si="46">SUM(AR54:AR62)</f>
        <v>70598</v>
      </c>
      <c r="AS52" s="15">
        <f t="shared" si="46"/>
        <v>70020</v>
      </c>
      <c r="AT52" s="48">
        <f t="shared" si="43"/>
        <v>25708</v>
      </c>
      <c r="AU52" s="15">
        <f t="shared" si="43"/>
        <v>28755</v>
      </c>
      <c r="AV52" s="15">
        <f t="shared" si="43"/>
        <v>32654</v>
      </c>
      <c r="AW52" s="15">
        <f t="shared" si="43"/>
        <v>35029</v>
      </c>
      <c r="AX52" s="15">
        <f t="shared" si="43"/>
        <v>37369</v>
      </c>
      <c r="AY52" s="15">
        <f t="shared" si="43"/>
        <v>40650</v>
      </c>
      <c r="AZ52" s="15">
        <f t="shared" si="43"/>
        <v>42347</v>
      </c>
      <c r="BA52" s="15">
        <f t="shared" si="43"/>
        <v>41624</v>
      </c>
      <c r="BB52" s="15">
        <f t="shared" si="43"/>
        <v>40171</v>
      </c>
      <c r="BC52" s="15">
        <f t="shared" si="43"/>
        <v>39880</v>
      </c>
      <c r="BD52" s="15">
        <f t="shared" si="43"/>
        <v>39623</v>
      </c>
      <c r="BE52" s="15">
        <f t="shared" si="43"/>
        <v>39828</v>
      </c>
      <c r="BF52" s="15">
        <f t="shared" si="43"/>
        <v>40620</v>
      </c>
      <c r="BG52" s="15">
        <f t="shared" si="43"/>
        <v>39205</v>
      </c>
      <c r="BH52" s="15">
        <f t="shared" si="43"/>
        <v>37934</v>
      </c>
      <c r="BI52" s="15">
        <f t="shared" si="43"/>
        <v>39022</v>
      </c>
      <c r="BJ52" s="15">
        <f t="shared" si="43"/>
        <v>39462</v>
      </c>
      <c r="BK52" s="15">
        <f t="shared" si="43"/>
        <v>40986</v>
      </c>
      <c r="BL52" s="15">
        <f t="shared" si="43"/>
        <v>42235</v>
      </c>
      <c r="BM52" s="15">
        <f t="shared" si="43"/>
        <v>44722</v>
      </c>
      <c r="BN52" s="15">
        <f t="shared" si="43"/>
        <v>48416</v>
      </c>
      <c r="BO52" s="15">
        <f t="shared" si="43"/>
        <v>51847</v>
      </c>
      <c r="BP52" s="15">
        <f t="shared" si="43"/>
        <v>55126</v>
      </c>
      <c r="BQ52" s="15">
        <f t="shared" si="43"/>
        <v>56563</v>
      </c>
      <c r="BR52" s="15">
        <f t="shared" ref="BR52:CG52" si="47">SUM(BR54:BR62)</f>
        <v>58621</v>
      </c>
      <c r="BS52" s="15">
        <f t="shared" si="47"/>
        <v>61032</v>
      </c>
      <c r="BT52" s="15">
        <f t="shared" si="47"/>
        <v>62336</v>
      </c>
      <c r="BU52" s="15">
        <f t="shared" si="47"/>
        <v>65792</v>
      </c>
      <c r="BV52" s="15">
        <f t="shared" si="47"/>
        <v>66945</v>
      </c>
      <c r="BW52" s="15">
        <f t="shared" si="47"/>
        <v>67905</v>
      </c>
      <c r="BX52" s="15">
        <f t="shared" si="47"/>
        <v>70918</v>
      </c>
      <c r="BY52" s="15">
        <f t="shared" si="47"/>
        <v>73775</v>
      </c>
      <c r="BZ52" s="15">
        <f t="shared" si="47"/>
        <v>75633</v>
      </c>
      <c r="CA52" s="15">
        <f t="shared" si="47"/>
        <v>82878</v>
      </c>
      <c r="CB52" s="15">
        <f t="shared" si="47"/>
        <v>88761</v>
      </c>
      <c r="CC52" s="15">
        <f t="shared" si="47"/>
        <v>87514</v>
      </c>
      <c r="CD52" s="15">
        <f t="shared" si="47"/>
        <v>90857</v>
      </c>
      <c r="CE52" s="15">
        <f t="shared" si="47"/>
        <v>93005</v>
      </c>
      <c r="CF52" s="15">
        <f t="shared" si="47"/>
        <v>94911</v>
      </c>
      <c r="CG52" s="15">
        <f t="shared" si="47"/>
        <v>98844</v>
      </c>
      <c r="CH52" s="15">
        <f t="shared" ref="CH52:CI52" si="48">SUM(CH54:CH62)</f>
        <v>101445</v>
      </c>
      <c r="CI52" s="15">
        <f t="shared" si="48"/>
        <v>105706</v>
      </c>
      <c r="CJ52" s="15">
        <f t="shared" ref="CJ52:CK52" si="49">SUM(CJ54:CJ62)</f>
        <v>108516</v>
      </c>
      <c r="CK52" s="15">
        <f t="shared" si="49"/>
        <v>107400</v>
      </c>
    </row>
    <row r="53" spans="1:89">
      <c r="A53" s="17" t="s">
        <v>44</v>
      </c>
      <c r="B53" s="49">
        <f t="shared" ref="B53:BQ53" si="50">(B52/B4)*100</f>
        <v>27.920344404627333</v>
      </c>
      <c r="C53" s="17">
        <f t="shared" si="50"/>
        <v>27.905010423196348</v>
      </c>
      <c r="D53" s="17">
        <f t="shared" si="50"/>
        <v>28.481204425023058</v>
      </c>
      <c r="E53" s="17">
        <f t="shared" si="50"/>
        <v>28.563142356245802</v>
      </c>
      <c r="F53" s="17">
        <f t="shared" si="50"/>
        <v>28.313187758456998</v>
      </c>
      <c r="G53" s="17">
        <f t="shared" si="50"/>
        <v>27.925555098940237</v>
      </c>
      <c r="H53" s="17">
        <f t="shared" si="50"/>
        <v>27.068961372977913</v>
      </c>
      <c r="I53" s="17">
        <f t="shared" si="50"/>
        <v>26.450263411827464</v>
      </c>
      <c r="J53" s="17">
        <f t="shared" si="50"/>
        <v>25.895079635417638</v>
      </c>
      <c r="K53" s="17">
        <f t="shared" si="50"/>
        <v>25.853690526937072</v>
      </c>
      <c r="L53" s="17">
        <f t="shared" si="50"/>
        <v>25.821508463824244</v>
      </c>
      <c r="M53" s="17">
        <f t="shared" si="50"/>
        <v>25.97937579975229</v>
      </c>
      <c r="N53" s="17">
        <f t="shared" si="50"/>
        <v>26.281413286887283</v>
      </c>
      <c r="O53" s="17">
        <f t="shared" si="50"/>
        <v>26.03765958632993</v>
      </c>
      <c r="P53" s="17">
        <f t="shared" si="50"/>
        <v>25.993053895583458</v>
      </c>
      <c r="Q53" s="17">
        <f t="shared" si="50"/>
        <v>26.336119554204661</v>
      </c>
      <c r="R53" s="17">
        <f t="shared" si="50"/>
        <v>25.997624118709712</v>
      </c>
      <c r="S53" s="17">
        <f t="shared" si="50"/>
        <v>26.686939203803245</v>
      </c>
      <c r="T53" s="17">
        <f t="shared" si="50"/>
        <v>26.464055700609222</v>
      </c>
      <c r="U53" s="17">
        <f t="shared" si="50"/>
        <v>26.749796692870696</v>
      </c>
      <c r="V53" s="17">
        <f t="shared" si="50"/>
        <v>26.662032604561492</v>
      </c>
      <c r="W53" s="17">
        <f t="shared" si="50"/>
        <v>26.766117308013946</v>
      </c>
      <c r="X53" s="17">
        <f t="shared" si="50"/>
        <v>26.917167897195387</v>
      </c>
      <c r="Y53" s="17">
        <f t="shared" si="50"/>
        <v>26.117973249559711</v>
      </c>
      <c r="Z53" s="17">
        <f t="shared" si="50"/>
        <v>25.829821541909919</v>
      </c>
      <c r="AA53" s="17">
        <f t="shared" si="50"/>
        <v>25.712482673908877</v>
      </c>
      <c r="AB53" s="17">
        <f t="shared" si="50"/>
        <v>25.493379473840918</v>
      </c>
      <c r="AC53" s="17">
        <f t="shared" si="50"/>
        <v>25.584617182153529</v>
      </c>
      <c r="AD53" s="17">
        <f t="shared" si="50"/>
        <v>25.299525423728813</v>
      </c>
      <c r="AE53" s="17">
        <f t="shared" si="50"/>
        <v>25.152566774824329</v>
      </c>
      <c r="AF53" s="17">
        <f t="shared" si="50"/>
        <v>24.868607658296487</v>
      </c>
      <c r="AG53" s="17">
        <f t="shared" si="50"/>
        <v>24.672885655334937</v>
      </c>
      <c r="AH53" s="17">
        <f t="shared" si="50"/>
        <v>24.793591803937325</v>
      </c>
      <c r="AI53" s="17">
        <f t="shared" si="50"/>
        <v>25.015590747599969</v>
      </c>
      <c r="AJ53" s="17">
        <f t="shared" si="50"/>
        <v>24.864461706888356</v>
      </c>
      <c r="AK53" s="17">
        <f t="shared" si="50"/>
        <v>24.250610043238151</v>
      </c>
      <c r="AL53" s="17">
        <f t="shared" si="50"/>
        <v>25.310538731382909</v>
      </c>
      <c r="AM53" s="17">
        <f t="shared" si="50"/>
        <v>24.346632296201758</v>
      </c>
      <c r="AN53" s="17">
        <f t="shared" si="50"/>
        <v>24.074238701752119</v>
      </c>
      <c r="AO53" s="17">
        <f t="shared" si="50"/>
        <v>23.933253600400448</v>
      </c>
      <c r="AP53" s="17">
        <f t="shared" ref="AP53:AQ53" si="51">(AP52/AP4)*100</f>
        <v>23.82109904227984</v>
      </c>
      <c r="AQ53" s="17">
        <f t="shared" si="51"/>
        <v>24.488439358281084</v>
      </c>
      <c r="AR53" s="17">
        <f t="shared" ref="AR53:AS53" si="52">(AR52/AR4)*100</f>
        <v>24.057275657845416</v>
      </c>
      <c r="AS53" s="17">
        <f t="shared" si="52"/>
        <v>23.997121167983277</v>
      </c>
      <c r="AT53" s="49">
        <f t="shared" si="50"/>
        <v>31.100518987188636</v>
      </c>
      <c r="AU53" s="17">
        <f t="shared" si="50"/>
        <v>31.134618924391223</v>
      </c>
      <c r="AV53" s="17">
        <f t="shared" si="50"/>
        <v>31.989889885967322</v>
      </c>
      <c r="AW53" s="17">
        <f t="shared" si="50"/>
        <v>32.166502906362773</v>
      </c>
      <c r="AX53" s="17">
        <f t="shared" si="50"/>
        <v>31.352462454903936</v>
      </c>
      <c r="AY53" s="17">
        <f t="shared" si="50"/>
        <v>31.060883917109848</v>
      </c>
      <c r="AZ53" s="17">
        <f t="shared" si="50"/>
        <v>29.304057186749617</v>
      </c>
      <c r="BA53" s="17">
        <f t="shared" si="50"/>
        <v>27.865812429287757</v>
      </c>
      <c r="BB53" s="17">
        <f t="shared" si="50"/>
        <v>26.710151865741111</v>
      </c>
      <c r="BC53" s="17">
        <f t="shared" si="50"/>
        <v>27.00195676166101</v>
      </c>
      <c r="BD53" s="17">
        <f t="shared" si="50"/>
        <v>26.900072642348455</v>
      </c>
      <c r="BE53" s="17">
        <f t="shared" si="50"/>
        <v>26.788813107873604</v>
      </c>
      <c r="BF53" s="17">
        <f t="shared" si="50"/>
        <v>27.082347136751849</v>
      </c>
      <c r="BG53" s="17">
        <f t="shared" si="50"/>
        <v>26.997527837649859</v>
      </c>
      <c r="BH53" s="17">
        <f t="shared" si="50"/>
        <v>26.96723467479935</v>
      </c>
      <c r="BI53" s="17">
        <f t="shared" si="50"/>
        <v>27.315427315427314</v>
      </c>
      <c r="BJ53" s="17">
        <f t="shared" si="50"/>
        <v>27.205228433744903</v>
      </c>
      <c r="BK53" s="17">
        <f t="shared" si="50"/>
        <v>27.686508687076117</v>
      </c>
      <c r="BL53" s="17">
        <f t="shared" si="50"/>
        <v>27.464559760697099</v>
      </c>
      <c r="BM53" s="17">
        <f t="shared" si="50"/>
        <v>27.838157485216307</v>
      </c>
      <c r="BN53" s="17">
        <f t="shared" si="50"/>
        <v>28.37667551679473</v>
      </c>
      <c r="BO53" s="17">
        <f t="shared" si="50"/>
        <v>28.711692454230302</v>
      </c>
      <c r="BP53" s="17">
        <f t="shared" si="50"/>
        <v>28.881286313793087</v>
      </c>
      <c r="BQ53" s="17">
        <f t="shared" si="50"/>
        <v>28.249719066050694</v>
      </c>
      <c r="BR53" s="17">
        <f t="shared" ref="BR53:CG53" si="53">(BR52/BR4)*100</f>
        <v>27.799855833981447</v>
      </c>
      <c r="BS53" s="17">
        <f t="shared" si="53"/>
        <v>27.881733791389518</v>
      </c>
      <c r="BT53" s="17">
        <f t="shared" si="53"/>
        <v>27.449667975974496</v>
      </c>
      <c r="BU53" s="17">
        <f t="shared" si="53"/>
        <v>27.60820122027981</v>
      </c>
      <c r="BV53" s="17">
        <f t="shared" si="53"/>
        <v>27.236776259311853</v>
      </c>
      <c r="BW53" s="17">
        <f t="shared" si="53"/>
        <v>26.751313830080605</v>
      </c>
      <c r="BX53" s="17">
        <f t="shared" si="53"/>
        <v>26.734875444839858</v>
      </c>
      <c r="BY53" s="17">
        <f t="shared" si="53"/>
        <v>26.912904696762425</v>
      </c>
      <c r="BZ53" s="17">
        <f t="shared" si="53"/>
        <v>26.725630569827345</v>
      </c>
      <c r="CA53" s="17">
        <f t="shared" si="53"/>
        <v>27.472611253832767</v>
      </c>
      <c r="CB53" s="17">
        <f t="shared" si="53"/>
        <v>26.946511352562407</v>
      </c>
      <c r="CC53" s="17">
        <f t="shared" si="53"/>
        <v>25.661822489648944</v>
      </c>
      <c r="CD53" s="17">
        <f t="shared" si="53"/>
        <v>26.691794484610437</v>
      </c>
      <c r="CE53" s="17">
        <f t="shared" si="53"/>
        <v>25.382213755874439</v>
      </c>
      <c r="CF53" s="17">
        <f t="shared" si="53"/>
        <v>25.047436827868314</v>
      </c>
      <c r="CG53" s="17">
        <f t="shared" si="53"/>
        <v>24.863162554835593</v>
      </c>
      <c r="CH53" s="17">
        <f t="shared" ref="CH53:CI53" si="54">(CH52/CH4)*100</f>
        <v>24.420863595111253</v>
      </c>
      <c r="CI53" s="17">
        <f t="shared" si="54"/>
        <v>25.566382961226925</v>
      </c>
      <c r="CJ53" s="17">
        <f t="shared" ref="CJ53:CK53" si="55">(CJ52/CJ4)*100</f>
        <v>24.839312201285502</v>
      </c>
      <c r="CK53" s="17">
        <f t="shared" si="55"/>
        <v>24.832771859891373</v>
      </c>
    </row>
    <row r="54" spans="1:89">
      <c r="A54" s="18" t="s">
        <v>89</v>
      </c>
      <c r="B54" s="42">
        <v>1991</v>
      </c>
      <c r="C54" s="31">
        <v>2357</v>
      </c>
      <c r="D54" s="31">
        <v>2493</v>
      </c>
      <c r="E54" s="31">
        <v>2722</v>
      </c>
      <c r="F54" s="31">
        <v>3031</v>
      </c>
      <c r="G54" s="6">
        <v>2801</v>
      </c>
      <c r="H54" s="6">
        <v>3039</v>
      </c>
      <c r="I54" s="31">
        <v>3085</v>
      </c>
      <c r="J54" s="31">
        <v>2862</v>
      </c>
      <c r="K54" s="31">
        <v>2725</v>
      </c>
      <c r="L54" s="31">
        <v>2648</v>
      </c>
      <c r="M54" s="31">
        <v>2912</v>
      </c>
      <c r="N54" s="31">
        <v>2793</v>
      </c>
      <c r="O54" s="31">
        <v>2744</v>
      </c>
      <c r="P54" s="50">
        <v>2848</v>
      </c>
      <c r="Q54" s="50">
        <v>2870</v>
      </c>
      <c r="R54" s="50">
        <v>3069</v>
      </c>
      <c r="S54" s="50">
        <v>2687</v>
      </c>
      <c r="T54" s="31">
        <v>2660</v>
      </c>
      <c r="U54" s="31">
        <v>2771</v>
      </c>
      <c r="V54" s="31">
        <v>2765</v>
      </c>
      <c r="W54" s="31">
        <v>2808</v>
      </c>
      <c r="X54" s="6">
        <v>2903</v>
      </c>
      <c r="Y54" s="6">
        <v>2994</v>
      </c>
      <c r="Z54" s="6">
        <v>2938</v>
      </c>
      <c r="AA54" s="6">
        <v>2809</v>
      </c>
      <c r="AB54" s="6">
        <v>2901</v>
      </c>
      <c r="AC54" s="6">
        <v>2925</v>
      </c>
      <c r="AD54" s="6">
        <v>2941</v>
      </c>
      <c r="AE54" s="6">
        <v>3093</v>
      </c>
      <c r="AF54" s="6">
        <v>3213</v>
      </c>
      <c r="AG54" s="6">
        <v>3083</v>
      </c>
      <c r="AH54" s="6">
        <v>3159</v>
      </c>
      <c r="AI54" s="6">
        <v>3322</v>
      </c>
      <c r="AJ54" s="6">
        <v>3479</v>
      </c>
      <c r="AK54" s="6">
        <v>3516</v>
      </c>
      <c r="AL54" s="6">
        <v>3314</v>
      </c>
      <c r="AM54" s="6">
        <v>3344</v>
      </c>
      <c r="AN54" s="6">
        <v>3451</v>
      </c>
      <c r="AO54" s="6">
        <v>3921</v>
      </c>
      <c r="AP54" s="6">
        <v>3552</v>
      </c>
      <c r="AQ54" s="6">
        <v>3712</v>
      </c>
      <c r="AR54" s="6">
        <v>3728</v>
      </c>
      <c r="AS54" s="6">
        <v>3828</v>
      </c>
      <c r="AT54" s="51">
        <v>1969</v>
      </c>
      <c r="AU54" s="6">
        <v>2168</v>
      </c>
      <c r="AV54" s="6">
        <v>2370</v>
      </c>
      <c r="AW54" s="6">
        <v>2680</v>
      </c>
      <c r="AX54" s="6">
        <v>2968</v>
      </c>
      <c r="AY54" s="6">
        <v>3062</v>
      </c>
      <c r="AZ54" s="6">
        <v>3364</v>
      </c>
      <c r="BA54" s="6">
        <v>3231</v>
      </c>
      <c r="BB54" s="6">
        <v>3157</v>
      </c>
      <c r="BC54" s="6">
        <v>3018</v>
      </c>
      <c r="BD54" s="6">
        <v>2991</v>
      </c>
      <c r="BE54" s="6">
        <v>3278</v>
      </c>
      <c r="BF54" s="6">
        <v>3033</v>
      </c>
      <c r="BG54" s="6">
        <v>2967</v>
      </c>
      <c r="BH54" s="6">
        <v>2985</v>
      </c>
      <c r="BI54" s="6">
        <v>2958</v>
      </c>
      <c r="BJ54" s="6">
        <v>3232</v>
      </c>
      <c r="BK54" s="6">
        <v>3068</v>
      </c>
      <c r="BL54" s="6">
        <v>3232</v>
      </c>
      <c r="BM54" s="6">
        <v>3251</v>
      </c>
      <c r="BN54" s="6">
        <v>3520</v>
      </c>
      <c r="BO54" s="6">
        <v>3473</v>
      </c>
      <c r="BP54" s="6">
        <v>3660</v>
      </c>
      <c r="BQ54" s="6">
        <v>3596</v>
      </c>
      <c r="BR54" s="6">
        <v>3711</v>
      </c>
      <c r="BS54" s="6">
        <v>3610</v>
      </c>
      <c r="BT54" s="6">
        <v>3814</v>
      </c>
      <c r="BU54" s="6">
        <v>4024</v>
      </c>
      <c r="BV54" s="6">
        <v>4226</v>
      </c>
      <c r="BW54" s="6">
        <v>4277</v>
      </c>
      <c r="BX54" s="6">
        <v>4751</v>
      </c>
      <c r="BY54" s="6">
        <v>4524</v>
      </c>
      <c r="BZ54" s="6">
        <v>4351</v>
      </c>
      <c r="CA54" s="6">
        <v>4930</v>
      </c>
      <c r="CB54" s="6">
        <v>4902</v>
      </c>
      <c r="CC54" s="6">
        <v>5335</v>
      </c>
      <c r="CD54" s="6">
        <v>5285</v>
      </c>
      <c r="CE54" s="6">
        <v>5061</v>
      </c>
      <c r="CF54" s="6">
        <v>5135</v>
      </c>
      <c r="CG54" s="6">
        <v>5312</v>
      </c>
      <c r="CH54" s="6">
        <v>5087</v>
      </c>
      <c r="CI54" s="159">
        <v>5419</v>
      </c>
      <c r="CJ54">
        <v>5729</v>
      </c>
      <c r="CK54">
        <v>5742</v>
      </c>
    </row>
    <row r="55" spans="1:89">
      <c r="A55" s="18" t="s">
        <v>90</v>
      </c>
      <c r="B55" s="42">
        <v>394</v>
      </c>
      <c r="C55" s="31">
        <v>498</v>
      </c>
      <c r="D55" s="31">
        <v>472</v>
      </c>
      <c r="E55" s="31">
        <v>428</v>
      </c>
      <c r="F55" s="31">
        <v>469</v>
      </c>
      <c r="G55" s="31">
        <v>460</v>
      </c>
      <c r="H55" s="31">
        <v>397</v>
      </c>
      <c r="I55" s="31">
        <v>392</v>
      </c>
      <c r="J55" s="31">
        <v>302</v>
      </c>
      <c r="K55" s="31">
        <v>339</v>
      </c>
      <c r="L55" s="31">
        <v>307</v>
      </c>
      <c r="M55" s="31">
        <v>238</v>
      </c>
      <c r="N55" s="31">
        <v>273</v>
      </c>
      <c r="O55" s="31">
        <v>256</v>
      </c>
      <c r="P55" s="50">
        <v>246</v>
      </c>
      <c r="Q55" s="50">
        <v>233</v>
      </c>
      <c r="R55" s="50">
        <v>249</v>
      </c>
      <c r="S55" s="50">
        <v>245</v>
      </c>
      <c r="T55" s="31">
        <v>234</v>
      </c>
      <c r="U55" s="31">
        <v>303</v>
      </c>
      <c r="V55" s="31">
        <v>305</v>
      </c>
      <c r="W55" s="31">
        <v>352</v>
      </c>
      <c r="X55" s="6">
        <v>332</v>
      </c>
      <c r="Y55" s="6">
        <v>357</v>
      </c>
      <c r="Z55" s="6">
        <v>382</v>
      </c>
      <c r="AA55" s="6">
        <v>372</v>
      </c>
      <c r="AB55" s="6">
        <v>313</v>
      </c>
      <c r="AC55" s="6">
        <v>376</v>
      </c>
      <c r="AD55" s="6">
        <v>393</v>
      </c>
      <c r="AE55" s="6">
        <v>382</v>
      </c>
      <c r="AF55" s="6">
        <v>398</v>
      </c>
      <c r="AG55" s="6">
        <v>368</v>
      </c>
      <c r="AH55" s="6">
        <v>374</v>
      </c>
      <c r="AI55" s="6">
        <v>405</v>
      </c>
      <c r="AJ55" s="6">
        <v>462</v>
      </c>
      <c r="AK55" s="6">
        <v>473</v>
      </c>
      <c r="AL55" s="6">
        <v>476</v>
      </c>
      <c r="AM55" s="6">
        <v>474</v>
      </c>
      <c r="AN55" s="6">
        <v>510</v>
      </c>
      <c r="AO55" s="6">
        <v>474</v>
      </c>
      <c r="AP55" s="6">
        <v>522</v>
      </c>
      <c r="AQ55" s="6">
        <v>549</v>
      </c>
      <c r="AR55" s="6">
        <v>587</v>
      </c>
      <c r="AS55" s="6">
        <v>537</v>
      </c>
      <c r="AT55" s="51">
        <v>201</v>
      </c>
      <c r="AU55" s="6">
        <v>248</v>
      </c>
      <c r="AV55" s="6">
        <v>238</v>
      </c>
      <c r="AW55" s="6">
        <v>182</v>
      </c>
      <c r="AX55" s="6">
        <v>259</v>
      </c>
      <c r="AY55" s="6">
        <v>276</v>
      </c>
      <c r="AZ55" s="6">
        <v>298</v>
      </c>
      <c r="BA55" s="6">
        <v>274</v>
      </c>
      <c r="BB55" s="6">
        <v>263</v>
      </c>
      <c r="BC55" s="6">
        <v>279</v>
      </c>
      <c r="BD55" s="6">
        <v>292</v>
      </c>
      <c r="BE55" s="6">
        <v>289</v>
      </c>
      <c r="BF55" s="6">
        <v>271</v>
      </c>
      <c r="BG55" s="6">
        <v>279</v>
      </c>
      <c r="BH55" s="6">
        <v>247</v>
      </c>
      <c r="BI55" s="6">
        <v>250</v>
      </c>
      <c r="BJ55" s="6">
        <v>285</v>
      </c>
      <c r="BK55" s="6">
        <v>258</v>
      </c>
      <c r="BL55" s="6">
        <v>314</v>
      </c>
      <c r="BM55" s="6">
        <v>330</v>
      </c>
      <c r="BN55" s="6">
        <v>426</v>
      </c>
      <c r="BO55" s="6">
        <v>502</v>
      </c>
      <c r="BP55" s="6">
        <v>558</v>
      </c>
      <c r="BQ55" s="6">
        <v>560</v>
      </c>
      <c r="BR55" s="6">
        <v>514</v>
      </c>
      <c r="BS55" s="6">
        <v>581</v>
      </c>
      <c r="BT55" s="6">
        <v>592</v>
      </c>
      <c r="BU55" s="6">
        <v>657</v>
      </c>
      <c r="BV55" s="6">
        <v>715</v>
      </c>
      <c r="BW55" s="6">
        <v>776</v>
      </c>
      <c r="BX55" s="6">
        <v>797</v>
      </c>
      <c r="BY55" s="6">
        <v>821</v>
      </c>
      <c r="BZ55" s="6">
        <v>945</v>
      </c>
      <c r="CA55" s="6">
        <v>944</v>
      </c>
      <c r="CB55" s="6">
        <v>1080</v>
      </c>
      <c r="CC55" s="6">
        <v>1175</v>
      </c>
      <c r="CD55" s="6">
        <v>1179</v>
      </c>
      <c r="CE55" s="6">
        <v>1140</v>
      </c>
      <c r="CF55" s="6">
        <v>1151</v>
      </c>
      <c r="CG55" s="6">
        <v>1273</v>
      </c>
      <c r="CH55" s="6">
        <v>1307</v>
      </c>
      <c r="CI55" s="159">
        <v>1217</v>
      </c>
      <c r="CJ55">
        <v>1310</v>
      </c>
      <c r="CK55">
        <v>1398</v>
      </c>
    </row>
    <row r="56" spans="1:89">
      <c r="A56" s="18" t="s">
        <v>91</v>
      </c>
      <c r="B56" s="42">
        <v>6761</v>
      </c>
      <c r="C56" s="31">
        <v>7112</v>
      </c>
      <c r="D56" s="31">
        <v>7631</v>
      </c>
      <c r="E56" s="31">
        <v>7932</v>
      </c>
      <c r="F56" s="31">
        <v>7723</v>
      </c>
      <c r="G56" s="31">
        <v>7989</v>
      </c>
      <c r="H56" s="31">
        <v>8037</v>
      </c>
      <c r="I56" s="31">
        <v>8219</v>
      </c>
      <c r="J56" s="31">
        <v>8015</v>
      </c>
      <c r="K56" s="31">
        <v>7564</v>
      </c>
      <c r="L56" s="31">
        <v>7763</v>
      </c>
      <c r="M56" s="31">
        <v>7516</v>
      </c>
      <c r="N56" s="31">
        <v>7484</v>
      </c>
      <c r="O56" s="31">
        <v>7166</v>
      </c>
      <c r="P56" s="50">
        <v>7098</v>
      </c>
      <c r="Q56" s="50">
        <v>7547</v>
      </c>
      <c r="R56" s="50">
        <v>7490</v>
      </c>
      <c r="S56" s="50">
        <v>7521</v>
      </c>
      <c r="T56" s="31">
        <v>7703</v>
      </c>
      <c r="U56" s="31">
        <v>8187</v>
      </c>
      <c r="V56" s="31">
        <v>8228</v>
      </c>
      <c r="W56" s="31">
        <v>8639</v>
      </c>
      <c r="X56" s="6">
        <v>8865</v>
      </c>
      <c r="Y56" s="6">
        <v>8532</v>
      </c>
      <c r="Z56" s="6">
        <v>8999</v>
      </c>
      <c r="AA56" s="6">
        <v>9127</v>
      </c>
      <c r="AB56" s="6">
        <v>9637</v>
      </c>
      <c r="AC56" s="6">
        <v>9852</v>
      </c>
      <c r="AD56" s="6">
        <v>9911</v>
      </c>
      <c r="AE56" s="6">
        <v>9810</v>
      </c>
      <c r="AF56" s="6">
        <v>10188</v>
      </c>
      <c r="AG56" s="6">
        <v>10119</v>
      </c>
      <c r="AH56" s="6">
        <v>10384</v>
      </c>
      <c r="AI56" s="6">
        <v>10500</v>
      </c>
      <c r="AJ56" s="6">
        <v>11103</v>
      </c>
      <c r="AK56" s="6">
        <v>11080</v>
      </c>
      <c r="AL56" s="6">
        <v>11023</v>
      </c>
      <c r="AM56" s="6">
        <v>10706</v>
      </c>
      <c r="AN56" s="6">
        <v>11677</v>
      </c>
      <c r="AO56" s="6">
        <v>12147</v>
      </c>
      <c r="AP56" s="6">
        <v>13016</v>
      </c>
      <c r="AQ56" s="6">
        <v>13860</v>
      </c>
      <c r="AR56" s="6">
        <v>15031</v>
      </c>
      <c r="AS56" s="6">
        <v>14535</v>
      </c>
      <c r="AT56" s="51">
        <v>4050</v>
      </c>
      <c r="AU56" s="6">
        <v>4124</v>
      </c>
      <c r="AV56" s="6">
        <v>4535</v>
      </c>
      <c r="AW56" s="6">
        <v>5101</v>
      </c>
      <c r="AX56" s="6">
        <v>5074</v>
      </c>
      <c r="AY56" s="6">
        <v>5898</v>
      </c>
      <c r="AZ56" s="6">
        <v>6042</v>
      </c>
      <c r="BA56" s="6">
        <v>6414</v>
      </c>
      <c r="BB56" s="6">
        <v>6531</v>
      </c>
      <c r="BC56" s="6">
        <v>6679</v>
      </c>
      <c r="BD56" s="6">
        <v>6890</v>
      </c>
      <c r="BE56" s="6">
        <v>6533</v>
      </c>
      <c r="BF56" s="6">
        <v>7007</v>
      </c>
      <c r="BG56" s="6">
        <v>6500</v>
      </c>
      <c r="BH56" s="6">
        <v>6419</v>
      </c>
      <c r="BI56" s="6">
        <v>6899</v>
      </c>
      <c r="BJ56" s="6">
        <v>7196</v>
      </c>
      <c r="BK56" s="6">
        <v>7545</v>
      </c>
      <c r="BL56" s="6">
        <v>7989</v>
      </c>
      <c r="BM56" s="6">
        <v>8780</v>
      </c>
      <c r="BN56" s="6">
        <v>9604</v>
      </c>
      <c r="BO56" s="6">
        <v>10375</v>
      </c>
      <c r="BP56" s="6">
        <v>10875</v>
      </c>
      <c r="BQ56" s="6">
        <v>10683</v>
      </c>
      <c r="BR56" s="6">
        <v>11746</v>
      </c>
      <c r="BS56" s="6">
        <v>12149</v>
      </c>
      <c r="BT56" s="6">
        <v>12616</v>
      </c>
      <c r="BU56" s="6">
        <v>14105</v>
      </c>
      <c r="BV56" s="6">
        <v>13740</v>
      </c>
      <c r="BW56" s="6">
        <v>14220</v>
      </c>
      <c r="BX56" s="6">
        <v>14631</v>
      </c>
      <c r="BY56" s="6">
        <v>15252</v>
      </c>
      <c r="BZ56" s="6">
        <v>15500</v>
      </c>
      <c r="CA56" s="6">
        <v>16446</v>
      </c>
      <c r="CB56" s="6">
        <v>16665</v>
      </c>
      <c r="CC56" s="6">
        <v>16583</v>
      </c>
      <c r="CD56" s="6">
        <v>16851</v>
      </c>
      <c r="CE56" s="6">
        <v>17096</v>
      </c>
      <c r="CF56" s="6">
        <v>17894</v>
      </c>
      <c r="CG56" s="6">
        <v>18176</v>
      </c>
      <c r="CH56" s="6">
        <v>19098</v>
      </c>
      <c r="CI56" s="159">
        <v>19996</v>
      </c>
      <c r="CJ56">
        <v>20860</v>
      </c>
      <c r="CK56">
        <v>20794</v>
      </c>
    </row>
    <row r="57" spans="1:89">
      <c r="A57" s="18" t="s">
        <v>92</v>
      </c>
      <c r="B57" s="42">
        <v>378</v>
      </c>
      <c r="C57" s="31">
        <v>395</v>
      </c>
      <c r="D57" s="31">
        <v>432</v>
      </c>
      <c r="E57" s="31">
        <v>476</v>
      </c>
      <c r="F57" s="31">
        <v>493</v>
      </c>
      <c r="G57" s="31">
        <v>471</v>
      </c>
      <c r="H57" s="31">
        <v>491</v>
      </c>
      <c r="I57" s="31">
        <v>529</v>
      </c>
      <c r="J57" s="31">
        <v>596</v>
      </c>
      <c r="K57" s="31">
        <v>518</v>
      </c>
      <c r="L57" s="31">
        <v>523</v>
      </c>
      <c r="M57" s="31">
        <v>592</v>
      </c>
      <c r="N57" s="31">
        <v>581</v>
      </c>
      <c r="O57" s="31">
        <v>653</v>
      </c>
      <c r="P57" s="50">
        <v>729</v>
      </c>
      <c r="Q57" s="50">
        <v>764</v>
      </c>
      <c r="R57" s="50">
        <v>785</v>
      </c>
      <c r="S57" s="50">
        <v>847</v>
      </c>
      <c r="T57" s="31">
        <v>806</v>
      </c>
      <c r="U57" s="31">
        <v>900</v>
      </c>
      <c r="V57" s="31">
        <v>998</v>
      </c>
      <c r="W57" s="31">
        <v>954</v>
      </c>
      <c r="X57" s="6">
        <v>1027</v>
      </c>
      <c r="Y57" s="6">
        <v>1023</v>
      </c>
      <c r="Z57" s="6">
        <v>1038</v>
      </c>
      <c r="AA57" s="6">
        <v>1055</v>
      </c>
      <c r="AB57" s="6">
        <v>1094</v>
      </c>
      <c r="AC57" s="6">
        <v>1039</v>
      </c>
      <c r="AD57" s="6">
        <v>1055</v>
      </c>
      <c r="AE57" s="6">
        <v>1081</v>
      </c>
      <c r="AF57" s="6">
        <v>1067</v>
      </c>
      <c r="AG57" s="6">
        <v>1009</v>
      </c>
      <c r="AH57" s="6">
        <v>997</v>
      </c>
      <c r="AI57" s="6">
        <v>1030</v>
      </c>
      <c r="AJ57" s="6">
        <v>1183</v>
      </c>
      <c r="AK57" s="6">
        <v>1132</v>
      </c>
      <c r="AL57" s="6">
        <v>1308</v>
      </c>
      <c r="AM57" s="6">
        <v>1149</v>
      </c>
      <c r="AN57" s="6">
        <v>1321</v>
      </c>
      <c r="AO57" s="6">
        <v>1256</v>
      </c>
      <c r="AP57" s="6">
        <v>1348</v>
      </c>
      <c r="AQ57" s="6">
        <v>1467</v>
      </c>
      <c r="AR57" s="6">
        <v>1585</v>
      </c>
      <c r="AS57" s="6">
        <v>1641</v>
      </c>
      <c r="AT57" s="51">
        <v>187</v>
      </c>
      <c r="AU57" s="6">
        <v>203</v>
      </c>
      <c r="AV57" s="6">
        <v>191</v>
      </c>
      <c r="AW57" s="6">
        <v>238</v>
      </c>
      <c r="AX57" s="6">
        <v>258</v>
      </c>
      <c r="AY57" s="6">
        <v>250</v>
      </c>
      <c r="AZ57" s="6">
        <v>306</v>
      </c>
      <c r="BA57" s="6">
        <v>324</v>
      </c>
      <c r="BB57" s="6">
        <v>405</v>
      </c>
      <c r="BC57" s="6">
        <v>364</v>
      </c>
      <c r="BD57" s="6">
        <v>357</v>
      </c>
      <c r="BE57" s="6">
        <v>382</v>
      </c>
      <c r="BF57" s="6">
        <v>417</v>
      </c>
      <c r="BG57" s="6">
        <v>446</v>
      </c>
      <c r="BH57" s="6">
        <v>506</v>
      </c>
      <c r="BI57" s="6">
        <v>525</v>
      </c>
      <c r="BJ57" s="6">
        <v>614</v>
      </c>
      <c r="BK57" s="6">
        <v>802</v>
      </c>
      <c r="BL57" s="6">
        <v>790</v>
      </c>
      <c r="BM57" s="6">
        <v>854</v>
      </c>
      <c r="BN57" s="6">
        <v>946</v>
      </c>
      <c r="BO57" s="6">
        <v>1075</v>
      </c>
      <c r="BP57" s="6">
        <v>1074</v>
      </c>
      <c r="BQ57" s="6">
        <v>1244</v>
      </c>
      <c r="BR57" s="6">
        <v>1190</v>
      </c>
      <c r="BS57" s="6">
        <v>1207</v>
      </c>
      <c r="BT57" s="6">
        <v>1356</v>
      </c>
      <c r="BU57" s="6">
        <v>1402</v>
      </c>
      <c r="BV57" s="6">
        <v>1315</v>
      </c>
      <c r="BW57" s="6">
        <v>1333</v>
      </c>
      <c r="BX57" s="6">
        <v>1371</v>
      </c>
      <c r="BY57" s="6">
        <v>1378</v>
      </c>
      <c r="BZ57" s="6">
        <v>1381</v>
      </c>
      <c r="CA57" s="6">
        <v>1357</v>
      </c>
      <c r="CB57" s="6">
        <v>1656</v>
      </c>
      <c r="CC57" s="6">
        <v>1619</v>
      </c>
      <c r="CD57" s="6">
        <v>1760</v>
      </c>
      <c r="CE57" s="6">
        <v>1868</v>
      </c>
      <c r="CF57" s="6">
        <v>1864</v>
      </c>
      <c r="CG57" s="6">
        <v>2072</v>
      </c>
      <c r="CH57" s="6">
        <v>2110</v>
      </c>
      <c r="CI57" s="159">
        <v>2199</v>
      </c>
      <c r="CJ57">
        <v>2240</v>
      </c>
      <c r="CK57">
        <v>2237</v>
      </c>
    </row>
    <row r="58" spans="1:89">
      <c r="A58" s="18" t="s">
        <v>93</v>
      </c>
      <c r="B58" s="42">
        <v>3271</v>
      </c>
      <c r="C58" s="31">
        <v>3636</v>
      </c>
      <c r="D58" s="31">
        <v>4297</v>
      </c>
      <c r="E58" s="31">
        <v>4022</v>
      </c>
      <c r="F58" s="31">
        <v>4600</v>
      </c>
      <c r="G58" s="31">
        <v>4878</v>
      </c>
      <c r="H58" s="31">
        <v>4765</v>
      </c>
      <c r="I58" s="31">
        <v>4684</v>
      </c>
      <c r="J58" s="31">
        <v>4402</v>
      </c>
      <c r="K58" s="31">
        <v>4171</v>
      </c>
      <c r="L58" s="31">
        <v>4081</v>
      </c>
      <c r="M58" s="31">
        <v>3847</v>
      </c>
      <c r="N58" s="31">
        <v>3754</v>
      </c>
      <c r="O58" s="31">
        <v>3526</v>
      </c>
      <c r="P58" s="50">
        <v>3435</v>
      </c>
      <c r="Q58" s="50">
        <v>3397</v>
      </c>
      <c r="R58" s="50">
        <v>3273</v>
      </c>
      <c r="S58" s="50">
        <v>3287</v>
      </c>
      <c r="T58" s="31">
        <v>3317</v>
      </c>
      <c r="U58" s="31">
        <v>3693</v>
      </c>
      <c r="V58" s="31">
        <v>3756</v>
      </c>
      <c r="W58" s="31">
        <v>3739</v>
      </c>
      <c r="X58" s="6">
        <v>3791</v>
      </c>
      <c r="Y58" s="6">
        <v>3743</v>
      </c>
      <c r="Z58" s="6">
        <v>3812</v>
      </c>
      <c r="AA58" s="6">
        <v>3754</v>
      </c>
      <c r="AB58" s="6">
        <v>3630</v>
      </c>
      <c r="AC58" s="6">
        <v>3687</v>
      </c>
      <c r="AD58" s="6">
        <v>3736</v>
      </c>
      <c r="AE58" s="6">
        <v>4087</v>
      </c>
      <c r="AF58" s="6">
        <v>3961</v>
      </c>
      <c r="AG58" s="6">
        <v>4133</v>
      </c>
      <c r="AH58" s="6">
        <v>4464</v>
      </c>
      <c r="AI58" s="6">
        <v>4809</v>
      </c>
      <c r="AJ58" s="6">
        <v>5175</v>
      </c>
      <c r="AK58" s="6">
        <v>5085</v>
      </c>
      <c r="AL58" s="6">
        <v>5262</v>
      </c>
      <c r="AM58" s="6">
        <v>5367</v>
      </c>
      <c r="AN58" s="6">
        <v>5637</v>
      </c>
      <c r="AO58" s="6">
        <v>5813</v>
      </c>
      <c r="AP58" s="6">
        <v>6326</v>
      </c>
      <c r="AQ58" s="6">
        <v>6205</v>
      </c>
      <c r="AR58" s="6">
        <v>6584</v>
      </c>
      <c r="AS58" s="6">
        <v>6198</v>
      </c>
      <c r="AT58" s="51">
        <v>1777</v>
      </c>
      <c r="AU58" s="6">
        <v>2058</v>
      </c>
      <c r="AV58" s="6">
        <v>2538</v>
      </c>
      <c r="AW58" s="6">
        <v>2663</v>
      </c>
      <c r="AX58" s="6">
        <v>3066</v>
      </c>
      <c r="AY58" s="6">
        <v>3285</v>
      </c>
      <c r="AZ58" s="6">
        <v>3343</v>
      </c>
      <c r="BA58" s="6">
        <v>3876</v>
      </c>
      <c r="BB58" s="6">
        <v>3590</v>
      </c>
      <c r="BC58" s="6">
        <v>3691</v>
      </c>
      <c r="BD58" s="6">
        <v>3884</v>
      </c>
      <c r="BE58" s="6">
        <v>3890</v>
      </c>
      <c r="BF58" s="6">
        <v>3766</v>
      </c>
      <c r="BG58" s="6">
        <v>3696</v>
      </c>
      <c r="BH58" s="6">
        <v>3366</v>
      </c>
      <c r="BI58" s="6">
        <v>3259</v>
      </c>
      <c r="BJ58" s="6">
        <v>3030</v>
      </c>
      <c r="BK58" s="6">
        <v>3167</v>
      </c>
      <c r="BL58" s="6">
        <v>3080</v>
      </c>
      <c r="BM58" s="6">
        <v>3331</v>
      </c>
      <c r="BN58" s="6">
        <v>3490</v>
      </c>
      <c r="BO58" s="6">
        <v>3799</v>
      </c>
      <c r="BP58" s="6">
        <v>4110</v>
      </c>
      <c r="BQ58" s="6">
        <v>4367</v>
      </c>
      <c r="BR58" s="6">
        <v>4462</v>
      </c>
      <c r="BS58" s="6">
        <v>4507</v>
      </c>
      <c r="BT58" s="6">
        <v>4790</v>
      </c>
      <c r="BU58" s="6">
        <v>4775</v>
      </c>
      <c r="BV58" s="6">
        <v>5153</v>
      </c>
      <c r="BW58" s="6">
        <v>5161</v>
      </c>
      <c r="BX58" s="6">
        <v>5377</v>
      </c>
      <c r="BY58" s="6">
        <v>5624</v>
      </c>
      <c r="BZ58" s="6">
        <v>5866</v>
      </c>
      <c r="CA58" s="6">
        <v>6331</v>
      </c>
      <c r="CB58" s="6">
        <v>6860</v>
      </c>
      <c r="CC58" s="6">
        <v>7301</v>
      </c>
      <c r="CD58" s="6">
        <v>7345</v>
      </c>
      <c r="CE58" s="6">
        <v>7369</v>
      </c>
      <c r="CF58" s="6">
        <v>7582</v>
      </c>
      <c r="CG58" s="6">
        <v>7664</v>
      </c>
      <c r="CH58" s="6">
        <v>7818</v>
      </c>
      <c r="CI58" s="159">
        <v>8222</v>
      </c>
      <c r="CJ58">
        <v>8906</v>
      </c>
      <c r="CK58">
        <v>8069</v>
      </c>
    </row>
    <row r="59" spans="1:89">
      <c r="A59" s="18" t="s">
        <v>94</v>
      </c>
      <c r="B59" s="42">
        <v>14654</v>
      </c>
      <c r="C59" s="31">
        <v>15881</v>
      </c>
      <c r="D59" s="31">
        <v>17674</v>
      </c>
      <c r="E59" s="31">
        <v>18981</v>
      </c>
      <c r="F59" s="31">
        <v>18591</v>
      </c>
      <c r="G59" s="31">
        <v>19027</v>
      </c>
      <c r="H59" s="31">
        <v>19242</v>
      </c>
      <c r="I59" s="31">
        <v>18260</v>
      </c>
      <c r="J59" s="31">
        <v>16885</v>
      </c>
      <c r="K59" s="31">
        <v>15951</v>
      </c>
      <c r="L59" s="31">
        <v>15500</v>
      </c>
      <c r="M59" s="31">
        <v>14914</v>
      </c>
      <c r="N59" s="31">
        <v>15183</v>
      </c>
      <c r="O59" s="31">
        <v>15018</v>
      </c>
      <c r="P59" s="50">
        <v>14597</v>
      </c>
      <c r="Q59" s="50">
        <v>14500</v>
      </c>
      <c r="R59" s="50">
        <v>14004</v>
      </c>
      <c r="S59" s="50">
        <v>14782</v>
      </c>
      <c r="T59" s="31">
        <v>15131</v>
      </c>
      <c r="U59" s="31">
        <v>14957</v>
      </c>
      <c r="V59" s="31">
        <v>15757</v>
      </c>
      <c r="W59" s="31">
        <v>16245</v>
      </c>
      <c r="X59" s="6">
        <v>17107</v>
      </c>
      <c r="Y59" s="6">
        <v>17585</v>
      </c>
      <c r="Z59" s="6">
        <v>17893</v>
      </c>
      <c r="AA59" s="6">
        <v>18181</v>
      </c>
      <c r="AB59" s="6">
        <v>17915</v>
      </c>
      <c r="AC59" s="6">
        <v>18070</v>
      </c>
      <c r="AD59" s="6">
        <v>18115</v>
      </c>
      <c r="AE59" s="6">
        <v>17923</v>
      </c>
      <c r="AF59" s="6">
        <v>17986</v>
      </c>
      <c r="AG59" s="6">
        <v>18561</v>
      </c>
      <c r="AH59" s="6">
        <v>18906</v>
      </c>
      <c r="AI59" s="6">
        <v>21361</v>
      </c>
      <c r="AJ59" s="6">
        <v>23289</v>
      </c>
      <c r="AK59" s="6">
        <v>22820</v>
      </c>
      <c r="AL59" s="6">
        <v>23900</v>
      </c>
      <c r="AM59" s="6">
        <v>23755</v>
      </c>
      <c r="AN59" s="6">
        <v>23127</v>
      </c>
      <c r="AO59" s="6">
        <v>24515</v>
      </c>
      <c r="AP59" s="6">
        <v>25178</v>
      </c>
      <c r="AQ59" s="6">
        <v>26285</v>
      </c>
      <c r="AR59" s="6">
        <v>26773</v>
      </c>
      <c r="AS59" s="6">
        <v>26516</v>
      </c>
      <c r="AT59" s="51">
        <v>12157</v>
      </c>
      <c r="AU59" s="6">
        <v>13917</v>
      </c>
      <c r="AV59" s="6">
        <v>15640</v>
      </c>
      <c r="AW59" s="6">
        <v>17030</v>
      </c>
      <c r="AX59" s="6">
        <v>18095</v>
      </c>
      <c r="AY59" s="6">
        <v>19654</v>
      </c>
      <c r="AZ59" s="6">
        <v>20759</v>
      </c>
      <c r="BA59" s="6">
        <v>19492</v>
      </c>
      <c r="BB59" s="6">
        <v>18201</v>
      </c>
      <c r="BC59" s="6">
        <v>17783</v>
      </c>
      <c r="BD59" s="6">
        <v>17360</v>
      </c>
      <c r="BE59" s="6">
        <v>17556</v>
      </c>
      <c r="BF59" s="6">
        <v>17971</v>
      </c>
      <c r="BG59" s="6">
        <v>17642</v>
      </c>
      <c r="BH59" s="6">
        <v>17025</v>
      </c>
      <c r="BI59" s="6">
        <v>17568</v>
      </c>
      <c r="BJ59" s="6">
        <v>17565</v>
      </c>
      <c r="BK59" s="6">
        <v>18123</v>
      </c>
      <c r="BL59" s="6">
        <v>18742</v>
      </c>
      <c r="BM59" s="6">
        <v>19485</v>
      </c>
      <c r="BN59" s="6">
        <v>21661</v>
      </c>
      <c r="BO59" s="6">
        <v>22834</v>
      </c>
      <c r="BP59" s="6">
        <v>24106</v>
      </c>
      <c r="BQ59" s="6">
        <v>24954</v>
      </c>
      <c r="BR59" s="6">
        <v>25010</v>
      </c>
      <c r="BS59" s="6">
        <v>26545</v>
      </c>
      <c r="BT59" s="6">
        <v>26260</v>
      </c>
      <c r="BU59" s="6">
        <v>27877</v>
      </c>
      <c r="BV59" s="6">
        <v>28096</v>
      </c>
      <c r="BW59" s="6">
        <v>28331</v>
      </c>
      <c r="BX59" s="6">
        <v>29569</v>
      </c>
      <c r="BY59" s="6">
        <v>31361</v>
      </c>
      <c r="BZ59" s="6">
        <v>32015</v>
      </c>
      <c r="CA59" s="6">
        <v>36849</v>
      </c>
      <c r="CB59" s="6">
        <v>39981</v>
      </c>
      <c r="CC59" s="6">
        <v>37685</v>
      </c>
      <c r="CD59" s="6">
        <v>39787</v>
      </c>
      <c r="CE59" s="6">
        <v>40610</v>
      </c>
      <c r="CF59" s="6">
        <v>40673</v>
      </c>
      <c r="CG59" s="6">
        <v>42438</v>
      </c>
      <c r="CH59" s="6">
        <v>43021</v>
      </c>
      <c r="CI59" s="159">
        <v>43792</v>
      </c>
      <c r="CJ59">
        <v>44434</v>
      </c>
      <c r="CK59">
        <v>43659</v>
      </c>
    </row>
    <row r="60" spans="1:89">
      <c r="A60" s="18" t="s">
        <v>95</v>
      </c>
      <c r="B60" s="42">
        <v>6528</v>
      </c>
      <c r="C60" s="31">
        <v>7350</v>
      </c>
      <c r="D60" s="31">
        <v>8097</v>
      </c>
      <c r="E60" s="31">
        <v>7891</v>
      </c>
      <c r="F60" s="31">
        <v>8207</v>
      </c>
      <c r="G60" s="31">
        <v>7795</v>
      </c>
      <c r="H60" s="31">
        <v>7639</v>
      </c>
      <c r="I60" s="31">
        <v>7531</v>
      </c>
      <c r="J60" s="31">
        <v>7188</v>
      </c>
      <c r="K60" s="31">
        <v>6928</v>
      </c>
      <c r="L60" s="31">
        <v>6680</v>
      </c>
      <c r="M60" s="31">
        <v>6746</v>
      </c>
      <c r="N60" s="31">
        <v>6819</v>
      </c>
      <c r="O60" s="31">
        <v>6826</v>
      </c>
      <c r="P60" s="50">
        <v>6810</v>
      </c>
      <c r="Q60" s="50">
        <v>6946</v>
      </c>
      <c r="R60" s="50">
        <v>6886</v>
      </c>
      <c r="S60" s="50">
        <v>6798</v>
      </c>
      <c r="T60" s="31">
        <v>6965</v>
      </c>
      <c r="U60" s="31">
        <v>7357</v>
      </c>
      <c r="V60" s="31">
        <v>7591</v>
      </c>
      <c r="W60" s="31">
        <v>7484</v>
      </c>
      <c r="X60" s="6">
        <v>7965</v>
      </c>
      <c r="Y60" s="6">
        <v>8340</v>
      </c>
      <c r="Z60" s="6">
        <v>8869</v>
      </c>
      <c r="AA60" s="6">
        <v>9097</v>
      </c>
      <c r="AB60" s="6">
        <v>8622</v>
      </c>
      <c r="AC60" s="6">
        <v>8855</v>
      </c>
      <c r="AD60" s="6">
        <v>9189</v>
      </c>
      <c r="AE60" s="6">
        <v>9168</v>
      </c>
      <c r="AF60" s="6">
        <v>9645</v>
      </c>
      <c r="AG60" s="6">
        <v>9388</v>
      </c>
      <c r="AH60" s="6">
        <v>9797</v>
      </c>
      <c r="AI60" s="6">
        <v>10140</v>
      </c>
      <c r="AJ60" s="6">
        <v>10867</v>
      </c>
      <c r="AK60" s="6">
        <v>10980</v>
      </c>
      <c r="AL60" s="6">
        <v>11309</v>
      </c>
      <c r="AM60" s="6">
        <v>11454</v>
      </c>
      <c r="AN60" s="6">
        <v>11938</v>
      </c>
      <c r="AO60" s="6">
        <v>12509</v>
      </c>
      <c r="AP60" s="6">
        <v>13369</v>
      </c>
      <c r="AQ60" s="6">
        <v>14043</v>
      </c>
      <c r="AR60" s="6">
        <v>14205</v>
      </c>
      <c r="AS60" s="6">
        <v>14192</v>
      </c>
      <c r="AT60" s="51">
        <v>4527</v>
      </c>
      <c r="AU60" s="6">
        <v>5084</v>
      </c>
      <c r="AV60" s="6">
        <v>5999</v>
      </c>
      <c r="AW60" s="6">
        <v>5783</v>
      </c>
      <c r="AX60" s="6">
        <v>6198</v>
      </c>
      <c r="AY60" s="6">
        <v>6720</v>
      </c>
      <c r="AZ60" s="6">
        <v>6688</v>
      </c>
      <c r="BA60" s="6">
        <v>6452</v>
      </c>
      <c r="BB60" s="6">
        <v>6513</v>
      </c>
      <c r="BC60" s="6">
        <v>6540</v>
      </c>
      <c r="BD60" s="6">
        <v>6380</v>
      </c>
      <c r="BE60" s="6">
        <v>6425</v>
      </c>
      <c r="BF60" s="6">
        <v>6631</v>
      </c>
      <c r="BG60" s="6">
        <v>6428</v>
      </c>
      <c r="BH60" s="6">
        <v>6222</v>
      </c>
      <c r="BI60" s="6">
        <v>6293</v>
      </c>
      <c r="BJ60" s="6">
        <v>6331</v>
      </c>
      <c r="BK60" s="6">
        <v>6703</v>
      </c>
      <c r="BL60" s="6">
        <v>6826</v>
      </c>
      <c r="BM60" s="6">
        <v>7230</v>
      </c>
      <c r="BN60" s="6">
        <v>7230</v>
      </c>
      <c r="BO60" s="6">
        <v>8127</v>
      </c>
      <c r="BP60" s="6">
        <v>8934</v>
      </c>
      <c r="BQ60" s="6">
        <v>9309</v>
      </c>
      <c r="BR60" s="6">
        <v>10037</v>
      </c>
      <c r="BS60" s="6">
        <v>10540</v>
      </c>
      <c r="BT60" s="6">
        <v>10885</v>
      </c>
      <c r="BU60" s="6">
        <v>11057</v>
      </c>
      <c r="BV60" s="6">
        <v>11567</v>
      </c>
      <c r="BW60" s="6">
        <v>11741</v>
      </c>
      <c r="BX60" s="6">
        <v>12343</v>
      </c>
      <c r="BY60" s="6">
        <v>12821</v>
      </c>
      <c r="BZ60" s="6">
        <v>13404</v>
      </c>
      <c r="CA60" s="6">
        <v>13898</v>
      </c>
      <c r="CB60" s="6">
        <v>15421</v>
      </c>
      <c r="CC60" s="6">
        <v>15470</v>
      </c>
      <c r="CD60" s="6">
        <v>16284</v>
      </c>
      <c r="CE60" s="6">
        <v>17422</v>
      </c>
      <c r="CF60" s="6">
        <v>17986</v>
      </c>
      <c r="CG60" s="6">
        <v>19356</v>
      </c>
      <c r="CH60" s="6">
        <v>20319</v>
      </c>
      <c r="CI60" s="159">
        <v>21973</v>
      </c>
      <c r="CJ60">
        <v>22102</v>
      </c>
      <c r="CK60">
        <v>22229</v>
      </c>
    </row>
    <row r="61" spans="1:89">
      <c r="A61" s="18" t="s">
        <v>96</v>
      </c>
      <c r="B61" s="42">
        <v>562</v>
      </c>
      <c r="C61" s="31">
        <v>726</v>
      </c>
      <c r="D61" s="31">
        <v>839</v>
      </c>
      <c r="E61" s="31">
        <v>956</v>
      </c>
      <c r="F61" s="31">
        <v>855</v>
      </c>
      <c r="G61" s="31">
        <v>882</v>
      </c>
      <c r="H61" s="31">
        <v>874</v>
      </c>
      <c r="I61" s="31">
        <v>939</v>
      </c>
      <c r="J61" s="31">
        <v>789</v>
      </c>
      <c r="K61" s="31">
        <v>774</v>
      </c>
      <c r="L61" s="31">
        <v>743</v>
      </c>
      <c r="M61" s="31">
        <v>772</v>
      </c>
      <c r="N61" s="31">
        <v>725</v>
      </c>
      <c r="O61" s="31">
        <v>829</v>
      </c>
      <c r="P61" s="50">
        <v>842</v>
      </c>
      <c r="Q61" s="50">
        <v>834</v>
      </c>
      <c r="R61" s="50">
        <v>865</v>
      </c>
      <c r="S61" s="50">
        <v>892</v>
      </c>
      <c r="T61" s="31">
        <v>878</v>
      </c>
      <c r="U61" s="31">
        <v>953</v>
      </c>
      <c r="V61" s="31">
        <v>914</v>
      </c>
      <c r="W61" s="31">
        <v>990</v>
      </c>
      <c r="X61" s="6">
        <v>942</v>
      </c>
      <c r="Y61" s="6">
        <v>943</v>
      </c>
      <c r="Z61" s="6">
        <v>833</v>
      </c>
      <c r="AA61" s="6">
        <v>899</v>
      </c>
      <c r="AB61" s="6">
        <v>837</v>
      </c>
      <c r="AC61" s="6">
        <v>804</v>
      </c>
      <c r="AD61" s="6">
        <v>824</v>
      </c>
      <c r="AE61" s="6">
        <v>826</v>
      </c>
      <c r="AF61" s="6">
        <v>771</v>
      </c>
      <c r="AG61" s="6">
        <v>850</v>
      </c>
      <c r="AH61" s="6">
        <v>856</v>
      </c>
      <c r="AI61" s="6">
        <v>874</v>
      </c>
      <c r="AJ61" s="6">
        <v>909</v>
      </c>
      <c r="AK61" s="6">
        <v>896</v>
      </c>
      <c r="AL61" s="6">
        <v>853</v>
      </c>
      <c r="AM61" s="6">
        <v>913</v>
      </c>
      <c r="AN61" s="6">
        <v>920</v>
      </c>
      <c r="AO61" s="6">
        <v>1000</v>
      </c>
      <c r="AP61" s="6">
        <v>1004</v>
      </c>
      <c r="AQ61" s="6">
        <v>997</v>
      </c>
      <c r="AR61" s="6">
        <v>1087</v>
      </c>
      <c r="AS61" s="6">
        <v>1119</v>
      </c>
      <c r="AT61" s="51">
        <v>510</v>
      </c>
      <c r="AU61" s="6">
        <v>578</v>
      </c>
      <c r="AV61" s="6">
        <v>655</v>
      </c>
      <c r="AW61" s="6">
        <v>867</v>
      </c>
      <c r="AX61" s="6">
        <v>903</v>
      </c>
      <c r="AY61" s="6">
        <v>905</v>
      </c>
      <c r="AZ61" s="6">
        <v>863</v>
      </c>
      <c r="BA61" s="6">
        <v>946</v>
      </c>
      <c r="BB61" s="6">
        <v>799</v>
      </c>
      <c r="BC61" s="6">
        <v>798</v>
      </c>
      <c r="BD61" s="6">
        <v>729</v>
      </c>
      <c r="BE61" s="6">
        <v>752</v>
      </c>
      <c r="BF61" s="6">
        <v>792</v>
      </c>
      <c r="BG61" s="6">
        <v>738</v>
      </c>
      <c r="BH61" s="6">
        <v>682</v>
      </c>
      <c r="BI61" s="6">
        <v>724</v>
      </c>
      <c r="BJ61" s="6">
        <v>708</v>
      </c>
      <c r="BK61" s="6">
        <v>828</v>
      </c>
      <c r="BL61" s="6">
        <v>747</v>
      </c>
      <c r="BM61" s="6">
        <v>821</v>
      </c>
      <c r="BN61" s="6">
        <v>881</v>
      </c>
      <c r="BO61" s="6">
        <v>994</v>
      </c>
      <c r="BP61" s="6">
        <v>1096</v>
      </c>
      <c r="BQ61" s="6">
        <v>1127</v>
      </c>
      <c r="BR61" s="6">
        <v>1186</v>
      </c>
      <c r="BS61" s="6">
        <v>1142</v>
      </c>
      <c r="BT61" s="6">
        <v>1163</v>
      </c>
      <c r="BU61" s="6">
        <v>1105</v>
      </c>
      <c r="BV61" s="6">
        <v>1105</v>
      </c>
      <c r="BW61" s="6">
        <v>1116</v>
      </c>
      <c r="BX61" s="6">
        <v>1093</v>
      </c>
      <c r="BY61" s="6">
        <v>1078</v>
      </c>
      <c r="BZ61" s="6">
        <v>1223</v>
      </c>
      <c r="CA61" s="6">
        <v>1182</v>
      </c>
      <c r="CB61" s="6">
        <v>1262</v>
      </c>
      <c r="CC61" s="6">
        <v>1327</v>
      </c>
      <c r="CD61" s="6">
        <v>1293</v>
      </c>
      <c r="CE61" s="6">
        <v>1317</v>
      </c>
      <c r="CF61" s="6">
        <v>1320</v>
      </c>
      <c r="CG61" s="6">
        <v>1375</v>
      </c>
      <c r="CH61" s="6">
        <v>1392</v>
      </c>
      <c r="CI61" s="159">
        <v>1548</v>
      </c>
      <c r="CJ61">
        <v>1479</v>
      </c>
      <c r="CK61">
        <v>1535</v>
      </c>
    </row>
    <row r="62" spans="1:89">
      <c r="A62" s="20" t="s">
        <v>97</v>
      </c>
      <c r="B62" s="51">
        <v>288</v>
      </c>
      <c r="C62" s="6">
        <v>329</v>
      </c>
      <c r="D62" s="6">
        <v>365</v>
      </c>
      <c r="E62" s="31">
        <v>419</v>
      </c>
      <c r="F62" s="31">
        <v>466</v>
      </c>
      <c r="G62" s="31">
        <v>546</v>
      </c>
      <c r="H62" s="31">
        <v>562</v>
      </c>
      <c r="I62" s="31">
        <v>493</v>
      </c>
      <c r="J62" s="31">
        <v>469</v>
      </c>
      <c r="K62" s="31">
        <v>453</v>
      </c>
      <c r="L62" s="31">
        <v>424</v>
      </c>
      <c r="M62" s="31">
        <v>429</v>
      </c>
      <c r="N62" s="31">
        <v>413</v>
      </c>
      <c r="O62" s="31">
        <v>345</v>
      </c>
      <c r="P62" s="50">
        <v>367</v>
      </c>
      <c r="Q62" s="50">
        <v>340</v>
      </c>
      <c r="R62" s="50">
        <v>364</v>
      </c>
      <c r="S62" s="50">
        <v>327</v>
      </c>
      <c r="T62" s="31">
        <v>315</v>
      </c>
      <c r="U62" s="31">
        <v>351</v>
      </c>
      <c r="V62" s="31">
        <v>344</v>
      </c>
      <c r="W62" s="31">
        <v>398</v>
      </c>
      <c r="X62" s="6">
        <v>343</v>
      </c>
      <c r="Y62" s="6">
        <v>380</v>
      </c>
      <c r="Z62" s="6">
        <v>409</v>
      </c>
      <c r="AA62" s="6">
        <v>340</v>
      </c>
      <c r="AB62" s="6">
        <v>431</v>
      </c>
      <c r="AC62" s="6">
        <v>376</v>
      </c>
      <c r="AD62" s="6">
        <v>482</v>
      </c>
      <c r="AE62" s="6">
        <v>451</v>
      </c>
      <c r="AF62" s="6">
        <v>467</v>
      </c>
      <c r="AG62" s="6">
        <v>441</v>
      </c>
      <c r="AH62" s="6">
        <v>432</v>
      </c>
      <c r="AI62" s="6">
        <v>508</v>
      </c>
      <c r="AJ62" s="6">
        <v>540</v>
      </c>
      <c r="AK62" s="6">
        <v>665</v>
      </c>
      <c r="AL62" s="6">
        <v>709</v>
      </c>
      <c r="AM62" s="6">
        <v>829</v>
      </c>
      <c r="AN62" s="6">
        <v>996</v>
      </c>
      <c r="AO62" s="6">
        <v>1000</v>
      </c>
      <c r="AP62" s="6">
        <v>951</v>
      </c>
      <c r="AQ62" s="6">
        <v>1037</v>
      </c>
      <c r="AR62" s="6">
        <v>1018</v>
      </c>
      <c r="AS62" s="6">
        <v>1454</v>
      </c>
      <c r="AT62" s="51">
        <v>330</v>
      </c>
      <c r="AU62" s="6">
        <v>375</v>
      </c>
      <c r="AV62" s="6">
        <v>488</v>
      </c>
      <c r="AW62" s="6">
        <v>485</v>
      </c>
      <c r="AX62" s="6">
        <v>548</v>
      </c>
      <c r="AY62" s="6">
        <v>600</v>
      </c>
      <c r="AZ62" s="6">
        <v>684</v>
      </c>
      <c r="BA62" s="6">
        <v>615</v>
      </c>
      <c r="BB62" s="6">
        <v>712</v>
      </c>
      <c r="BC62" s="6">
        <v>728</v>
      </c>
      <c r="BD62" s="6">
        <v>740</v>
      </c>
      <c r="BE62" s="6">
        <v>723</v>
      </c>
      <c r="BF62" s="6">
        <v>732</v>
      </c>
      <c r="BG62" s="6">
        <v>509</v>
      </c>
      <c r="BH62" s="6">
        <v>482</v>
      </c>
      <c r="BI62" s="6">
        <v>546</v>
      </c>
      <c r="BJ62" s="6">
        <v>501</v>
      </c>
      <c r="BK62" s="6">
        <v>492</v>
      </c>
      <c r="BL62" s="6">
        <v>515</v>
      </c>
      <c r="BM62" s="6">
        <v>640</v>
      </c>
      <c r="BN62" s="6">
        <v>658</v>
      </c>
      <c r="BO62" s="6">
        <v>668</v>
      </c>
      <c r="BP62" s="6">
        <v>713</v>
      </c>
      <c r="BQ62" s="6">
        <v>723</v>
      </c>
      <c r="BR62" s="6">
        <v>765</v>
      </c>
      <c r="BS62" s="6">
        <v>751</v>
      </c>
      <c r="BT62" s="6">
        <v>860</v>
      </c>
      <c r="BU62" s="6">
        <v>790</v>
      </c>
      <c r="BV62" s="6">
        <v>1028</v>
      </c>
      <c r="BW62" s="6">
        <v>950</v>
      </c>
      <c r="BX62" s="6">
        <v>986</v>
      </c>
      <c r="BY62" s="6">
        <v>916</v>
      </c>
      <c r="BZ62" s="6">
        <v>948</v>
      </c>
      <c r="CA62" s="6">
        <v>941</v>
      </c>
      <c r="CB62" s="6">
        <v>934</v>
      </c>
      <c r="CC62" s="6">
        <v>1019</v>
      </c>
      <c r="CD62" s="6">
        <v>1073</v>
      </c>
      <c r="CE62" s="6">
        <v>1122</v>
      </c>
      <c r="CF62" s="6">
        <v>1306</v>
      </c>
      <c r="CG62" s="6">
        <v>1178</v>
      </c>
      <c r="CH62" s="6">
        <v>1293</v>
      </c>
      <c r="CI62" s="159">
        <v>1340</v>
      </c>
      <c r="CJ62" s="162">
        <v>1456</v>
      </c>
      <c r="CK62" s="141">
        <v>1737</v>
      </c>
    </row>
    <row r="63" spans="1:89">
      <c r="A63" s="26" t="s">
        <v>98</v>
      </c>
      <c r="B63" s="53">
        <v>2740</v>
      </c>
      <c r="C63" s="26">
        <v>3110</v>
      </c>
      <c r="D63" s="26">
        <v>3028</v>
      </c>
      <c r="E63" s="26">
        <v>3435</v>
      </c>
      <c r="F63" s="26">
        <v>3162</v>
      </c>
      <c r="G63" s="26">
        <v>3017</v>
      </c>
      <c r="H63" s="26">
        <v>2967</v>
      </c>
      <c r="I63" s="26">
        <v>3231</v>
      </c>
      <c r="J63" s="26">
        <v>3358</v>
      </c>
      <c r="K63" s="26">
        <v>2897</v>
      </c>
      <c r="L63" s="26">
        <v>3085</v>
      </c>
      <c r="M63" s="26">
        <v>3096</v>
      </c>
      <c r="N63" s="26">
        <v>2973</v>
      </c>
      <c r="O63" s="26">
        <v>2959</v>
      </c>
      <c r="P63" s="26">
        <v>2679</v>
      </c>
      <c r="Q63" s="26">
        <v>2777</v>
      </c>
      <c r="R63" s="26">
        <v>2819</v>
      </c>
      <c r="S63" s="26">
        <v>2683</v>
      </c>
      <c r="T63" s="26">
        <v>2685</v>
      </c>
      <c r="U63" s="26">
        <v>2676</v>
      </c>
      <c r="V63" s="26">
        <v>2607</v>
      </c>
      <c r="W63" s="26">
        <v>2669</v>
      </c>
      <c r="X63" s="26">
        <v>2718</v>
      </c>
      <c r="Y63" s="26">
        <v>3101</v>
      </c>
      <c r="Z63" s="26">
        <v>3128</v>
      </c>
      <c r="AA63" s="26">
        <v>3318</v>
      </c>
      <c r="AB63" s="26">
        <v>3694</v>
      </c>
      <c r="AC63" s="26">
        <v>3357</v>
      </c>
      <c r="AD63" s="26">
        <v>3290</v>
      </c>
      <c r="AE63" s="26">
        <v>3177</v>
      </c>
      <c r="AF63" s="26">
        <v>3229</v>
      </c>
      <c r="AG63" s="26">
        <v>3424</v>
      </c>
      <c r="AH63" s="26">
        <v>3292</v>
      </c>
      <c r="AI63" s="26">
        <v>3345</v>
      </c>
      <c r="AJ63" s="26">
        <v>3727</v>
      </c>
      <c r="AK63" s="26">
        <v>3681</v>
      </c>
      <c r="AL63" s="26">
        <v>3877</v>
      </c>
      <c r="AM63" s="26">
        <v>3928</v>
      </c>
      <c r="AN63" s="26">
        <v>4062</v>
      </c>
      <c r="AO63" s="26">
        <v>4395</v>
      </c>
      <c r="AP63" s="26">
        <v>3913</v>
      </c>
      <c r="AQ63" s="26">
        <v>4245</v>
      </c>
      <c r="AR63" s="26">
        <v>4376</v>
      </c>
      <c r="AS63" s="26">
        <v>4679</v>
      </c>
      <c r="AT63" s="26">
        <v>1337</v>
      </c>
      <c r="AU63" s="26">
        <v>1522</v>
      </c>
      <c r="AV63" s="26">
        <v>1655</v>
      </c>
      <c r="AW63" s="26">
        <v>1903</v>
      </c>
      <c r="AX63" s="26">
        <v>1865</v>
      </c>
      <c r="AY63" s="26">
        <v>2053</v>
      </c>
      <c r="AZ63" s="26">
        <v>2079</v>
      </c>
      <c r="BA63" s="26">
        <v>2282</v>
      </c>
      <c r="BB63" s="26">
        <v>2344</v>
      </c>
      <c r="BC63" s="26">
        <v>2290</v>
      </c>
      <c r="BD63" s="26">
        <v>2403</v>
      </c>
      <c r="BE63" s="26">
        <v>2616</v>
      </c>
      <c r="BF63" s="26">
        <v>2610</v>
      </c>
      <c r="BG63" s="26">
        <v>2546</v>
      </c>
      <c r="BH63" s="26">
        <v>2477</v>
      </c>
      <c r="BI63" s="26">
        <v>2399</v>
      </c>
      <c r="BJ63" s="26">
        <v>2465</v>
      </c>
      <c r="BK63" s="26">
        <v>2379</v>
      </c>
      <c r="BL63" s="26">
        <v>2441</v>
      </c>
      <c r="BM63" s="26">
        <v>2447</v>
      </c>
      <c r="BN63" s="26">
        <v>2514</v>
      </c>
      <c r="BO63" s="26">
        <v>2559</v>
      </c>
      <c r="BP63" s="26">
        <v>2729</v>
      </c>
      <c r="BQ63" s="26">
        <v>2958</v>
      </c>
      <c r="BR63" s="26">
        <v>3183</v>
      </c>
      <c r="BS63" s="26">
        <v>3425</v>
      </c>
      <c r="BT63" s="26">
        <v>3686</v>
      </c>
      <c r="BU63" s="26">
        <v>3924</v>
      </c>
      <c r="BV63" s="26">
        <v>3716</v>
      </c>
      <c r="BW63" s="26">
        <v>3620</v>
      </c>
      <c r="BX63" s="26">
        <v>3849</v>
      </c>
      <c r="BY63" s="26">
        <v>3957</v>
      </c>
      <c r="BZ63" s="26">
        <v>4072</v>
      </c>
      <c r="CA63" s="26">
        <v>4115</v>
      </c>
      <c r="CB63" s="26">
        <v>4741</v>
      </c>
      <c r="CC63" s="26">
        <v>4855</v>
      </c>
      <c r="CD63" s="26">
        <v>5390</v>
      </c>
      <c r="CE63" s="26">
        <v>5682</v>
      </c>
      <c r="CF63" s="26">
        <v>6004</v>
      </c>
      <c r="CG63" s="26">
        <v>6479</v>
      </c>
      <c r="CH63" s="26">
        <v>5126</v>
      </c>
      <c r="CI63" s="26">
        <v>5638</v>
      </c>
      <c r="CJ63" s="162">
        <v>5837</v>
      </c>
      <c r="CK63" s="176">
        <v>6316</v>
      </c>
    </row>
    <row r="64" spans="1:89">
      <c r="A64" s="3"/>
      <c r="B64" s="31"/>
      <c r="C64" s="31"/>
      <c r="D64" s="31"/>
      <c r="E64" s="31"/>
      <c r="F64" s="31"/>
      <c r="G64" s="6"/>
      <c r="H64" s="6"/>
      <c r="I64" s="31"/>
      <c r="J64" s="31"/>
      <c r="K64" s="31"/>
      <c r="L64" s="31"/>
      <c r="M64" s="31"/>
      <c r="N64" s="31"/>
      <c r="O64" s="31"/>
      <c r="P64" s="50"/>
      <c r="Q64" s="50"/>
      <c r="R64" s="50"/>
      <c r="S64" s="50"/>
      <c r="T64" s="31"/>
      <c r="U64" s="31"/>
      <c r="V64" s="31"/>
      <c r="W64" s="31"/>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3"/>
      <c r="CG64" s="6"/>
      <c r="CH64" s="6"/>
    </row>
    <row r="65" spans="1:89">
      <c r="A65" s="3"/>
      <c r="B65" s="6"/>
      <c r="C65" s="6"/>
      <c r="D65" s="6"/>
      <c r="E65" s="31"/>
      <c r="F65" s="31"/>
      <c r="G65" s="31"/>
      <c r="H65" s="31"/>
      <c r="I65" s="31"/>
      <c r="J65" s="31"/>
      <c r="K65" s="31"/>
      <c r="L65" s="31"/>
      <c r="M65" s="31"/>
      <c r="N65" s="31"/>
      <c r="O65" s="31"/>
      <c r="P65" s="31"/>
      <c r="Q65" s="31"/>
      <c r="R65" s="31"/>
      <c r="S65" s="31"/>
      <c r="T65" s="31"/>
      <c r="U65" s="31"/>
      <c r="V65" s="31"/>
      <c r="W65" s="31"/>
      <c r="X65" s="6"/>
      <c r="Y65" s="6"/>
      <c r="Z65" s="6"/>
      <c r="AA65" s="6"/>
      <c r="AB65" s="6"/>
      <c r="AC65" s="6"/>
      <c r="AD65" s="6"/>
      <c r="AE65" s="6"/>
      <c r="AF65" s="6"/>
      <c r="AG65" s="6"/>
      <c r="AH65" s="6"/>
      <c r="AI65" s="6"/>
      <c r="AJ65" s="6" t="s">
        <v>100</v>
      </c>
      <c r="AK65" s="6"/>
      <c r="AL65" s="6"/>
      <c r="AM65" s="6"/>
      <c r="AN65" s="30" t="s">
        <v>100</v>
      </c>
      <c r="AO65" s="29" t="s">
        <v>100</v>
      </c>
      <c r="AP65" s="29"/>
      <c r="AQ65" s="29"/>
      <c r="AR65" s="29"/>
      <c r="AS65" s="29"/>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t="s">
        <v>100</v>
      </c>
      <c r="CC65" s="6"/>
      <c r="CD65" s="6"/>
      <c r="CE65" s="6"/>
      <c r="CF65" s="30" t="s">
        <v>100</v>
      </c>
      <c r="CG65" s="29" t="s">
        <v>100</v>
      </c>
      <c r="CH65" s="29"/>
      <c r="CJ65" s="29" t="s">
        <v>100</v>
      </c>
      <c r="CK65" s="29"/>
    </row>
    <row r="66" spans="1:89">
      <c r="A66" s="3"/>
      <c r="B66" s="6"/>
      <c r="C66" s="43"/>
      <c r="D66" s="43"/>
      <c r="E66" s="43"/>
      <c r="F66" s="43"/>
      <c r="G66" s="43"/>
      <c r="H66" s="43"/>
      <c r="I66" s="43"/>
      <c r="J66" s="43"/>
      <c r="K66" s="43"/>
      <c r="L66" s="43"/>
      <c r="M66" s="43"/>
      <c r="N66" s="43"/>
      <c r="O66" s="31"/>
      <c r="P66" s="50"/>
      <c r="Q66" s="50"/>
      <c r="R66" s="50"/>
      <c r="S66" s="50"/>
      <c r="T66" s="43"/>
      <c r="U66" s="43"/>
      <c r="V66" s="43"/>
      <c r="W66" s="43"/>
      <c r="X66" s="3"/>
      <c r="Y66" s="3"/>
      <c r="Z66" s="3"/>
      <c r="AA66" s="3"/>
      <c r="AB66" s="3"/>
      <c r="AC66" s="3"/>
      <c r="AD66" s="3"/>
      <c r="AE66" s="3"/>
      <c r="AF66" s="3"/>
      <c r="AG66" s="3"/>
      <c r="AH66" s="3"/>
      <c r="AI66" s="3"/>
      <c r="AJ66" s="3" t="s">
        <v>104</v>
      </c>
      <c r="AK66" s="3"/>
      <c r="AL66" s="3"/>
      <c r="AM66" s="3"/>
      <c r="AN66" s="30" t="s">
        <v>104</v>
      </c>
      <c r="AO66" s="3" t="s">
        <v>104</v>
      </c>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t="s">
        <v>104</v>
      </c>
      <c r="CC66" s="3"/>
      <c r="CD66" s="3"/>
      <c r="CE66" s="3"/>
      <c r="CF66" s="30" t="s">
        <v>104</v>
      </c>
      <c r="CG66" s="3" t="s">
        <v>104</v>
      </c>
      <c r="CH66" s="3"/>
      <c r="CJ66" s="3" t="s">
        <v>104</v>
      </c>
      <c r="CK66" s="3"/>
    </row>
    <row r="67" spans="1:89">
      <c r="A67" s="3"/>
      <c r="B67" s="6"/>
      <c r="C67" s="43"/>
      <c r="D67" s="43"/>
      <c r="E67" s="43"/>
      <c r="F67" s="43"/>
      <c r="G67" s="43"/>
      <c r="H67" s="43"/>
      <c r="I67" s="43"/>
      <c r="J67" s="43"/>
      <c r="K67" s="43"/>
      <c r="L67" s="43"/>
      <c r="M67" s="43"/>
      <c r="N67" s="43"/>
      <c r="O67" s="31"/>
      <c r="P67" s="50"/>
      <c r="Q67" s="50"/>
      <c r="R67" s="50"/>
      <c r="S67" s="50"/>
      <c r="T67" s="43"/>
      <c r="U67" s="43"/>
      <c r="V67" s="43"/>
      <c r="W67" s="43"/>
      <c r="X67" s="3"/>
      <c r="Y67" s="3"/>
      <c r="Z67" s="3"/>
      <c r="AA67" s="3"/>
      <c r="AB67" s="3"/>
      <c r="AC67" s="3"/>
      <c r="AD67" s="3"/>
      <c r="AE67" s="3"/>
      <c r="AF67" s="3"/>
      <c r="AG67" s="3"/>
      <c r="AH67" s="3"/>
      <c r="AI67" s="3"/>
      <c r="AJ67" s="3" t="s">
        <v>108</v>
      </c>
      <c r="AK67" s="3"/>
      <c r="AL67" s="3"/>
      <c r="AM67" s="3"/>
      <c r="AN67" s="30" t="s">
        <v>108</v>
      </c>
      <c r="AO67" s="3" t="s">
        <v>108</v>
      </c>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t="s">
        <v>108</v>
      </c>
      <c r="CC67" s="3"/>
      <c r="CD67" s="3"/>
      <c r="CE67" s="3"/>
      <c r="CF67" s="30" t="s">
        <v>108</v>
      </c>
      <c r="CG67" s="3" t="s">
        <v>108</v>
      </c>
      <c r="CH67" s="3"/>
      <c r="CJ67" s="3" t="s">
        <v>108</v>
      </c>
      <c r="CK67" s="3"/>
    </row>
    <row r="68" spans="1:89">
      <c r="A68" s="3"/>
      <c r="B68" s="6"/>
      <c r="C68" s="43"/>
      <c r="D68" s="43"/>
      <c r="E68" s="43"/>
      <c r="F68" s="43"/>
      <c r="G68" s="43"/>
      <c r="H68" s="43"/>
      <c r="I68" s="43"/>
      <c r="J68" s="43"/>
      <c r="K68" s="43"/>
      <c r="L68" s="43"/>
      <c r="M68" s="43"/>
      <c r="N68" s="43"/>
      <c r="O68" s="31"/>
      <c r="P68" s="50"/>
      <c r="Q68" s="50"/>
      <c r="R68" s="50"/>
      <c r="S68" s="50"/>
      <c r="T68" s="43"/>
      <c r="U68" s="43"/>
      <c r="V68" s="43"/>
      <c r="W68" s="43"/>
      <c r="X68" s="3"/>
      <c r="Y68" s="3"/>
      <c r="Z68" s="3"/>
      <c r="AA68" s="3"/>
      <c r="AB68" s="3"/>
      <c r="AC68" s="3"/>
      <c r="AD68" s="3"/>
      <c r="AE68" s="3"/>
      <c r="AF68" s="3"/>
      <c r="AG68" s="3"/>
      <c r="AH68" s="3"/>
      <c r="AI68" s="3"/>
      <c r="AJ68" s="3" t="s">
        <v>112</v>
      </c>
      <c r="AK68" s="3"/>
      <c r="AL68" s="3"/>
      <c r="AM68" s="3"/>
      <c r="AN68" s="30" t="s">
        <v>112</v>
      </c>
      <c r="AO68" s="3" t="s">
        <v>112</v>
      </c>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t="s">
        <v>112</v>
      </c>
      <c r="CC68" s="3"/>
      <c r="CD68" s="3"/>
      <c r="CE68" s="3"/>
      <c r="CF68" s="30" t="s">
        <v>112</v>
      </c>
      <c r="CG68" s="3" t="s">
        <v>112</v>
      </c>
      <c r="CH68" s="3"/>
      <c r="CJ68" s="3" t="s">
        <v>112</v>
      </c>
      <c r="CK68" s="3"/>
    </row>
    <row r="69" spans="1:89">
      <c r="A69" s="3"/>
      <c r="B69" s="6"/>
      <c r="C69" s="43"/>
      <c r="D69" s="43"/>
      <c r="E69" s="43"/>
      <c r="F69" s="43"/>
      <c r="G69" s="43"/>
      <c r="H69" s="43"/>
      <c r="I69" s="43"/>
      <c r="J69" s="43"/>
      <c r="K69" s="43"/>
      <c r="L69" s="43"/>
      <c r="M69" s="43"/>
      <c r="N69" s="43"/>
      <c r="O69" s="31"/>
      <c r="P69" s="50"/>
      <c r="Q69" s="50"/>
      <c r="R69" s="50"/>
      <c r="S69" s="50"/>
      <c r="T69" s="43"/>
      <c r="U69" s="43"/>
      <c r="V69" s="43"/>
      <c r="W69" s="43"/>
      <c r="X69" s="3"/>
      <c r="Y69" s="3"/>
      <c r="Z69" s="3"/>
      <c r="AA69" s="3"/>
      <c r="AB69" s="3"/>
      <c r="AC69" s="3"/>
      <c r="AD69" s="3"/>
      <c r="AE69" s="3"/>
      <c r="AF69" s="3"/>
      <c r="AG69" s="3"/>
      <c r="AH69" s="3"/>
      <c r="AI69" s="3"/>
      <c r="AJ69" s="3" t="s">
        <v>115</v>
      </c>
      <c r="AK69" s="3"/>
      <c r="AL69" s="3"/>
      <c r="AM69" s="3"/>
      <c r="AN69" s="30" t="s">
        <v>115</v>
      </c>
      <c r="AO69" s="3" t="s">
        <v>115</v>
      </c>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t="s">
        <v>115</v>
      </c>
      <c r="CC69" s="3"/>
      <c r="CD69" s="3"/>
      <c r="CE69" s="3"/>
      <c r="CF69" s="30" t="s">
        <v>115</v>
      </c>
      <c r="CG69" s="3" t="s">
        <v>115</v>
      </c>
      <c r="CH69" s="3"/>
      <c r="CJ69" s="3" t="s">
        <v>115</v>
      </c>
      <c r="CK69" s="3"/>
    </row>
    <row r="70" spans="1:89">
      <c r="A70" s="3"/>
      <c r="B70" s="6"/>
      <c r="C70" s="43"/>
      <c r="D70" s="43"/>
      <c r="E70" s="43"/>
      <c r="F70" s="43"/>
      <c r="G70" s="43"/>
      <c r="H70" s="43"/>
      <c r="I70" s="43"/>
      <c r="J70" s="43"/>
      <c r="K70" s="43"/>
      <c r="L70" s="43"/>
      <c r="M70" s="43"/>
      <c r="N70" s="43"/>
      <c r="O70" s="31"/>
      <c r="P70" s="50"/>
      <c r="Q70" s="50"/>
      <c r="R70" s="50"/>
      <c r="S70" s="50"/>
      <c r="T70" s="43"/>
      <c r="U70" s="43"/>
      <c r="V70" s="43"/>
      <c r="W70" s="43"/>
      <c r="X70" s="3"/>
      <c r="Y70" s="3"/>
      <c r="Z70" s="3"/>
      <c r="AA70" s="3"/>
      <c r="AB70" s="3"/>
      <c r="AC70" s="3"/>
      <c r="AD70" s="3"/>
      <c r="AE70" s="3"/>
      <c r="AF70" s="3"/>
      <c r="AG70" s="3"/>
      <c r="AH70" s="3"/>
      <c r="AI70" s="3"/>
      <c r="AJ70" s="3" t="s">
        <v>117</v>
      </c>
      <c r="AK70" s="3"/>
      <c r="AL70" s="3"/>
      <c r="AM70" s="3"/>
      <c r="AN70" s="30" t="s">
        <v>117</v>
      </c>
      <c r="AO70" s="3" t="s">
        <v>117</v>
      </c>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t="s">
        <v>117</v>
      </c>
      <c r="CC70" s="3"/>
      <c r="CD70" s="3"/>
      <c r="CE70" s="3"/>
      <c r="CF70" s="30" t="s">
        <v>117</v>
      </c>
      <c r="CG70" s="3" t="s">
        <v>117</v>
      </c>
      <c r="CH70" s="3"/>
      <c r="CJ70" s="3" t="s">
        <v>117</v>
      </c>
      <c r="CK70" s="3"/>
    </row>
    <row r="71" spans="1:89">
      <c r="A71" s="3"/>
      <c r="B71" s="6"/>
      <c r="C71" s="43"/>
      <c r="D71" s="43"/>
      <c r="E71" s="43"/>
      <c r="F71" s="43"/>
      <c r="G71" s="43"/>
      <c r="H71" s="43"/>
      <c r="I71" s="43"/>
      <c r="J71" s="43"/>
      <c r="K71" s="43"/>
      <c r="L71" s="43"/>
      <c r="M71" s="43"/>
      <c r="N71" s="43"/>
      <c r="O71" s="31"/>
      <c r="P71" s="50"/>
      <c r="Q71" s="50"/>
      <c r="R71" s="50"/>
      <c r="S71" s="50"/>
      <c r="T71" s="43"/>
      <c r="U71" s="43"/>
      <c r="V71" s="43"/>
      <c r="W71" s="43"/>
      <c r="X71" s="3"/>
      <c r="Y71" s="3"/>
      <c r="Z71" s="3"/>
      <c r="AA71" s="3"/>
      <c r="AB71" s="3"/>
      <c r="AC71" s="3"/>
      <c r="AD71" s="3"/>
      <c r="AE71" s="3"/>
      <c r="AF71" s="3"/>
      <c r="AG71" s="3"/>
      <c r="AH71" s="3"/>
      <c r="AI71" s="3"/>
      <c r="AJ71" s="3" t="s">
        <v>120</v>
      </c>
      <c r="AK71" s="3"/>
      <c r="AL71" s="3"/>
      <c r="AM71" s="3"/>
      <c r="AN71" s="30" t="s">
        <v>120</v>
      </c>
      <c r="AO71" s="3" t="s">
        <v>121</v>
      </c>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t="s">
        <v>120</v>
      </c>
      <c r="CC71" s="3"/>
      <c r="CD71" s="3"/>
      <c r="CE71" s="3"/>
      <c r="CF71" s="30" t="s">
        <v>120</v>
      </c>
      <c r="CG71" s="3" t="s">
        <v>121</v>
      </c>
      <c r="CH71" s="3"/>
      <c r="CJ71" s="3" t="s">
        <v>121</v>
      </c>
      <c r="CK71" s="3"/>
    </row>
    <row r="72" spans="1:89">
      <c r="A72" s="3"/>
      <c r="B72" s="6"/>
      <c r="C72" s="43"/>
      <c r="D72" s="43"/>
      <c r="E72" s="43"/>
      <c r="F72" s="43"/>
      <c r="G72" s="43"/>
      <c r="H72" s="43"/>
      <c r="I72" s="43"/>
      <c r="J72" s="43"/>
      <c r="K72" s="43"/>
      <c r="L72" s="43"/>
      <c r="M72" s="43"/>
      <c r="N72" s="43"/>
      <c r="O72" s="31"/>
      <c r="P72" s="50"/>
      <c r="Q72" s="50"/>
      <c r="R72" s="50"/>
      <c r="S72" s="50"/>
      <c r="T72" s="43"/>
      <c r="U72" s="43"/>
      <c r="V72" s="43"/>
      <c r="W72" s="43"/>
      <c r="X72" s="3"/>
      <c r="Y72" s="3"/>
      <c r="Z72" s="3"/>
      <c r="AA72" s="3"/>
      <c r="AB72" s="3"/>
      <c r="AC72" s="3"/>
      <c r="AD72" s="3"/>
      <c r="AE72" s="3"/>
      <c r="AF72" s="3"/>
      <c r="AG72" s="3"/>
      <c r="AH72" s="3"/>
      <c r="AI72" s="3"/>
      <c r="AJ72" s="3" t="s">
        <v>124</v>
      </c>
      <c r="AK72" s="3"/>
      <c r="AL72" s="3"/>
      <c r="AM72" s="3"/>
      <c r="AN72" s="30" t="s">
        <v>124</v>
      </c>
      <c r="AO72" s="3" t="s">
        <v>125</v>
      </c>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t="s">
        <v>124</v>
      </c>
      <c r="CC72" s="3"/>
      <c r="CD72" s="3"/>
      <c r="CE72" s="3"/>
      <c r="CF72" s="30" t="s">
        <v>124</v>
      </c>
      <c r="CG72" s="3" t="s">
        <v>125</v>
      </c>
      <c r="CH72" s="3"/>
      <c r="CJ72" s="3" t="s">
        <v>125</v>
      </c>
      <c r="CK72" s="3"/>
    </row>
    <row r="73" spans="1:89">
      <c r="A73" s="3"/>
      <c r="B73" s="6"/>
      <c r="C73" s="43"/>
      <c r="D73" s="43"/>
      <c r="E73" s="43"/>
      <c r="F73" s="43"/>
      <c r="G73" s="43"/>
      <c r="H73" s="43"/>
      <c r="I73" s="43"/>
      <c r="J73" s="43"/>
      <c r="K73" s="43"/>
      <c r="L73" s="43"/>
      <c r="M73" s="43"/>
      <c r="N73" s="43"/>
      <c r="O73" s="31"/>
      <c r="P73" s="50"/>
      <c r="Q73" s="50"/>
      <c r="R73" s="50"/>
      <c r="S73" s="50"/>
      <c r="T73" s="43"/>
      <c r="U73" s="43"/>
      <c r="V73" s="43"/>
      <c r="W73" s="43"/>
      <c r="X73" s="3"/>
      <c r="Y73" s="3"/>
      <c r="Z73" s="3"/>
      <c r="AA73" s="3"/>
      <c r="AB73" s="3"/>
      <c r="AC73" s="3"/>
      <c r="AD73" s="3"/>
      <c r="AE73" s="3"/>
      <c r="AF73" s="3"/>
      <c r="AG73" s="3"/>
      <c r="AH73" s="3"/>
      <c r="AI73" s="3"/>
      <c r="AJ73" s="3" t="s">
        <v>127</v>
      </c>
      <c r="AK73" s="3"/>
      <c r="AL73" s="3"/>
      <c r="AM73" s="3"/>
      <c r="AN73" s="30" t="s">
        <v>127</v>
      </c>
      <c r="AO73" s="3" t="s">
        <v>128</v>
      </c>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t="s">
        <v>127</v>
      </c>
      <c r="CC73" s="3"/>
      <c r="CD73" s="3"/>
      <c r="CE73" s="3"/>
      <c r="CF73" s="30" t="s">
        <v>127</v>
      </c>
      <c r="CG73" s="3" t="s">
        <v>128</v>
      </c>
      <c r="CH73" s="3"/>
      <c r="CJ73" s="3" t="s">
        <v>128</v>
      </c>
      <c r="CK73" s="3"/>
    </row>
    <row r="74" spans="1:89">
      <c r="A74" s="3"/>
      <c r="B74" s="6"/>
      <c r="C74" s="43"/>
      <c r="D74" s="43"/>
      <c r="E74" s="43"/>
      <c r="F74" s="43"/>
      <c r="G74" s="43"/>
      <c r="H74" s="43"/>
      <c r="I74" s="43"/>
      <c r="J74" s="43"/>
      <c r="K74" s="43"/>
      <c r="L74" s="43"/>
      <c r="M74" s="31"/>
      <c r="N74" s="31"/>
      <c r="O74" s="31"/>
      <c r="P74" s="31"/>
      <c r="Q74" s="31"/>
      <c r="R74" s="31"/>
      <c r="S74" s="31"/>
      <c r="T74" s="43"/>
      <c r="U74" s="43"/>
      <c r="V74" s="43"/>
      <c r="W74" s="43"/>
      <c r="X74" s="3"/>
      <c r="Y74" s="3"/>
      <c r="Z74" s="3"/>
      <c r="AA74" s="3"/>
      <c r="AB74" s="3"/>
      <c r="AC74" s="3"/>
      <c r="AD74" s="3"/>
      <c r="AE74" s="3"/>
      <c r="AF74" s="3"/>
      <c r="AG74" s="3"/>
      <c r="AH74" s="3"/>
      <c r="AI74" s="3"/>
      <c r="AJ74" s="3" t="s">
        <v>130</v>
      </c>
      <c r="AK74" s="3"/>
      <c r="AL74" s="3"/>
      <c r="AM74" s="3"/>
      <c r="AN74" s="30" t="s">
        <v>130</v>
      </c>
      <c r="AO74" s="3" t="s">
        <v>131</v>
      </c>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t="s">
        <v>130</v>
      </c>
      <c r="CC74" s="3"/>
      <c r="CD74" s="3"/>
      <c r="CE74" s="3"/>
      <c r="CF74" s="30" t="s">
        <v>130</v>
      </c>
      <c r="CG74" s="3" t="s">
        <v>131</v>
      </c>
      <c r="CH74" s="3"/>
      <c r="CJ74" s="3" t="s">
        <v>233</v>
      </c>
      <c r="CK74" s="3"/>
    </row>
    <row r="75" spans="1:89">
      <c r="A75" s="3"/>
      <c r="B75" s="6"/>
      <c r="C75" s="43"/>
      <c r="D75" s="43"/>
      <c r="E75" s="43"/>
      <c r="F75" s="43"/>
      <c r="G75" s="43"/>
      <c r="H75" s="43"/>
      <c r="I75" s="43"/>
      <c r="J75" s="43"/>
      <c r="K75" s="43"/>
      <c r="L75" s="43"/>
      <c r="M75" s="31"/>
      <c r="N75" s="31"/>
      <c r="O75" s="31"/>
      <c r="P75" s="31"/>
      <c r="Q75" s="31"/>
      <c r="R75" s="31"/>
      <c r="S75" s="31"/>
      <c r="T75" s="43"/>
      <c r="U75" s="43"/>
      <c r="V75" s="43"/>
      <c r="W75" s="43"/>
      <c r="X75" s="3"/>
      <c r="Y75" s="3"/>
      <c r="Z75" s="3"/>
      <c r="AA75" s="3"/>
      <c r="AB75" s="3"/>
      <c r="AC75" s="3"/>
      <c r="AD75" s="3"/>
      <c r="AE75" s="3"/>
      <c r="AF75" s="3"/>
      <c r="AG75" s="3"/>
      <c r="AH75" s="3"/>
      <c r="AI75" s="3"/>
      <c r="AJ75" s="3" t="s">
        <v>134</v>
      </c>
      <c r="AK75" s="3"/>
      <c r="AL75" s="3"/>
      <c r="AM75" s="3"/>
      <c r="AN75" s="30" t="s">
        <v>134</v>
      </c>
      <c r="AO75" s="3" t="s">
        <v>134</v>
      </c>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t="s">
        <v>134</v>
      </c>
      <c r="CC75" s="3"/>
      <c r="CD75" s="3"/>
      <c r="CE75" s="3"/>
      <c r="CF75" s="30" t="s">
        <v>134</v>
      </c>
      <c r="CG75" s="3" t="s">
        <v>134</v>
      </c>
      <c r="CH75" s="3"/>
      <c r="CJ75" s="3" t="s">
        <v>134</v>
      </c>
      <c r="CK75" s="3"/>
    </row>
    <row r="76" spans="1:89">
      <c r="A76" s="3"/>
      <c r="B76" s="43"/>
      <c r="C76" s="43"/>
      <c r="D76" s="43"/>
      <c r="E76" s="43"/>
      <c r="F76" s="43"/>
      <c r="G76" s="43"/>
      <c r="H76" s="43"/>
      <c r="I76" s="43"/>
      <c r="J76" s="43"/>
      <c r="K76" s="43"/>
      <c r="L76" s="43"/>
      <c r="M76" s="31"/>
      <c r="N76" s="31"/>
      <c r="O76" s="31"/>
      <c r="P76" s="31"/>
      <c r="Q76" s="31"/>
      <c r="R76" s="31"/>
      <c r="S76" s="31"/>
      <c r="T76" s="43"/>
      <c r="U76" s="43"/>
      <c r="V76" s="43"/>
      <c r="W76" s="4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row>
    <row r="77" spans="1:89">
      <c r="A77" s="3"/>
      <c r="B77" s="43"/>
      <c r="C77" s="43"/>
      <c r="D77" s="43"/>
      <c r="E77" s="43"/>
      <c r="F77" s="43"/>
      <c r="G77" s="43"/>
      <c r="H77" s="43"/>
      <c r="I77" s="43"/>
      <c r="J77" s="43"/>
      <c r="K77" s="43"/>
      <c r="L77" s="43"/>
      <c r="M77" s="31"/>
      <c r="N77" s="31"/>
      <c r="O77" s="31"/>
      <c r="P77" s="31"/>
      <c r="Q77" s="31"/>
      <c r="R77" s="31"/>
      <c r="S77" s="31"/>
      <c r="T77" s="43"/>
      <c r="U77" s="43"/>
      <c r="V77" s="43"/>
      <c r="W77" s="43"/>
      <c r="X77" s="3"/>
      <c r="Y77" s="3"/>
      <c r="Z77" s="3"/>
      <c r="AA77" s="3"/>
      <c r="AB77" s="3"/>
      <c r="AC77" s="3"/>
      <c r="AD77" s="3"/>
      <c r="AE77" s="3"/>
      <c r="AF77" s="3"/>
      <c r="AG77" s="3"/>
      <c r="AH77" s="3"/>
      <c r="AI77" s="3"/>
      <c r="AJ77" s="3"/>
      <c r="AK77" s="3"/>
      <c r="AL77" s="3"/>
      <c r="AM77" s="3"/>
      <c r="AN77" s="13" t="s">
        <v>138</v>
      </c>
      <c r="AO77" s="13" t="s">
        <v>138</v>
      </c>
      <c r="AP77" s="13"/>
      <c r="AQ77" s="13"/>
      <c r="AR77" s="13"/>
      <c r="AS77" s="1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13" t="s">
        <v>138</v>
      </c>
      <c r="CG77" s="13" t="s">
        <v>138</v>
      </c>
      <c r="CH77" s="13"/>
    </row>
    <row r="78" spans="1:89">
      <c r="A78" s="3"/>
      <c r="B78" s="43"/>
      <c r="C78" s="43"/>
      <c r="D78" s="43"/>
      <c r="E78" s="43"/>
      <c r="F78" s="43"/>
      <c r="G78" s="43"/>
      <c r="H78" s="43"/>
      <c r="I78" s="43"/>
      <c r="J78" s="43"/>
      <c r="K78" s="43"/>
      <c r="L78" s="43"/>
      <c r="M78" s="31"/>
      <c r="N78" s="31"/>
      <c r="O78" s="31"/>
      <c r="P78" s="31"/>
      <c r="Q78" s="31"/>
      <c r="R78" s="31"/>
      <c r="S78" s="31"/>
      <c r="T78" s="43"/>
      <c r="U78" s="43"/>
      <c r="V78" s="43"/>
      <c r="W78" s="43"/>
      <c r="X78" s="3"/>
      <c r="Y78" s="3"/>
      <c r="Z78" s="3"/>
      <c r="AA78" s="3"/>
      <c r="AB78" s="3"/>
      <c r="AC78" s="3"/>
      <c r="AD78" s="3"/>
      <c r="AE78" s="3"/>
      <c r="AF78" s="3"/>
      <c r="AG78" s="3"/>
      <c r="AH78" s="3"/>
      <c r="AI78" s="3"/>
      <c r="AJ78" s="3"/>
      <c r="AK78" s="3"/>
      <c r="AL78" s="3"/>
      <c r="AM78" s="3"/>
      <c r="AN78" s="13" t="s">
        <v>140</v>
      </c>
      <c r="AO78" s="13" t="s">
        <v>140</v>
      </c>
      <c r="AP78" s="13"/>
      <c r="AQ78" s="13"/>
      <c r="AR78" s="13"/>
      <c r="AS78" s="1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13" t="s">
        <v>140</v>
      </c>
      <c r="CG78" s="13" t="s">
        <v>140</v>
      </c>
      <c r="CH78" s="13"/>
    </row>
    <row r="79" spans="1:89">
      <c r="A79" s="3"/>
      <c r="B79" s="43"/>
      <c r="C79" s="43"/>
      <c r="D79" s="43"/>
      <c r="E79" s="43"/>
      <c r="F79" s="43"/>
      <c r="G79" s="43"/>
      <c r="H79" s="43"/>
      <c r="I79" s="43"/>
      <c r="J79" s="43"/>
      <c r="K79" s="43"/>
      <c r="L79" s="43"/>
      <c r="M79" s="31"/>
      <c r="N79" s="31"/>
      <c r="O79" s="31"/>
      <c r="P79" s="31"/>
      <c r="Q79" s="31"/>
      <c r="R79" s="31"/>
      <c r="S79" s="31"/>
      <c r="T79" s="43"/>
      <c r="U79" s="43"/>
      <c r="V79" s="43"/>
      <c r="W79" s="43"/>
      <c r="X79" s="3"/>
      <c r="Y79" s="3"/>
      <c r="Z79" s="3"/>
      <c r="AA79" s="3"/>
      <c r="AB79" s="3"/>
      <c r="AC79" s="3"/>
      <c r="AD79" s="3"/>
      <c r="AE79" s="3"/>
      <c r="AF79" s="3"/>
      <c r="AG79" s="3"/>
      <c r="AH79" s="3"/>
      <c r="AI79" s="3"/>
      <c r="AJ79" s="3"/>
      <c r="AK79" s="3"/>
      <c r="AL79" s="3"/>
      <c r="AM79" s="3"/>
      <c r="AN79" s="13" t="s">
        <v>141</v>
      </c>
      <c r="AO79" s="13" t="s">
        <v>141</v>
      </c>
      <c r="AP79" s="13"/>
      <c r="AQ79" s="13"/>
      <c r="AR79" s="13"/>
      <c r="AS79" s="1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13" t="s">
        <v>141</v>
      </c>
      <c r="CG79" s="13" t="s">
        <v>141</v>
      </c>
      <c r="CH79" s="13"/>
    </row>
    <row r="80" spans="1:89">
      <c r="A80" s="3"/>
      <c r="B80" s="43"/>
      <c r="C80" s="43"/>
      <c r="D80" s="43"/>
      <c r="E80" s="43"/>
      <c r="F80" s="43"/>
      <c r="G80" s="43"/>
      <c r="H80" s="43"/>
      <c r="I80" s="43"/>
      <c r="J80" s="43"/>
      <c r="K80" s="43"/>
      <c r="L80" s="43"/>
      <c r="M80" s="31"/>
      <c r="N80" s="31"/>
      <c r="O80" s="31"/>
      <c r="P80" s="31"/>
      <c r="Q80" s="31"/>
      <c r="R80" s="31"/>
      <c r="S80" s="31"/>
      <c r="T80" s="43"/>
      <c r="U80" s="43"/>
      <c r="V80" s="43"/>
      <c r="W80" s="43"/>
      <c r="X80" s="3"/>
      <c r="Y80" s="3"/>
      <c r="Z80" s="3"/>
      <c r="AA80" s="3"/>
      <c r="AB80" s="3"/>
      <c r="AC80" s="3"/>
      <c r="AD80" s="3"/>
      <c r="AE80" s="3"/>
      <c r="AF80" s="3"/>
      <c r="AG80" s="3"/>
      <c r="AH80" s="3"/>
      <c r="AI80" s="3"/>
      <c r="AJ80" s="3"/>
      <c r="AK80" s="3"/>
      <c r="AL80" s="3"/>
      <c r="AM80" s="3"/>
      <c r="AN80" s="13" t="s">
        <v>142</v>
      </c>
      <c r="AO80" s="13" t="s">
        <v>142</v>
      </c>
      <c r="AP80" s="13"/>
      <c r="AQ80" s="13"/>
      <c r="AR80" s="13"/>
      <c r="AS80" s="1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13" t="s">
        <v>142</v>
      </c>
      <c r="CG80" s="13" t="s">
        <v>142</v>
      </c>
      <c r="CH80" s="13"/>
    </row>
    <row r="81" spans="1:86">
      <c r="A81" s="3"/>
      <c r="B81" s="43"/>
      <c r="C81" s="43"/>
      <c r="D81" s="43"/>
      <c r="E81" s="43"/>
      <c r="F81" s="43"/>
      <c r="G81" s="43"/>
      <c r="H81" s="43"/>
      <c r="I81" s="43"/>
      <c r="J81" s="43"/>
      <c r="K81" s="43"/>
      <c r="L81" s="43"/>
      <c r="M81" s="31"/>
      <c r="N81" s="31"/>
      <c r="O81" s="31"/>
      <c r="P81" s="31"/>
      <c r="Q81" s="31"/>
      <c r="R81" s="31"/>
      <c r="S81" s="31"/>
      <c r="T81" s="43"/>
      <c r="U81" s="43"/>
      <c r="V81" s="43"/>
      <c r="W81" s="43"/>
      <c r="X81" s="3"/>
      <c r="Y81" s="3"/>
      <c r="Z81" s="3"/>
      <c r="AA81" s="3"/>
      <c r="AB81" s="3"/>
      <c r="AC81" s="3"/>
      <c r="AD81" s="3"/>
      <c r="AE81" s="3"/>
      <c r="AF81" s="3"/>
      <c r="AG81" s="3"/>
      <c r="AH81" s="3"/>
      <c r="AI81" s="3"/>
      <c r="AJ81" s="3"/>
      <c r="AK81" s="3"/>
      <c r="AL81" s="3"/>
      <c r="AM81" s="3"/>
      <c r="AN81" s="13" t="s">
        <v>143</v>
      </c>
      <c r="AO81" s="13" t="s">
        <v>143</v>
      </c>
      <c r="AP81" s="13"/>
      <c r="AQ81" s="13"/>
      <c r="AR81" s="13"/>
      <c r="AS81" s="1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13" t="s">
        <v>143</v>
      </c>
      <c r="CG81" s="13" t="s">
        <v>143</v>
      </c>
      <c r="CH81" s="13"/>
    </row>
    <row r="82" spans="1:86">
      <c r="A82" s="3"/>
      <c r="B82" s="43"/>
      <c r="C82" s="43"/>
      <c r="D82" s="43"/>
      <c r="E82" s="43"/>
      <c r="F82" s="43"/>
      <c r="G82" s="43"/>
      <c r="H82" s="43"/>
      <c r="I82" s="43"/>
      <c r="J82" s="43"/>
      <c r="K82" s="43"/>
      <c r="L82" s="43"/>
      <c r="M82" s="31"/>
      <c r="N82" s="31"/>
      <c r="O82" s="31"/>
      <c r="P82" s="31"/>
      <c r="Q82" s="31"/>
      <c r="R82" s="31"/>
      <c r="S82" s="31"/>
      <c r="T82" s="43"/>
      <c r="U82" s="43"/>
      <c r="V82" s="43"/>
      <c r="W82" s="43"/>
      <c r="X82" s="3"/>
      <c r="Y82" s="3"/>
      <c r="Z82" s="3"/>
      <c r="AA82" s="3"/>
      <c r="AB82" s="3"/>
      <c r="AC82" s="3"/>
      <c r="AD82" s="3"/>
      <c r="AE82" s="3"/>
      <c r="AF82" s="3"/>
      <c r="AG82" s="3"/>
      <c r="AH82" s="3"/>
      <c r="AI82" s="3"/>
      <c r="AJ82" s="3"/>
      <c r="AK82" s="3"/>
      <c r="AL82" s="3"/>
      <c r="AM82" s="3"/>
      <c r="AN82" s="13" t="s">
        <v>144</v>
      </c>
      <c r="AO82" s="13" t="s">
        <v>144</v>
      </c>
      <c r="AP82" s="13"/>
      <c r="AQ82" s="13"/>
      <c r="AR82" s="13"/>
      <c r="AS82" s="1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13" t="s">
        <v>144</v>
      </c>
      <c r="CG82" s="13" t="s">
        <v>144</v>
      </c>
      <c r="CH82" s="13"/>
    </row>
    <row r="83" spans="1:86">
      <c r="A83" s="3"/>
      <c r="B83" s="43"/>
      <c r="C83" s="43"/>
      <c r="D83" s="43"/>
      <c r="E83" s="43"/>
      <c r="F83" s="43"/>
      <c r="G83" s="43"/>
      <c r="H83" s="43"/>
      <c r="I83" s="43"/>
      <c r="J83" s="43"/>
      <c r="K83" s="43"/>
      <c r="L83" s="43"/>
      <c r="M83" s="31"/>
      <c r="N83" s="31"/>
      <c r="O83" s="31"/>
      <c r="P83" s="31"/>
      <c r="Q83" s="31"/>
      <c r="R83" s="31"/>
      <c r="S83" s="31"/>
      <c r="T83" s="43"/>
      <c r="U83" s="43"/>
      <c r="V83" s="43"/>
      <c r="W83" s="43"/>
      <c r="X83" s="3"/>
      <c r="Y83" s="3"/>
      <c r="Z83" s="3"/>
      <c r="AA83" s="3"/>
      <c r="AB83" s="3"/>
      <c r="AC83" s="3"/>
      <c r="AD83" s="3"/>
      <c r="AE83" s="3"/>
      <c r="AF83" s="3"/>
      <c r="AG83" s="3"/>
      <c r="AH83" s="3"/>
      <c r="AI83" s="3"/>
      <c r="AJ83" s="3"/>
      <c r="AK83" s="3"/>
      <c r="AL83" s="3"/>
      <c r="AM83" s="3"/>
      <c r="AN83" s="13" t="s">
        <v>145</v>
      </c>
      <c r="AO83" s="13" t="s">
        <v>145</v>
      </c>
      <c r="AP83" s="13"/>
      <c r="AQ83" s="13"/>
      <c r="AR83" s="13"/>
      <c r="AS83" s="1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13" t="s">
        <v>145</v>
      </c>
      <c r="CG83" s="13" t="s">
        <v>145</v>
      </c>
      <c r="CH83" s="13"/>
    </row>
    <row r="84" spans="1:86">
      <c r="A84" s="3"/>
      <c r="B84" s="43"/>
      <c r="C84" s="43"/>
      <c r="D84" s="43"/>
      <c r="E84" s="43"/>
      <c r="F84" s="43"/>
      <c r="G84" s="43"/>
      <c r="H84" s="43"/>
      <c r="I84" s="43"/>
      <c r="J84" s="43"/>
      <c r="K84" s="43"/>
      <c r="L84" s="43"/>
      <c r="M84" s="31"/>
      <c r="N84" s="31"/>
      <c r="O84" s="31"/>
      <c r="P84" s="31"/>
      <c r="Q84" s="31"/>
      <c r="R84" s="31"/>
      <c r="S84" s="31"/>
      <c r="T84" s="43"/>
      <c r="U84" s="43"/>
      <c r="V84" s="43"/>
      <c r="W84" s="43"/>
      <c r="X84" s="3"/>
      <c r="Y84" s="3"/>
      <c r="Z84" s="3"/>
      <c r="AA84" s="3"/>
      <c r="AB84" s="3"/>
      <c r="AC84" s="3"/>
      <c r="AD84" s="3"/>
      <c r="AE84" s="3"/>
      <c r="AF84" s="3"/>
      <c r="AG84" s="3"/>
      <c r="AH84" s="3"/>
      <c r="AI84" s="3"/>
      <c r="AJ84" s="3"/>
      <c r="AK84" s="3"/>
      <c r="AL84" s="3"/>
      <c r="AM84" s="3"/>
      <c r="AN84" s="13" t="s">
        <v>146</v>
      </c>
      <c r="AO84" s="13" t="s">
        <v>146</v>
      </c>
      <c r="AP84" s="13"/>
      <c r="AQ84" s="13"/>
      <c r="AR84" s="13"/>
      <c r="AS84" s="1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13" t="s">
        <v>146</v>
      </c>
      <c r="CG84" s="13" t="s">
        <v>146</v>
      </c>
      <c r="CH84" s="13"/>
    </row>
    <row r="85" spans="1:86">
      <c r="A85" s="3"/>
      <c r="B85" s="43"/>
      <c r="C85" s="43"/>
      <c r="D85" s="43"/>
      <c r="E85" s="43"/>
      <c r="F85" s="43"/>
      <c r="G85" s="43"/>
      <c r="H85" s="43"/>
      <c r="I85" s="43"/>
      <c r="J85" s="43"/>
      <c r="K85" s="43"/>
      <c r="L85" s="43"/>
      <c r="M85" s="31"/>
      <c r="N85" s="31"/>
      <c r="O85" s="31"/>
      <c r="P85" s="31"/>
      <c r="Q85" s="31"/>
      <c r="R85" s="31"/>
      <c r="S85" s="31"/>
      <c r="T85" s="54"/>
      <c r="U85" s="54"/>
      <c r="V85" s="54"/>
      <c r="W85" s="54"/>
      <c r="X85" s="3"/>
      <c r="Y85" s="3"/>
      <c r="Z85" s="3"/>
      <c r="AA85" s="3"/>
      <c r="AB85" s="3"/>
      <c r="AC85" s="3"/>
      <c r="AD85" s="3"/>
      <c r="AE85" s="3"/>
      <c r="AF85" s="3"/>
      <c r="AG85" s="3"/>
      <c r="AH85" s="3"/>
      <c r="AI85" s="3"/>
      <c r="AJ85" s="3"/>
      <c r="AK85" s="3"/>
      <c r="AL85" s="3"/>
      <c r="AM85" s="3"/>
      <c r="AN85" s="13" t="s">
        <v>147</v>
      </c>
      <c r="AO85" s="13" t="s">
        <v>147</v>
      </c>
      <c r="AP85" s="13"/>
      <c r="AQ85" s="13"/>
      <c r="AR85" s="13"/>
      <c r="AS85" s="1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13" t="s">
        <v>147</v>
      </c>
      <c r="CG85" s="13" t="s">
        <v>147</v>
      </c>
      <c r="CH85" s="13"/>
    </row>
    <row r="86" spans="1:86">
      <c r="A86" s="3"/>
      <c r="B86" s="43"/>
      <c r="C86" s="43"/>
      <c r="D86" s="43"/>
      <c r="E86" s="43"/>
      <c r="F86" s="43"/>
      <c r="G86" s="43"/>
      <c r="H86" s="43"/>
      <c r="I86" s="43"/>
      <c r="J86" s="43"/>
      <c r="K86" s="43"/>
      <c r="L86" s="43"/>
      <c r="M86" s="31"/>
      <c r="N86" s="31"/>
      <c r="O86" s="31"/>
      <c r="P86" s="31"/>
      <c r="Q86" s="31"/>
      <c r="R86" s="31"/>
      <c r="S86" s="31"/>
      <c r="T86" s="54"/>
      <c r="U86" s="54"/>
      <c r="V86" s="54"/>
      <c r="W86" s="54"/>
      <c r="X86" s="3"/>
      <c r="Y86" s="3"/>
      <c r="Z86" s="3"/>
      <c r="AA86" s="3"/>
      <c r="AB86" s="3"/>
      <c r="AC86" s="3"/>
      <c r="AD86" s="3"/>
      <c r="AE86" s="3"/>
      <c r="AF86" s="3"/>
      <c r="AG86" s="3"/>
      <c r="AH86" s="3"/>
      <c r="AI86" s="3"/>
      <c r="AJ86" s="3"/>
      <c r="AK86" s="3"/>
      <c r="AL86" s="3"/>
      <c r="AM86" s="3"/>
      <c r="AN86" s="13" t="s">
        <v>148</v>
      </c>
      <c r="AO86" s="13" t="s">
        <v>148</v>
      </c>
      <c r="AP86" s="13"/>
      <c r="AQ86" s="13"/>
      <c r="AR86" s="13"/>
      <c r="AS86" s="1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13" t="s">
        <v>148</v>
      </c>
      <c r="CG86" s="13" t="s">
        <v>148</v>
      </c>
      <c r="CH86" s="13"/>
    </row>
    <row r="87" spans="1:86">
      <c r="A87" s="3"/>
      <c r="B87" s="43"/>
      <c r="C87" s="43"/>
      <c r="D87" s="43"/>
      <c r="E87" s="43"/>
      <c r="F87" s="43"/>
      <c r="G87" s="43"/>
      <c r="H87" s="43"/>
      <c r="I87" s="43"/>
      <c r="J87" s="43"/>
      <c r="K87" s="43"/>
      <c r="L87" s="43"/>
      <c r="M87" s="31"/>
      <c r="N87" s="31"/>
      <c r="O87" s="31"/>
      <c r="P87" s="31"/>
      <c r="Q87" s="31"/>
      <c r="R87" s="31"/>
      <c r="S87" s="31"/>
      <c r="T87" s="43"/>
      <c r="U87" s="43"/>
      <c r="V87" s="43"/>
      <c r="W87" s="43"/>
      <c r="X87" s="3"/>
      <c r="Y87" s="3"/>
      <c r="Z87" s="3"/>
      <c r="AA87" s="3"/>
      <c r="AB87" s="3"/>
      <c r="AC87" s="3"/>
      <c r="AD87" s="3"/>
      <c r="AE87" s="3"/>
      <c r="AF87" s="3"/>
      <c r="AG87" s="3"/>
      <c r="AH87" s="3"/>
      <c r="AI87" s="3"/>
      <c r="AJ87" s="3"/>
      <c r="AK87" s="3"/>
      <c r="AL87" s="3"/>
      <c r="AM87" s="3"/>
      <c r="AN87" s="13" t="s">
        <v>149</v>
      </c>
      <c r="AO87" s="13" t="s">
        <v>149</v>
      </c>
      <c r="AP87" s="13"/>
      <c r="AQ87" s="13"/>
      <c r="AR87" s="13"/>
      <c r="AS87" s="1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13" t="s">
        <v>149</v>
      </c>
      <c r="CG87" s="13" t="s">
        <v>149</v>
      </c>
      <c r="CH87" s="13"/>
    </row>
    <row r="88" spans="1:86">
      <c r="A88" s="3"/>
      <c r="B88" s="43"/>
      <c r="C88" s="43"/>
      <c r="D88" s="43"/>
      <c r="E88" s="43"/>
      <c r="F88" s="43"/>
      <c r="G88" s="43"/>
      <c r="H88" s="43"/>
      <c r="I88" s="43"/>
      <c r="J88" s="43"/>
      <c r="K88" s="43"/>
      <c r="L88" s="43"/>
      <c r="M88" s="31"/>
      <c r="N88" s="31"/>
      <c r="O88" s="31"/>
      <c r="P88" s="31"/>
      <c r="Q88" s="31"/>
      <c r="R88" s="31"/>
      <c r="S88" s="31"/>
      <c r="T88" s="43"/>
      <c r="U88" s="43"/>
      <c r="V88" s="43"/>
      <c r="W88" s="43"/>
      <c r="X88" s="3"/>
      <c r="Y88" s="3"/>
      <c r="Z88" s="3"/>
      <c r="AA88" s="3"/>
      <c r="AB88" s="3"/>
      <c r="AC88" s="3"/>
      <c r="AD88" s="3"/>
      <c r="AE88" s="3"/>
      <c r="AF88" s="3"/>
      <c r="AG88" s="3"/>
      <c r="AH88" s="3"/>
      <c r="AI88" s="3"/>
      <c r="AJ88" s="3"/>
      <c r="AK88" s="3"/>
      <c r="AL88" s="3"/>
      <c r="AM88" s="3"/>
      <c r="AN88" s="13" t="s">
        <v>150</v>
      </c>
      <c r="AO88" s="13" t="s">
        <v>150</v>
      </c>
      <c r="AP88" s="13"/>
      <c r="AQ88" s="13"/>
      <c r="AR88" s="13"/>
      <c r="AS88" s="1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13" t="s">
        <v>150</v>
      </c>
      <c r="CG88" s="13" t="s">
        <v>150</v>
      </c>
      <c r="CH88" s="13"/>
    </row>
    <row r="89" spans="1:86">
      <c r="A89" s="3"/>
      <c r="B89" s="43"/>
      <c r="C89" s="43"/>
      <c r="D89" s="43"/>
      <c r="E89" s="43"/>
      <c r="F89" s="43"/>
      <c r="G89" s="43"/>
      <c r="H89" s="43"/>
      <c r="I89" s="43"/>
      <c r="J89" s="43"/>
      <c r="K89" s="43"/>
      <c r="L89" s="43"/>
      <c r="M89" s="31"/>
      <c r="N89" s="31"/>
      <c r="O89" s="31"/>
      <c r="P89" s="31"/>
      <c r="Q89" s="31"/>
      <c r="R89" s="31"/>
      <c r="S89" s="31"/>
      <c r="T89" s="43"/>
      <c r="U89" s="43"/>
      <c r="V89" s="43"/>
      <c r="W89" s="43"/>
      <c r="X89" s="3"/>
      <c r="Y89" s="3"/>
      <c r="Z89" s="3"/>
      <c r="AA89" s="3"/>
      <c r="AB89" s="3"/>
      <c r="AC89" s="3"/>
      <c r="AD89" s="3"/>
      <c r="AE89" s="3"/>
      <c r="AF89" s="3"/>
      <c r="AG89" s="3"/>
      <c r="AH89" s="3"/>
      <c r="AI89" s="3"/>
      <c r="AJ89" s="3"/>
      <c r="AK89" s="3"/>
      <c r="AL89" s="3"/>
      <c r="AM89" s="3"/>
      <c r="AN89" s="13" t="s">
        <v>151</v>
      </c>
      <c r="AO89" s="13" t="s">
        <v>151</v>
      </c>
      <c r="AP89" s="13"/>
      <c r="AQ89" s="13"/>
      <c r="AR89" s="13"/>
      <c r="AS89" s="1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13" t="s">
        <v>151</v>
      </c>
      <c r="CG89" s="13" t="s">
        <v>151</v>
      </c>
      <c r="CH89" s="13"/>
    </row>
    <row r="90" spans="1:86">
      <c r="A90" s="3"/>
      <c r="B90" s="43"/>
      <c r="C90" s="43"/>
      <c r="D90" s="43"/>
      <c r="E90" s="43"/>
      <c r="F90" s="43"/>
      <c r="G90" s="43"/>
      <c r="H90" s="43"/>
      <c r="I90" s="43"/>
      <c r="J90" s="43"/>
      <c r="K90" s="43"/>
      <c r="L90" s="43"/>
      <c r="M90" s="31"/>
      <c r="N90" s="31"/>
      <c r="O90" s="31"/>
      <c r="P90" s="31"/>
      <c r="Q90" s="31"/>
      <c r="R90" s="31"/>
      <c r="S90" s="31"/>
      <c r="T90" s="43"/>
      <c r="U90" s="43"/>
      <c r="V90" s="43"/>
      <c r="W90" s="43"/>
      <c r="X90" s="3"/>
      <c r="Y90" s="3"/>
      <c r="Z90" s="3"/>
      <c r="AA90" s="3"/>
      <c r="AB90" s="3"/>
      <c r="AC90" s="3"/>
      <c r="AD90" s="3"/>
      <c r="AE90" s="3"/>
      <c r="AF90" s="3"/>
      <c r="AG90" s="3"/>
      <c r="AH90" s="3"/>
      <c r="AI90" s="3"/>
      <c r="AJ90" s="3"/>
      <c r="AK90" s="3"/>
      <c r="AL90" s="3"/>
      <c r="AM90" s="3"/>
      <c r="AN90" s="13" t="s">
        <v>152</v>
      </c>
      <c r="AO90" s="13" t="s">
        <v>152</v>
      </c>
      <c r="AP90" s="13"/>
      <c r="AQ90" s="13"/>
      <c r="AR90" s="13"/>
      <c r="AS90" s="1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13" t="s">
        <v>152</v>
      </c>
      <c r="CG90" s="13" t="s">
        <v>152</v>
      </c>
      <c r="CH90" s="13"/>
    </row>
    <row r="91" spans="1:86">
      <c r="A91" s="3"/>
      <c r="B91" s="43"/>
      <c r="C91" s="43"/>
      <c r="D91" s="43"/>
      <c r="E91" s="43"/>
      <c r="F91" s="43"/>
      <c r="G91" s="43"/>
      <c r="H91" s="43"/>
      <c r="I91" s="43"/>
      <c r="J91" s="43"/>
      <c r="K91" s="43"/>
      <c r="L91" s="43"/>
      <c r="M91" s="31"/>
      <c r="N91" s="31"/>
      <c r="O91" s="31"/>
      <c r="P91" s="31"/>
      <c r="Q91" s="31"/>
      <c r="R91" s="31"/>
      <c r="S91" s="31"/>
      <c r="T91" s="43"/>
      <c r="U91" s="43"/>
      <c r="V91" s="43"/>
      <c r="W91" s="43"/>
      <c r="X91" s="3"/>
      <c r="Y91" s="3"/>
      <c r="Z91" s="3"/>
      <c r="AA91" s="3"/>
      <c r="AB91" s="3"/>
      <c r="AC91" s="3"/>
      <c r="AD91" s="3"/>
      <c r="AE91" s="3"/>
      <c r="AF91" s="3"/>
      <c r="AG91" s="3"/>
      <c r="AH91" s="3"/>
      <c r="AI91" s="3"/>
      <c r="AJ91" s="3"/>
      <c r="AK91" s="3"/>
      <c r="AL91" s="3"/>
      <c r="AM91" s="3"/>
      <c r="AN91" s="34" t="s">
        <v>153</v>
      </c>
      <c r="AO91" s="34" t="s">
        <v>153</v>
      </c>
      <c r="AP91" s="34"/>
      <c r="AQ91" s="34"/>
      <c r="AR91" s="34"/>
      <c r="AS91" s="34"/>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4" t="s">
        <v>153</v>
      </c>
      <c r="CG91" s="34" t="s">
        <v>153</v>
      </c>
      <c r="CH91" s="34"/>
    </row>
  </sheetData>
  <hyperlinks>
    <hyperlink ref="AO75" r:id="rId1" display="www.nces.ed.gov"/>
    <hyperlink ref="CG75" r:id="rId2" display="www.nces.ed.gov"/>
    <hyperlink ref="AJ75" r:id="rId3" display="www.nces.ed.gov"/>
    <hyperlink ref="CB75" r:id="rId4" display="www.nces.ed.gov"/>
    <hyperlink ref="CJ75" r:id="rId5" display="www.nces.ed.gov"/>
  </hyperlinks>
  <pageMargins left="0.7" right="0.7" top="0.75" bottom="0.75" header="0.3" footer="0.3"/>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AB91"/>
  <sheetViews>
    <sheetView workbookViewId="0">
      <pane xSplit="1" ySplit="4" topLeftCell="V44" activePane="bottomRight" state="frozen"/>
      <selection pane="topRight" activeCell="B1" sqref="B1"/>
      <selection pane="bottomLeft" activeCell="A5" sqref="A5"/>
      <selection pane="bottomRight" activeCell="AB54" sqref="AB54:AB63"/>
    </sheetView>
  </sheetViews>
  <sheetFormatPr defaultRowHeight="12.75"/>
  <sheetData>
    <row r="1" spans="1:28">
      <c r="A1" s="1" t="s">
        <v>181</v>
      </c>
      <c r="B1" s="3"/>
      <c r="C1" s="3"/>
      <c r="D1" s="3"/>
      <c r="E1" s="3"/>
      <c r="F1" s="3"/>
      <c r="G1" s="3"/>
      <c r="H1" s="3"/>
      <c r="I1" s="3"/>
      <c r="J1" s="3"/>
      <c r="K1" s="3"/>
      <c r="L1" s="3"/>
      <c r="M1" s="3"/>
      <c r="N1" s="6"/>
      <c r="O1" s="6"/>
      <c r="P1" s="6"/>
      <c r="Q1" s="30"/>
      <c r="R1" s="30"/>
      <c r="S1" s="30"/>
      <c r="T1" s="30"/>
      <c r="U1" s="30"/>
      <c r="V1" s="30"/>
      <c r="W1" s="30"/>
      <c r="X1" s="3"/>
      <c r="Y1" s="3"/>
    </row>
    <row r="2" spans="1:28">
      <c r="A2" s="30"/>
      <c r="B2" s="55" t="s">
        <v>182</v>
      </c>
      <c r="C2" s="43"/>
      <c r="D2" s="43"/>
      <c r="E2" s="43"/>
      <c r="F2" s="56"/>
      <c r="G2" s="56"/>
      <c r="H2" s="56"/>
      <c r="I2" s="56"/>
      <c r="J2" s="56"/>
      <c r="K2" s="56"/>
      <c r="L2" s="57"/>
      <c r="M2" s="57"/>
      <c r="N2" s="57"/>
      <c r="O2" s="57"/>
      <c r="P2" s="57"/>
      <c r="Q2" s="30"/>
      <c r="R2" s="30"/>
      <c r="S2" s="30"/>
      <c r="T2" s="30"/>
      <c r="U2" s="30"/>
      <c r="V2" s="30"/>
      <c r="W2" s="30"/>
      <c r="X2" s="3"/>
      <c r="Y2" s="3"/>
    </row>
    <row r="3" spans="1:28">
      <c r="A3" s="58"/>
      <c r="B3" s="59" t="s">
        <v>9</v>
      </c>
      <c r="C3" s="60" t="s">
        <v>11</v>
      </c>
      <c r="D3" s="60" t="s">
        <v>13</v>
      </c>
      <c r="E3" s="60" t="s">
        <v>15</v>
      </c>
      <c r="F3" s="60" t="s">
        <v>17</v>
      </c>
      <c r="G3" s="60" t="s">
        <v>19</v>
      </c>
      <c r="H3" s="60" t="s">
        <v>21</v>
      </c>
      <c r="I3" s="60" t="s">
        <v>22</v>
      </c>
      <c r="J3" s="60" t="s">
        <v>24</v>
      </c>
      <c r="K3" s="60" t="s">
        <v>25</v>
      </c>
      <c r="L3" s="60" t="s">
        <v>26</v>
      </c>
      <c r="M3" s="60" t="s">
        <v>27</v>
      </c>
      <c r="N3" s="60" t="s">
        <v>28</v>
      </c>
      <c r="O3" s="60" t="s">
        <v>29</v>
      </c>
      <c r="P3" s="60" t="s">
        <v>30</v>
      </c>
      <c r="Q3" s="60" t="s">
        <v>32</v>
      </c>
      <c r="R3" s="61" t="s">
        <v>35</v>
      </c>
      <c r="S3" s="61" t="s">
        <v>36</v>
      </c>
      <c r="T3" s="61" t="s">
        <v>37</v>
      </c>
      <c r="U3" s="157" t="s">
        <v>38</v>
      </c>
      <c r="V3" s="61" t="s">
        <v>39</v>
      </c>
      <c r="W3" s="61" t="s">
        <v>40</v>
      </c>
      <c r="X3" s="61" t="s">
        <v>41</v>
      </c>
      <c r="Y3" s="61" t="s">
        <v>216</v>
      </c>
      <c r="Z3" s="157" t="s">
        <v>217</v>
      </c>
      <c r="AA3" s="163" t="s">
        <v>232</v>
      </c>
      <c r="AB3" s="163" t="s">
        <v>235</v>
      </c>
    </row>
    <row r="4" spans="1:28">
      <c r="A4" s="12" t="s">
        <v>42</v>
      </c>
      <c r="B4" s="12">
        <v>318241</v>
      </c>
      <c r="C4" s="12">
        <v>302075</v>
      </c>
      <c r="D4" s="12">
        <v>296798</v>
      </c>
      <c r="E4" s="12">
        <v>289921</v>
      </c>
      <c r="F4" s="12">
        <f>276391+4494</f>
        <v>280885</v>
      </c>
      <c r="G4" s="12">
        <f>G5+G23+G38+G52+G63</f>
        <v>245326</v>
      </c>
      <c r="H4" s="12">
        <f>177866+131286</f>
        <v>309152</v>
      </c>
      <c r="I4" s="12">
        <f>181896+133538</f>
        <v>315434</v>
      </c>
      <c r="J4" s="12">
        <f t="shared" ref="J4:X4" si="0">J5+J23+J38+J52+J63</f>
        <v>296925</v>
      </c>
      <c r="K4" s="12">
        <f t="shared" si="0"/>
        <v>309031</v>
      </c>
      <c r="L4" s="12">
        <f t="shared" si="0"/>
        <v>321838</v>
      </c>
      <c r="M4" s="12">
        <f t="shared" si="0"/>
        <v>329611</v>
      </c>
      <c r="N4" s="12">
        <f t="shared" si="0"/>
        <v>338849</v>
      </c>
      <c r="O4" s="12">
        <f t="shared" si="0"/>
        <v>349282</v>
      </c>
      <c r="P4" s="12">
        <f t="shared" si="0"/>
        <v>358003</v>
      </c>
      <c r="Q4" s="12">
        <f t="shared" si="0"/>
        <v>375032</v>
      </c>
      <c r="R4" s="12">
        <f t="shared" si="0"/>
        <v>398296</v>
      </c>
      <c r="S4" s="12">
        <f t="shared" si="0"/>
        <v>431897</v>
      </c>
      <c r="T4" s="12">
        <f t="shared" si="0"/>
        <v>448879</v>
      </c>
      <c r="U4" s="12">
        <f t="shared" si="0"/>
        <v>450292</v>
      </c>
      <c r="V4" s="12">
        <f t="shared" si="0"/>
        <v>476757</v>
      </c>
      <c r="W4" s="12">
        <f t="shared" si="0"/>
        <v>488382</v>
      </c>
      <c r="X4" s="12">
        <f t="shared" si="0"/>
        <v>509984</v>
      </c>
      <c r="Y4" s="12">
        <f t="shared" ref="Y4:Z4" si="1">Y5+Y23+Y38+Y52+Y63</f>
        <v>534013</v>
      </c>
      <c r="Z4" s="12">
        <f t="shared" si="1"/>
        <v>540939</v>
      </c>
      <c r="AA4" s="12">
        <f t="shared" ref="AA4:AB4" si="2">AA5+AA23+AA38+AA52+AA63</f>
        <v>573639</v>
      </c>
      <c r="AB4" s="12">
        <f t="shared" si="2"/>
        <v>571801</v>
      </c>
    </row>
    <row r="5" spans="1:28">
      <c r="A5" s="15" t="s">
        <v>43</v>
      </c>
      <c r="B5" s="15">
        <f t="shared" ref="B5:W5" si="3">SUM(B7:B22)</f>
        <v>81755</v>
      </c>
      <c r="C5" s="15">
        <f t="shared" si="3"/>
        <v>78631</v>
      </c>
      <c r="D5" s="15">
        <f t="shared" si="3"/>
        <v>75662</v>
      </c>
      <c r="E5" s="15">
        <f t="shared" si="3"/>
        <v>76139</v>
      </c>
      <c r="F5" s="15">
        <f t="shared" si="3"/>
        <v>76382</v>
      </c>
      <c r="G5" s="15">
        <f>SUM(G7:G22)</f>
        <v>69123</v>
      </c>
      <c r="H5" s="15">
        <f t="shared" si="3"/>
        <v>84651</v>
      </c>
      <c r="I5" s="15">
        <f t="shared" si="3"/>
        <v>88473</v>
      </c>
      <c r="J5" s="15">
        <f t="shared" si="3"/>
        <v>85409</v>
      </c>
      <c r="K5" s="15">
        <f t="shared" si="3"/>
        <v>91123</v>
      </c>
      <c r="L5" s="15">
        <f t="shared" si="3"/>
        <v>95606</v>
      </c>
      <c r="M5" s="15">
        <f t="shared" si="3"/>
        <v>99723</v>
      </c>
      <c r="N5" s="15">
        <f t="shared" si="3"/>
        <v>102240</v>
      </c>
      <c r="O5" s="15">
        <f t="shared" si="3"/>
        <v>107278</v>
      </c>
      <c r="P5" s="15">
        <f t="shared" si="3"/>
        <v>109525</v>
      </c>
      <c r="Q5" s="15">
        <f t="shared" si="3"/>
        <v>114852</v>
      </c>
      <c r="R5" s="15">
        <f t="shared" si="3"/>
        <v>119760</v>
      </c>
      <c r="S5" s="15">
        <f t="shared" si="3"/>
        <v>129642</v>
      </c>
      <c r="T5" s="15">
        <f t="shared" si="3"/>
        <v>135923</v>
      </c>
      <c r="U5" s="15">
        <f t="shared" si="3"/>
        <v>139458</v>
      </c>
      <c r="V5" s="15">
        <f t="shared" si="3"/>
        <v>143490</v>
      </c>
      <c r="W5" s="15">
        <f t="shared" si="3"/>
        <v>146486</v>
      </c>
      <c r="X5" s="15">
        <f t="shared" ref="X5:Y5" si="4">SUM(X7:X22)</f>
        <v>154979</v>
      </c>
      <c r="Y5" s="15">
        <f t="shared" si="4"/>
        <v>165494</v>
      </c>
      <c r="Z5" s="15">
        <f t="shared" ref="Z5:AA5" si="5">SUM(Z7:Z22)</f>
        <v>174661</v>
      </c>
      <c r="AA5" s="15">
        <f t="shared" si="5"/>
        <v>184519</v>
      </c>
      <c r="AB5" s="15">
        <f t="shared" ref="AB5" si="6">SUM(AB7:AB22)</f>
        <v>187676</v>
      </c>
    </row>
    <row r="6" spans="1:28">
      <c r="A6" s="17" t="s">
        <v>44</v>
      </c>
      <c r="B6" s="17">
        <f t="shared" ref="B6:W6" si="7">(B5/B4)*100</f>
        <v>25.689650296473427</v>
      </c>
      <c r="C6" s="17">
        <f t="shared" si="7"/>
        <v>26.030290490772156</v>
      </c>
      <c r="D6" s="17">
        <f t="shared" si="7"/>
        <v>25.492759385171059</v>
      </c>
      <c r="E6" s="17">
        <f t="shared" si="7"/>
        <v>26.261981712259548</v>
      </c>
      <c r="F6" s="17">
        <f t="shared" si="7"/>
        <v>27.193335350766329</v>
      </c>
      <c r="G6" s="17">
        <f>(G5/G4)*100</f>
        <v>28.175978086301495</v>
      </c>
      <c r="H6" s="17">
        <f t="shared" si="7"/>
        <v>27.38167632750233</v>
      </c>
      <c r="I6" s="17">
        <f t="shared" si="7"/>
        <v>28.048022724246596</v>
      </c>
      <c r="J6" s="17">
        <f t="shared" si="7"/>
        <v>28.764502820577587</v>
      </c>
      <c r="K6" s="17">
        <f t="shared" si="7"/>
        <v>29.486685801748045</v>
      </c>
      <c r="L6" s="17">
        <f t="shared" si="7"/>
        <v>29.706249728124089</v>
      </c>
      <c r="M6" s="17">
        <f t="shared" si="7"/>
        <v>30.254754847380699</v>
      </c>
      <c r="N6" s="17">
        <f t="shared" si="7"/>
        <v>30.172731806792996</v>
      </c>
      <c r="O6" s="17">
        <f t="shared" si="7"/>
        <v>30.713864441912264</v>
      </c>
      <c r="P6" s="17">
        <f t="shared" si="7"/>
        <v>30.593319050399021</v>
      </c>
      <c r="Q6" s="17">
        <f t="shared" si="7"/>
        <v>30.624586701934771</v>
      </c>
      <c r="R6" s="17">
        <f t="shared" si="7"/>
        <v>30.068090063671239</v>
      </c>
      <c r="S6" s="17">
        <f t="shared" si="7"/>
        <v>30.016879024397021</v>
      </c>
      <c r="T6" s="17">
        <f t="shared" si="7"/>
        <v>30.280543308998638</v>
      </c>
      <c r="U6" s="17">
        <f t="shared" si="7"/>
        <v>30.970570207776287</v>
      </c>
      <c r="V6" s="17">
        <f t="shared" si="7"/>
        <v>30.097093487877473</v>
      </c>
      <c r="W6" s="17">
        <f t="shared" si="7"/>
        <v>29.994143928318408</v>
      </c>
      <c r="X6" s="17">
        <f t="shared" ref="X6:Y6" si="8">(X5/X$5)*100</f>
        <v>100</v>
      </c>
      <c r="Y6" s="17">
        <f t="shared" si="8"/>
        <v>100</v>
      </c>
      <c r="Z6" s="17">
        <f t="shared" ref="Z6:AA6" si="9">(Z5/Z$5)*100</f>
        <v>100</v>
      </c>
      <c r="AA6" s="17">
        <f t="shared" si="9"/>
        <v>100</v>
      </c>
      <c r="AB6" s="17">
        <f t="shared" ref="AB6" si="10">(AB5/AB$5)*100</f>
        <v>100</v>
      </c>
    </row>
    <row r="7" spans="1:28">
      <c r="A7" s="18" t="s">
        <v>45</v>
      </c>
      <c r="B7" s="18">
        <v>5757</v>
      </c>
      <c r="C7" s="18">
        <v>6020</v>
      </c>
      <c r="D7" s="18">
        <v>5271</v>
      </c>
      <c r="E7" s="18">
        <v>4819</v>
      </c>
      <c r="F7" s="18">
        <f>3903+458</f>
        <v>4361</v>
      </c>
      <c r="G7" s="18">
        <v>3725</v>
      </c>
      <c r="H7" s="18">
        <f>4049+373</f>
        <v>4422</v>
      </c>
      <c r="I7" s="18">
        <f>4353+362</f>
        <v>4715</v>
      </c>
      <c r="J7" s="18">
        <v>5042</v>
      </c>
      <c r="K7" s="18">
        <v>5121</v>
      </c>
      <c r="L7" s="18">
        <v>5273</v>
      </c>
      <c r="M7" s="18">
        <v>5493</v>
      </c>
      <c r="N7" s="18">
        <v>5972</v>
      </c>
      <c r="O7" s="18">
        <v>6982</v>
      </c>
      <c r="P7" s="18">
        <v>5883</v>
      </c>
      <c r="Q7" s="18">
        <v>7285</v>
      </c>
      <c r="R7" s="18">
        <v>7634</v>
      </c>
      <c r="S7" s="18">
        <v>7946</v>
      </c>
      <c r="T7" s="18">
        <v>8895</v>
      </c>
      <c r="U7" s="18">
        <v>9421</v>
      </c>
      <c r="V7" s="18">
        <v>9013</v>
      </c>
      <c r="W7" s="18">
        <v>9346</v>
      </c>
      <c r="X7" s="18">
        <v>9282</v>
      </c>
      <c r="Y7" s="18">
        <v>10011</v>
      </c>
      <c r="Z7" s="159">
        <v>9553</v>
      </c>
      <c r="AA7">
        <v>10207</v>
      </c>
      <c r="AB7">
        <v>10433</v>
      </c>
    </row>
    <row r="8" spans="1:28">
      <c r="A8" s="18" t="s">
        <v>46</v>
      </c>
      <c r="B8" s="18">
        <v>1829</v>
      </c>
      <c r="C8" s="18">
        <v>1680</v>
      </c>
      <c r="D8" s="18">
        <v>1794</v>
      </c>
      <c r="E8" s="18">
        <v>1794</v>
      </c>
      <c r="F8" s="18">
        <f>1730+0</f>
        <v>1730</v>
      </c>
      <c r="G8" s="18">
        <v>1807</v>
      </c>
      <c r="H8" s="18">
        <f>1781+85</f>
        <v>1866</v>
      </c>
      <c r="I8" s="18">
        <f>1666+83</f>
        <v>1749</v>
      </c>
      <c r="J8" s="18">
        <v>1704</v>
      </c>
      <c r="K8" s="18">
        <v>1730</v>
      </c>
      <c r="L8" s="18">
        <v>1784</v>
      </c>
      <c r="M8" s="18">
        <v>1834</v>
      </c>
      <c r="N8" s="18">
        <v>1790</v>
      </c>
      <c r="O8" s="18">
        <v>1954</v>
      </c>
      <c r="P8" s="18">
        <v>1970</v>
      </c>
      <c r="Q8" s="18">
        <v>2131</v>
      </c>
      <c r="R8" s="18">
        <v>2048</v>
      </c>
      <c r="S8" s="18">
        <v>2161</v>
      </c>
      <c r="T8" s="18">
        <v>2499</v>
      </c>
      <c r="U8" s="18">
        <v>2740</v>
      </c>
      <c r="V8" s="18">
        <v>2942</v>
      </c>
      <c r="W8" s="18">
        <v>3102</v>
      </c>
      <c r="X8" s="18">
        <v>3354</v>
      </c>
      <c r="Y8" s="18">
        <v>3711</v>
      </c>
      <c r="Z8" s="159">
        <v>4314</v>
      </c>
      <c r="AA8">
        <v>4802</v>
      </c>
      <c r="AB8">
        <v>4731</v>
      </c>
    </row>
    <row r="9" spans="1:28">
      <c r="A9" s="18" t="s">
        <v>47</v>
      </c>
      <c r="B9" s="18"/>
      <c r="C9" s="18"/>
      <c r="D9" s="18"/>
      <c r="E9" s="18"/>
      <c r="F9" s="18">
        <v>552</v>
      </c>
      <c r="G9" s="18">
        <v>541</v>
      </c>
      <c r="H9" s="18">
        <v>689</v>
      </c>
      <c r="I9" s="18">
        <v>791</v>
      </c>
      <c r="J9" s="18">
        <v>779</v>
      </c>
      <c r="K9" s="18">
        <v>845</v>
      </c>
      <c r="L9" s="18">
        <v>860</v>
      </c>
      <c r="M9" s="18">
        <v>910</v>
      </c>
      <c r="N9" s="18">
        <v>1025</v>
      </c>
      <c r="O9" s="18">
        <v>976</v>
      </c>
      <c r="P9" s="18">
        <v>1186</v>
      </c>
      <c r="Q9" s="18">
        <v>1228</v>
      </c>
      <c r="R9" s="18">
        <v>1254</v>
      </c>
      <c r="S9" s="18">
        <v>1215</v>
      </c>
      <c r="T9" s="18">
        <v>1190</v>
      </c>
      <c r="U9" s="18">
        <v>1343</v>
      </c>
      <c r="V9" s="18">
        <v>1405</v>
      </c>
      <c r="W9" s="18">
        <v>1271</v>
      </c>
      <c r="X9" s="18">
        <v>1293</v>
      </c>
      <c r="Y9" s="18">
        <v>1389</v>
      </c>
      <c r="Z9" s="159">
        <v>1480</v>
      </c>
      <c r="AA9">
        <v>1702</v>
      </c>
      <c r="AB9">
        <v>1913</v>
      </c>
    </row>
    <row r="10" spans="1:28">
      <c r="A10" s="18" t="s">
        <v>48</v>
      </c>
      <c r="B10" s="18">
        <v>8535</v>
      </c>
      <c r="C10" s="18">
        <v>9435</v>
      </c>
      <c r="D10" s="18">
        <v>8716</v>
      </c>
      <c r="E10" s="18">
        <v>8326</v>
      </c>
      <c r="F10" s="18">
        <f>8535+53</f>
        <v>8588</v>
      </c>
      <c r="G10" s="18">
        <v>8113</v>
      </c>
      <c r="H10" s="18">
        <f>5756+5071</f>
        <v>10827</v>
      </c>
      <c r="I10" s="18">
        <f>6016+5114</f>
        <v>11130</v>
      </c>
      <c r="J10" s="18">
        <v>10729</v>
      </c>
      <c r="K10" s="18">
        <v>11883</v>
      </c>
      <c r="L10" s="18">
        <v>12774</v>
      </c>
      <c r="M10" s="18">
        <v>13220</v>
      </c>
      <c r="N10" s="18">
        <v>13731</v>
      </c>
      <c r="O10" s="18">
        <v>14556</v>
      </c>
      <c r="P10" s="18">
        <v>15007</v>
      </c>
      <c r="Q10" s="18">
        <v>15949</v>
      </c>
      <c r="R10" s="18">
        <v>17550</v>
      </c>
      <c r="S10" s="18">
        <v>19357</v>
      </c>
      <c r="T10" s="18">
        <v>20356</v>
      </c>
      <c r="U10" s="18">
        <v>20529</v>
      </c>
      <c r="V10" s="18">
        <v>21913</v>
      </c>
      <c r="W10" s="18">
        <v>22185</v>
      </c>
      <c r="X10" s="18">
        <v>23719</v>
      </c>
      <c r="Y10" s="18">
        <v>24932</v>
      </c>
      <c r="Z10" s="159">
        <v>26825</v>
      </c>
      <c r="AA10">
        <v>27659</v>
      </c>
      <c r="AB10">
        <v>26138</v>
      </c>
    </row>
    <row r="11" spans="1:28">
      <c r="A11" s="18" t="s">
        <v>49</v>
      </c>
      <c r="B11" s="18">
        <v>8233</v>
      </c>
      <c r="C11" s="18">
        <v>7133</v>
      </c>
      <c r="D11" s="18">
        <v>6414</v>
      </c>
      <c r="E11" s="18">
        <v>6208</v>
      </c>
      <c r="F11" s="18">
        <f>5884+383</f>
        <v>6267</v>
      </c>
      <c r="G11" s="18">
        <v>5132</v>
      </c>
      <c r="H11" s="18">
        <f>5685+1318</f>
        <v>7003</v>
      </c>
      <c r="I11" s="18">
        <f>5979+1406</f>
        <v>7385</v>
      </c>
      <c r="J11" s="18">
        <v>6396</v>
      </c>
      <c r="K11" s="18">
        <v>7284</v>
      </c>
      <c r="L11" s="18">
        <v>7630</v>
      </c>
      <c r="M11" s="18">
        <v>7895</v>
      </c>
      <c r="N11" s="18">
        <v>8456</v>
      </c>
      <c r="O11" s="18">
        <v>8825</v>
      </c>
      <c r="P11" s="18">
        <v>9523</v>
      </c>
      <c r="Q11" s="18">
        <v>9140</v>
      </c>
      <c r="R11" s="18">
        <v>10087</v>
      </c>
      <c r="S11" s="18">
        <v>11511</v>
      </c>
      <c r="T11" s="18">
        <v>10991</v>
      </c>
      <c r="U11" s="18">
        <v>10579</v>
      </c>
      <c r="V11" s="18">
        <v>10406</v>
      </c>
      <c r="W11" s="18">
        <v>11143</v>
      </c>
      <c r="X11" s="18">
        <v>12213</v>
      </c>
      <c r="Y11" s="18">
        <v>13345</v>
      </c>
      <c r="Z11" s="159">
        <v>14104</v>
      </c>
      <c r="AA11">
        <v>14407</v>
      </c>
      <c r="AB11">
        <v>14581</v>
      </c>
    </row>
    <row r="12" spans="1:28">
      <c r="A12" s="18" t="s">
        <v>50</v>
      </c>
      <c r="B12" s="18">
        <v>4900</v>
      </c>
      <c r="C12" s="18">
        <v>5006</v>
      </c>
      <c r="D12" s="18">
        <v>4518</v>
      </c>
      <c r="E12" s="18">
        <v>3703</v>
      </c>
      <c r="F12" s="18">
        <f>3419+0</f>
        <v>3419</v>
      </c>
      <c r="G12" s="18">
        <v>3070</v>
      </c>
      <c r="H12" s="18">
        <f>2960+636</f>
        <v>3596</v>
      </c>
      <c r="I12" s="18">
        <f>3037+656</f>
        <v>3693</v>
      </c>
      <c r="J12" s="18">
        <v>3737</v>
      </c>
      <c r="K12" s="18">
        <v>3928</v>
      </c>
      <c r="L12" s="18">
        <v>3772</v>
      </c>
      <c r="M12" s="18">
        <v>3933</v>
      </c>
      <c r="N12" s="18">
        <v>4200</v>
      </c>
      <c r="O12" s="18">
        <v>4210</v>
      </c>
      <c r="P12" s="18">
        <v>4370</v>
      </c>
      <c r="Q12" s="18">
        <v>4428</v>
      </c>
      <c r="R12" s="18">
        <v>4884</v>
      </c>
      <c r="S12" s="18">
        <v>5645</v>
      </c>
      <c r="T12" s="18">
        <v>5978</v>
      </c>
      <c r="U12" s="18">
        <v>6126</v>
      </c>
      <c r="V12" s="18">
        <v>6420</v>
      </c>
      <c r="W12" s="18">
        <v>6203</v>
      </c>
      <c r="X12" s="18">
        <v>6591</v>
      </c>
      <c r="Y12" s="18">
        <v>7168</v>
      </c>
      <c r="Z12" s="159">
        <v>7325</v>
      </c>
      <c r="AA12">
        <v>8173</v>
      </c>
      <c r="AB12">
        <v>8525</v>
      </c>
    </row>
    <row r="13" spans="1:28">
      <c r="A13" s="18" t="s">
        <v>51</v>
      </c>
      <c r="B13" s="18">
        <v>4442</v>
      </c>
      <c r="C13" s="18">
        <v>4053</v>
      </c>
      <c r="D13" s="18">
        <v>3925</v>
      </c>
      <c r="E13" s="18">
        <v>4006</v>
      </c>
      <c r="F13" s="18">
        <f>3775+325</f>
        <v>4100</v>
      </c>
      <c r="G13" s="18">
        <v>3466</v>
      </c>
      <c r="H13" s="18">
        <f>2833+1092</f>
        <v>3925</v>
      </c>
      <c r="I13" s="18">
        <f>2800+1248</f>
        <v>4048</v>
      </c>
      <c r="J13" s="18">
        <v>3633</v>
      </c>
      <c r="K13" s="18">
        <v>3966</v>
      </c>
      <c r="L13" s="18">
        <v>4232</v>
      </c>
      <c r="M13" s="18">
        <v>4460</v>
      </c>
      <c r="N13" s="18">
        <v>4341</v>
      </c>
      <c r="O13" s="18">
        <v>4567</v>
      </c>
      <c r="P13" s="18">
        <v>4717</v>
      </c>
      <c r="Q13" s="18">
        <v>4995</v>
      </c>
      <c r="R13" s="18">
        <v>4647</v>
      </c>
      <c r="S13" s="18">
        <v>5219</v>
      </c>
      <c r="T13" s="18">
        <v>5475</v>
      </c>
      <c r="U13" s="18">
        <v>4967</v>
      </c>
      <c r="V13" s="18">
        <v>5161</v>
      </c>
      <c r="W13" s="18">
        <v>4943</v>
      </c>
      <c r="X13" s="18">
        <v>5094</v>
      </c>
      <c r="Y13" s="18">
        <v>5388</v>
      </c>
      <c r="Z13" s="159">
        <v>5454</v>
      </c>
      <c r="AA13">
        <v>5707</v>
      </c>
      <c r="AB13">
        <v>6130</v>
      </c>
    </row>
    <row r="14" spans="1:28">
      <c r="A14" s="18" t="s">
        <v>52</v>
      </c>
      <c r="B14" s="18">
        <v>5474</v>
      </c>
      <c r="C14" s="18">
        <v>5135</v>
      </c>
      <c r="D14" s="18">
        <v>5233</v>
      </c>
      <c r="E14" s="18">
        <v>5085</v>
      </c>
      <c r="F14" s="18">
        <f>4919+298</f>
        <v>5217</v>
      </c>
      <c r="G14" s="18">
        <v>4767</v>
      </c>
      <c r="H14" s="18">
        <f>3071+2935</f>
        <v>6006</v>
      </c>
      <c r="I14" s="18">
        <f>3179+3287</f>
        <v>6466</v>
      </c>
      <c r="J14" s="18">
        <v>6702</v>
      </c>
      <c r="K14" s="18">
        <v>7040</v>
      </c>
      <c r="L14" s="18">
        <v>7291</v>
      </c>
      <c r="M14" s="18">
        <v>8033</v>
      </c>
      <c r="N14" s="18">
        <v>8860</v>
      </c>
      <c r="O14" s="18">
        <v>8884</v>
      </c>
      <c r="P14" s="18">
        <v>8920</v>
      </c>
      <c r="Q14" s="18">
        <v>9259</v>
      </c>
      <c r="R14" s="18">
        <v>10305</v>
      </c>
      <c r="S14" s="18">
        <v>11129</v>
      </c>
      <c r="T14" s="18">
        <v>11260</v>
      </c>
      <c r="U14" s="18">
        <v>11555</v>
      </c>
      <c r="V14" s="18">
        <v>12198</v>
      </c>
      <c r="W14" s="18">
        <v>11702</v>
      </c>
      <c r="X14" s="18">
        <v>12102</v>
      </c>
      <c r="Y14" s="18">
        <v>12574</v>
      </c>
      <c r="Z14" s="159">
        <v>13919</v>
      </c>
      <c r="AA14">
        <v>14842</v>
      </c>
      <c r="AB14">
        <v>15157</v>
      </c>
    </row>
    <row r="15" spans="1:28">
      <c r="A15" s="18" t="s">
        <v>53</v>
      </c>
      <c r="B15" s="18">
        <v>3665</v>
      </c>
      <c r="C15" s="18">
        <v>2982</v>
      </c>
      <c r="D15" s="18">
        <v>2769</v>
      </c>
      <c r="E15" s="18">
        <v>2174</v>
      </c>
      <c r="F15" s="18">
        <f>1939+329</f>
        <v>2268</v>
      </c>
      <c r="G15" s="18">
        <v>1886</v>
      </c>
      <c r="H15" s="18">
        <f>1860+347</f>
        <v>2207</v>
      </c>
      <c r="I15" s="18">
        <f>2083+427</f>
        <v>2510</v>
      </c>
      <c r="J15" s="18">
        <v>2382</v>
      </c>
      <c r="K15" s="18">
        <v>2383</v>
      </c>
      <c r="L15" s="18">
        <v>2224</v>
      </c>
      <c r="M15" s="18">
        <v>2315</v>
      </c>
      <c r="N15" s="18">
        <v>2462</v>
      </c>
      <c r="O15" s="18">
        <v>2974</v>
      </c>
      <c r="P15" s="18">
        <v>3164</v>
      </c>
      <c r="Q15" s="18">
        <v>3032</v>
      </c>
      <c r="R15" s="18">
        <v>3141</v>
      </c>
      <c r="S15" s="18">
        <v>3330</v>
      </c>
      <c r="T15" s="18">
        <v>3546</v>
      </c>
      <c r="U15" s="18">
        <v>3585</v>
      </c>
      <c r="V15" s="18">
        <v>3677</v>
      </c>
      <c r="W15" s="18">
        <v>3668</v>
      </c>
      <c r="X15" s="18">
        <v>3797</v>
      </c>
      <c r="Y15" s="18">
        <v>3866</v>
      </c>
      <c r="Z15" s="159">
        <v>4310</v>
      </c>
      <c r="AA15">
        <v>4455</v>
      </c>
      <c r="AB15">
        <v>4460</v>
      </c>
    </row>
    <row r="16" spans="1:28">
      <c r="A16" s="18" t="s">
        <v>54</v>
      </c>
      <c r="B16" s="18">
        <v>5596</v>
      </c>
      <c r="C16" s="18">
        <v>5537</v>
      </c>
      <c r="D16" s="18">
        <v>5289</v>
      </c>
      <c r="E16" s="18">
        <v>5465</v>
      </c>
      <c r="F16" s="18">
        <f>4870+421</f>
        <v>5291</v>
      </c>
      <c r="G16" s="18">
        <v>5350</v>
      </c>
      <c r="H16" s="18">
        <f>4786+1347</f>
        <v>6133</v>
      </c>
      <c r="I16" s="18">
        <f>4808+1465</f>
        <v>6273</v>
      </c>
      <c r="J16" s="18">
        <v>6133</v>
      </c>
      <c r="K16" s="18">
        <v>6366</v>
      </c>
      <c r="L16" s="18">
        <v>6700</v>
      </c>
      <c r="M16" s="18">
        <v>6856</v>
      </c>
      <c r="N16" s="18">
        <v>7196</v>
      </c>
      <c r="O16" s="18">
        <v>7555</v>
      </c>
      <c r="P16" s="18">
        <v>7490</v>
      </c>
      <c r="Q16" s="18">
        <v>8956</v>
      </c>
      <c r="R16" s="18">
        <v>8734</v>
      </c>
      <c r="S16" s="18">
        <v>9959</v>
      </c>
      <c r="T16" s="18">
        <v>10323</v>
      </c>
      <c r="U16" s="18">
        <v>10989</v>
      </c>
      <c r="V16" s="18">
        <v>11481</v>
      </c>
      <c r="W16" s="18">
        <v>11836</v>
      </c>
      <c r="X16" s="18">
        <v>12399</v>
      </c>
      <c r="Y16" s="18">
        <v>12780</v>
      </c>
      <c r="Z16" s="159">
        <v>14167</v>
      </c>
      <c r="AA16">
        <v>14970</v>
      </c>
      <c r="AB16">
        <v>15153</v>
      </c>
    </row>
    <row r="17" spans="1:28">
      <c r="A17" s="18" t="s">
        <v>55</v>
      </c>
      <c r="B17" s="18"/>
      <c r="C17" s="18"/>
      <c r="D17" s="18"/>
      <c r="E17" s="18">
        <v>3462</v>
      </c>
      <c r="F17" s="18">
        <f>3715+0</f>
        <v>3715</v>
      </c>
      <c r="G17" s="18">
        <v>3299</v>
      </c>
      <c r="H17" s="18">
        <f>3077+1034</f>
        <v>4111</v>
      </c>
      <c r="I17" s="18">
        <f>2985+958</f>
        <v>3943</v>
      </c>
      <c r="J17" s="18">
        <v>3429</v>
      </c>
      <c r="K17" s="18">
        <v>3626</v>
      </c>
      <c r="L17" s="18">
        <v>4049</v>
      </c>
      <c r="M17" s="18">
        <v>3767</v>
      </c>
      <c r="N17" s="18">
        <v>3045</v>
      </c>
      <c r="O17" s="18">
        <v>3548</v>
      </c>
      <c r="P17" s="18">
        <v>4014</v>
      </c>
      <c r="Q17" s="18">
        <v>4233</v>
      </c>
      <c r="R17" s="18">
        <v>4294</v>
      </c>
      <c r="S17" s="18">
        <v>4346</v>
      </c>
      <c r="T17" s="18">
        <v>4344</v>
      </c>
      <c r="U17" s="18">
        <v>4300</v>
      </c>
      <c r="V17" s="18">
        <v>4508</v>
      </c>
      <c r="W17" s="18">
        <v>4652</v>
      </c>
      <c r="X17" s="18">
        <v>4974</v>
      </c>
      <c r="Y17" s="18">
        <v>4774</v>
      </c>
      <c r="Z17" s="159">
        <v>4945</v>
      </c>
      <c r="AA17">
        <v>5155</v>
      </c>
      <c r="AB17">
        <v>5263</v>
      </c>
    </row>
    <row r="18" spans="1:28">
      <c r="A18" s="18" t="s">
        <v>56</v>
      </c>
      <c r="B18" s="18">
        <v>3810</v>
      </c>
      <c r="C18" s="18">
        <v>3461</v>
      </c>
      <c r="D18" s="18">
        <v>2985</v>
      </c>
      <c r="E18" s="18">
        <v>3165</v>
      </c>
      <c r="F18" s="18">
        <f>2914+151</f>
        <v>3065</v>
      </c>
      <c r="G18" s="18">
        <v>3049</v>
      </c>
      <c r="H18" s="18">
        <f>2853+416</f>
        <v>3269</v>
      </c>
      <c r="I18" s="18">
        <f>3311+544</f>
        <v>3855</v>
      </c>
      <c r="J18" s="18">
        <v>3542</v>
      </c>
      <c r="K18" s="18">
        <v>3765</v>
      </c>
      <c r="L18" s="18">
        <v>3945</v>
      </c>
      <c r="M18" s="18">
        <v>3933</v>
      </c>
      <c r="N18" s="18">
        <v>3952</v>
      </c>
      <c r="O18" s="18">
        <v>4139</v>
      </c>
      <c r="P18" s="18">
        <v>4156</v>
      </c>
      <c r="Q18" s="18">
        <v>4019</v>
      </c>
      <c r="R18" s="18">
        <v>3886</v>
      </c>
      <c r="S18" s="18">
        <v>4077</v>
      </c>
      <c r="T18" s="18">
        <v>4361</v>
      </c>
      <c r="U18" s="18">
        <v>4480</v>
      </c>
      <c r="V18" s="18">
        <v>4527</v>
      </c>
      <c r="W18" s="18">
        <v>4595</v>
      </c>
      <c r="X18" s="18">
        <v>4404</v>
      </c>
      <c r="Y18" s="18">
        <v>4911</v>
      </c>
      <c r="Z18" s="159">
        <v>5177</v>
      </c>
      <c r="AA18">
        <v>5307</v>
      </c>
      <c r="AB18">
        <v>5247</v>
      </c>
    </row>
    <row r="19" spans="1:28">
      <c r="A19" s="18" t="s">
        <v>57</v>
      </c>
      <c r="B19" s="18">
        <v>5271</v>
      </c>
      <c r="C19" s="18">
        <v>4599</v>
      </c>
      <c r="D19" s="18">
        <v>4685</v>
      </c>
      <c r="E19" s="18">
        <v>4207</v>
      </c>
      <c r="F19" s="18">
        <f>3816+317</f>
        <v>4133</v>
      </c>
      <c r="G19" s="18">
        <v>3744</v>
      </c>
      <c r="H19" s="18">
        <f>3389+1586</f>
        <v>4975</v>
      </c>
      <c r="I19" s="18">
        <f>3375+1458</f>
        <v>4833</v>
      </c>
      <c r="J19" s="18">
        <v>4677</v>
      </c>
      <c r="K19" s="18">
        <v>4784</v>
      </c>
      <c r="L19" s="18">
        <v>5380</v>
      </c>
      <c r="M19" s="18">
        <v>5627</v>
      </c>
      <c r="N19" s="18">
        <v>5722</v>
      </c>
      <c r="O19" s="18">
        <v>6340</v>
      </c>
      <c r="P19" s="18">
        <v>6477</v>
      </c>
      <c r="Q19" s="18">
        <v>7155</v>
      </c>
      <c r="R19" s="18">
        <v>7097</v>
      </c>
      <c r="S19" s="18">
        <v>7150</v>
      </c>
      <c r="T19" s="18">
        <v>7471</v>
      </c>
      <c r="U19" s="18">
        <v>8031</v>
      </c>
      <c r="V19" s="18">
        <v>7949</v>
      </c>
      <c r="W19" s="18">
        <v>7964</v>
      </c>
      <c r="X19" s="18">
        <v>8821</v>
      </c>
      <c r="Y19" s="18">
        <v>9148</v>
      </c>
      <c r="Z19" s="159">
        <v>9886</v>
      </c>
      <c r="AA19">
        <v>10382</v>
      </c>
      <c r="AB19">
        <v>10554</v>
      </c>
    </row>
    <row r="20" spans="1:28">
      <c r="A20" s="18" t="s">
        <v>58</v>
      </c>
      <c r="B20" s="18">
        <v>16738</v>
      </c>
      <c r="C20" s="18">
        <v>16236</v>
      </c>
      <c r="D20" s="18">
        <v>16521</v>
      </c>
      <c r="E20" s="18">
        <v>16250</v>
      </c>
      <c r="F20" s="18">
        <f>16252+475</f>
        <v>16727</v>
      </c>
      <c r="G20" s="18">
        <v>14461</v>
      </c>
      <c r="H20" s="18">
        <f>13131+4019</f>
        <v>17150</v>
      </c>
      <c r="I20" s="18">
        <f>13721+4193</f>
        <v>17914</v>
      </c>
      <c r="J20" s="18">
        <v>17043</v>
      </c>
      <c r="K20" s="18">
        <v>17915</v>
      </c>
      <c r="L20" s="18">
        <v>18529</v>
      </c>
      <c r="M20" s="18">
        <v>19410</v>
      </c>
      <c r="N20" s="18">
        <v>19375</v>
      </c>
      <c r="O20" s="18">
        <v>19453</v>
      </c>
      <c r="P20" s="18">
        <v>20116</v>
      </c>
      <c r="Q20" s="18">
        <v>20637</v>
      </c>
      <c r="R20" s="18">
        <v>22200</v>
      </c>
      <c r="S20" s="18">
        <v>23817</v>
      </c>
      <c r="T20" s="18">
        <v>25790</v>
      </c>
      <c r="U20" s="18">
        <v>26647</v>
      </c>
      <c r="V20" s="18">
        <v>26958</v>
      </c>
      <c r="W20" s="18">
        <v>27889</v>
      </c>
      <c r="X20" s="18">
        <v>29350</v>
      </c>
      <c r="Y20" s="18">
        <v>32502</v>
      </c>
      <c r="Z20" s="159">
        <v>33761</v>
      </c>
      <c r="AA20">
        <v>36410</v>
      </c>
      <c r="AB20">
        <v>37695</v>
      </c>
    </row>
    <row r="21" spans="1:28">
      <c r="A21" s="18" t="s">
        <v>59</v>
      </c>
      <c r="B21" s="18">
        <v>5346</v>
      </c>
      <c r="C21" s="18">
        <v>5178</v>
      </c>
      <c r="D21" s="18">
        <v>5488</v>
      </c>
      <c r="E21" s="18">
        <v>5463</v>
      </c>
      <c r="F21" s="18">
        <f>4843+327</f>
        <v>5170</v>
      </c>
      <c r="G21" s="18">
        <v>5089</v>
      </c>
      <c r="H21" s="18">
        <f>5766+1007</f>
        <v>6773</v>
      </c>
      <c r="I21" s="18">
        <f>6222+1197</f>
        <v>7419</v>
      </c>
      <c r="J21" s="18">
        <v>7702</v>
      </c>
      <c r="K21" s="18">
        <v>8705</v>
      </c>
      <c r="L21" s="18">
        <v>9262</v>
      </c>
      <c r="M21" s="18">
        <v>9964</v>
      </c>
      <c r="N21" s="18">
        <v>10123</v>
      </c>
      <c r="O21" s="18">
        <v>10271</v>
      </c>
      <c r="P21" s="18">
        <v>10131</v>
      </c>
      <c r="Q21" s="18">
        <v>10174</v>
      </c>
      <c r="R21" s="18">
        <v>9770</v>
      </c>
      <c r="S21" s="18">
        <v>10285</v>
      </c>
      <c r="T21" s="18">
        <v>11056</v>
      </c>
      <c r="U21" s="18">
        <v>11615</v>
      </c>
      <c r="V21" s="18">
        <v>12241</v>
      </c>
      <c r="W21" s="18">
        <v>12782</v>
      </c>
      <c r="X21" s="18">
        <v>14049</v>
      </c>
      <c r="Y21" s="18">
        <v>14494</v>
      </c>
      <c r="Z21" s="159">
        <v>16460</v>
      </c>
      <c r="AA21">
        <v>17694</v>
      </c>
      <c r="AB21">
        <v>19099</v>
      </c>
    </row>
    <row r="22" spans="1:28">
      <c r="A22" s="20" t="s">
        <v>60</v>
      </c>
      <c r="B22" s="20">
        <v>2159</v>
      </c>
      <c r="C22" s="20">
        <v>2176</v>
      </c>
      <c r="D22" s="20">
        <v>2054</v>
      </c>
      <c r="E22" s="20">
        <v>2012</v>
      </c>
      <c r="F22" s="20">
        <f>1779+0</f>
        <v>1779</v>
      </c>
      <c r="G22" s="20">
        <v>1624</v>
      </c>
      <c r="H22" s="20">
        <f>1598+101</f>
        <v>1699</v>
      </c>
      <c r="I22" s="20">
        <f>1638+111</f>
        <v>1749</v>
      </c>
      <c r="J22" s="20">
        <v>1779</v>
      </c>
      <c r="K22" s="20">
        <v>1782</v>
      </c>
      <c r="L22" s="20">
        <v>1901</v>
      </c>
      <c r="M22" s="20">
        <v>2073</v>
      </c>
      <c r="N22" s="20">
        <v>1990</v>
      </c>
      <c r="O22" s="20">
        <v>2044</v>
      </c>
      <c r="P22" s="20">
        <v>2401</v>
      </c>
      <c r="Q22" s="20">
        <v>2231</v>
      </c>
      <c r="R22" s="20">
        <v>2229</v>
      </c>
      <c r="S22" s="20">
        <v>2495</v>
      </c>
      <c r="T22" s="20">
        <v>2388</v>
      </c>
      <c r="U22" s="20">
        <v>2551</v>
      </c>
      <c r="V22" s="20">
        <v>2691</v>
      </c>
      <c r="W22" s="20">
        <v>3205</v>
      </c>
      <c r="X22" s="20">
        <v>3537</v>
      </c>
      <c r="Y22" s="20">
        <v>4501</v>
      </c>
      <c r="Z22" s="159">
        <v>2981</v>
      </c>
      <c r="AA22">
        <v>2647</v>
      </c>
      <c r="AB22">
        <v>2597</v>
      </c>
    </row>
    <row r="23" spans="1:28">
      <c r="A23" s="22" t="s">
        <v>61</v>
      </c>
      <c r="B23" s="22"/>
      <c r="C23" s="22"/>
      <c r="D23" s="22"/>
      <c r="E23" s="22"/>
      <c r="F23" s="22"/>
      <c r="G23" s="22">
        <f>SUM(G25:G37)</f>
        <v>45296</v>
      </c>
      <c r="H23" s="22"/>
      <c r="I23" s="22"/>
      <c r="J23" s="22">
        <f t="shared" ref="J23:X23" si="11">SUM(J25:J37)</f>
        <v>51859</v>
      </c>
      <c r="K23" s="22">
        <f t="shared" si="11"/>
        <v>54922</v>
      </c>
      <c r="L23" s="22">
        <f t="shared" si="11"/>
        <v>58462</v>
      </c>
      <c r="M23" s="22">
        <f t="shared" si="11"/>
        <v>60461</v>
      </c>
      <c r="N23" s="22">
        <f t="shared" si="11"/>
        <v>61562</v>
      </c>
      <c r="O23" s="22">
        <f t="shared" si="11"/>
        <v>62467</v>
      </c>
      <c r="P23" s="22">
        <f t="shared" si="11"/>
        <v>64890</v>
      </c>
      <c r="Q23" s="22">
        <f t="shared" si="11"/>
        <v>70389</v>
      </c>
      <c r="R23" s="22">
        <f t="shared" si="11"/>
        <v>72819</v>
      </c>
      <c r="S23" s="22">
        <f t="shared" si="11"/>
        <v>78805</v>
      </c>
      <c r="T23" s="22">
        <f t="shared" si="11"/>
        <v>86712</v>
      </c>
      <c r="U23" s="22">
        <f t="shared" si="11"/>
        <v>80968</v>
      </c>
      <c r="V23" s="22">
        <f t="shared" si="11"/>
        <v>93480</v>
      </c>
      <c r="W23" s="22">
        <f t="shared" si="11"/>
        <v>95994</v>
      </c>
      <c r="X23" s="22">
        <f t="shared" si="11"/>
        <v>99898</v>
      </c>
      <c r="Y23" s="22">
        <f t="shared" ref="Y23:Z23" si="12">SUM(Y25:Y37)</f>
        <v>106970</v>
      </c>
      <c r="Z23" s="22">
        <f t="shared" si="12"/>
        <v>95875</v>
      </c>
      <c r="AA23" s="22">
        <f t="shared" ref="AA23:AB23" si="13">SUM(AA25:AA37)</f>
        <v>114275</v>
      </c>
      <c r="AB23" s="22">
        <f t="shared" si="13"/>
        <v>112671</v>
      </c>
    </row>
    <row r="24" spans="1:28">
      <c r="A24" s="17" t="s">
        <v>44</v>
      </c>
      <c r="B24" s="17"/>
      <c r="C24" s="17"/>
      <c r="D24" s="17"/>
      <c r="E24" s="17"/>
      <c r="F24" s="17"/>
      <c r="G24" s="17">
        <f>(G23/G4)*100</f>
        <v>18.463595379209703</v>
      </c>
      <c r="H24" s="17"/>
      <c r="I24" s="17"/>
      <c r="J24" s="17">
        <f t="shared" ref="J24:W24" si="14">(J23/J4)*100</f>
        <v>17.465353203670961</v>
      </c>
      <c r="K24" s="17">
        <f t="shared" si="14"/>
        <v>17.772327048095498</v>
      </c>
      <c r="L24" s="17">
        <f t="shared" si="14"/>
        <v>18.165039554061359</v>
      </c>
      <c r="M24" s="17">
        <f t="shared" si="14"/>
        <v>18.343137820036347</v>
      </c>
      <c r="N24" s="17">
        <f t="shared" si="14"/>
        <v>18.16797452552612</v>
      </c>
      <c r="O24" s="17">
        <f t="shared" si="14"/>
        <v>17.884402860725718</v>
      </c>
      <c r="P24" s="17">
        <f t="shared" si="14"/>
        <v>18.125546433968431</v>
      </c>
      <c r="Q24" s="17">
        <f t="shared" si="14"/>
        <v>18.76879839587022</v>
      </c>
      <c r="R24" s="17">
        <f t="shared" si="14"/>
        <v>18.282634020929159</v>
      </c>
      <c r="S24" s="17">
        <f t="shared" si="14"/>
        <v>18.246248526847836</v>
      </c>
      <c r="T24" s="17">
        <f t="shared" si="14"/>
        <v>19.317455260771833</v>
      </c>
      <c r="U24" s="17">
        <f t="shared" si="14"/>
        <v>17.981221074325106</v>
      </c>
      <c r="V24" s="17">
        <f t="shared" si="14"/>
        <v>19.607472989384529</v>
      </c>
      <c r="W24" s="17">
        <f t="shared" si="14"/>
        <v>19.655515559541506</v>
      </c>
      <c r="X24" s="17">
        <f t="shared" ref="X24:Y24" si="15">(X23/X$5)*100</f>
        <v>64.45905574303616</v>
      </c>
      <c r="Y24" s="17">
        <f t="shared" si="15"/>
        <v>64.636784415144959</v>
      </c>
      <c r="Z24" s="17">
        <f t="shared" ref="Z24:AA24" si="16">(Z23/Z$5)*100</f>
        <v>54.892048024458809</v>
      </c>
      <c r="AA24" s="17">
        <f t="shared" si="16"/>
        <v>61.931291628504383</v>
      </c>
      <c r="AB24" s="17">
        <f t="shared" ref="AB24" si="17">(AB23/AB$5)*100</f>
        <v>60.03484729001044</v>
      </c>
    </row>
    <row r="25" spans="1:28">
      <c r="A25" s="18" t="s">
        <v>62</v>
      </c>
      <c r="B25" s="18"/>
      <c r="C25" s="18"/>
      <c r="D25" s="18"/>
      <c r="E25" s="18"/>
      <c r="F25" s="18"/>
      <c r="G25" s="18">
        <v>302</v>
      </c>
      <c r="H25" s="18"/>
      <c r="I25" s="18"/>
      <c r="J25" s="18">
        <v>324</v>
      </c>
      <c r="K25" s="18">
        <v>311</v>
      </c>
      <c r="L25" s="18">
        <v>331</v>
      </c>
      <c r="M25" s="18">
        <v>390</v>
      </c>
      <c r="N25" s="18">
        <v>381</v>
      </c>
      <c r="O25" s="18">
        <v>448</v>
      </c>
      <c r="P25" s="18">
        <v>449</v>
      </c>
      <c r="Q25" s="18">
        <v>467</v>
      </c>
      <c r="R25" s="18">
        <v>444</v>
      </c>
      <c r="S25" s="18">
        <v>496</v>
      </c>
      <c r="T25" s="18">
        <v>586</v>
      </c>
      <c r="U25" s="18">
        <v>527</v>
      </c>
      <c r="V25" s="18">
        <v>631</v>
      </c>
      <c r="W25" s="18">
        <v>623</v>
      </c>
      <c r="X25" s="18">
        <v>531</v>
      </c>
      <c r="Y25" s="18">
        <v>607</v>
      </c>
      <c r="Z25">
        <v>614</v>
      </c>
      <c r="AA25">
        <v>623</v>
      </c>
      <c r="AB25">
        <v>630</v>
      </c>
    </row>
    <row r="26" spans="1:28">
      <c r="A26" s="18" t="s">
        <v>63</v>
      </c>
      <c r="B26" s="18"/>
      <c r="C26" s="18"/>
      <c r="D26" s="18"/>
      <c r="E26" s="18"/>
      <c r="F26" s="18"/>
      <c r="G26" s="18">
        <v>4082</v>
      </c>
      <c r="H26" s="18"/>
      <c r="I26" s="18"/>
      <c r="J26" s="18">
        <v>3489</v>
      </c>
      <c r="K26" s="18">
        <v>3986</v>
      </c>
      <c r="L26" s="18">
        <v>4650</v>
      </c>
      <c r="M26" s="18">
        <v>5256</v>
      </c>
      <c r="N26" s="18">
        <v>5840</v>
      </c>
      <c r="O26" s="18">
        <v>6496</v>
      </c>
      <c r="P26" s="18">
        <v>6532</v>
      </c>
      <c r="Q26" s="18">
        <v>8383</v>
      </c>
      <c r="R26" s="18">
        <v>8112</v>
      </c>
      <c r="S26" s="18">
        <v>9854</v>
      </c>
      <c r="T26" s="18">
        <v>13494</v>
      </c>
      <c r="U26" s="18">
        <v>6703</v>
      </c>
      <c r="V26" s="18">
        <v>17748</v>
      </c>
      <c r="W26" s="18">
        <v>17480</v>
      </c>
      <c r="X26" s="18">
        <v>19360</v>
      </c>
      <c r="Y26" s="18">
        <v>23207</v>
      </c>
      <c r="Z26" s="159">
        <v>9626</v>
      </c>
      <c r="AA26">
        <v>24524</v>
      </c>
      <c r="AB26">
        <v>22601</v>
      </c>
    </row>
    <row r="27" spans="1:28">
      <c r="A27" s="18" t="s">
        <v>64</v>
      </c>
      <c r="B27" s="18"/>
      <c r="C27" s="18"/>
      <c r="D27" s="18"/>
      <c r="E27" s="18"/>
      <c r="F27" s="18"/>
      <c r="G27" s="18">
        <v>25959</v>
      </c>
      <c r="H27" s="18"/>
      <c r="I27" s="18"/>
      <c r="J27" s="18">
        <v>27859</v>
      </c>
      <c r="K27" s="18">
        <v>28989</v>
      </c>
      <c r="L27" s="18">
        <v>30349</v>
      </c>
      <c r="M27" s="18">
        <v>30402</v>
      </c>
      <c r="N27" s="18">
        <v>30441</v>
      </c>
      <c r="O27" s="18">
        <v>30359</v>
      </c>
      <c r="P27" s="18">
        <v>31960</v>
      </c>
      <c r="Q27" s="18">
        <v>34218</v>
      </c>
      <c r="R27" s="18">
        <v>35578</v>
      </c>
      <c r="S27" s="18">
        <v>38492</v>
      </c>
      <c r="T27" s="18">
        <v>39737</v>
      </c>
      <c r="U27" s="18">
        <v>41060</v>
      </c>
      <c r="V27" s="18">
        <v>41783</v>
      </c>
      <c r="W27" s="18">
        <v>43301</v>
      </c>
      <c r="X27" s="18">
        <v>44415</v>
      </c>
      <c r="Y27" s="18">
        <v>45594</v>
      </c>
      <c r="Z27" s="159">
        <v>47547</v>
      </c>
      <c r="AA27">
        <v>49140</v>
      </c>
      <c r="AB27">
        <v>50380</v>
      </c>
    </row>
    <row r="28" spans="1:28">
      <c r="A28" s="18" t="s">
        <v>65</v>
      </c>
      <c r="B28" s="18"/>
      <c r="C28" s="18"/>
      <c r="D28" s="18"/>
      <c r="E28" s="18"/>
      <c r="F28" s="18"/>
      <c r="G28" s="18">
        <v>3763</v>
      </c>
      <c r="H28" s="18"/>
      <c r="I28" s="18"/>
      <c r="J28" s="18">
        <v>4885</v>
      </c>
      <c r="K28" s="18">
        <v>5366</v>
      </c>
      <c r="L28" s="18">
        <v>6015</v>
      </c>
      <c r="M28" s="18">
        <v>6182</v>
      </c>
      <c r="N28" s="18">
        <v>5929</v>
      </c>
      <c r="O28" s="18">
        <v>6551</v>
      </c>
      <c r="P28" s="18">
        <v>6980</v>
      </c>
      <c r="Q28" s="18">
        <v>7136</v>
      </c>
      <c r="R28" s="18">
        <v>7424</v>
      </c>
      <c r="S28" s="18">
        <v>7972</v>
      </c>
      <c r="T28" s="18">
        <v>8994</v>
      </c>
      <c r="U28" s="18">
        <v>8737</v>
      </c>
      <c r="V28" s="18">
        <v>9822</v>
      </c>
      <c r="W28" s="18">
        <v>9969</v>
      </c>
      <c r="X28" s="18">
        <v>10685</v>
      </c>
      <c r="Y28" s="18">
        <v>11010</v>
      </c>
      <c r="Z28" s="159">
        <v>9996</v>
      </c>
      <c r="AA28">
        <v>10870</v>
      </c>
      <c r="AB28">
        <v>10431</v>
      </c>
    </row>
    <row r="29" spans="1:28">
      <c r="A29" s="18" t="s">
        <v>66</v>
      </c>
      <c r="B29" s="18"/>
      <c r="C29" s="18"/>
      <c r="D29" s="18"/>
      <c r="E29" s="18"/>
      <c r="F29" s="18"/>
      <c r="G29" s="18">
        <v>132</v>
      </c>
      <c r="H29" s="18"/>
      <c r="I29" s="18"/>
      <c r="J29" s="18">
        <v>1042</v>
      </c>
      <c r="K29" s="18">
        <v>1200</v>
      </c>
      <c r="L29" s="18">
        <v>1219</v>
      </c>
      <c r="M29" s="18">
        <v>1314</v>
      </c>
      <c r="N29" s="18">
        <v>1421</v>
      </c>
      <c r="O29" s="18">
        <v>1511</v>
      </c>
      <c r="P29" s="18">
        <v>1320</v>
      </c>
      <c r="Q29" s="18">
        <v>1472</v>
      </c>
      <c r="R29" s="18">
        <v>1425</v>
      </c>
      <c r="S29" s="18">
        <v>1551</v>
      </c>
      <c r="T29" s="18">
        <v>1729</v>
      </c>
      <c r="U29" s="18">
        <v>1746</v>
      </c>
      <c r="V29" s="18">
        <v>1471</v>
      </c>
      <c r="W29" s="18">
        <v>1498</v>
      </c>
      <c r="X29" s="18">
        <v>1586</v>
      </c>
      <c r="Y29" s="18">
        <v>1589</v>
      </c>
      <c r="Z29" s="159">
        <v>1603</v>
      </c>
      <c r="AA29">
        <v>1687</v>
      </c>
      <c r="AB29">
        <v>1569</v>
      </c>
    </row>
    <row r="30" spans="1:28">
      <c r="A30" s="18" t="s">
        <v>67</v>
      </c>
      <c r="B30" s="18"/>
      <c r="C30" s="18"/>
      <c r="D30" s="18"/>
      <c r="E30" s="18"/>
      <c r="F30" s="18"/>
      <c r="G30" s="18">
        <v>678</v>
      </c>
      <c r="H30" s="18"/>
      <c r="I30" s="18"/>
      <c r="J30" s="18">
        <v>787</v>
      </c>
      <c r="K30" s="18">
        <v>885</v>
      </c>
      <c r="L30" s="18">
        <v>913</v>
      </c>
      <c r="M30" s="18">
        <v>944</v>
      </c>
      <c r="N30" s="18">
        <v>889</v>
      </c>
      <c r="O30" s="18">
        <v>857</v>
      </c>
      <c r="P30" s="18">
        <v>865</v>
      </c>
      <c r="Q30" s="18">
        <v>971</v>
      </c>
      <c r="R30" s="18">
        <v>1290</v>
      </c>
      <c r="S30" s="18">
        <v>951</v>
      </c>
      <c r="T30" s="18">
        <v>1396</v>
      </c>
      <c r="U30" s="18">
        <v>1442</v>
      </c>
      <c r="V30" s="18">
        <v>1403</v>
      </c>
      <c r="W30" s="18">
        <v>1371</v>
      </c>
      <c r="X30" s="18">
        <v>1367</v>
      </c>
      <c r="Y30" s="18">
        <v>1433</v>
      </c>
      <c r="Z30" s="159">
        <v>1548</v>
      </c>
      <c r="AA30">
        <v>1769</v>
      </c>
      <c r="AB30">
        <v>1780</v>
      </c>
    </row>
    <row r="31" spans="1:28">
      <c r="A31" s="18" t="s">
        <v>68</v>
      </c>
      <c r="B31" s="18"/>
      <c r="C31" s="18"/>
      <c r="D31" s="18"/>
      <c r="E31" s="18"/>
      <c r="F31" s="18"/>
      <c r="G31" s="18">
        <v>719</v>
      </c>
      <c r="H31" s="18"/>
      <c r="I31" s="18"/>
      <c r="J31" s="18">
        <v>552</v>
      </c>
      <c r="K31" s="18">
        <v>575</v>
      </c>
      <c r="L31" s="18">
        <v>637</v>
      </c>
      <c r="M31" s="18">
        <v>702</v>
      </c>
      <c r="N31" s="18">
        <v>732</v>
      </c>
      <c r="O31" s="18">
        <v>701</v>
      </c>
      <c r="P31" s="18">
        <v>675</v>
      </c>
      <c r="Q31" s="18">
        <v>794</v>
      </c>
      <c r="R31" s="18">
        <v>847</v>
      </c>
      <c r="S31" s="18">
        <v>961</v>
      </c>
      <c r="T31" s="18">
        <v>959</v>
      </c>
      <c r="U31" s="18">
        <v>992</v>
      </c>
      <c r="V31" s="18">
        <v>1003</v>
      </c>
      <c r="W31" s="18">
        <v>923</v>
      </c>
      <c r="X31" s="18">
        <v>919</v>
      </c>
      <c r="Y31" s="18">
        <v>964</v>
      </c>
      <c r="Z31" s="159">
        <v>1127</v>
      </c>
      <c r="AA31">
        <v>1231</v>
      </c>
      <c r="AB31">
        <v>1205</v>
      </c>
    </row>
    <row r="32" spans="1:28">
      <c r="A32" s="18" t="s">
        <v>69</v>
      </c>
      <c r="B32" s="18"/>
      <c r="C32" s="18"/>
      <c r="D32" s="18"/>
      <c r="E32" s="18"/>
      <c r="F32" s="18"/>
      <c r="G32" s="18">
        <v>402</v>
      </c>
      <c r="H32" s="18"/>
      <c r="I32" s="18"/>
      <c r="J32" s="18">
        <v>652</v>
      </c>
      <c r="K32" s="18">
        <v>736</v>
      </c>
      <c r="L32" s="18">
        <v>776</v>
      </c>
      <c r="M32" s="18">
        <v>752</v>
      </c>
      <c r="N32" s="18">
        <v>850</v>
      </c>
      <c r="O32" s="18">
        <v>892</v>
      </c>
      <c r="P32" s="18">
        <v>1128</v>
      </c>
      <c r="Q32" s="18">
        <v>1263</v>
      </c>
      <c r="R32" s="18">
        <v>1212</v>
      </c>
      <c r="S32" s="18">
        <v>1391</v>
      </c>
      <c r="T32" s="18">
        <v>1630</v>
      </c>
      <c r="U32" s="18">
        <v>1648</v>
      </c>
      <c r="V32" s="18">
        <v>1637</v>
      </c>
      <c r="W32" s="18">
        <v>1932</v>
      </c>
      <c r="X32" s="18">
        <v>1959</v>
      </c>
      <c r="Y32" s="18">
        <v>2135</v>
      </c>
      <c r="Z32" s="159">
        <v>2340</v>
      </c>
      <c r="AA32">
        <v>2249</v>
      </c>
      <c r="AB32">
        <v>1953</v>
      </c>
    </row>
    <row r="33" spans="1:28">
      <c r="A33" s="18" t="s">
        <v>70</v>
      </c>
      <c r="B33" s="18"/>
      <c r="C33" s="18"/>
      <c r="D33" s="18"/>
      <c r="E33" s="18"/>
      <c r="F33" s="18"/>
      <c r="G33" s="18">
        <v>1553</v>
      </c>
      <c r="H33" s="18"/>
      <c r="I33" s="18"/>
      <c r="J33" s="18">
        <v>2001</v>
      </c>
      <c r="K33" s="18">
        <v>1863</v>
      </c>
      <c r="L33" s="18">
        <v>2155</v>
      </c>
      <c r="M33" s="18">
        <v>2149</v>
      </c>
      <c r="N33" s="18">
        <v>2275</v>
      </c>
      <c r="O33" s="18">
        <v>2384</v>
      </c>
      <c r="P33" s="18">
        <v>2332</v>
      </c>
      <c r="Q33" s="18">
        <v>2336</v>
      </c>
      <c r="R33" s="18">
        <v>1999</v>
      </c>
      <c r="S33" s="18">
        <v>2295</v>
      </c>
      <c r="T33" s="18">
        <v>2519</v>
      </c>
      <c r="U33" s="18">
        <v>2597</v>
      </c>
      <c r="V33" s="18">
        <v>2483</v>
      </c>
      <c r="W33" s="18">
        <v>2733</v>
      </c>
      <c r="X33" s="18">
        <v>2639</v>
      </c>
      <c r="Y33" s="18">
        <v>2480</v>
      </c>
      <c r="Z33" s="159">
        <v>2662</v>
      </c>
      <c r="AA33">
        <v>2742</v>
      </c>
      <c r="AB33">
        <v>2696</v>
      </c>
    </row>
    <row r="34" spans="1:28">
      <c r="A34" s="18" t="s">
        <v>71</v>
      </c>
      <c r="B34" s="18"/>
      <c r="C34" s="18"/>
      <c r="D34" s="18"/>
      <c r="E34" s="18"/>
      <c r="F34" s="18"/>
      <c r="G34" s="18">
        <v>2386</v>
      </c>
      <c r="H34" s="18"/>
      <c r="I34" s="18"/>
      <c r="J34" s="18">
        <v>2857</v>
      </c>
      <c r="K34" s="18">
        <v>2734</v>
      </c>
      <c r="L34" s="18">
        <v>2780</v>
      </c>
      <c r="M34" s="18">
        <v>3009</v>
      </c>
      <c r="N34" s="18">
        <v>3156</v>
      </c>
      <c r="O34" s="18">
        <v>3306</v>
      </c>
      <c r="P34" s="18">
        <v>3400</v>
      </c>
      <c r="Q34" s="18">
        <v>3891</v>
      </c>
      <c r="R34" s="18">
        <v>4490</v>
      </c>
      <c r="S34" s="18">
        <v>4665</v>
      </c>
      <c r="T34" s="18">
        <v>4988</v>
      </c>
      <c r="U34" s="18">
        <v>4852</v>
      </c>
      <c r="V34" s="18">
        <v>4923</v>
      </c>
      <c r="W34" s="18">
        <v>4803</v>
      </c>
      <c r="X34" s="18">
        <v>5029</v>
      </c>
      <c r="Y34" s="18">
        <v>5333</v>
      </c>
      <c r="Z34" s="159">
        <v>5923</v>
      </c>
      <c r="AA34">
        <v>6375</v>
      </c>
      <c r="AB34">
        <v>6433</v>
      </c>
    </row>
    <row r="35" spans="1:28">
      <c r="A35" s="18" t="s">
        <v>72</v>
      </c>
      <c r="B35" s="18"/>
      <c r="C35" s="18"/>
      <c r="D35" s="18"/>
      <c r="E35" s="18"/>
      <c r="F35" s="18"/>
      <c r="G35" s="18">
        <v>2020</v>
      </c>
      <c r="H35" s="18"/>
      <c r="I35" s="18"/>
      <c r="J35" s="18">
        <v>2015</v>
      </c>
      <c r="K35" s="18">
        <v>2266</v>
      </c>
      <c r="L35" s="18">
        <v>2272</v>
      </c>
      <c r="M35" s="18">
        <v>2499</v>
      </c>
      <c r="N35" s="18">
        <v>2581</v>
      </c>
      <c r="O35" s="18">
        <v>2679</v>
      </c>
      <c r="P35" s="18">
        <v>2948</v>
      </c>
      <c r="Q35" s="18">
        <v>3119</v>
      </c>
      <c r="R35" s="18">
        <v>3082</v>
      </c>
      <c r="S35" s="18">
        <v>3217</v>
      </c>
      <c r="T35" s="18">
        <v>3393</v>
      </c>
      <c r="U35" s="18">
        <v>3486</v>
      </c>
      <c r="V35" s="18">
        <v>3631</v>
      </c>
      <c r="W35" s="18">
        <v>4358</v>
      </c>
      <c r="X35" s="18">
        <v>4285</v>
      </c>
      <c r="Y35" s="18">
        <v>5003</v>
      </c>
      <c r="Z35" s="159">
        <v>4667</v>
      </c>
      <c r="AA35">
        <v>4879</v>
      </c>
      <c r="AB35">
        <v>4681</v>
      </c>
    </row>
    <row r="36" spans="1:28">
      <c r="A36" s="18" t="s">
        <v>73</v>
      </c>
      <c r="B36" s="18"/>
      <c r="C36" s="18"/>
      <c r="D36" s="18"/>
      <c r="E36" s="18"/>
      <c r="F36" s="18"/>
      <c r="G36" s="18">
        <v>3300</v>
      </c>
      <c r="H36" s="18"/>
      <c r="I36" s="18"/>
      <c r="J36" s="18">
        <v>5117</v>
      </c>
      <c r="K36" s="18">
        <v>5738</v>
      </c>
      <c r="L36" s="18">
        <v>6016</v>
      </c>
      <c r="M36" s="18">
        <v>6544</v>
      </c>
      <c r="N36" s="18">
        <v>6752</v>
      </c>
      <c r="O36" s="18">
        <v>5969</v>
      </c>
      <c r="P36" s="18">
        <v>5969</v>
      </c>
      <c r="Q36" s="18">
        <v>6037</v>
      </c>
      <c r="R36" s="18">
        <v>6581</v>
      </c>
      <c r="S36" s="18">
        <v>6630</v>
      </c>
      <c r="T36" s="18">
        <v>6920</v>
      </c>
      <c r="U36" s="18">
        <v>6840</v>
      </c>
      <c r="V36" s="18">
        <v>6608</v>
      </c>
      <c r="W36" s="18">
        <v>6659</v>
      </c>
      <c r="X36" s="18">
        <v>6802</v>
      </c>
      <c r="Y36" s="18">
        <v>7304</v>
      </c>
      <c r="Z36" s="159">
        <v>7854</v>
      </c>
      <c r="AA36">
        <v>7796</v>
      </c>
      <c r="AB36">
        <v>7922</v>
      </c>
    </row>
    <row r="37" spans="1:28">
      <c r="A37" s="20" t="s">
        <v>74</v>
      </c>
      <c r="B37" s="20"/>
      <c r="C37" s="20"/>
      <c r="D37" s="20"/>
      <c r="E37" s="20"/>
      <c r="F37" s="20"/>
      <c r="G37" s="20">
        <v>0</v>
      </c>
      <c r="H37" s="20"/>
      <c r="I37" s="20"/>
      <c r="J37" s="20">
        <v>279</v>
      </c>
      <c r="K37" s="20">
        <v>273</v>
      </c>
      <c r="L37" s="20">
        <v>349</v>
      </c>
      <c r="M37" s="20">
        <v>318</v>
      </c>
      <c r="N37" s="20">
        <v>315</v>
      </c>
      <c r="O37" s="20">
        <v>314</v>
      </c>
      <c r="P37" s="20">
        <v>332</v>
      </c>
      <c r="Q37" s="20">
        <v>302</v>
      </c>
      <c r="R37" s="20">
        <v>335</v>
      </c>
      <c r="S37" s="20">
        <v>330</v>
      </c>
      <c r="T37" s="20">
        <v>367</v>
      </c>
      <c r="U37" s="20">
        <v>338</v>
      </c>
      <c r="V37" s="20">
        <v>337</v>
      </c>
      <c r="W37" s="20">
        <v>344</v>
      </c>
      <c r="X37" s="20">
        <v>321</v>
      </c>
      <c r="Y37" s="20">
        <v>311</v>
      </c>
      <c r="Z37">
        <v>368</v>
      </c>
      <c r="AA37">
        <v>390</v>
      </c>
      <c r="AB37">
        <v>390</v>
      </c>
    </row>
    <row r="38" spans="1:28">
      <c r="A38" s="15" t="s">
        <v>75</v>
      </c>
      <c r="B38" s="15"/>
      <c r="C38" s="15"/>
      <c r="D38" s="15"/>
      <c r="E38" s="15"/>
      <c r="F38" s="15"/>
      <c r="G38" s="15">
        <f>SUM(G40:G51)</f>
        <v>64853</v>
      </c>
      <c r="H38" s="15"/>
      <c r="I38" s="15"/>
      <c r="J38" s="15">
        <f t="shared" ref="J38:X38" si="18">SUM(J40:J51)</f>
        <v>74828</v>
      </c>
      <c r="K38" s="15">
        <f t="shared" si="18"/>
        <v>77205</v>
      </c>
      <c r="L38" s="15">
        <f t="shared" si="18"/>
        <v>80605</v>
      </c>
      <c r="M38" s="15">
        <f t="shared" si="18"/>
        <v>81402</v>
      </c>
      <c r="N38" s="15">
        <f t="shared" si="18"/>
        <v>85072</v>
      </c>
      <c r="O38" s="15">
        <f t="shared" si="18"/>
        <v>87252</v>
      </c>
      <c r="P38" s="15">
        <f t="shared" si="18"/>
        <v>90311</v>
      </c>
      <c r="Q38" s="15">
        <f t="shared" si="18"/>
        <v>95247</v>
      </c>
      <c r="R38" s="15">
        <f t="shared" si="18"/>
        <v>104119</v>
      </c>
      <c r="S38" s="15">
        <f t="shared" si="18"/>
        <v>112228</v>
      </c>
      <c r="T38" s="15">
        <f t="shared" si="18"/>
        <v>115507</v>
      </c>
      <c r="U38" s="15">
        <f t="shared" si="18"/>
        <v>114823</v>
      </c>
      <c r="V38" s="15">
        <f t="shared" si="18"/>
        <v>122769</v>
      </c>
      <c r="W38" s="15">
        <f t="shared" si="18"/>
        <v>127236</v>
      </c>
      <c r="X38" s="15">
        <f t="shared" si="18"/>
        <v>131860</v>
      </c>
      <c r="Y38" s="15">
        <f t="shared" ref="Y38:Z38" si="19">SUM(Y40:Y51)</f>
        <v>135973</v>
      </c>
      <c r="Z38" s="15">
        <f t="shared" si="19"/>
        <v>137096</v>
      </c>
      <c r="AA38" s="15">
        <f t="shared" ref="AA38:AB38" si="20">SUM(AA40:AA51)</f>
        <v>137019</v>
      </c>
      <c r="AB38" s="15">
        <f t="shared" si="20"/>
        <v>136017</v>
      </c>
    </row>
    <row r="39" spans="1:28">
      <c r="A39" s="17" t="s">
        <v>44</v>
      </c>
      <c r="B39" s="17"/>
      <c r="C39" s="17"/>
      <c r="D39" s="17"/>
      <c r="E39" s="17"/>
      <c r="F39" s="17"/>
      <c r="G39" s="17">
        <f>(G38/G4)*100</f>
        <v>26.435436928821243</v>
      </c>
      <c r="H39" s="17"/>
      <c r="I39" s="17"/>
      <c r="J39" s="17">
        <f t="shared" ref="J39:W39" si="21">(J38/J4)*100</f>
        <v>25.200976677612193</v>
      </c>
      <c r="K39" s="17">
        <f t="shared" si="21"/>
        <v>24.982930515061597</v>
      </c>
      <c r="L39" s="17">
        <f t="shared" si="21"/>
        <v>25.045209080344772</v>
      </c>
      <c r="M39" s="17">
        <f t="shared" si="21"/>
        <v>24.696384526001864</v>
      </c>
      <c r="N39" s="17">
        <f t="shared" si="21"/>
        <v>25.106168234228228</v>
      </c>
      <c r="O39" s="17">
        <f t="shared" si="21"/>
        <v>24.980388339507904</v>
      </c>
      <c r="P39" s="17">
        <f t="shared" si="21"/>
        <v>25.226324919064925</v>
      </c>
      <c r="Q39" s="17">
        <f t="shared" si="21"/>
        <v>25.397032786535551</v>
      </c>
      <c r="R39" s="17">
        <f t="shared" si="21"/>
        <v>26.141111133428407</v>
      </c>
      <c r="S39" s="17">
        <f t="shared" si="21"/>
        <v>25.984899177350158</v>
      </c>
      <c r="T39" s="17">
        <f t="shared" si="21"/>
        <v>25.732324301203661</v>
      </c>
      <c r="U39" s="17">
        <f t="shared" si="21"/>
        <v>25.499675765947426</v>
      </c>
      <c r="V39" s="17">
        <f t="shared" si="21"/>
        <v>25.750854208747853</v>
      </c>
      <c r="W39" s="17">
        <f t="shared" si="21"/>
        <v>26.052557219553545</v>
      </c>
      <c r="X39" s="17">
        <f t="shared" ref="X39:Y39" si="22">(X38/X$5)*100</f>
        <v>85.082495047716151</v>
      </c>
      <c r="Y39" s="17">
        <f t="shared" si="22"/>
        <v>82.16189106553712</v>
      </c>
      <c r="Z39" s="17">
        <f t="shared" ref="Z39:AA39" si="23">(Z38/Z$5)*100</f>
        <v>78.492622852268113</v>
      </c>
      <c r="AA39" s="17">
        <f t="shared" si="23"/>
        <v>74.257393547547949</v>
      </c>
      <c r="AB39" s="17">
        <f t="shared" ref="AB39" si="24">(AB38/AB$5)*100</f>
        <v>72.474370724013724</v>
      </c>
    </row>
    <row r="40" spans="1:28">
      <c r="A40" s="18" t="s">
        <v>76</v>
      </c>
      <c r="B40" s="18"/>
      <c r="C40" s="18"/>
      <c r="D40" s="18"/>
      <c r="E40" s="18"/>
      <c r="F40" s="18"/>
      <c r="G40" s="18">
        <v>14984</v>
      </c>
      <c r="H40" s="18"/>
      <c r="I40" s="18"/>
      <c r="J40" s="18">
        <v>19061</v>
      </c>
      <c r="K40" s="18">
        <v>19266</v>
      </c>
      <c r="L40" s="18">
        <v>20346</v>
      </c>
      <c r="M40" s="18">
        <v>20312</v>
      </c>
      <c r="N40" s="18">
        <v>21607</v>
      </c>
      <c r="O40" s="18">
        <v>21978</v>
      </c>
      <c r="P40" s="18">
        <v>21441</v>
      </c>
      <c r="Q40" s="18">
        <v>21921</v>
      </c>
      <c r="R40" s="18">
        <v>23753</v>
      </c>
      <c r="S40" s="18">
        <v>25416</v>
      </c>
      <c r="T40" s="18">
        <v>25949</v>
      </c>
      <c r="U40" s="18">
        <v>27013</v>
      </c>
      <c r="V40" s="18">
        <v>29812</v>
      </c>
      <c r="W40" s="18">
        <v>30699</v>
      </c>
      <c r="X40" s="18">
        <v>30411</v>
      </c>
      <c r="Y40" s="18">
        <v>31326</v>
      </c>
      <c r="Z40" s="159">
        <v>32416</v>
      </c>
      <c r="AA40">
        <v>33074</v>
      </c>
      <c r="AB40">
        <v>32323</v>
      </c>
    </row>
    <row r="41" spans="1:28">
      <c r="A41" s="18" t="s">
        <v>77</v>
      </c>
      <c r="B41" s="18"/>
      <c r="C41" s="18"/>
      <c r="D41" s="18"/>
      <c r="E41" s="18"/>
      <c r="F41" s="18"/>
      <c r="G41" s="18">
        <v>6191</v>
      </c>
      <c r="H41" s="18"/>
      <c r="I41" s="18"/>
      <c r="J41" s="18">
        <v>5618</v>
      </c>
      <c r="K41" s="18">
        <v>5850</v>
      </c>
      <c r="L41" s="18">
        <v>5902</v>
      </c>
      <c r="M41" s="18">
        <v>6384</v>
      </c>
      <c r="N41" s="18">
        <v>6435</v>
      </c>
      <c r="O41" s="18">
        <v>6368</v>
      </c>
      <c r="P41" s="18">
        <v>6615</v>
      </c>
      <c r="Q41" s="18">
        <v>7069</v>
      </c>
      <c r="R41" s="18">
        <v>7595</v>
      </c>
      <c r="S41" s="18">
        <v>8872</v>
      </c>
      <c r="T41" s="18">
        <v>9082</v>
      </c>
      <c r="U41" s="18">
        <v>9352</v>
      </c>
      <c r="V41" s="18">
        <v>9625</v>
      </c>
      <c r="W41" s="18">
        <v>10073</v>
      </c>
      <c r="X41" s="18">
        <v>10599</v>
      </c>
      <c r="Y41" s="18">
        <v>11121</v>
      </c>
      <c r="Z41" s="159">
        <v>11509</v>
      </c>
      <c r="AA41">
        <v>11556</v>
      </c>
      <c r="AB41">
        <v>12002</v>
      </c>
    </row>
    <row r="42" spans="1:28">
      <c r="A42" s="18" t="s">
        <v>78</v>
      </c>
      <c r="B42" s="18"/>
      <c r="C42" s="18"/>
      <c r="D42" s="18"/>
      <c r="E42" s="18"/>
      <c r="F42" s="18"/>
      <c r="G42" s="18">
        <v>2348</v>
      </c>
      <c r="H42" s="18"/>
      <c r="I42" s="18"/>
      <c r="J42" s="18">
        <v>2674</v>
      </c>
      <c r="K42" s="18">
        <v>2909</v>
      </c>
      <c r="L42" s="18">
        <v>2837</v>
      </c>
      <c r="M42" s="18">
        <v>2847</v>
      </c>
      <c r="N42" s="18">
        <v>2813</v>
      </c>
      <c r="O42" s="18">
        <v>2619</v>
      </c>
      <c r="P42" s="18">
        <v>2617</v>
      </c>
      <c r="Q42" s="18">
        <v>2776</v>
      </c>
      <c r="R42" s="18">
        <v>2917</v>
      </c>
      <c r="S42" s="18">
        <v>3002</v>
      </c>
      <c r="T42" s="18">
        <v>3113</v>
      </c>
      <c r="U42" s="18">
        <v>3205</v>
      </c>
      <c r="V42" s="18">
        <v>3224</v>
      </c>
      <c r="W42" s="18">
        <v>3451</v>
      </c>
      <c r="X42" s="18">
        <v>4050</v>
      </c>
      <c r="Y42" s="18">
        <v>5125</v>
      </c>
      <c r="Z42" s="159">
        <v>7960</v>
      </c>
      <c r="AA42">
        <v>8588</v>
      </c>
      <c r="AB42">
        <v>9770</v>
      </c>
    </row>
    <row r="43" spans="1:28">
      <c r="A43" s="18" t="s">
        <v>79</v>
      </c>
      <c r="B43" s="18"/>
      <c r="C43" s="18"/>
      <c r="D43" s="18"/>
      <c r="E43" s="18"/>
      <c r="F43" s="18"/>
      <c r="G43" s="18">
        <v>2643</v>
      </c>
      <c r="H43" s="18"/>
      <c r="I43" s="18"/>
      <c r="J43" s="18">
        <v>2922</v>
      </c>
      <c r="K43" s="18">
        <v>3116</v>
      </c>
      <c r="L43" s="18">
        <v>3410</v>
      </c>
      <c r="M43" s="18">
        <v>3191</v>
      </c>
      <c r="N43" s="18">
        <v>3612</v>
      </c>
      <c r="O43" s="18">
        <v>3634</v>
      </c>
      <c r="P43" s="18">
        <v>3778</v>
      </c>
      <c r="Q43" s="18">
        <v>4032</v>
      </c>
      <c r="R43" s="18">
        <v>4395</v>
      </c>
      <c r="S43" s="18">
        <v>4823</v>
      </c>
      <c r="T43" s="18">
        <v>4572</v>
      </c>
      <c r="U43" s="18">
        <v>4744</v>
      </c>
      <c r="V43" s="18">
        <v>4743</v>
      </c>
      <c r="W43" s="18">
        <v>5219</v>
      </c>
      <c r="X43" s="18">
        <v>5253</v>
      </c>
      <c r="Y43" s="18">
        <v>5599</v>
      </c>
      <c r="Z43" s="159">
        <v>6068</v>
      </c>
      <c r="AA43">
        <v>5951</v>
      </c>
      <c r="AB43">
        <v>5640</v>
      </c>
    </row>
    <row r="44" spans="1:28">
      <c r="A44" s="18" t="s">
        <v>80</v>
      </c>
      <c r="B44" s="18"/>
      <c r="C44" s="18"/>
      <c r="D44" s="18"/>
      <c r="E44" s="18"/>
      <c r="F44" s="18"/>
      <c r="G44" s="18">
        <v>9981</v>
      </c>
      <c r="H44" s="18"/>
      <c r="I44" s="18"/>
      <c r="J44" s="18">
        <v>12416</v>
      </c>
      <c r="K44" s="18">
        <v>12560</v>
      </c>
      <c r="L44" s="18">
        <v>12993</v>
      </c>
      <c r="M44" s="18">
        <v>12911</v>
      </c>
      <c r="N44" s="18">
        <v>13124</v>
      </c>
      <c r="O44" s="18">
        <v>14129</v>
      </c>
      <c r="P44" s="18">
        <v>15363</v>
      </c>
      <c r="Q44" s="18">
        <v>17510</v>
      </c>
      <c r="R44" s="18">
        <v>18075</v>
      </c>
      <c r="S44" s="18">
        <v>19560</v>
      </c>
      <c r="T44" s="18">
        <v>18995</v>
      </c>
      <c r="U44" s="18">
        <v>18362</v>
      </c>
      <c r="V44" s="18">
        <v>17353</v>
      </c>
      <c r="W44" s="18">
        <v>17200</v>
      </c>
      <c r="X44" s="18">
        <v>17734</v>
      </c>
      <c r="Y44" s="18">
        <v>17216</v>
      </c>
      <c r="Z44" s="159">
        <v>17231</v>
      </c>
      <c r="AA44">
        <v>17297</v>
      </c>
      <c r="AB44">
        <v>16856</v>
      </c>
    </row>
    <row r="45" spans="1:28">
      <c r="A45" s="18" t="s">
        <v>81</v>
      </c>
      <c r="B45" s="18"/>
      <c r="C45" s="18"/>
      <c r="D45" s="18"/>
      <c r="E45" s="18"/>
      <c r="F45" s="18"/>
      <c r="G45" s="18">
        <v>3350</v>
      </c>
      <c r="H45" s="18"/>
      <c r="I45" s="18"/>
      <c r="J45" s="18">
        <v>4277</v>
      </c>
      <c r="K45" s="18">
        <v>4602</v>
      </c>
      <c r="L45" s="18">
        <v>4967</v>
      </c>
      <c r="M45" s="18">
        <v>4949</v>
      </c>
      <c r="N45" s="18">
        <v>5495</v>
      </c>
      <c r="O45" s="18">
        <v>5704</v>
      </c>
      <c r="P45" s="18">
        <v>6168</v>
      </c>
      <c r="Q45" s="18">
        <v>6445</v>
      </c>
      <c r="R45" s="18">
        <v>7306</v>
      </c>
      <c r="S45" s="18">
        <v>8547</v>
      </c>
      <c r="T45" s="18">
        <v>10235</v>
      </c>
      <c r="U45" s="18">
        <v>7856</v>
      </c>
      <c r="V45" s="18">
        <v>13655</v>
      </c>
      <c r="W45" s="18">
        <v>14987</v>
      </c>
      <c r="X45" s="18">
        <v>16047</v>
      </c>
      <c r="Y45" s="18">
        <v>17487</v>
      </c>
      <c r="Z45" s="159">
        <v>11408</v>
      </c>
      <c r="AA45">
        <v>8615</v>
      </c>
      <c r="AB45">
        <v>8428</v>
      </c>
    </row>
    <row r="46" spans="1:28">
      <c r="A46" s="18" t="s">
        <v>82</v>
      </c>
      <c r="B46" s="18"/>
      <c r="C46" s="18"/>
      <c r="D46" s="18"/>
      <c r="E46" s="18"/>
      <c r="F46" s="18"/>
      <c r="G46" s="18">
        <v>6935</v>
      </c>
      <c r="H46" s="18"/>
      <c r="I46" s="18"/>
      <c r="J46" s="18">
        <v>8479</v>
      </c>
      <c r="K46" s="18">
        <v>8364</v>
      </c>
      <c r="L46" s="18">
        <v>9122</v>
      </c>
      <c r="M46" s="18">
        <v>9160</v>
      </c>
      <c r="N46" s="18">
        <v>9652</v>
      </c>
      <c r="O46" s="18">
        <v>10164</v>
      </c>
      <c r="P46" s="18">
        <v>10371</v>
      </c>
      <c r="Q46" s="18">
        <v>11475</v>
      </c>
      <c r="R46" s="18">
        <v>12918</v>
      </c>
      <c r="S46" s="18">
        <v>13520</v>
      </c>
      <c r="T46" s="18">
        <v>14219</v>
      </c>
      <c r="U46" s="18">
        <v>14413</v>
      </c>
      <c r="V46" s="18">
        <v>14868</v>
      </c>
      <c r="W46" s="18">
        <v>14763</v>
      </c>
      <c r="X46" s="18">
        <v>16162</v>
      </c>
      <c r="Y46" s="18">
        <v>15851</v>
      </c>
      <c r="Z46" s="159">
        <v>16948</v>
      </c>
      <c r="AA46">
        <v>16655</v>
      </c>
      <c r="AB46">
        <v>16934</v>
      </c>
    </row>
    <row r="47" spans="1:28">
      <c r="A47" s="18" t="s">
        <v>83</v>
      </c>
      <c r="B47" s="18"/>
      <c r="C47" s="18"/>
      <c r="D47" s="18"/>
      <c r="E47" s="18"/>
      <c r="F47" s="18"/>
      <c r="G47" s="18">
        <v>1594</v>
      </c>
      <c r="H47" s="18"/>
      <c r="I47" s="18"/>
      <c r="J47" s="18">
        <v>1716</v>
      </c>
      <c r="K47" s="18">
        <v>1817</v>
      </c>
      <c r="L47" s="18">
        <v>1990</v>
      </c>
      <c r="M47" s="18">
        <v>2063</v>
      </c>
      <c r="N47" s="18">
        <v>2105</v>
      </c>
      <c r="O47" s="18">
        <v>2130</v>
      </c>
      <c r="P47" s="18">
        <v>2634</v>
      </c>
      <c r="Q47" s="18">
        <v>2650</v>
      </c>
      <c r="R47" s="18">
        <v>3216</v>
      </c>
      <c r="S47" s="18">
        <v>3117</v>
      </c>
      <c r="T47" s="18">
        <v>3421</v>
      </c>
      <c r="U47" s="18">
        <v>3496</v>
      </c>
      <c r="V47" s="18">
        <v>2940</v>
      </c>
      <c r="W47" s="18">
        <v>3684</v>
      </c>
      <c r="X47" s="18">
        <v>3962</v>
      </c>
      <c r="Y47" s="18">
        <v>3877</v>
      </c>
      <c r="Z47" s="159">
        <v>4158</v>
      </c>
      <c r="AA47">
        <v>4404</v>
      </c>
      <c r="AB47">
        <v>4339</v>
      </c>
    </row>
    <row r="48" spans="1:28">
      <c r="A48" s="18" t="s">
        <v>84</v>
      </c>
      <c r="B48" s="18"/>
      <c r="C48" s="18"/>
      <c r="D48" s="18"/>
      <c r="E48" s="18"/>
      <c r="F48" s="18"/>
      <c r="G48" s="18">
        <v>537</v>
      </c>
      <c r="H48" s="18"/>
      <c r="I48" s="18"/>
      <c r="J48" s="18">
        <v>499</v>
      </c>
      <c r="K48" s="18">
        <v>579</v>
      </c>
      <c r="L48" s="18">
        <v>568</v>
      </c>
      <c r="M48" s="18">
        <v>566</v>
      </c>
      <c r="N48" s="18">
        <v>611</v>
      </c>
      <c r="O48" s="18">
        <v>590</v>
      </c>
      <c r="P48" s="18">
        <v>663</v>
      </c>
      <c r="Q48" s="18">
        <v>751</v>
      </c>
      <c r="R48" s="18">
        <v>846</v>
      </c>
      <c r="S48" s="18">
        <v>946</v>
      </c>
      <c r="T48" s="18">
        <v>968</v>
      </c>
      <c r="U48" s="18">
        <v>1043</v>
      </c>
      <c r="V48" s="18">
        <v>1141</v>
      </c>
      <c r="W48" s="18">
        <v>1145</v>
      </c>
      <c r="X48" s="18">
        <v>1172</v>
      </c>
      <c r="Y48" s="18">
        <v>1166</v>
      </c>
      <c r="Z48" s="159">
        <v>1319</v>
      </c>
      <c r="AA48">
        <v>1438</v>
      </c>
      <c r="AB48">
        <v>1375</v>
      </c>
    </row>
    <row r="49" spans="1:28">
      <c r="A49" s="18" t="s">
        <v>85</v>
      </c>
      <c r="B49" s="18"/>
      <c r="C49" s="18"/>
      <c r="D49" s="18"/>
      <c r="E49" s="18"/>
      <c r="F49" s="18"/>
      <c r="G49" s="18">
        <v>10806</v>
      </c>
      <c r="H49" s="18"/>
      <c r="I49" s="18"/>
      <c r="J49" s="18">
        <v>11357</v>
      </c>
      <c r="K49" s="18">
        <v>11861</v>
      </c>
      <c r="L49" s="18">
        <v>12075</v>
      </c>
      <c r="M49" s="18">
        <v>12471</v>
      </c>
      <c r="N49" s="18">
        <v>12909</v>
      </c>
      <c r="O49" s="18">
        <v>13311</v>
      </c>
      <c r="P49" s="18">
        <v>13971</v>
      </c>
      <c r="Q49" s="18">
        <v>13681</v>
      </c>
      <c r="R49" s="18">
        <v>14935</v>
      </c>
      <c r="S49" s="18">
        <v>15478</v>
      </c>
      <c r="T49" s="18">
        <v>16327</v>
      </c>
      <c r="U49" s="18">
        <v>16854</v>
      </c>
      <c r="V49" s="18">
        <v>16675</v>
      </c>
      <c r="W49" s="18">
        <v>17046</v>
      </c>
      <c r="X49" s="18">
        <v>17372</v>
      </c>
      <c r="Y49" s="18">
        <v>17991</v>
      </c>
      <c r="Z49" s="159">
        <v>18571</v>
      </c>
      <c r="AA49">
        <v>19731</v>
      </c>
      <c r="AB49">
        <v>18699</v>
      </c>
    </row>
    <row r="50" spans="1:28">
      <c r="A50" s="18" t="s">
        <v>86</v>
      </c>
      <c r="B50" s="18"/>
      <c r="C50" s="18"/>
      <c r="D50" s="18"/>
      <c r="E50" s="18"/>
      <c r="F50" s="18"/>
      <c r="G50" s="18">
        <v>657</v>
      </c>
      <c r="H50" s="18"/>
      <c r="I50" s="18"/>
      <c r="J50" s="18">
        <v>680</v>
      </c>
      <c r="K50" s="18">
        <v>766</v>
      </c>
      <c r="L50" s="18">
        <v>881</v>
      </c>
      <c r="M50" s="18">
        <v>868</v>
      </c>
      <c r="N50" s="18">
        <v>870</v>
      </c>
      <c r="O50" s="18">
        <v>895</v>
      </c>
      <c r="P50" s="18">
        <v>811</v>
      </c>
      <c r="Q50" s="18">
        <v>795</v>
      </c>
      <c r="R50" s="18">
        <v>923</v>
      </c>
      <c r="S50" s="18">
        <v>960</v>
      </c>
      <c r="T50" s="18">
        <v>1060</v>
      </c>
      <c r="U50" s="18">
        <v>951</v>
      </c>
      <c r="V50" s="18">
        <v>1030</v>
      </c>
      <c r="W50" s="18">
        <v>1091</v>
      </c>
      <c r="X50" s="18">
        <v>1095</v>
      </c>
      <c r="Y50" s="18">
        <v>1182</v>
      </c>
      <c r="Z50" s="159">
        <v>1289</v>
      </c>
      <c r="AA50">
        <v>1336</v>
      </c>
      <c r="AB50">
        <v>1384</v>
      </c>
    </row>
    <row r="51" spans="1:28">
      <c r="A51" s="20" t="s">
        <v>87</v>
      </c>
      <c r="B51" s="20"/>
      <c r="C51" s="20"/>
      <c r="D51" s="20"/>
      <c r="E51" s="20"/>
      <c r="F51" s="20"/>
      <c r="G51" s="20">
        <v>4827</v>
      </c>
      <c r="H51" s="20"/>
      <c r="I51" s="20"/>
      <c r="J51" s="20">
        <v>5129</v>
      </c>
      <c r="K51" s="20">
        <v>5515</v>
      </c>
      <c r="L51" s="20">
        <v>5514</v>
      </c>
      <c r="M51" s="20">
        <v>5680</v>
      </c>
      <c r="N51" s="20">
        <v>5839</v>
      </c>
      <c r="O51" s="20">
        <v>5730</v>
      </c>
      <c r="P51" s="20">
        <v>5879</v>
      </c>
      <c r="Q51" s="20">
        <v>6142</v>
      </c>
      <c r="R51" s="20">
        <v>7240</v>
      </c>
      <c r="S51" s="20">
        <v>7987</v>
      </c>
      <c r="T51" s="20">
        <v>7566</v>
      </c>
      <c r="U51" s="20">
        <v>7534</v>
      </c>
      <c r="V51" s="20">
        <v>7703</v>
      </c>
      <c r="W51" s="20">
        <v>7878</v>
      </c>
      <c r="X51" s="20">
        <v>8003</v>
      </c>
      <c r="Y51" s="20">
        <v>8032</v>
      </c>
      <c r="Z51" s="159">
        <v>8219</v>
      </c>
      <c r="AA51">
        <v>8374</v>
      </c>
      <c r="AB51">
        <v>8267</v>
      </c>
    </row>
    <row r="52" spans="1:28">
      <c r="A52" s="15" t="s">
        <v>88</v>
      </c>
      <c r="B52" s="15"/>
      <c r="C52" s="15"/>
      <c r="D52" s="15"/>
      <c r="E52" s="15"/>
      <c r="F52" s="15"/>
      <c r="G52" s="15">
        <f>SUM(G54:G62)</f>
        <v>61829</v>
      </c>
      <c r="H52" s="15"/>
      <c r="I52" s="15"/>
      <c r="J52" s="15">
        <f t="shared" ref="J52:X52" si="25">SUM(J54:J62)</f>
        <v>80673</v>
      </c>
      <c r="K52" s="15">
        <f t="shared" si="25"/>
        <v>81272</v>
      </c>
      <c r="L52" s="15">
        <f t="shared" si="25"/>
        <v>82487</v>
      </c>
      <c r="M52" s="15">
        <f t="shared" si="25"/>
        <v>83082</v>
      </c>
      <c r="N52" s="15">
        <f t="shared" si="25"/>
        <v>84609</v>
      </c>
      <c r="O52" s="15">
        <f t="shared" si="25"/>
        <v>86967</v>
      </c>
      <c r="P52" s="15">
        <f t="shared" si="25"/>
        <v>88058</v>
      </c>
      <c r="Q52" s="15">
        <f t="shared" si="25"/>
        <v>89444</v>
      </c>
      <c r="R52" s="15">
        <f t="shared" si="25"/>
        <v>96245</v>
      </c>
      <c r="S52" s="15">
        <f t="shared" si="25"/>
        <v>105156</v>
      </c>
      <c r="T52" s="15">
        <f t="shared" si="25"/>
        <v>104726</v>
      </c>
      <c r="U52" s="15">
        <f t="shared" si="25"/>
        <v>108489</v>
      </c>
      <c r="V52" s="15">
        <f t="shared" si="25"/>
        <v>109946</v>
      </c>
      <c r="W52" s="15">
        <f t="shared" si="25"/>
        <v>111171</v>
      </c>
      <c r="X52" s="15">
        <f t="shared" si="25"/>
        <v>115077</v>
      </c>
      <c r="Y52" s="15">
        <f t="shared" ref="Y52:Z52" si="26">SUM(Y54:Y62)</f>
        <v>118892</v>
      </c>
      <c r="Z52" s="15">
        <f t="shared" si="26"/>
        <v>125936</v>
      </c>
      <c r="AA52" s="15">
        <f t="shared" ref="AA52:AB52" si="27">SUM(AA54:AA62)</f>
        <v>130437</v>
      </c>
      <c r="AB52" s="15">
        <f t="shared" si="27"/>
        <v>127543</v>
      </c>
    </row>
    <row r="53" spans="1:28">
      <c r="A53" s="17" t="s">
        <v>44</v>
      </c>
      <c r="B53" s="17"/>
      <c r="C53" s="17"/>
      <c r="D53" s="17"/>
      <c r="E53" s="17"/>
      <c r="F53" s="17"/>
      <c r="G53" s="17">
        <f>(G52/G4)*100</f>
        <v>25.20279138778605</v>
      </c>
      <c r="H53" s="17"/>
      <c r="I53" s="17"/>
      <c r="J53" s="17">
        <f t="shared" ref="J53:W53" si="28">(J52/J4)*100</f>
        <v>27.169487244253599</v>
      </c>
      <c r="K53" s="17">
        <f t="shared" si="28"/>
        <v>26.298979714009274</v>
      </c>
      <c r="L53" s="17">
        <f t="shared" si="28"/>
        <v>25.629975329202892</v>
      </c>
      <c r="M53" s="17">
        <f t="shared" si="28"/>
        <v>25.20607625352309</v>
      </c>
      <c r="N53" s="17">
        <f t="shared" si="28"/>
        <v>24.969529200322267</v>
      </c>
      <c r="O53" s="17">
        <f t="shared" si="28"/>
        <v>24.898792379796266</v>
      </c>
      <c r="P53" s="17">
        <f t="shared" si="28"/>
        <v>24.597000583793989</v>
      </c>
      <c r="Q53" s="17">
        <f t="shared" si="28"/>
        <v>23.849698159090423</v>
      </c>
      <c r="R53" s="17">
        <f t="shared" si="28"/>
        <v>24.164189447044411</v>
      </c>
      <c r="S53" s="17">
        <f t="shared" si="28"/>
        <v>24.347471735159075</v>
      </c>
      <c r="T53" s="17">
        <f t="shared" si="28"/>
        <v>23.330563470333875</v>
      </c>
      <c r="U53" s="17">
        <f t="shared" si="28"/>
        <v>24.093032965275864</v>
      </c>
      <c r="V53" s="17">
        <f t="shared" si="28"/>
        <v>23.061224061733757</v>
      </c>
      <c r="W53" s="17">
        <f t="shared" si="28"/>
        <v>22.763123948057054</v>
      </c>
      <c r="X53" s="17">
        <f t="shared" ref="X53:Y53" si="29">(X52/X$5)*100</f>
        <v>74.253285929061349</v>
      </c>
      <c r="Y53" s="17">
        <f t="shared" si="29"/>
        <v>71.840670960880757</v>
      </c>
      <c r="Z53" s="17">
        <f t="shared" ref="Z53:AA53" si="30">(Z52/Z$5)*100</f>
        <v>72.103102581572301</v>
      </c>
      <c r="AA53" s="17">
        <f t="shared" si="30"/>
        <v>70.690281217652384</v>
      </c>
      <c r="AB53" s="17">
        <f t="shared" ref="AB53" si="31">(AB52/AB$5)*100</f>
        <v>67.959142351712515</v>
      </c>
    </row>
    <row r="54" spans="1:28">
      <c r="A54" s="18" t="s">
        <v>89</v>
      </c>
      <c r="B54" s="18"/>
      <c r="C54" s="18"/>
      <c r="D54" s="18"/>
      <c r="E54" s="18"/>
      <c r="F54" s="18"/>
      <c r="G54" s="18">
        <v>5198</v>
      </c>
      <c r="H54" s="18"/>
      <c r="I54" s="18"/>
      <c r="J54" s="18">
        <v>5258</v>
      </c>
      <c r="K54" s="18">
        <v>5392</v>
      </c>
      <c r="L54" s="18">
        <v>5490</v>
      </c>
      <c r="M54" s="18">
        <v>5217</v>
      </c>
      <c r="N54" s="18">
        <v>5635</v>
      </c>
      <c r="O54" s="18">
        <v>5796</v>
      </c>
      <c r="P54" s="18">
        <v>5993</v>
      </c>
      <c r="Q54" s="18">
        <v>6646</v>
      </c>
      <c r="R54" s="18">
        <v>5991</v>
      </c>
      <c r="S54" s="18">
        <v>6250</v>
      </c>
      <c r="T54" s="18">
        <v>6743</v>
      </c>
      <c r="U54" s="18">
        <v>6653</v>
      </c>
      <c r="V54" s="18">
        <v>6546</v>
      </c>
      <c r="W54" s="18">
        <v>6580</v>
      </c>
      <c r="X54" s="18">
        <v>6748</v>
      </c>
      <c r="Y54" s="18">
        <v>6330</v>
      </c>
      <c r="Z54" s="159">
        <v>6621</v>
      </c>
      <c r="AA54">
        <v>7071</v>
      </c>
      <c r="AB54">
        <v>7082</v>
      </c>
    </row>
    <row r="55" spans="1:28">
      <c r="A55" s="18" t="s">
        <v>90</v>
      </c>
      <c r="B55" s="18"/>
      <c r="C55" s="18"/>
      <c r="D55" s="18"/>
      <c r="E55" s="18"/>
      <c r="F55" s="18"/>
      <c r="G55" s="18">
        <v>498</v>
      </c>
      <c r="H55" s="18"/>
      <c r="I55" s="18"/>
      <c r="J55" s="18">
        <v>645</v>
      </c>
      <c r="K55" s="18">
        <v>706</v>
      </c>
      <c r="L55" s="18">
        <v>713</v>
      </c>
      <c r="M55" s="18">
        <v>787</v>
      </c>
      <c r="N55" s="18">
        <v>758</v>
      </c>
      <c r="O55" s="18">
        <v>871</v>
      </c>
      <c r="P55" s="18">
        <v>957</v>
      </c>
      <c r="Q55" s="18">
        <v>1047</v>
      </c>
      <c r="R55" s="18">
        <v>1201</v>
      </c>
      <c r="S55" s="18">
        <v>1375</v>
      </c>
      <c r="T55" s="18">
        <v>1461</v>
      </c>
      <c r="U55" s="18">
        <v>1461</v>
      </c>
      <c r="V55" s="18">
        <v>1427</v>
      </c>
      <c r="W55" s="18">
        <v>1460</v>
      </c>
      <c r="X55" s="18">
        <v>1540</v>
      </c>
      <c r="Y55" s="18">
        <v>1592</v>
      </c>
      <c r="Z55" s="159">
        <v>1514</v>
      </c>
      <c r="AA55">
        <v>1601</v>
      </c>
      <c r="AB55">
        <v>1654</v>
      </c>
    </row>
    <row r="56" spans="1:28">
      <c r="A56" s="18" t="s">
        <v>91</v>
      </c>
      <c r="B56" s="18"/>
      <c r="C56" s="18"/>
      <c r="D56" s="18"/>
      <c r="E56" s="18"/>
      <c r="F56" s="18"/>
      <c r="G56" s="18">
        <v>12114</v>
      </c>
      <c r="H56" s="18"/>
      <c r="I56" s="18"/>
      <c r="J56" s="18">
        <v>13836</v>
      </c>
      <c r="K56" s="18">
        <v>13742</v>
      </c>
      <c r="L56" s="18">
        <v>14764</v>
      </c>
      <c r="M56" s="18">
        <v>15525</v>
      </c>
      <c r="N56" s="18">
        <v>16210</v>
      </c>
      <c r="O56" s="18">
        <v>16929</v>
      </c>
      <c r="P56" s="18">
        <v>16595</v>
      </c>
      <c r="Q56" s="18">
        <v>16741</v>
      </c>
      <c r="R56" s="18">
        <v>17747</v>
      </c>
      <c r="S56" s="18">
        <v>17580</v>
      </c>
      <c r="T56" s="18">
        <v>18280</v>
      </c>
      <c r="U56" s="18">
        <v>18356</v>
      </c>
      <c r="V56" s="18">
        <v>18406</v>
      </c>
      <c r="W56" s="18">
        <v>19344</v>
      </c>
      <c r="X56" s="18">
        <v>20160</v>
      </c>
      <c r="Y56" s="18">
        <v>21252</v>
      </c>
      <c r="Z56" s="159">
        <v>23291</v>
      </c>
      <c r="AA56">
        <v>25318</v>
      </c>
      <c r="AB56">
        <v>24138</v>
      </c>
    </row>
    <row r="57" spans="1:28">
      <c r="A57" s="18" t="s">
        <v>92</v>
      </c>
      <c r="B57" s="18"/>
      <c r="C57" s="18"/>
      <c r="D57" s="18"/>
      <c r="E57" s="18"/>
      <c r="F57" s="18"/>
      <c r="G57" s="18">
        <v>1527</v>
      </c>
      <c r="H57" s="18"/>
      <c r="I57" s="18"/>
      <c r="J57" s="18">
        <v>1785</v>
      </c>
      <c r="K57" s="18">
        <v>1649</v>
      </c>
      <c r="L57" s="18">
        <v>1547</v>
      </c>
      <c r="M57" s="18">
        <v>1405</v>
      </c>
      <c r="N57" s="18">
        <v>1591</v>
      </c>
      <c r="O57" s="18">
        <v>1578</v>
      </c>
      <c r="P57" s="18">
        <v>1684</v>
      </c>
      <c r="Q57" s="18">
        <v>1792</v>
      </c>
      <c r="R57" s="18">
        <v>1476</v>
      </c>
      <c r="S57" s="18">
        <v>1818</v>
      </c>
      <c r="T57" s="18">
        <v>1962</v>
      </c>
      <c r="U57" s="18">
        <v>2093</v>
      </c>
      <c r="V57" s="18">
        <v>2049</v>
      </c>
      <c r="W57" s="18">
        <v>2103</v>
      </c>
      <c r="X57" s="18">
        <v>2276</v>
      </c>
      <c r="Y57" s="18">
        <v>2236</v>
      </c>
      <c r="Z57" s="159">
        <v>2495</v>
      </c>
      <c r="AA57">
        <v>2452</v>
      </c>
      <c r="AB57">
        <v>2448</v>
      </c>
    </row>
    <row r="58" spans="1:28">
      <c r="A58" s="18" t="s">
        <v>93</v>
      </c>
      <c r="B58" s="18"/>
      <c r="C58" s="18"/>
      <c r="D58" s="18"/>
      <c r="E58" s="18"/>
      <c r="F58" s="18"/>
      <c r="G58" s="18">
        <v>5688</v>
      </c>
      <c r="H58" s="18"/>
      <c r="I58" s="18"/>
      <c r="J58" s="18">
        <v>6085</v>
      </c>
      <c r="K58" s="18">
        <v>6214</v>
      </c>
      <c r="L58" s="18">
        <v>6279</v>
      </c>
      <c r="M58" s="18">
        <v>6166</v>
      </c>
      <c r="N58" s="18">
        <v>6412</v>
      </c>
      <c r="O58" s="18">
        <v>6381</v>
      </c>
      <c r="P58" s="18">
        <v>6693</v>
      </c>
      <c r="Q58" s="18">
        <v>6977</v>
      </c>
      <c r="R58" s="18">
        <v>7758</v>
      </c>
      <c r="S58" s="18">
        <v>8773</v>
      </c>
      <c r="T58" s="18">
        <v>9036</v>
      </c>
      <c r="U58" s="18">
        <v>9217</v>
      </c>
      <c r="V58" s="18">
        <v>9408</v>
      </c>
      <c r="W58" s="18">
        <v>9409</v>
      </c>
      <c r="X58" s="18">
        <v>9849</v>
      </c>
      <c r="Y58" s="18">
        <v>10218</v>
      </c>
      <c r="Z58" s="159">
        <v>10790</v>
      </c>
      <c r="AA58">
        <v>11579</v>
      </c>
      <c r="AB58">
        <v>10601</v>
      </c>
    </row>
    <row r="59" spans="1:28">
      <c r="A59" s="18" t="s">
        <v>94</v>
      </c>
      <c r="B59" s="18"/>
      <c r="C59" s="18"/>
      <c r="D59" s="18"/>
      <c r="E59" s="18"/>
      <c r="F59" s="18"/>
      <c r="G59" s="18">
        <v>22417</v>
      </c>
      <c r="H59" s="18"/>
      <c r="I59" s="18"/>
      <c r="J59" s="18">
        <v>35057</v>
      </c>
      <c r="K59" s="18">
        <v>35689</v>
      </c>
      <c r="L59" s="18">
        <v>34557</v>
      </c>
      <c r="M59" s="18">
        <v>34624</v>
      </c>
      <c r="N59" s="18">
        <v>34047</v>
      </c>
      <c r="O59" s="18">
        <v>35389</v>
      </c>
      <c r="P59" s="18">
        <v>35187</v>
      </c>
      <c r="Q59" s="18">
        <v>35044</v>
      </c>
      <c r="R59" s="18">
        <v>41041</v>
      </c>
      <c r="S59" s="18">
        <v>46190</v>
      </c>
      <c r="T59" s="18">
        <v>43392</v>
      </c>
      <c r="U59" s="18">
        <v>45817</v>
      </c>
      <c r="V59" s="18">
        <v>45937</v>
      </c>
      <c r="W59" s="18">
        <v>45218</v>
      </c>
      <c r="X59" s="18">
        <v>46255</v>
      </c>
      <c r="Y59" s="18">
        <v>47939</v>
      </c>
      <c r="Z59" s="159">
        <v>49414</v>
      </c>
      <c r="AA59">
        <v>50234</v>
      </c>
      <c r="AB59">
        <v>49500</v>
      </c>
    </row>
    <row r="60" spans="1:28">
      <c r="A60" s="18" t="s">
        <v>95</v>
      </c>
      <c r="B60" s="18"/>
      <c r="C60" s="18"/>
      <c r="D60" s="18"/>
      <c r="E60" s="18"/>
      <c r="F60" s="18"/>
      <c r="G60" s="18">
        <v>12288</v>
      </c>
      <c r="H60" s="18"/>
      <c r="I60" s="18"/>
      <c r="J60" s="18">
        <v>15556</v>
      </c>
      <c r="K60" s="18">
        <v>15489</v>
      </c>
      <c r="L60" s="18">
        <v>16759</v>
      </c>
      <c r="M60" s="18">
        <v>17099</v>
      </c>
      <c r="N60" s="18">
        <v>17425</v>
      </c>
      <c r="O60" s="18">
        <v>17702</v>
      </c>
      <c r="P60" s="18">
        <v>18331</v>
      </c>
      <c r="Q60" s="18">
        <v>18625</v>
      </c>
      <c r="R60" s="18">
        <v>18542</v>
      </c>
      <c r="S60" s="18">
        <v>20567</v>
      </c>
      <c r="T60" s="18">
        <v>20982</v>
      </c>
      <c r="U60" s="18">
        <v>22064</v>
      </c>
      <c r="V60" s="18">
        <v>23132</v>
      </c>
      <c r="W60" s="18">
        <v>23790</v>
      </c>
      <c r="X60" s="18">
        <v>25055</v>
      </c>
      <c r="Y60" s="18">
        <v>26042</v>
      </c>
      <c r="Z60" s="159">
        <v>28261</v>
      </c>
      <c r="AA60">
        <v>28794</v>
      </c>
      <c r="AB60">
        <v>28621</v>
      </c>
    </row>
    <row r="61" spans="1:28">
      <c r="A61" s="18" t="s">
        <v>96</v>
      </c>
      <c r="B61" s="18"/>
      <c r="C61" s="18"/>
      <c r="D61" s="18"/>
      <c r="E61" s="18"/>
      <c r="F61" s="18"/>
      <c r="G61" s="18">
        <v>1418</v>
      </c>
      <c r="H61" s="18"/>
      <c r="I61" s="18"/>
      <c r="J61" s="18">
        <v>1555</v>
      </c>
      <c r="K61" s="18">
        <v>1498</v>
      </c>
      <c r="L61" s="18">
        <v>1446</v>
      </c>
      <c r="M61" s="18">
        <v>1468</v>
      </c>
      <c r="N61" s="18">
        <v>1617</v>
      </c>
      <c r="O61" s="18">
        <v>1478</v>
      </c>
      <c r="P61" s="18">
        <v>1472</v>
      </c>
      <c r="Q61" s="18">
        <v>1426</v>
      </c>
      <c r="R61" s="18">
        <v>1400</v>
      </c>
      <c r="S61" s="18">
        <v>1478</v>
      </c>
      <c r="T61" s="18">
        <v>1582</v>
      </c>
      <c r="U61" s="18">
        <v>1463</v>
      </c>
      <c r="V61" s="18">
        <v>1499</v>
      </c>
      <c r="W61" s="18">
        <v>1431</v>
      </c>
      <c r="X61" s="18">
        <v>1510</v>
      </c>
      <c r="Y61" s="18">
        <v>1500</v>
      </c>
      <c r="Z61" s="159">
        <v>1621</v>
      </c>
      <c r="AA61">
        <v>1633</v>
      </c>
      <c r="AB61">
        <v>1794</v>
      </c>
    </row>
    <row r="62" spans="1:28">
      <c r="A62" s="20" t="s">
        <v>97</v>
      </c>
      <c r="B62" s="20"/>
      <c r="C62" s="20"/>
      <c r="D62" s="20"/>
      <c r="E62" s="20"/>
      <c r="F62" s="20"/>
      <c r="G62" s="20">
        <v>681</v>
      </c>
      <c r="H62" s="20"/>
      <c r="I62" s="20"/>
      <c r="J62" s="20">
        <v>896</v>
      </c>
      <c r="K62" s="20">
        <v>893</v>
      </c>
      <c r="L62" s="20">
        <v>932</v>
      </c>
      <c r="M62" s="20">
        <v>791</v>
      </c>
      <c r="N62" s="20">
        <v>914</v>
      </c>
      <c r="O62" s="20">
        <v>843</v>
      </c>
      <c r="P62" s="20">
        <v>1146</v>
      </c>
      <c r="Q62" s="20">
        <v>1146</v>
      </c>
      <c r="R62" s="20">
        <v>1089</v>
      </c>
      <c r="S62" s="20">
        <v>1125</v>
      </c>
      <c r="T62" s="20">
        <v>1288</v>
      </c>
      <c r="U62" s="20">
        <v>1365</v>
      </c>
      <c r="V62" s="20">
        <v>1542</v>
      </c>
      <c r="W62" s="20">
        <v>1836</v>
      </c>
      <c r="X62" s="20">
        <v>1684</v>
      </c>
      <c r="Y62" s="20">
        <v>1783</v>
      </c>
      <c r="Z62" s="159">
        <v>1929</v>
      </c>
      <c r="AA62" s="162">
        <v>1755</v>
      </c>
      <c r="AB62" s="141">
        <v>1705</v>
      </c>
    </row>
    <row r="63" spans="1:28">
      <c r="A63" s="26" t="s">
        <v>98</v>
      </c>
      <c r="B63" s="26"/>
      <c r="C63" s="26"/>
      <c r="D63" s="26"/>
      <c r="E63" s="26"/>
      <c r="F63" s="26"/>
      <c r="G63" s="26">
        <v>4225</v>
      </c>
      <c r="H63" s="26"/>
      <c r="I63" s="26"/>
      <c r="J63" s="26">
        <v>4156</v>
      </c>
      <c r="K63" s="26">
        <v>4509</v>
      </c>
      <c r="L63" s="26">
        <v>4678</v>
      </c>
      <c r="M63" s="26">
        <v>4943</v>
      </c>
      <c r="N63" s="26">
        <v>5366</v>
      </c>
      <c r="O63" s="26">
        <v>5318</v>
      </c>
      <c r="P63" s="26">
        <v>5219</v>
      </c>
      <c r="Q63" s="26">
        <v>5100</v>
      </c>
      <c r="R63" s="26">
        <v>5353</v>
      </c>
      <c r="S63" s="26">
        <v>6066</v>
      </c>
      <c r="T63" s="26">
        <v>6011</v>
      </c>
      <c r="U63" s="26">
        <v>6554</v>
      </c>
      <c r="V63" s="26">
        <v>7072</v>
      </c>
      <c r="W63" s="26">
        <v>7495</v>
      </c>
      <c r="X63" s="26">
        <v>8170</v>
      </c>
      <c r="Y63" s="26">
        <v>6684</v>
      </c>
      <c r="Z63" s="26">
        <v>7371</v>
      </c>
      <c r="AA63" s="162">
        <v>7389</v>
      </c>
      <c r="AB63" s="176">
        <v>7894</v>
      </c>
    </row>
    <row r="64" spans="1:28">
      <c r="A64" s="30"/>
      <c r="B64" s="43"/>
      <c r="C64" s="43"/>
      <c r="D64" s="43"/>
      <c r="E64" s="43"/>
      <c r="F64" s="43"/>
      <c r="G64" s="3"/>
      <c r="H64" s="43"/>
      <c r="I64" s="43"/>
      <c r="J64" s="3"/>
      <c r="K64" s="3"/>
      <c r="L64" s="3"/>
      <c r="M64" s="3"/>
      <c r="N64" s="6"/>
      <c r="O64" s="6"/>
      <c r="P64" s="6"/>
      <c r="Q64" s="30"/>
      <c r="R64" s="30"/>
      <c r="S64" s="30"/>
      <c r="T64" s="30"/>
      <c r="U64" s="30"/>
      <c r="V64" s="30"/>
      <c r="W64" s="30"/>
      <c r="X64" s="3"/>
      <c r="Y64" s="3"/>
    </row>
    <row r="65" spans="1:28">
      <c r="A65" s="30"/>
      <c r="B65" s="31" t="s">
        <v>156</v>
      </c>
      <c r="C65" s="43" t="s">
        <v>156</v>
      </c>
      <c r="D65" s="43" t="s">
        <v>156</v>
      </c>
      <c r="E65" s="43" t="s">
        <v>156</v>
      </c>
      <c r="F65" s="43" t="s">
        <v>156</v>
      </c>
      <c r="G65" s="43" t="s">
        <v>155</v>
      </c>
      <c r="H65" s="43" t="s">
        <v>156</v>
      </c>
      <c r="I65" s="43"/>
      <c r="J65" s="43" t="s">
        <v>155</v>
      </c>
      <c r="K65" s="43" t="s">
        <v>155</v>
      </c>
      <c r="L65" s="43" t="s">
        <v>155</v>
      </c>
      <c r="M65" s="43" t="s">
        <v>155</v>
      </c>
      <c r="N65" s="43" t="s">
        <v>155</v>
      </c>
      <c r="O65" s="43" t="s">
        <v>155</v>
      </c>
      <c r="P65" s="31" t="s">
        <v>155</v>
      </c>
      <c r="Q65" s="50" t="s">
        <v>155</v>
      </c>
      <c r="R65" s="30" t="s">
        <v>100</v>
      </c>
      <c r="S65" s="30"/>
      <c r="T65" s="30"/>
      <c r="U65" s="30"/>
      <c r="V65" s="30"/>
      <c r="W65" s="30" t="s">
        <v>100</v>
      </c>
      <c r="X65" s="29" t="s">
        <v>100</v>
      </c>
      <c r="Y65" s="29"/>
      <c r="AA65" s="29" t="s">
        <v>100</v>
      </c>
      <c r="AB65" s="29"/>
    </row>
    <row r="66" spans="1:28">
      <c r="A66" s="30"/>
      <c r="B66" s="31" t="s">
        <v>183</v>
      </c>
      <c r="C66" s="43" t="s">
        <v>183</v>
      </c>
      <c r="D66" s="43" t="s">
        <v>183</v>
      </c>
      <c r="E66" s="43" t="s">
        <v>183</v>
      </c>
      <c r="F66" s="43" t="s">
        <v>183</v>
      </c>
      <c r="G66" s="43" t="s">
        <v>156</v>
      </c>
      <c r="H66" s="43" t="s">
        <v>183</v>
      </c>
      <c r="I66" s="43"/>
      <c r="J66" s="43" t="s">
        <v>156</v>
      </c>
      <c r="K66" s="43" t="s">
        <v>156</v>
      </c>
      <c r="L66" s="43" t="s">
        <v>156</v>
      </c>
      <c r="M66" s="43" t="s">
        <v>156</v>
      </c>
      <c r="N66" s="43" t="s">
        <v>156</v>
      </c>
      <c r="O66" s="43" t="s">
        <v>156</v>
      </c>
      <c r="P66" s="31" t="s">
        <v>156</v>
      </c>
      <c r="Q66" s="50" t="s">
        <v>156</v>
      </c>
      <c r="R66" s="30" t="s">
        <v>104</v>
      </c>
      <c r="S66" s="30"/>
      <c r="T66" s="30"/>
      <c r="U66" s="30"/>
      <c r="V66" s="30"/>
      <c r="W66" s="30" t="s">
        <v>104</v>
      </c>
      <c r="X66" s="3" t="s">
        <v>104</v>
      </c>
      <c r="Y66" s="3"/>
      <c r="AA66" s="3" t="s">
        <v>104</v>
      </c>
      <c r="AB66" s="3"/>
    </row>
    <row r="67" spans="1:28">
      <c r="A67" s="30"/>
      <c r="B67" s="31" t="s">
        <v>184</v>
      </c>
      <c r="C67" s="43" t="s">
        <v>184</v>
      </c>
      <c r="D67" s="43" t="s">
        <v>184</v>
      </c>
      <c r="E67" s="43" t="s">
        <v>184</v>
      </c>
      <c r="F67" s="43" t="s">
        <v>184</v>
      </c>
      <c r="G67" s="43" t="s">
        <v>157</v>
      </c>
      <c r="H67" s="43" t="s">
        <v>184</v>
      </c>
      <c r="I67" s="43"/>
      <c r="J67" s="43" t="s">
        <v>157</v>
      </c>
      <c r="K67" s="43" t="s">
        <v>157</v>
      </c>
      <c r="L67" s="43" t="s">
        <v>157</v>
      </c>
      <c r="M67" s="43" t="s">
        <v>157</v>
      </c>
      <c r="N67" s="43" t="s">
        <v>157</v>
      </c>
      <c r="O67" s="43" t="s">
        <v>157</v>
      </c>
      <c r="P67" s="31" t="s">
        <v>157</v>
      </c>
      <c r="Q67" s="50" t="s">
        <v>157</v>
      </c>
      <c r="R67" s="30" t="s">
        <v>108</v>
      </c>
      <c r="S67" s="30"/>
      <c r="T67" s="30"/>
      <c r="U67" s="30"/>
      <c r="V67" s="30"/>
      <c r="W67" s="30" t="s">
        <v>108</v>
      </c>
      <c r="X67" s="3" t="s">
        <v>108</v>
      </c>
      <c r="Y67" s="3"/>
      <c r="AA67" s="3" t="s">
        <v>108</v>
      </c>
      <c r="AB67" s="3"/>
    </row>
    <row r="68" spans="1:28">
      <c r="A68" s="30"/>
      <c r="B68" s="31" t="s">
        <v>185</v>
      </c>
      <c r="C68" s="43" t="s">
        <v>185</v>
      </c>
      <c r="D68" s="43" t="s">
        <v>185</v>
      </c>
      <c r="E68" s="43" t="s">
        <v>185</v>
      </c>
      <c r="F68" s="43" t="s">
        <v>185</v>
      </c>
      <c r="G68" s="43" t="s">
        <v>158</v>
      </c>
      <c r="H68" s="43" t="s">
        <v>185</v>
      </c>
      <c r="I68" s="43"/>
      <c r="J68" s="43" t="s">
        <v>158</v>
      </c>
      <c r="K68" s="43" t="s">
        <v>158</v>
      </c>
      <c r="L68" s="43" t="s">
        <v>158</v>
      </c>
      <c r="M68" s="43" t="s">
        <v>158</v>
      </c>
      <c r="N68" s="43" t="s">
        <v>158</v>
      </c>
      <c r="O68" s="43" t="s">
        <v>158</v>
      </c>
      <c r="P68" s="31" t="s">
        <v>158</v>
      </c>
      <c r="Q68" s="50" t="s">
        <v>158</v>
      </c>
      <c r="R68" s="30" t="s">
        <v>112</v>
      </c>
      <c r="S68" s="30"/>
      <c r="T68" s="30"/>
      <c r="U68" s="30"/>
      <c r="V68" s="30"/>
      <c r="W68" s="30" t="s">
        <v>112</v>
      </c>
      <c r="X68" s="3" t="s">
        <v>112</v>
      </c>
      <c r="Y68" s="3"/>
      <c r="AA68" s="3" t="s">
        <v>112</v>
      </c>
      <c r="AB68" s="3"/>
    </row>
    <row r="69" spans="1:28">
      <c r="A69" s="30"/>
      <c r="B69" s="31" t="s">
        <v>186</v>
      </c>
      <c r="C69" s="43" t="s">
        <v>186</v>
      </c>
      <c r="D69" s="43" t="s">
        <v>186</v>
      </c>
      <c r="E69" s="43" t="s">
        <v>186</v>
      </c>
      <c r="F69" s="43" t="s">
        <v>186</v>
      </c>
      <c r="G69" s="43" t="s">
        <v>159</v>
      </c>
      <c r="H69" s="43" t="s">
        <v>186</v>
      </c>
      <c r="I69" s="43"/>
      <c r="J69" s="43" t="s">
        <v>159</v>
      </c>
      <c r="K69" s="43" t="s">
        <v>159</v>
      </c>
      <c r="L69" s="43" t="s">
        <v>159</v>
      </c>
      <c r="M69" s="43" t="s">
        <v>159</v>
      </c>
      <c r="N69" s="43" t="s">
        <v>159</v>
      </c>
      <c r="O69" s="43" t="s">
        <v>159</v>
      </c>
      <c r="P69" s="31" t="s">
        <v>159</v>
      </c>
      <c r="Q69" s="50" t="s">
        <v>159</v>
      </c>
      <c r="R69" s="30" t="s">
        <v>115</v>
      </c>
      <c r="S69" s="30"/>
      <c r="T69" s="30"/>
      <c r="U69" s="30"/>
      <c r="V69" s="30"/>
      <c r="W69" s="30" t="s">
        <v>115</v>
      </c>
      <c r="X69" s="3" t="s">
        <v>115</v>
      </c>
      <c r="Y69" s="3"/>
      <c r="AA69" s="3" t="s">
        <v>115</v>
      </c>
      <c r="AB69" s="3"/>
    </row>
    <row r="70" spans="1:28">
      <c r="A70" s="30"/>
      <c r="B70" s="31" t="s">
        <v>187</v>
      </c>
      <c r="C70" s="43" t="s">
        <v>188</v>
      </c>
      <c r="D70" s="43" t="s">
        <v>189</v>
      </c>
      <c r="E70" s="43" t="s">
        <v>190</v>
      </c>
      <c r="F70" s="43" t="s">
        <v>191</v>
      </c>
      <c r="G70" s="43" t="s">
        <v>160</v>
      </c>
      <c r="H70" s="43" t="s">
        <v>192</v>
      </c>
      <c r="I70" s="43"/>
      <c r="J70" s="43" t="s">
        <v>160</v>
      </c>
      <c r="K70" s="43" t="s">
        <v>160</v>
      </c>
      <c r="L70" s="43" t="s">
        <v>160</v>
      </c>
      <c r="M70" s="43" t="s">
        <v>160</v>
      </c>
      <c r="N70" s="43" t="s">
        <v>160</v>
      </c>
      <c r="O70" s="43" t="s">
        <v>160</v>
      </c>
      <c r="P70" s="31" t="s">
        <v>160</v>
      </c>
      <c r="Q70" s="50" t="s">
        <v>160</v>
      </c>
      <c r="R70" s="30" t="s">
        <v>117</v>
      </c>
      <c r="S70" s="30"/>
      <c r="T70" s="30"/>
      <c r="U70" s="30"/>
      <c r="V70" s="30"/>
      <c r="W70" s="30" t="s">
        <v>117</v>
      </c>
      <c r="X70" s="3" t="s">
        <v>117</v>
      </c>
      <c r="Y70" s="3"/>
      <c r="AA70" s="3" t="s">
        <v>117</v>
      </c>
      <c r="AB70" s="3"/>
    </row>
    <row r="71" spans="1:28">
      <c r="A71" s="30"/>
      <c r="B71" s="43"/>
      <c r="C71" s="43"/>
      <c r="D71" s="43"/>
      <c r="E71" s="43"/>
      <c r="F71" s="43"/>
      <c r="G71" s="43" t="s">
        <v>161</v>
      </c>
      <c r="H71" s="43"/>
      <c r="I71" s="43"/>
      <c r="J71" s="43" t="s">
        <v>161</v>
      </c>
      <c r="K71" s="43" t="s">
        <v>161</v>
      </c>
      <c r="L71" s="43" t="s">
        <v>161</v>
      </c>
      <c r="M71" s="43" t="s">
        <v>161</v>
      </c>
      <c r="N71" s="43" t="s">
        <v>161</v>
      </c>
      <c r="O71" s="43" t="s">
        <v>161</v>
      </c>
      <c r="P71" s="31" t="s">
        <v>161</v>
      </c>
      <c r="Q71" s="50" t="s">
        <v>161</v>
      </c>
      <c r="R71" s="30" t="s">
        <v>120</v>
      </c>
      <c r="S71" s="30"/>
      <c r="T71" s="30"/>
      <c r="U71" s="30"/>
      <c r="V71" s="30"/>
      <c r="W71" s="30" t="s">
        <v>120</v>
      </c>
      <c r="X71" s="3" t="s">
        <v>121</v>
      </c>
      <c r="Y71" s="3"/>
      <c r="AA71" s="3" t="s">
        <v>121</v>
      </c>
      <c r="AB71" s="3"/>
    </row>
    <row r="72" spans="1:28">
      <c r="A72" s="30"/>
      <c r="B72" s="43"/>
      <c r="C72" s="43"/>
      <c r="D72" s="43"/>
      <c r="E72" s="43"/>
      <c r="F72" s="43"/>
      <c r="G72" s="43" t="s">
        <v>19</v>
      </c>
      <c r="H72" s="43"/>
      <c r="I72" s="43"/>
      <c r="J72" s="43" t="s">
        <v>24</v>
      </c>
      <c r="K72" s="43" t="s">
        <v>25</v>
      </c>
      <c r="L72" s="43" t="s">
        <v>26</v>
      </c>
      <c r="M72" s="43" t="s">
        <v>27</v>
      </c>
      <c r="N72" s="43" t="s">
        <v>28</v>
      </c>
      <c r="O72" s="43" t="s">
        <v>29</v>
      </c>
      <c r="P72" s="31" t="s">
        <v>30</v>
      </c>
      <c r="Q72" s="50" t="s">
        <v>32</v>
      </c>
      <c r="R72" s="30" t="s">
        <v>124</v>
      </c>
      <c r="S72" s="30"/>
      <c r="T72" s="30"/>
      <c r="U72" s="30"/>
      <c r="V72" s="30"/>
      <c r="W72" s="30" t="s">
        <v>124</v>
      </c>
      <c r="X72" s="3" t="s">
        <v>125</v>
      </c>
      <c r="Y72" s="3"/>
      <c r="AA72" s="3" t="s">
        <v>125</v>
      </c>
      <c r="AB72" s="3"/>
    </row>
    <row r="73" spans="1:28">
      <c r="A73" s="30"/>
      <c r="B73" s="43"/>
      <c r="C73" s="43"/>
      <c r="D73" s="43"/>
      <c r="E73" s="43"/>
      <c r="F73" s="43"/>
      <c r="G73" s="43"/>
      <c r="H73" s="43"/>
      <c r="I73" s="43"/>
      <c r="J73" s="31"/>
      <c r="K73" s="31"/>
      <c r="L73" s="31"/>
      <c r="M73" s="31"/>
      <c r="N73" s="31"/>
      <c r="O73" s="31"/>
      <c r="P73" s="31"/>
      <c r="Q73" s="30"/>
      <c r="R73" s="30" t="s">
        <v>127</v>
      </c>
      <c r="S73" s="30"/>
      <c r="T73" s="30"/>
      <c r="U73" s="30"/>
      <c r="V73" s="30"/>
      <c r="W73" s="30" t="s">
        <v>127</v>
      </c>
      <c r="X73" s="3" t="s">
        <v>128</v>
      </c>
      <c r="Y73" s="3"/>
      <c r="AA73" s="3" t="s">
        <v>128</v>
      </c>
      <c r="AB73" s="3"/>
    </row>
    <row r="74" spans="1:28">
      <c r="A74" s="30"/>
      <c r="B74" s="43"/>
      <c r="C74" s="43"/>
      <c r="D74" s="43"/>
      <c r="E74" s="43"/>
      <c r="F74" s="43"/>
      <c r="G74" s="43"/>
      <c r="H74" s="43"/>
      <c r="I74" s="43"/>
      <c r="J74" s="31"/>
      <c r="K74" s="31"/>
      <c r="L74" s="31"/>
      <c r="M74" s="31"/>
      <c r="N74" s="31"/>
      <c r="O74" s="31"/>
      <c r="P74" s="31"/>
      <c r="Q74" s="30"/>
      <c r="R74" s="30" t="s">
        <v>130</v>
      </c>
      <c r="S74" s="30"/>
      <c r="T74" s="30"/>
      <c r="U74" s="30"/>
      <c r="V74" s="30"/>
      <c r="W74" s="30" t="s">
        <v>130</v>
      </c>
      <c r="X74" s="3" t="s">
        <v>131</v>
      </c>
      <c r="Y74" s="3"/>
      <c r="AA74" s="3" t="s">
        <v>233</v>
      </c>
      <c r="AB74" s="3"/>
    </row>
    <row r="75" spans="1:28">
      <c r="A75" s="30"/>
      <c r="B75" s="43"/>
      <c r="C75" s="43"/>
      <c r="D75" s="43"/>
      <c r="E75" s="43"/>
      <c r="F75" s="43"/>
      <c r="G75" s="43"/>
      <c r="H75" s="43"/>
      <c r="I75" s="43"/>
      <c r="J75" s="31"/>
      <c r="K75" s="31"/>
      <c r="L75" s="31"/>
      <c r="M75" s="31"/>
      <c r="N75" s="31"/>
      <c r="O75" s="31"/>
      <c r="P75" s="31"/>
      <c r="Q75" s="30"/>
      <c r="R75" s="30" t="s">
        <v>134</v>
      </c>
      <c r="S75" s="30"/>
      <c r="T75" s="30"/>
      <c r="U75" s="30"/>
      <c r="V75" s="30"/>
      <c r="W75" s="30" t="s">
        <v>134</v>
      </c>
      <c r="X75" s="3" t="s">
        <v>134</v>
      </c>
      <c r="Y75" s="3"/>
      <c r="AA75" s="3" t="s">
        <v>134</v>
      </c>
      <c r="AB75" s="3"/>
    </row>
    <row r="76" spans="1:28">
      <c r="A76" s="30"/>
      <c r="B76" s="43"/>
      <c r="C76" s="43"/>
      <c r="D76" s="43"/>
      <c r="E76" s="43"/>
      <c r="F76" s="43"/>
      <c r="G76" s="43"/>
      <c r="H76" s="43"/>
      <c r="I76" s="43"/>
      <c r="J76" s="31"/>
      <c r="K76" s="31"/>
      <c r="L76" s="31"/>
      <c r="M76" s="31"/>
      <c r="N76" s="31"/>
      <c r="O76" s="31"/>
      <c r="P76" s="31"/>
      <c r="Q76" s="30"/>
      <c r="R76" s="30"/>
      <c r="S76" s="30"/>
      <c r="T76" s="30"/>
      <c r="U76" s="30"/>
      <c r="V76" s="30"/>
      <c r="W76" s="30"/>
      <c r="X76" s="3"/>
      <c r="Y76" s="3"/>
    </row>
    <row r="77" spans="1:28">
      <c r="A77" s="30"/>
      <c r="B77" s="43"/>
      <c r="C77" s="43"/>
      <c r="D77" s="43"/>
      <c r="E77" s="43"/>
      <c r="F77" s="43"/>
      <c r="G77" s="43"/>
      <c r="H77" s="43"/>
      <c r="I77" s="43"/>
      <c r="J77" s="31"/>
      <c r="K77" s="31"/>
      <c r="L77" s="31"/>
      <c r="M77" s="31"/>
      <c r="N77" s="31"/>
      <c r="O77" s="31"/>
      <c r="P77" s="31"/>
      <c r="Q77" s="30"/>
      <c r="R77" s="30"/>
      <c r="S77" s="30"/>
      <c r="T77" s="30"/>
      <c r="U77" s="30"/>
      <c r="V77" s="30"/>
      <c r="W77" s="13" t="s">
        <v>138</v>
      </c>
      <c r="X77" s="13" t="s">
        <v>138</v>
      </c>
      <c r="Y77" s="13"/>
    </row>
    <row r="78" spans="1:28">
      <c r="A78" s="30"/>
      <c r="B78" s="43"/>
      <c r="C78" s="43"/>
      <c r="D78" s="43"/>
      <c r="E78" s="43"/>
      <c r="F78" s="43"/>
      <c r="G78" s="43"/>
      <c r="H78" s="43"/>
      <c r="I78" s="43"/>
      <c r="J78" s="31"/>
      <c r="K78" s="31"/>
      <c r="L78" s="31"/>
      <c r="M78" s="31"/>
      <c r="N78" s="31"/>
      <c r="O78" s="31"/>
      <c r="P78" s="31"/>
      <c r="Q78" s="30"/>
      <c r="R78" s="30"/>
      <c r="S78" s="30"/>
      <c r="T78" s="30"/>
      <c r="U78" s="30"/>
      <c r="V78" s="30"/>
      <c r="W78" s="13" t="s">
        <v>140</v>
      </c>
      <c r="X78" s="13" t="s">
        <v>140</v>
      </c>
      <c r="Y78" s="13"/>
    </row>
    <row r="79" spans="1:28">
      <c r="A79" s="30"/>
      <c r="B79" s="43"/>
      <c r="C79" s="43"/>
      <c r="D79" s="43"/>
      <c r="E79" s="43"/>
      <c r="F79" s="43"/>
      <c r="G79" s="43"/>
      <c r="H79" s="43"/>
      <c r="I79" s="43"/>
      <c r="J79" s="31"/>
      <c r="K79" s="31"/>
      <c r="L79" s="31"/>
      <c r="M79" s="31"/>
      <c r="N79" s="31"/>
      <c r="O79" s="31"/>
      <c r="P79" s="31"/>
      <c r="Q79" s="30"/>
      <c r="R79" s="30"/>
      <c r="S79" s="30"/>
      <c r="T79" s="30"/>
      <c r="U79" s="30"/>
      <c r="V79" s="30"/>
      <c r="W79" s="13" t="s">
        <v>141</v>
      </c>
      <c r="X79" s="13" t="s">
        <v>141</v>
      </c>
      <c r="Y79" s="13"/>
    </row>
    <row r="80" spans="1:28">
      <c r="A80" s="30"/>
      <c r="B80" s="43"/>
      <c r="C80" s="43"/>
      <c r="D80" s="43"/>
      <c r="E80" s="43"/>
      <c r="F80" s="43"/>
      <c r="G80" s="43"/>
      <c r="H80" s="43"/>
      <c r="I80" s="43"/>
      <c r="J80" s="31"/>
      <c r="K80" s="31"/>
      <c r="L80" s="31"/>
      <c r="M80" s="31"/>
      <c r="N80" s="31"/>
      <c r="O80" s="31"/>
      <c r="P80" s="31"/>
      <c r="Q80" s="30"/>
      <c r="R80" s="30"/>
      <c r="S80" s="30"/>
      <c r="T80" s="30"/>
      <c r="U80" s="30"/>
      <c r="V80" s="30"/>
      <c r="W80" s="13" t="s">
        <v>142</v>
      </c>
      <c r="X80" s="13" t="s">
        <v>142</v>
      </c>
      <c r="Y80" s="13"/>
    </row>
    <row r="81" spans="1:25">
      <c r="A81" s="30"/>
      <c r="B81" s="43"/>
      <c r="C81" s="43"/>
      <c r="D81" s="43"/>
      <c r="E81" s="43"/>
      <c r="F81" s="43"/>
      <c r="G81" s="43"/>
      <c r="H81" s="43"/>
      <c r="I81" s="43"/>
      <c r="J81" s="31"/>
      <c r="K81" s="31"/>
      <c r="L81" s="31"/>
      <c r="M81" s="31"/>
      <c r="N81" s="31"/>
      <c r="O81" s="31"/>
      <c r="P81" s="31"/>
      <c r="Q81" s="30"/>
      <c r="R81" s="30"/>
      <c r="S81" s="30"/>
      <c r="T81" s="30"/>
      <c r="U81" s="30"/>
      <c r="V81" s="30"/>
      <c r="W81" s="13" t="s">
        <v>143</v>
      </c>
      <c r="X81" s="13" t="s">
        <v>143</v>
      </c>
      <c r="Y81" s="13"/>
    </row>
    <row r="82" spans="1:25">
      <c r="A82" s="30"/>
      <c r="B82" s="43"/>
      <c r="C82" s="43"/>
      <c r="D82" s="43"/>
      <c r="E82" s="43"/>
      <c r="F82" s="43"/>
      <c r="G82" s="43"/>
      <c r="H82" s="43"/>
      <c r="I82" s="43"/>
      <c r="J82" s="31"/>
      <c r="K82" s="31"/>
      <c r="L82" s="31"/>
      <c r="M82" s="31"/>
      <c r="N82" s="31"/>
      <c r="O82" s="31"/>
      <c r="P82" s="31"/>
      <c r="Q82" s="30"/>
      <c r="R82" s="30"/>
      <c r="S82" s="30"/>
      <c r="T82" s="30"/>
      <c r="U82" s="30"/>
      <c r="V82" s="30"/>
      <c r="W82" s="13" t="s">
        <v>144</v>
      </c>
      <c r="X82" s="13" t="s">
        <v>144</v>
      </c>
      <c r="Y82" s="13"/>
    </row>
    <row r="83" spans="1:25">
      <c r="A83" s="30"/>
      <c r="B83" s="43"/>
      <c r="C83" s="43"/>
      <c r="D83" s="43"/>
      <c r="E83" s="43"/>
      <c r="F83" s="43"/>
      <c r="G83" s="43"/>
      <c r="H83" s="43"/>
      <c r="I83" s="43"/>
      <c r="J83" s="31"/>
      <c r="K83" s="31"/>
      <c r="L83" s="31"/>
      <c r="M83" s="31"/>
      <c r="N83" s="31"/>
      <c r="O83" s="31"/>
      <c r="P83" s="31"/>
      <c r="Q83" s="30"/>
      <c r="R83" s="30"/>
      <c r="S83" s="30"/>
      <c r="T83" s="30"/>
      <c r="U83" s="30"/>
      <c r="V83" s="30"/>
      <c r="W83" s="13" t="s">
        <v>145</v>
      </c>
      <c r="X83" s="13" t="s">
        <v>145</v>
      </c>
      <c r="Y83" s="13"/>
    </row>
    <row r="84" spans="1:25">
      <c r="A84" s="30"/>
      <c r="B84" s="43"/>
      <c r="C84" s="43"/>
      <c r="D84" s="43"/>
      <c r="E84" s="43"/>
      <c r="F84" s="43"/>
      <c r="G84" s="43"/>
      <c r="H84" s="43"/>
      <c r="I84" s="43"/>
      <c r="J84" s="43"/>
      <c r="K84" s="43"/>
      <c r="L84" s="43"/>
      <c r="M84" s="43"/>
      <c r="N84" s="31"/>
      <c r="O84" s="31"/>
      <c r="P84" s="31"/>
      <c r="Q84" s="30"/>
      <c r="R84" s="30"/>
      <c r="S84" s="30"/>
      <c r="T84" s="30"/>
      <c r="U84" s="30"/>
      <c r="V84" s="30"/>
      <c r="W84" s="13" t="s">
        <v>146</v>
      </c>
      <c r="X84" s="13" t="s">
        <v>146</v>
      </c>
      <c r="Y84" s="13"/>
    </row>
    <row r="85" spans="1:25">
      <c r="A85" s="30"/>
      <c r="B85" s="43"/>
      <c r="C85" s="43"/>
      <c r="D85" s="43"/>
      <c r="E85" s="43"/>
      <c r="F85" s="43"/>
      <c r="G85" s="43"/>
      <c r="H85" s="43"/>
      <c r="I85" s="43"/>
      <c r="J85" s="43"/>
      <c r="K85" s="43"/>
      <c r="L85" s="43"/>
      <c r="M85" s="43"/>
      <c r="N85" s="31"/>
      <c r="O85" s="31"/>
      <c r="P85" s="31"/>
      <c r="Q85" s="30"/>
      <c r="R85" s="30"/>
      <c r="S85" s="30"/>
      <c r="T85" s="30"/>
      <c r="U85" s="30"/>
      <c r="V85" s="30"/>
      <c r="W85" s="13" t="s">
        <v>147</v>
      </c>
      <c r="X85" s="13" t="s">
        <v>147</v>
      </c>
      <c r="Y85" s="13"/>
    </row>
    <row r="86" spans="1:25">
      <c r="A86" s="30"/>
      <c r="B86" s="43"/>
      <c r="C86" s="43"/>
      <c r="D86" s="43"/>
      <c r="E86" s="43"/>
      <c r="F86" s="43"/>
      <c r="G86" s="43"/>
      <c r="H86" s="43"/>
      <c r="I86" s="43"/>
      <c r="J86" s="43"/>
      <c r="K86" s="43"/>
      <c r="L86" s="43"/>
      <c r="M86" s="43"/>
      <c r="N86" s="31"/>
      <c r="O86" s="31"/>
      <c r="P86" s="31"/>
      <c r="Q86" s="30"/>
      <c r="R86" s="30"/>
      <c r="S86" s="30"/>
      <c r="T86" s="30"/>
      <c r="U86" s="30"/>
      <c r="V86" s="30"/>
      <c r="W86" s="13" t="s">
        <v>148</v>
      </c>
      <c r="X86" s="13" t="s">
        <v>148</v>
      </c>
      <c r="Y86" s="13"/>
    </row>
    <row r="87" spans="1:25">
      <c r="A87" s="30"/>
      <c r="B87" s="43"/>
      <c r="C87" s="43"/>
      <c r="D87" s="43"/>
      <c r="E87" s="43"/>
      <c r="F87" s="43"/>
      <c r="G87" s="43"/>
      <c r="H87" s="43"/>
      <c r="I87" s="43"/>
      <c r="J87" s="43"/>
      <c r="K87" s="43"/>
      <c r="L87" s="43"/>
      <c r="M87" s="43"/>
      <c r="N87" s="31"/>
      <c r="O87" s="31"/>
      <c r="P87" s="31"/>
      <c r="Q87" s="30"/>
      <c r="R87" s="30"/>
      <c r="S87" s="30"/>
      <c r="T87" s="30"/>
      <c r="U87" s="30"/>
      <c r="V87" s="30"/>
      <c r="W87" s="13" t="s">
        <v>149</v>
      </c>
      <c r="X87" s="13" t="s">
        <v>149</v>
      </c>
      <c r="Y87" s="13"/>
    </row>
    <row r="88" spans="1:25">
      <c r="A88" s="30"/>
      <c r="B88" s="43"/>
      <c r="C88" s="43"/>
      <c r="D88" s="43"/>
      <c r="E88" s="43"/>
      <c r="F88" s="43"/>
      <c r="G88" s="43"/>
      <c r="H88" s="43"/>
      <c r="I88" s="43"/>
      <c r="J88" s="43"/>
      <c r="K88" s="43"/>
      <c r="L88" s="43"/>
      <c r="M88" s="43"/>
      <c r="N88" s="31"/>
      <c r="O88" s="31"/>
      <c r="P88" s="31"/>
      <c r="Q88" s="30"/>
      <c r="R88" s="30"/>
      <c r="S88" s="30"/>
      <c r="T88" s="30"/>
      <c r="U88" s="30"/>
      <c r="V88" s="30"/>
      <c r="W88" s="13" t="s">
        <v>150</v>
      </c>
      <c r="X88" s="13" t="s">
        <v>150</v>
      </c>
      <c r="Y88" s="13"/>
    </row>
    <row r="89" spans="1:25">
      <c r="A89" s="30"/>
      <c r="B89" s="43"/>
      <c r="C89" s="43"/>
      <c r="D89" s="43"/>
      <c r="E89" s="43"/>
      <c r="F89" s="43"/>
      <c r="G89" s="43"/>
      <c r="H89" s="43"/>
      <c r="I89" s="43"/>
      <c r="J89" s="43"/>
      <c r="K89" s="43"/>
      <c r="L89" s="43"/>
      <c r="M89" s="43"/>
      <c r="N89" s="31"/>
      <c r="O89" s="31"/>
      <c r="P89" s="31"/>
      <c r="Q89" s="30"/>
      <c r="R89" s="30"/>
      <c r="S89" s="30"/>
      <c r="T89" s="30"/>
      <c r="U89" s="30"/>
      <c r="V89" s="30"/>
      <c r="W89" s="13" t="s">
        <v>151</v>
      </c>
      <c r="X89" s="13" t="s">
        <v>151</v>
      </c>
      <c r="Y89" s="13"/>
    </row>
    <row r="90" spans="1:25">
      <c r="A90" s="30"/>
      <c r="B90" s="43"/>
      <c r="C90" s="43"/>
      <c r="D90" s="43"/>
      <c r="E90" s="43"/>
      <c r="F90" s="43"/>
      <c r="G90" s="43"/>
      <c r="H90" s="43"/>
      <c r="I90" s="43"/>
      <c r="J90" s="43"/>
      <c r="K90" s="43"/>
      <c r="L90" s="43"/>
      <c r="M90" s="43"/>
      <c r="N90" s="31"/>
      <c r="O90" s="31"/>
      <c r="P90" s="31"/>
      <c r="Q90" s="30"/>
      <c r="R90" s="30"/>
      <c r="S90" s="30"/>
      <c r="T90" s="30"/>
      <c r="U90" s="30"/>
      <c r="V90" s="30"/>
      <c r="W90" s="13" t="s">
        <v>152</v>
      </c>
      <c r="X90" s="13" t="s">
        <v>152</v>
      </c>
      <c r="Y90" s="13"/>
    </row>
    <row r="91" spans="1:25">
      <c r="A91" s="30"/>
      <c r="B91" s="43"/>
      <c r="C91" s="43"/>
      <c r="D91" s="43"/>
      <c r="E91" s="43"/>
      <c r="F91" s="43"/>
      <c r="G91" s="43"/>
      <c r="H91" s="43"/>
      <c r="I91" s="43"/>
      <c r="J91" s="43"/>
      <c r="K91" s="43"/>
      <c r="L91" s="43"/>
      <c r="M91" s="43"/>
      <c r="N91" s="31"/>
      <c r="O91" s="31"/>
      <c r="P91" s="31"/>
      <c r="Q91" s="30"/>
      <c r="R91" s="30"/>
      <c r="S91" s="30"/>
      <c r="T91" s="30"/>
      <c r="U91" s="30"/>
      <c r="V91" s="30"/>
      <c r="W91" s="34" t="s">
        <v>153</v>
      </c>
      <c r="X91" s="34" t="s">
        <v>153</v>
      </c>
      <c r="Y91" s="34"/>
    </row>
  </sheetData>
  <hyperlinks>
    <hyperlink ref="X75" r:id="rId1" display="www.nces.ed.gov"/>
    <hyperlink ref="AA75" r:id="rId2" display="www.nces.ed.gov"/>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BS91"/>
  <sheetViews>
    <sheetView workbookViewId="0">
      <pane xSplit="1" ySplit="4" topLeftCell="BM44" activePane="bottomRight" state="frozen"/>
      <selection pane="topRight" activeCell="B1" sqref="B1"/>
      <selection pane="bottomLeft" activeCell="A5" sqref="A5"/>
      <selection pane="bottomRight" activeCell="BS54" sqref="BS54:BS63"/>
    </sheetView>
  </sheetViews>
  <sheetFormatPr defaultRowHeight="12.75"/>
  <sheetData>
    <row r="1" spans="1:71">
      <c r="A1" s="2" t="s">
        <v>181</v>
      </c>
      <c r="B1" s="51"/>
      <c r="C1" s="3"/>
      <c r="D1" s="3"/>
      <c r="E1" s="3"/>
      <c r="F1" s="3"/>
      <c r="G1" s="3"/>
      <c r="H1" s="3"/>
      <c r="I1" s="3"/>
      <c r="J1" s="3"/>
      <c r="K1" s="3"/>
      <c r="L1" s="3"/>
      <c r="M1" s="3"/>
      <c r="N1" s="6"/>
      <c r="O1" s="6"/>
      <c r="P1" s="6"/>
      <c r="Q1" s="6"/>
      <c r="R1" s="6"/>
      <c r="S1" s="6"/>
      <c r="T1" s="6"/>
      <c r="U1" s="6"/>
      <c r="V1" s="6"/>
      <c r="W1" s="6"/>
      <c r="X1" s="3"/>
      <c r="Y1" s="3"/>
      <c r="Z1" s="3"/>
      <c r="AA1" s="3"/>
      <c r="AB1" s="3"/>
      <c r="AC1" s="51"/>
      <c r="AD1" s="3"/>
      <c r="AE1" s="3"/>
      <c r="AF1" s="3"/>
      <c r="AG1" s="3"/>
      <c r="AH1" s="3"/>
      <c r="AI1" s="3"/>
      <c r="AJ1" s="3"/>
      <c r="AK1" s="6"/>
      <c r="AL1" s="6"/>
      <c r="AM1" s="6"/>
      <c r="AN1" s="6"/>
      <c r="AO1" s="51"/>
      <c r="AP1" s="3"/>
      <c r="AQ1" s="3"/>
      <c r="AR1" s="3"/>
      <c r="AS1" s="3"/>
      <c r="AT1" s="3"/>
      <c r="AU1" s="3"/>
      <c r="AV1" s="3"/>
      <c r="AW1" s="6"/>
      <c r="AX1" s="6"/>
      <c r="AY1" s="6"/>
      <c r="AZ1" s="62"/>
      <c r="BA1" s="63"/>
      <c r="BB1" s="63"/>
      <c r="BC1" s="63"/>
      <c r="BD1" s="63"/>
      <c r="BE1" s="63"/>
      <c r="BF1" s="63"/>
      <c r="BG1" s="63"/>
      <c r="BH1" s="63"/>
      <c r="BI1" s="64"/>
      <c r="BJ1" s="30"/>
      <c r="BK1" s="30"/>
      <c r="BL1" s="30"/>
      <c r="BM1" s="30"/>
      <c r="BN1" s="30"/>
      <c r="BO1" s="3"/>
      <c r="BP1" s="3"/>
    </row>
    <row r="2" spans="1:71">
      <c r="A2" s="30"/>
      <c r="B2" s="44" t="s">
        <v>193</v>
      </c>
      <c r="C2" s="45" t="s">
        <v>193</v>
      </c>
      <c r="D2" s="45" t="s">
        <v>193</v>
      </c>
      <c r="E2" s="45" t="s">
        <v>193</v>
      </c>
      <c r="F2" s="45" t="s">
        <v>193</v>
      </c>
      <c r="G2" s="45" t="s">
        <v>193</v>
      </c>
      <c r="H2" s="45" t="s">
        <v>193</v>
      </c>
      <c r="I2" s="45" t="s">
        <v>193</v>
      </c>
      <c r="J2" s="45" t="s">
        <v>193</v>
      </c>
      <c r="K2" s="45" t="s">
        <v>193</v>
      </c>
      <c r="L2" s="45" t="s">
        <v>193</v>
      </c>
      <c r="M2" s="45" t="s">
        <v>193</v>
      </c>
      <c r="N2" s="45" t="s">
        <v>193</v>
      </c>
      <c r="O2" s="45" t="s">
        <v>193</v>
      </c>
      <c r="P2" s="45" t="s">
        <v>193</v>
      </c>
      <c r="Q2" s="45" t="s">
        <v>193</v>
      </c>
      <c r="R2" s="45" t="s">
        <v>193</v>
      </c>
      <c r="S2" s="45" t="s">
        <v>193</v>
      </c>
      <c r="T2" s="45" t="s">
        <v>193</v>
      </c>
      <c r="U2" s="45" t="s">
        <v>193</v>
      </c>
      <c r="V2" s="45" t="s">
        <v>193</v>
      </c>
      <c r="W2" s="45" t="s">
        <v>193</v>
      </c>
      <c r="X2" s="45" t="s">
        <v>193</v>
      </c>
      <c r="Y2" s="45" t="s">
        <v>193</v>
      </c>
      <c r="Z2" s="45" t="s">
        <v>193</v>
      </c>
      <c r="AA2" s="45" t="s">
        <v>193</v>
      </c>
      <c r="AB2" s="45" t="s">
        <v>193</v>
      </c>
      <c r="AC2" s="65" t="s">
        <v>194</v>
      </c>
      <c r="AD2" s="56"/>
      <c r="AE2" s="56"/>
      <c r="AF2" s="56"/>
      <c r="AG2" s="56"/>
      <c r="AH2" s="56"/>
      <c r="AI2" s="57"/>
      <c r="AJ2" s="57"/>
      <c r="AK2" s="57"/>
      <c r="AL2" s="57"/>
      <c r="AM2" s="57"/>
      <c r="AN2" s="57"/>
      <c r="AO2" s="44" t="s">
        <v>195</v>
      </c>
      <c r="AP2" s="56"/>
      <c r="AQ2" s="56"/>
      <c r="AR2" s="56"/>
      <c r="AS2" s="56"/>
      <c r="AT2" s="56"/>
      <c r="AU2" s="56"/>
      <c r="AV2" s="56"/>
      <c r="AW2" s="31"/>
      <c r="AX2" s="31"/>
      <c r="AY2" s="31"/>
      <c r="AZ2" s="66" t="s">
        <v>196</v>
      </c>
      <c r="BA2" s="63"/>
      <c r="BB2" s="63"/>
      <c r="BC2" s="63"/>
      <c r="BD2" s="63"/>
      <c r="BE2" s="63"/>
      <c r="BF2" s="63"/>
      <c r="BG2" s="63"/>
      <c r="BH2" s="63"/>
      <c r="BI2" s="64"/>
      <c r="BJ2" s="30"/>
      <c r="BK2" s="30"/>
      <c r="BL2" s="30"/>
      <c r="BM2" s="30"/>
      <c r="BN2" s="30"/>
      <c r="BO2" s="3"/>
      <c r="BP2" s="3"/>
    </row>
    <row r="3" spans="1:71">
      <c r="A3" s="58"/>
      <c r="B3" s="67" t="s">
        <v>9</v>
      </c>
      <c r="C3" s="60" t="s">
        <v>11</v>
      </c>
      <c r="D3" s="60" t="s">
        <v>13</v>
      </c>
      <c r="E3" s="60" t="s">
        <v>15</v>
      </c>
      <c r="F3" s="60" t="s">
        <v>17</v>
      </c>
      <c r="G3" s="60" t="s">
        <v>19</v>
      </c>
      <c r="H3" s="60" t="s">
        <v>21</v>
      </c>
      <c r="I3" s="60" t="s">
        <v>22</v>
      </c>
      <c r="J3" s="60" t="s">
        <v>24</v>
      </c>
      <c r="K3" s="60" t="s">
        <v>25</v>
      </c>
      <c r="L3" s="60" t="s">
        <v>26</v>
      </c>
      <c r="M3" s="60" t="s">
        <v>27</v>
      </c>
      <c r="N3" s="60" t="s">
        <v>28</v>
      </c>
      <c r="O3" s="60" t="s">
        <v>29</v>
      </c>
      <c r="P3" s="60" t="s">
        <v>30</v>
      </c>
      <c r="Q3" s="60" t="s">
        <v>32</v>
      </c>
      <c r="R3" s="61" t="s">
        <v>35</v>
      </c>
      <c r="S3" s="61" t="s">
        <v>36</v>
      </c>
      <c r="T3" s="61" t="s">
        <v>37</v>
      </c>
      <c r="U3" s="157" t="s">
        <v>38</v>
      </c>
      <c r="V3" s="61" t="s">
        <v>39</v>
      </c>
      <c r="W3" s="61" t="s">
        <v>40</v>
      </c>
      <c r="X3" s="61" t="s">
        <v>41</v>
      </c>
      <c r="Y3" s="61" t="s">
        <v>216</v>
      </c>
      <c r="Z3" s="157" t="s">
        <v>217</v>
      </c>
      <c r="AA3" s="164" t="s">
        <v>232</v>
      </c>
      <c r="AB3" s="164" t="s">
        <v>235</v>
      </c>
      <c r="AC3" s="67" t="s">
        <v>17</v>
      </c>
      <c r="AD3" s="60" t="s">
        <v>19</v>
      </c>
      <c r="AE3" s="60" t="s">
        <v>21</v>
      </c>
      <c r="AF3" s="60" t="s">
        <v>22</v>
      </c>
      <c r="AG3" s="60" t="s">
        <v>24</v>
      </c>
      <c r="AH3" s="60" t="s">
        <v>25</v>
      </c>
      <c r="AI3" s="60" t="s">
        <v>26</v>
      </c>
      <c r="AJ3" s="60" t="s">
        <v>27</v>
      </c>
      <c r="AK3" s="60" t="s">
        <v>28</v>
      </c>
      <c r="AL3" s="60" t="s">
        <v>29</v>
      </c>
      <c r="AM3" s="60" t="s">
        <v>30</v>
      </c>
      <c r="AN3" s="60" t="s">
        <v>32</v>
      </c>
      <c r="AO3" s="67" t="s">
        <v>19</v>
      </c>
      <c r="AP3" s="60" t="s">
        <v>21</v>
      </c>
      <c r="AQ3" s="60" t="s">
        <v>22</v>
      </c>
      <c r="AR3" s="60" t="s">
        <v>24</v>
      </c>
      <c r="AS3" s="60" t="s">
        <v>25</v>
      </c>
      <c r="AT3" s="60" t="s">
        <v>26</v>
      </c>
      <c r="AU3" s="60" t="s">
        <v>27</v>
      </c>
      <c r="AV3" s="60" t="s">
        <v>28</v>
      </c>
      <c r="AW3" s="60" t="s">
        <v>29</v>
      </c>
      <c r="AX3" s="60" t="s">
        <v>30</v>
      </c>
      <c r="AY3" s="60" t="s">
        <v>32</v>
      </c>
      <c r="AZ3" s="68" t="s">
        <v>19</v>
      </c>
      <c r="BA3" s="69" t="s">
        <v>24</v>
      </c>
      <c r="BB3" s="69" t="s">
        <v>25</v>
      </c>
      <c r="BC3" s="69" t="s">
        <v>26</v>
      </c>
      <c r="BD3" s="69" t="s">
        <v>27</v>
      </c>
      <c r="BE3" s="69" t="s">
        <v>28</v>
      </c>
      <c r="BF3" s="69" t="s">
        <v>29</v>
      </c>
      <c r="BG3" s="69" t="s">
        <v>30</v>
      </c>
      <c r="BH3" s="69" t="s">
        <v>32</v>
      </c>
      <c r="BI3" s="61" t="s">
        <v>35</v>
      </c>
      <c r="BJ3" s="61" t="s">
        <v>36</v>
      </c>
      <c r="BK3" s="61" t="s">
        <v>37</v>
      </c>
      <c r="BL3" s="157" t="s">
        <v>38</v>
      </c>
      <c r="BM3" s="61" t="s">
        <v>39</v>
      </c>
      <c r="BN3" s="61" t="s">
        <v>40</v>
      </c>
      <c r="BO3" s="61" t="s">
        <v>41</v>
      </c>
      <c r="BP3" s="61" t="s">
        <v>216</v>
      </c>
      <c r="BQ3" s="157" t="s">
        <v>217</v>
      </c>
      <c r="BR3" s="163" t="s">
        <v>232</v>
      </c>
      <c r="BS3" s="163" t="s">
        <v>235</v>
      </c>
    </row>
    <row r="4" spans="1:71">
      <c r="A4" s="12" t="s">
        <v>42</v>
      </c>
      <c r="B4" s="47">
        <v>21041</v>
      </c>
      <c r="C4" s="12">
        <v>19422</v>
      </c>
      <c r="D4" s="12">
        <v>17152</v>
      </c>
      <c r="E4" s="12">
        <v>15082</v>
      </c>
      <c r="F4" s="12">
        <f>11195+2765</f>
        <v>13960</v>
      </c>
      <c r="G4" s="12">
        <f>G5+G23+G38+G52+G63</f>
        <v>13130</v>
      </c>
      <c r="H4" s="12">
        <f>8032+5957</f>
        <v>13989</v>
      </c>
      <c r="I4" s="12">
        <f>8515+6529</f>
        <v>15044</v>
      </c>
      <c r="J4" s="12">
        <f t="shared" ref="J4:X4" si="0">J5+J23+J38+J52+J63</f>
        <v>17378</v>
      </c>
      <c r="K4" s="12">
        <f t="shared" si="0"/>
        <v>18858</v>
      </c>
      <c r="L4" s="12">
        <f t="shared" si="0"/>
        <v>20880</v>
      </c>
      <c r="M4" s="12">
        <f t="shared" si="0"/>
        <v>22899</v>
      </c>
      <c r="N4" s="12">
        <f t="shared" si="0"/>
        <v>24481</v>
      </c>
      <c r="O4" s="12">
        <f t="shared" si="0"/>
        <v>26886</v>
      </c>
      <c r="P4" s="12">
        <f t="shared" si="0"/>
        <v>28599</v>
      </c>
      <c r="Q4" s="12">
        <f t="shared" si="0"/>
        <v>33566</v>
      </c>
      <c r="R4" s="12">
        <f t="shared" si="0"/>
        <v>40010</v>
      </c>
      <c r="S4" s="12">
        <f t="shared" si="0"/>
        <v>45148</v>
      </c>
      <c r="T4" s="12">
        <f t="shared" si="0"/>
        <v>48145</v>
      </c>
      <c r="U4" s="12">
        <f t="shared" si="0"/>
        <v>49451</v>
      </c>
      <c r="V4" s="12">
        <f t="shared" si="0"/>
        <v>55582</v>
      </c>
      <c r="W4" s="12">
        <f t="shared" si="0"/>
        <v>57436</v>
      </c>
      <c r="X4" s="12">
        <f t="shared" si="0"/>
        <v>61677</v>
      </c>
      <c r="Y4" s="12">
        <f t="shared" ref="Y4:Z4" si="1">Y5+Y23+Y38+Y52+Y63</f>
        <v>64967</v>
      </c>
      <c r="Z4" s="12">
        <f t="shared" si="1"/>
        <v>63671</v>
      </c>
      <c r="AA4" s="12">
        <f t="shared" ref="AA4:AB4" si="2">AA5+AA23+AA38+AA52+AA63</f>
        <v>70978</v>
      </c>
      <c r="AB4" s="12">
        <f t="shared" si="2"/>
        <v>73319</v>
      </c>
      <c r="AC4" s="47">
        <v>2765</v>
      </c>
      <c r="AD4" s="12">
        <f>AD5+AD23+AD38+AD52+AD63</f>
        <v>2716</v>
      </c>
      <c r="AE4" s="12">
        <v>2730</v>
      </c>
      <c r="AF4" s="12">
        <v>2612</v>
      </c>
      <c r="AG4" s="12">
        <f t="shared" ref="AG4:BO4" si="3">AG5+AG23+AG38+AG52+AG63</f>
        <v>2849</v>
      </c>
      <c r="AH4" s="12">
        <f t="shared" si="3"/>
        <v>3047</v>
      </c>
      <c r="AI4" s="12">
        <f t="shared" si="3"/>
        <v>3265</v>
      </c>
      <c r="AJ4" s="12">
        <f t="shared" si="3"/>
        <v>3813</v>
      </c>
      <c r="AK4" s="12">
        <f t="shared" si="3"/>
        <v>4197</v>
      </c>
      <c r="AL4" s="12">
        <f t="shared" si="3"/>
        <v>4592</v>
      </c>
      <c r="AM4" s="12">
        <f t="shared" si="3"/>
        <v>4654</v>
      </c>
      <c r="AN4" s="12">
        <f t="shared" si="3"/>
        <v>5309</v>
      </c>
      <c r="AO4" s="47">
        <f t="shared" si="3"/>
        <v>2292</v>
      </c>
      <c r="AP4" s="12">
        <f t="shared" si="3"/>
        <v>2015</v>
      </c>
      <c r="AQ4" s="12">
        <f t="shared" si="3"/>
        <v>2009</v>
      </c>
      <c r="AR4" s="12">
        <f t="shared" si="3"/>
        <v>2489</v>
      </c>
      <c r="AS4" s="12">
        <f t="shared" si="3"/>
        <v>2746</v>
      </c>
      <c r="AT4" s="12">
        <f t="shared" si="3"/>
        <v>3162</v>
      </c>
      <c r="AU4" s="12">
        <f t="shared" si="3"/>
        <v>3432</v>
      </c>
      <c r="AV4" s="12">
        <f t="shared" si="3"/>
        <v>3783</v>
      </c>
      <c r="AW4" s="12">
        <f t="shared" si="3"/>
        <v>4179</v>
      </c>
      <c r="AX4" s="12">
        <f t="shared" si="3"/>
        <v>4364</v>
      </c>
      <c r="AY4" s="12">
        <f t="shared" si="3"/>
        <v>4708</v>
      </c>
      <c r="AZ4" s="47">
        <f t="shared" si="3"/>
        <v>2724</v>
      </c>
      <c r="BA4" s="12">
        <f t="shared" si="3"/>
        <v>2869</v>
      </c>
      <c r="BB4" s="12">
        <f t="shared" si="3"/>
        <v>3065</v>
      </c>
      <c r="BC4" s="12">
        <f t="shared" si="3"/>
        <v>3418</v>
      </c>
      <c r="BD4" s="12">
        <f t="shared" si="3"/>
        <v>3838</v>
      </c>
      <c r="BE4" s="12">
        <f t="shared" si="3"/>
        <v>4222</v>
      </c>
      <c r="BF4" s="12">
        <f t="shared" si="3"/>
        <v>4606</v>
      </c>
      <c r="BG4" s="12">
        <f t="shared" si="3"/>
        <v>4668</v>
      </c>
      <c r="BH4" s="12">
        <f t="shared" si="3"/>
        <v>5318</v>
      </c>
      <c r="BI4" s="12">
        <f t="shared" si="3"/>
        <v>5703</v>
      </c>
      <c r="BJ4" s="12">
        <f t="shared" si="3"/>
        <v>6069</v>
      </c>
      <c r="BK4" s="12">
        <f t="shared" si="3"/>
        <v>6776</v>
      </c>
      <c r="BL4" s="12">
        <f t="shared" si="3"/>
        <v>8007</v>
      </c>
      <c r="BM4" s="12">
        <f t="shared" si="3"/>
        <v>8688</v>
      </c>
      <c r="BN4" s="12">
        <f t="shared" si="3"/>
        <v>9044</v>
      </c>
      <c r="BO4" s="12">
        <f t="shared" si="3"/>
        <v>9935</v>
      </c>
      <c r="BP4" s="12">
        <f t="shared" ref="BP4:BQ4" si="4">BP5+BP23+BP38+BP52+BP63</f>
        <v>8897</v>
      </c>
      <c r="BQ4" s="12">
        <f t="shared" si="4"/>
        <v>10657</v>
      </c>
      <c r="BR4" s="12">
        <f t="shared" ref="BR4:BS4" si="5">BR5+BR23+BR38+BR52+BR63</f>
        <v>10306</v>
      </c>
      <c r="BS4" s="12">
        <f t="shared" si="5"/>
        <v>10955</v>
      </c>
    </row>
    <row r="5" spans="1:71">
      <c r="A5" s="15" t="s">
        <v>43</v>
      </c>
      <c r="B5" s="48">
        <f t="shared" ref="B5:X5" si="6">SUM(B7:B22)</f>
        <v>9224</v>
      </c>
      <c r="C5" s="15">
        <f t="shared" si="6"/>
        <v>8285</v>
      </c>
      <c r="D5" s="15">
        <f t="shared" si="6"/>
        <v>6960</v>
      </c>
      <c r="E5" s="15">
        <f t="shared" si="6"/>
        <v>6279</v>
      </c>
      <c r="F5" s="15">
        <f t="shared" si="6"/>
        <v>5920</v>
      </c>
      <c r="G5" s="15">
        <f>SUM(G7:G22)</f>
        <v>5566</v>
      </c>
      <c r="H5" s="15">
        <f t="shared" si="6"/>
        <v>6130</v>
      </c>
      <c r="I5" s="15">
        <f t="shared" si="6"/>
        <v>6411</v>
      </c>
      <c r="J5" s="15">
        <f t="shared" si="6"/>
        <v>7034</v>
      </c>
      <c r="K5" s="15">
        <f t="shared" si="6"/>
        <v>7411</v>
      </c>
      <c r="L5" s="15">
        <f t="shared" si="6"/>
        <v>8394</v>
      </c>
      <c r="M5" s="15">
        <f t="shared" si="6"/>
        <v>9260</v>
      </c>
      <c r="N5" s="15">
        <f t="shared" si="6"/>
        <v>10217</v>
      </c>
      <c r="O5" s="15">
        <f t="shared" si="6"/>
        <v>11604</v>
      </c>
      <c r="P5" s="15">
        <f t="shared" si="6"/>
        <v>12209</v>
      </c>
      <c r="Q5" s="15">
        <f t="shared" si="6"/>
        <v>14546</v>
      </c>
      <c r="R5" s="15">
        <f t="shared" si="6"/>
        <v>17625</v>
      </c>
      <c r="S5" s="15">
        <f t="shared" si="6"/>
        <v>19838</v>
      </c>
      <c r="T5" s="15">
        <f t="shared" si="6"/>
        <v>21184</v>
      </c>
      <c r="U5" s="15">
        <f t="shared" si="6"/>
        <v>22561</v>
      </c>
      <c r="V5" s="15">
        <f t="shared" si="6"/>
        <v>23236</v>
      </c>
      <c r="W5" s="15">
        <f t="shared" si="6"/>
        <v>24285</v>
      </c>
      <c r="X5" s="15">
        <f t="shared" si="6"/>
        <v>25814</v>
      </c>
      <c r="Y5" s="15">
        <f t="shared" ref="Y5:Z5" si="7">SUM(Y7:Y22)</f>
        <v>27700</v>
      </c>
      <c r="Z5" s="15">
        <f t="shared" si="7"/>
        <v>30753</v>
      </c>
      <c r="AA5" s="15">
        <f t="shared" ref="AA5:AB5" si="8">SUM(AA7:AA22)</f>
        <v>32207</v>
      </c>
      <c r="AB5" s="15">
        <f t="shared" si="8"/>
        <v>33971</v>
      </c>
      <c r="AC5" s="48">
        <f t="shared" ref="AC5:BO5" si="9">SUM(AC7:AC22)</f>
        <v>2146</v>
      </c>
      <c r="AD5" s="15">
        <f>SUM(AD7:AD22)</f>
        <v>2041</v>
      </c>
      <c r="AE5" s="15">
        <f t="shared" si="9"/>
        <v>2005</v>
      </c>
      <c r="AF5" s="15">
        <f t="shared" si="9"/>
        <v>1999</v>
      </c>
      <c r="AG5" s="15">
        <f t="shared" si="9"/>
        <v>2156</v>
      </c>
      <c r="AH5" s="15">
        <f t="shared" si="9"/>
        <v>2288</v>
      </c>
      <c r="AI5" s="15">
        <f t="shared" si="9"/>
        <v>2599</v>
      </c>
      <c r="AJ5" s="15">
        <f t="shared" si="9"/>
        <v>2934</v>
      </c>
      <c r="AK5" s="15">
        <f t="shared" si="9"/>
        <v>3215</v>
      </c>
      <c r="AL5" s="15">
        <f t="shared" si="9"/>
        <v>3636</v>
      </c>
      <c r="AM5" s="15">
        <f t="shared" si="9"/>
        <v>3737</v>
      </c>
      <c r="AN5" s="15">
        <f t="shared" si="9"/>
        <v>4063</v>
      </c>
      <c r="AO5" s="48">
        <f t="shared" si="9"/>
        <v>2042</v>
      </c>
      <c r="AP5" s="15">
        <f t="shared" si="9"/>
        <v>2015</v>
      </c>
      <c r="AQ5" s="15">
        <f t="shared" si="9"/>
        <v>2009</v>
      </c>
      <c r="AR5" s="15">
        <f t="shared" si="9"/>
        <v>2166</v>
      </c>
      <c r="AS5" s="15">
        <f t="shared" si="9"/>
        <v>2292</v>
      </c>
      <c r="AT5" s="15">
        <f t="shared" si="9"/>
        <v>2629</v>
      </c>
      <c r="AU5" s="15">
        <f t="shared" si="9"/>
        <v>2945</v>
      </c>
      <c r="AV5" s="15">
        <f t="shared" si="9"/>
        <v>3213</v>
      </c>
      <c r="AW5" s="15">
        <f t="shared" si="9"/>
        <v>3574</v>
      </c>
      <c r="AX5" s="15">
        <f t="shared" si="9"/>
        <v>3737</v>
      </c>
      <c r="AY5" s="15">
        <f t="shared" si="9"/>
        <v>3949</v>
      </c>
      <c r="AZ5" s="48">
        <f t="shared" si="9"/>
        <v>2042</v>
      </c>
      <c r="BA5" s="15">
        <f t="shared" si="9"/>
        <v>2166</v>
      </c>
      <c r="BB5" s="15">
        <f t="shared" si="9"/>
        <v>2292</v>
      </c>
      <c r="BC5" s="15">
        <f t="shared" si="9"/>
        <v>2629</v>
      </c>
      <c r="BD5" s="15">
        <f t="shared" si="9"/>
        <v>2945</v>
      </c>
      <c r="BE5" s="15">
        <f t="shared" si="9"/>
        <v>3226</v>
      </c>
      <c r="BF5" s="15">
        <f t="shared" si="9"/>
        <v>3636</v>
      </c>
      <c r="BG5" s="15">
        <f t="shared" si="9"/>
        <v>3737</v>
      </c>
      <c r="BH5" s="15">
        <f t="shared" si="9"/>
        <v>4063</v>
      </c>
      <c r="BI5" s="15">
        <f t="shared" si="9"/>
        <v>4248</v>
      </c>
      <c r="BJ5" s="15">
        <f t="shared" si="9"/>
        <v>4876</v>
      </c>
      <c r="BK5" s="15">
        <f t="shared" si="9"/>
        <v>5267</v>
      </c>
      <c r="BL5" s="15">
        <f t="shared" si="9"/>
        <v>5942</v>
      </c>
      <c r="BM5" s="15">
        <f t="shared" si="9"/>
        <v>6266</v>
      </c>
      <c r="BN5" s="15">
        <f t="shared" si="9"/>
        <v>6500</v>
      </c>
      <c r="BO5" s="15">
        <f t="shared" si="9"/>
        <v>7102</v>
      </c>
      <c r="BP5" s="15">
        <f t="shared" ref="BP5:BQ5" si="10">SUM(BP7:BP22)</f>
        <v>7303</v>
      </c>
      <c r="BQ5" s="15">
        <f t="shared" si="10"/>
        <v>9036</v>
      </c>
      <c r="BR5" s="15">
        <f t="shared" ref="BR5:BS5" si="11">SUM(BR7:BR22)</f>
        <v>8579</v>
      </c>
      <c r="BS5" s="15">
        <f t="shared" si="11"/>
        <v>9324</v>
      </c>
    </row>
    <row r="6" spans="1:71">
      <c r="A6" s="17" t="s">
        <v>44</v>
      </c>
      <c r="B6" s="49">
        <f t="shared" ref="B6:BO6" si="12">(B5/B4)*100</f>
        <v>43.83822061689083</v>
      </c>
      <c r="C6" s="17">
        <f t="shared" si="12"/>
        <v>42.657810730099889</v>
      </c>
      <c r="D6" s="17">
        <f t="shared" si="12"/>
        <v>40.578358208955223</v>
      </c>
      <c r="E6" s="17">
        <f t="shared" si="12"/>
        <v>41.632409494761966</v>
      </c>
      <c r="F6" s="17">
        <f t="shared" si="12"/>
        <v>42.406876790830943</v>
      </c>
      <c r="G6" s="17">
        <f>(G5/G4)*100</f>
        <v>42.391469916222391</v>
      </c>
      <c r="H6" s="17">
        <f t="shared" si="12"/>
        <v>43.820144399170779</v>
      </c>
      <c r="I6" s="17">
        <f t="shared" si="12"/>
        <v>42.61499601169902</v>
      </c>
      <c r="J6" s="17">
        <f t="shared" si="12"/>
        <v>40.476464495338931</v>
      </c>
      <c r="K6" s="17">
        <f t="shared" si="12"/>
        <v>39.298971258882169</v>
      </c>
      <c r="L6" s="17">
        <f t="shared" si="12"/>
        <v>40.201149425287355</v>
      </c>
      <c r="M6" s="17">
        <f t="shared" si="12"/>
        <v>40.438447093759557</v>
      </c>
      <c r="N6" s="17">
        <f t="shared" si="12"/>
        <v>41.734406274253502</v>
      </c>
      <c r="O6" s="17">
        <f t="shared" si="12"/>
        <v>43.16000892657889</v>
      </c>
      <c r="P6" s="17">
        <f t="shared" si="12"/>
        <v>42.690303856778215</v>
      </c>
      <c r="Q6" s="17">
        <f t="shared" si="12"/>
        <v>43.335518083775248</v>
      </c>
      <c r="R6" s="17">
        <f t="shared" si="12"/>
        <v>44.05148712821795</v>
      </c>
      <c r="S6" s="17">
        <f t="shared" si="12"/>
        <v>43.939930893948791</v>
      </c>
      <c r="T6" s="17">
        <f t="shared" si="12"/>
        <v>44.00041541177692</v>
      </c>
      <c r="U6" s="17">
        <f t="shared" si="12"/>
        <v>45.622939879881095</v>
      </c>
      <c r="V6" s="17">
        <f t="shared" si="12"/>
        <v>41.804900867187214</v>
      </c>
      <c r="W6" s="17">
        <f t="shared" si="12"/>
        <v>42.281844139564036</v>
      </c>
      <c r="X6" s="17">
        <f t="shared" si="12"/>
        <v>41.853527246785674</v>
      </c>
      <c r="Y6" s="17">
        <f t="shared" ref="Y6:Z6" si="13">(Y5/Y4)*100</f>
        <v>42.637031108101034</v>
      </c>
      <c r="Z6" s="17">
        <f t="shared" si="13"/>
        <v>48.299853936643053</v>
      </c>
      <c r="AA6" s="17">
        <f t="shared" ref="AA6:AB6" si="14">(AA5/AA4)*100</f>
        <v>45.376032009918568</v>
      </c>
      <c r="AB6" s="17">
        <f t="shared" si="14"/>
        <v>46.333146933264231</v>
      </c>
      <c r="AC6" s="49">
        <f t="shared" si="12"/>
        <v>77.613019891500898</v>
      </c>
      <c r="AD6" s="17">
        <f>(AD5/AD4)*100</f>
        <v>75.147275405007363</v>
      </c>
      <c r="AE6" s="17">
        <f t="shared" si="12"/>
        <v>73.443223443223445</v>
      </c>
      <c r="AF6" s="17">
        <f t="shared" si="12"/>
        <v>76.53139356814701</v>
      </c>
      <c r="AG6" s="17">
        <f t="shared" si="12"/>
        <v>75.675675675675677</v>
      </c>
      <c r="AH6" s="17">
        <f t="shared" si="12"/>
        <v>75.090252707581229</v>
      </c>
      <c r="AI6" s="17">
        <f t="shared" si="12"/>
        <v>79.601837672281775</v>
      </c>
      <c r="AJ6" s="17">
        <f t="shared" si="12"/>
        <v>76.947285601888282</v>
      </c>
      <c r="AK6" s="17">
        <f t="shared" si="12"/>
        <v>76.602335001191321</v>
      </c>
      <c r="AL6" s="17">
        <f t="shared" si="12"/>
        <v>79.181184668989545</v>
      </c>
      <c r="AM6" s="17">
        <f t="shared" si="12"/>
        <v>80.296519123334761</v>
      </c>
      <c r="AN6" s="17">
        <f t="shared" si="12"/>
        <v>76.530420041439058</v>
      </c>
      <c r="AO6" s="49">
        <f t="shared" si="12"/>
        <v>89.092495636998265</v>
      </c>
      <c r="AP6" s="17">
        <f t="shared" si="12"/>
        <v>100</v>
      </c>
      <c r="AQ6" s="17">
        <f t="shared" si="12"/>
        <v>100</v>
      </c>
      <c r="AR6" s="17">
        <f t="shared" si="12"/>
        <v>87.022900763358777</v>
      </c>
      <c r="AS6" s="17">
        <f t="shared" si="12"/>
        <v>83.466860888565179</v>
      </c>
      <c r="AT6" s="17">
        <f t="shared" si="12"/>
        <v>83.143580012650219</v>
      </c>
      <c r="AU6" s="17">
        <f t="shared" si="12"/>
        <v>85.810023310023311</v>
      </c>
      <c r="AV6" s="17">
        <f t="shared" si="12"/>
        <v>84.932593180015857</v>
      </c>
      <c r="AW6" s="17">
        <f t="shared" si="12"/>
        <v>85.522852357023211</v>
      </c>
      <c r="AX6" s="17">
        <f t="shared" si="12"/>
        <v>85.632447296058672</v>
      </c>
      <c r="AY6" s="17">
        <f t="shared" si="12"/>
        <v>83.878504672897193</v>
      </c>
      <c r="AZ6" s="49">
        <f t="shared" si="12"/>
        <v>74.963289280469908</v>
      </c>
      <c r="BA6" s="17">
        <f t="shared" si="12"/>
        <v>75.496688741721854</v>
      </c>
      <c r="BB6" s="17">
        <f t="shared" si="12"/>
        <v>74.779771615008158</v>
      </c>
      <c r="BC6" s="17">
        <f t="shared" si="12"/>
        <v>76.916325336454065</v>
      </c>
      <c r="BD6" s="17">
        <f t="shared" si="12"/>
        <v>76.732673267326732</v>
      </c>
      <c r="BE6" s="17">
        <f t="shared" si="12"/>
        <v>76.409284699194686</v>
      </c>
      <c r="BF6" s="17">
        <f t="shared" si="12"/>
        <v>78.940512375162825</v>
      </c>
      <c r="BG6" s="17">
        <f t="shared" si="12"/>
        <v>80.05569837189374</v>
      </c>
      <c r="BH6" s="17">
        <f t="shared" si="12"/>
        <v>76.400902594960513</v>
      </c>
      <c r="BI6" s="17">
        <f t="shared" si="12"/>
        <v>74.487112046291429</v>
      </c>
      <c r="BJ6" s="17">
        <f t="shared" si="12"/>
        <v>80.342725325424297</v>
      </c>
      <c r="BK6" s="17">
        <f t="shared" si="12"/>
        <v>77.730224321133406</v>
      </c>
      <c r="BL6" s="17">
        <f t="shared" si="12"/>
        <v>74.210066192081925</v>
      </c>
      <c r="BM6" s="17">
        <f t="shared" si="12"/>
        <v>72.122467771639037</v>
      </c>
      <c r="BN6" s="17">
        <f t="shared" si="12"/>
        <v>71.870853604599745</v>
      </c>
      <c r="BO6" s="17">
        <f t="shared" si="12"/>
        <v>71.48465022647207</v>
      </c>
      <c r="BP6" s="17">
        <f t="shared" ref="BP6:BQ6" si="15">(BP5/BP4)*100</f>
        <v>82.083848488254461</v>
      </c>
      <c r="BQ6" s="17">
        <f t="shared" si="15"/>
        <v>84.789340339682838</v>
      </c>
      <c r="BR6" s="17">
        <f t="shared" ref="BR6:BS6" si="16">(BR5/BR4)*100</f>
        <v>83.242771201241993</v>
      </c>
      <c r="BS6" s="17">
        <f t="shared" si="16"/>
        <v>85.111821086261983</v>
      </c>
    </row>
    <row r="7" spans="1:71">
      <c r="A7" s="18" t="s">
        <v>45</v>
      </c>
      <c r="B7" s="70">
        <v>925</v>
      </c>
      <c r="C7" s="18">
        <v>963</v>
      </c>
      <c r="D7" s="18">
        <v>737</v>
      </c>
      <c r="E7" s="18">
        <v>625</v>
      </c>
      <c r="F7" s="18">
        <f>278+211</f>
        <v>489</v>
      </c>
      <c r="G7" s="18">
        <v>514</v>
      </c>
      <c r="H7" s="18">
        <f>421+49</f>
        <v>470</v>
      </c>
      <c r="I7" s="18">
        <f>383+50</f>
        <v>433</v>
      </c>
      <c r="J7" s="18">
        <v>578</v>
      </c>
      <c r="K7" s="18">
        <v>575</v>
      </c>
      <c r="L7" s="18">
        <v>631</v>
      </c>
      <c r="M7" s="18">
        <v>706</v>
      </c>
      <c r="N7" s="18">
        <v>870</v>
      </c>
      <c r="O7" s="18">
        <v>1192</v>
      </c>
      <c r="P7" s="18">
        <v>1001</v>
      </c>
      <c r="Q7" s="18">
        <v>1511</v>
      </c>
      <c r="R7" s="18">
        <v>2017</v>
      </c>
      <c r="S7" s="18">
        <v>2110</v>
      </c>
      <c r="T7" s="18">
        <v>2324</v>
      </c>
      <c r="U7" s="18">
        <v>2774</v>
      </c>
      <c r="V7" s="18">
        <v>2462</v>
      </c>
      <c r="W7" s="18">
        <v>2585</v>
      </c>
      <c r="X7" s="18">
        <v>2367</v>
      </c>
      <c r="Y7" s="18">
        <v>2553</v>
      </c>
      <c r="Z7" s="18">
        <v>2493</v>
      </c>
      <c r="AA7" s="18">
        <v>2563</v>
      </c>
      <c r="AB7" s="18">
        <v>2602</v>
      </c>
      <c r="AC7" s="70">
        <v>211</v>
      </c>
      <c r="AD7" s="18">
        <v>258</v>
      </c>
      <c r="AE7" s="18">
        <v>237</v>
      </c>
      <c r="AF7" s="18">
        <v>147</v>
      </c>
      <c r="AG7" s="18">
        <v>210</v>
      </c>
      <c r="AH7" s="18">
        <v>224</v>
      </c>
      <c r="AI7" s="18">
        <v>201</v>
      </c>
      <c r="AJ7" s="18">
        <v>226</v>
      </c>
      <c r="AK7" s="18">
        <v>271</v>
      </c>
      <c r="AL7" s="18">
        <v>328</v>
      </c>
      <c r="AM7" s="18">
        <v>305</v>
      </c>
      <c r="AN7" s="18">
        <v>411</v>
      </c>
      <c r="AO7" s="70">
        <v>258</v>
      </c>
      <c r="AP7" s="18">
        <v>237</v>
      </c>
      <c r="AQ7" s="18">
        <v>147</v>
      </c>
      <c r="AR7" s="18">
        <v>210</v>
      </c>
      <c r="AS7" s="18">
        <v>224</v>
      </c>
      <c r="AT7" s="18">
        <v>201</v>
      </c>
      <c r="AU7" s="18">
        <v>226</v>
      </c>
      <c r="AV7" s="18">
        <v>271</v>
      </c>
      <c r="AW7" s="18">
        <v>328</v>
      </c>
      <c r="AX7" s="18">
        <v>305</v>
      </c>
      <c r="AY7" s="18">
        <v>411</v>
      </c>
      <c r="AZ7" s="70">
        <f t="shared" ref="AZ7:AZ22" si="17">IF(AD7&gt;AO7,(AD7),(AO7))</f>
        <v>258</v>
      </c>
      <c r="BA7" s="18">
        <f t="shared" ref="BA7:BH22" si="18">IF(AG7&gt;AR7,(AG7),(AR7))</f>
        <v>210</v>
      </c>
      <c r="BB7" s="18">
        <f t="shared" si="18"/>
        <v>224</v>
      </c>
      <c r="BC7" s="18">
        <f t="shared" si="18"/>
        <v>201</v>
      </c>
      <c r="BD7" s="18">
        <f t="shared" si="18"/>
        <v>226</v>
      </c>
      <c r="BE7" s="18">
        <f t="shared" si="18"/>
        <v>271</v>
      </c>
      <c r="BF7" s="18">
        <f t="shared" si="18"/>
        <v>328</v>
      </c>
      <c r="BG7" s="18">
        <f t="shared" si="18"/>
        <v>305</v>
      </c>
      <c r="BH7" s="18">
        <f t="shared" si="18"/>
        <v>411</v>
      </c>
      <c r="BI7" s="18">
        <v>390</v>
      </c>
      <c r="BJ7" s="18">
        <v>452</v>
      </c>
      <c r="BK7" s="18">
        <v>375</v>
      </c>
      <c r="BL7" s="18">
        <v>587</v>
      </c>
      <c r="BM7" s="18">
        <v>394</v>
      </c>
      <c r="BN7" s="18">
        <v>419</v>
      </c>
      <c r="BO7" s="18">
        <v>426</v>
      </c>
      <c r="BP7" s="18">
        <v>761</v>
      </c>
      <c r="BQ7" s="18">
        <v>901</v>
      </c>
      <c r="BR7">
        <v>701</v>
      </c>
      <c r="BS7">
        <v>737</v>
      </c>
    </row>
    <row r="8" spans="1:71">
      <c r="A8" s="18" t="s">
        <v>46</v>
      </c>
      <c r="B8" s="70">
        <v>192</v>
      </c>
      <c r="C8" s="18">
        <v>170</v>
      </c>
      <c r="D8" s="18">
        <v>192</v>
      </c>
      <c r="E8" s="18">
        <v>168</v>
      </c>
      <c r="F8" s="18">
        <v>161</v>
      </c>
      <c r="G8" s="18">
        <v>121</v>
      </c>
      <c r="H8" s="18">
        <f>78+11</f>
        <v>89</v>
      </c>
      <c r="I8" s="18">
        <f>87+7</f>
        <v>94</v>
      </c>
      <c r="J8" s="18">
        <v>104</v>
      </c>
      <c r="K8" s="18">
        <v>123</v>
      </c>
      <c r="L8" s="18">
        <v>104</v>
      </c>
      <c r="M8" s="18">
        <v>121</v>
      </c>
      <c r="N8" s="18">
        <v>117</v>
      </c>
      <c r="O8" s="18">
        <v>169</v>
      </c>
      <c r="P8" s="18">
        <v>161</v>
      </c>
      <c r="Q8" s="18">
        <v>192</v>
      </c>
      <c r="R8" s="18">
        <v>226</v>
      </c>
      <c r="S8" s="18">
        <v>253</v>
      </c>
      <c r="T8" s="18">
        <v>307</v>
      </c>
      <c r="U8" s="18">
        <v>322</v>
      </c>
      <c r="V8" s="18">
        <v>366</v>
      </c>
      <c r="W8" s="18">
        <v>389</v>
      </c>
      <c r="X8" s="18">
        <v>423</v>
      </c>
      <c r="Y8" s="18">
        <v>453</v>
      </c>
      <c r="Z8" s="18">
        <v>553</v>
      </c>
      <c r="AA8" s="18">
        <v>593</v>
      </c>
      <c r="AB8" s="18">
        <v>540</v>
      </c>
      <c r="AC8" s="70">
        <v>0</v>
      </c>
      <c r="AD8" s="18"/>
      <c r="AE8" s="18">
        <v>0</v>
      </c>
      <c r="AF8" s="18">
        <v>0</v>
      </c>
      <c r="AG8" s="18">
        <v>0</v>
      </c>
      <c r="AH8" s="18">
        <v>1</v>
      </c>
      <c r="AI8" s="18">
        <v>9</v>
      </c>
      <c r="AJ8" s="18">
        <v>9</v>
      </c>
      <c r="AK8" s="18">
        <v>8</v>
      </c>
      <c r="AL8" s="18">
        <v>13</v>
      </c>
      <c r="AM8" s="18">
        <v>6</v>
      </c>
      <c r="AN8" s="18">
        <v>12</v>
      </c>
      <c r="AO8" s="70"/>
      <c r="AP8" s="18">
        <v>0</v>
      </c>
      <c r="AQ8" s="18">
        <v>0</v>
      </c>
      <c r="AR8" s="18">
        <v>0</v>
      </c>
      <c r="AS8" s="18">
        <v>1</v>
      </c>
      <c r="AT8" s="18">
        <v>9</v>
      </c>
      <c r="AU8" s="18">
        <v>9</v>
      </c>
      <c r="AV8" s="18">
        <v>8</v>
      </c>
      <c r="AW8" s="18">
        <v>13</v>
      </c>
      <c r="AX8" s="18">
        <v>6</v>
      </c>
      <c r="AY8" s="18">
        <v>12</v>
      </c>
      <c r="AZ8" s="70">
        <f t="shared" si="17"/>
        <v>0</v>
      </c>
      <c r="BA8" s="18">
        <f t="shared" si="18"/>
        <v>0</v>
      </c>
      <c r="BB8" s="18">
        <f t="shared" si="18"/>
        <v>1</v>
      </c>
      <c r="BC8" s="18">
        <f t="shared" si="18"/>
        <v>9</v>
      </c>
      <c r="BD8" s="18">
        <f t="shared" si="18"/>
        <v>9</v>
      </c>
      <c r="BE8" s="18">
        <f t="shared" si="18"/>
        <v>8</v>
      </c>
      <c r="BF8" s="18">
        <f t="shared" si="18"/>
        <v>13</v>
      </c>
      <c r="BG8" s="18">
        <f t="shared" si="18"/>
        <v>6</v>
      </c>
      <c r="BH8" s="18">
        <f t="shared" si="18"/>
        <v>12</v>
      </c>
      <c r="BI8" s="18">
        <v>17</v>
      </c>
      <c r="BJ8" s="18">
        <v>24</v>
      </c>
      <c r="BK8" s="18">
        <v>21</v>
      </c>
      <c r="BL8" s="18">
        <v>38</v>
      </c>
      <c r="BM8" s="18">
        <v>63</v>
      </c>
      <c r="BN8" s="18">
        <v>32</v>
      </c>
      <c r="BO8" s="18">
        <v>71</v>
      </c>
      <c r="BP8" s="18">
        <v>65</v>
      </c>
      <c r="BQ8" s="18">
        <v>42</v>
      </c>
      <c r="BR8">
        <v>49</v>
      </c>
      <c r="BS8">
        <v>28</v>
      </c>
    </row>
    <row r="9" spans="1:71">
      <c r="A9" s="18" t="s">
        <v>47</v>
      </c>
      <c r="B9" s="70"/>
      <c r="C9" s="18"/>
      <c r="D9" s="18"/>
      <c r="E9" s="18"/>
      <c r="F9" s="18">
        <v>25</v>
      </c>
      <c r="G9" s="18">
        <v>40</v>
      </c>
      <c r="H9" s="18">
        <v>65</v>
      </c>
      <c r="I9" s="18">
        <v>72</v>
      </c>
      <c r="J9" s="18">
        <v>83</v>
      </c>
      <c r="K9" s="18">
        <v>84</v>
      </c>
      <c r="L9" s="18">
        <v>88</v>
      </c>
      <c r="M9" s="18">
        <v>93</v>
      </c>
      <c r="N9" s="18">
        <v>145</v>
      </c>
      <c r="O9" s="18">
        <v>92</v>
      </c>
      <c r="P9" s="18">
        <v>138</v>
      </c>
      <c r="Q9" s="18">
        <v>166</v>
      </c>
      <c r="R9" s="18">
        <v>167</v>
      </c>
      <c r="S9" s="18">
        <v>195</v>
      </c>
      <c r="T9" s="18">
        <v>165</v>
      </c>
      <c r="U9" s="18">
        <v>226</v>
      </c>
      <c r="V9" s="18">
        <v>266</v>
      </c>
      <c r="W9" s="18">
        <v>228</v>
      </c>
      <c r="X9" s="18">
        <v>258</v>
      </c>
      <c r="Y9" s="18">
        <v>272</v>
      </c>
      <c r="Z9" s="18">
        <v>287</v>
      </c>
      <c r="AA9" s="18">
        <v>435</v>
      </c>
      <c r="AB9" s="18">
        <v>463</v>
      </c>
      <c r="AC9" s="70">
        <v>4</v>
      </c>
      <c r="AD9" s="18">
        <v>8</v>
      </c>
      <c r="AE9" s="18">
        <v>24</v>
      </c>
      <c r="AF9" s="18">
        <v>20</v>
      </c>
      <c r="AG9" s="18">
        <v>24</v>
      </c>
      <c r="AH9" s="18">
        <v>25</v>
      </c>
      <c r="AI9" s="18">
        <v>29</v>
      </c>
      <c r="AJ9" s="18">
        <v>30</v>
      </c>
      <c r="AK9" s="18">
        <v>61</v>
      </c>
      <c r="AL9" s="18">
        <v>21</v>
      </c>
      <c r="AM9" s="18">
        <v>38</v>
      </c>
      <c r="AN9" s="18">
        <v>50</v>
      </c>
      <c r="AO9" s="70">
        <v>8</v>
      </c>
      <c r="AP9" s="18">
        <v>24</v>
      </c>
      <c r="AQ9" s="18">
        <v>20</v>
      </c>
      <c r="AR9" s="18">
        <v>24</v>
      </c>
      <c r="AS9" s="18">
        <v>25</v>
      </c>
      <c r="AT9" s="18">
        <v>29</v>
      </c>
      <c r="AU9" s="18">
        <v>30</v>
      </c>
      <c r="AV9" s="18">
        <v>61</v>
      </c>
      <c r="AW9" s="18">
        <v>21</v>
      </c>
      <c r="AX9" s="18">
        <v>38</v>
      </c>
      <c r="AY9" s="18">
        <v>50</v>
      </c>
      <c r="AZ9" s="70">
        <f t="shared" si="17"/>
        <v>8</v>
      </c>
      <c r="BA9" s="18">
        <f t="shared" si="18"/>
        <v>24</v>
      </c>
      <c r="BB9" s="18">
        <f t="shared" si="18"/>
        <v>25</v>
      </c>
      <c r="BC9" s="18">
        <f t="shared" si="18"/>
        <v>29</v>
      </c>
      <c r="BD9" s="18">
        <f t="shared" si="18"/>
        <v>30</v>
      </c>
      <c r="BE9" s="18">
        <f t="shared" si="18"/>
        <v>61</v>
      </c>
      <c r="BF9" s="18">
        <f t="shared" si="18"/>
        <v>21</v>
      </c>
      <c r="BG9" s="18">
        <f t="shared" si="18"/>
        <v>38</v>
      </c>
      <c r="BH9" s="18">
        <f t="shared" si="18"/>
        <v>50</v>
      </c>
      <c r="BI9" s="18">
        <v>46</v>
      </c>
      <c r="BJ9" s="18">
        <v>50</v>
      </c>
      <c r="BK9" s="18">
        <v>37</v>
      </c>
      <c r="BL9" s="18">
        <v>49</v>
      </c>
      <c r="BM9" s="18">
        <v>76</v>
      </c>
      <c r="BN9" s="18">
        <v>76</v>
      </c>
      <c r="BO9" s="18">
        <v>64</v>
      </c>
      <c r="BP9" s="18">
        <v>54</v>
      </c>
      <c r="BQ9" s="18">
        <v>64</v>
      </c>
      <c r="BR9">
        <v>72</v>
      </c>
      <c r="BS9">
        <v>71</v>
      </c>
    </row>
    <row r="10" spans="1:71">
      <c r="A10" s="18" t="s">
        <v>48</v>
      </c>
      <c r="B10" s="70">
        <v>772</v>
      </c>
      <c r="C10" s="18">
        <v>1032</v>
      </c>
      <c r="D10" s="18">
        <v>737</v>
      </c>
      <c r="E10" s="18">
        <v>586</v>
      </c>
      <c r="F10" s="18">
        <f>528+29</f>
        <v>557</v>
      </c>
      <c r="G10" s="18">
        <v>515</v>
      </c>
      <c r="H10" s="18">
        <f>276+385</f>
        <v>661</v>
      </c>
      <c r="I10" s="18">
        <f>309+415</f>
        <v>724</v>
      </c>
      <c r="J10" s="18">
        <v>831</v>
      </c>
      <c r="K10" s="18">
        <v>877</v>
      </c>
      <c r="L10" s="18">
        <v>1091</v>
      </c>
      <c r="M10" s="18">
        <v>1073</v>
      </c>
      <c r="N10" s="18">
        <v>1212</v>
      </c>
      <c r="O10" s="18">
        <v>1335</v>
      </c>
      <c r="P10" s="18">
        <v>1509</v>
      </c>
      <c r="Q10" s="18">
        <v>1864</v>
      </c>
      <c r="R10" s="18">
        <v>2407</v>
      </c>
      <c r="S10" s="18">
        <v>2849</v>
      </c>
      <c r="T10" s="18">
        <v>3171</v>
      </c>
      <c r="U10" s="18">
        <v>3242</v>
      </c>
      <c r="V10" s="18">
        <v>3439</v>
      </c>
      <c r="W10" s="18">
        <v>3538</v>
      </c>
      <c r="X10" s="18">
        <v>3940</v>
      </c>
      <c r="Y10" s="18">
        <v>4100</v>
      </c>
      <c r="Z10" s="18">
        <v>4491</v>
      </c>
      <c r="AA10" s="18">
        <v>4741</v>
      </c>
      <c r="AB10" s="18">
        <v>4565</v>
      </c>
      <c r="AC10" s="70">
        <v>29</v>
      </c>
      <c r="AD10" s="18">
        <v>43</v>
      </c>
      <c r="AE10" s="18">
        <v>48</v>
      </c>
      <c r="AF10" s="18">
        <v>61</v>
      </c>
      <c r="AG10" s="18">
        <v>77</v>
      </c>
      <c r="AH10" s="18">
        <v>109</v>
      </c>
      <c r="AI10" s="18">
        <v>132</v>
      </c>
      <c r="AJ10" s="18">
        <v>163</v>
      </c>
      <c r="AK10" s="18">
        <v>172</v>
      </c>
      <c r="AL10" s="18">
        <v>203</v>
      </c>
      <c r="AM10" s="18">
        <v>214</v>
      </c>
      <c r="AN10" s="18">
        <v>266</v>
      </c>
      <c r="AO10" s="70">
        <v>43</v>
      </c>
      <c r="AP10" s="18">
        <v>48</v>
      </c>
      <c r="AQ10" s="18">
        <v>61</v>
      </c>
      <c r="AR10" s="18">
        <v>77</v>
      </c>
      <c r="AS10" s="18">
        <v>109</v>
      </c>
      <c r="AT10" s="18">
        <v>132</v>
      </c>
      <c r="AU10" s="18">
        <v>163</v>
      </c>
      <c r="AV10" s="18">
        <v>172</v>
      </c>
      <c r="AW10" s="18">
        <v>203</v>
      </c>
      <c r="AX10" s="18">
        <v>214</v>
      </c>
      <c r="AY10" s="18">
        <v>266</v>
      </c>
      <c r="AZ10" s="70">
        <f t="shared" si="17"/>
        <v>43</v>
      </c>
      <c r="BA10" s="18">
        <f t="shared" si="18"/>
        <v>77</v>
      </c>
      <c r="BB10" s="18">
        <f t="shared" si="18"/>
        <v>109</v>
      </c>
      <c r="BC10" s="18">
        <f t="shared" si="18"/>
        <v>132</v>
      </c>
      <c r="BD10" s="18">
        <f t="shared" si="18"/>
        <v>163</v>
      </c>
      <c r="BE10" s="18">
        <f t="shared" si="18"/>
        <v>172</v>
      </c>
      <c r="BF10" s="18">
        <f t="shared" si="18"/>
        <v>203</v>
      </c>
      <c r="BG10" s="18">
        <f t="shared" si="18"/>
        <v>214</v>
      </c>
      <c r="BH10" s="18">
        <f t="shared" si="18"/>
        <v>266</v>
      </c>
      <c r="BI10" s="18">
        <v>309</v>
      </c>
      <c r="BJ10" s="18">
        <v>357</v>
      </c>
      <c r="BK10" s="18">
        <v>355</v>
      </c>
      <c r="BL10" s="18">
        <v>314</v>
      </c>
      <c r="BM10" s="18">
        <v>490</v>
      </c>
      <c r="BN10" s="18">
        <v>435</v>
      </c>
      <c r="BO10" s="18">
        <v>564</v>
      </c>
      <c r="BP10" s="18">
        <v>525</v>
      </c>
      <c r="BQ10" s="18">
        <v>411</v>
      </c>
      <c r="BR10">
        <v>366</v>
      </c>
      <c r="BS10">
        <v>401</v>
      </c>
    </row>
    <row r="11" spans="1:71">
      <c r="A11" s="18" t="s">
        <v>49</v>
      </c>
      <c r="B11" s="70">
        <v>1234</v>
      </c>
      <c r="C11" s="18">
        <v>1011</v>
      </c>
      <c r="D11" s="18">
        <v>793</v>
      </c>
      <c r="E11" s="18">
        <v>710</v>
      </c>
      <c r="F11" s="18">
        <f>357+289</f>
        <v>646</v>
      </c>
      <c r="G11" s="18">
        <v>527</v>
      </c>
      <c r="H11" s="18">
        <f>444+223</f>
        <v>667</v>
      </c>
      <c r="I11" s="18">
        <f>464+295</f>
        <v>759</v>
      </c>
      <c r="J11" s="18">
        <v>788</v>
      </c>
      <c r="K11" s="18">
        <v>949</v>
      </c>
      <c r="L11" s="18">
        <v>1056</v>
      </c>
      <c r="M11" s="18">
        <v>1158</v>
      </c>
      <c r="N11" s="18">
        <v>1227</v>
      </c>
      <c r="O11" s="18">
        <v>1481</v>
      </c>
      <c r="P11" s="18">
        <v>1552</v>
      </c>
      <c r="Q11" s="18">
        <v>1631</v>
      </c>
      <c r="R11" s="18">
        <v>2125</v>
      </c>
      <c r="S11" s="18">
        <v>2457</v>
      </c>
      <c r="T11" s="18">
        <v>2419</v>
      </c>
      <c r="U11" s="18">
        <v>2349</v>
      </c>
      <c r="V11" s="18">
        <v>2429</v>
      </c>
      <c r="W11" s="18">
        <v>2697</v>
      </c>
      <c r="X11" s="18">
        <v>3052</v>
      </c>
      <c r="Y11" s="18">
        <v>3427</v>
      </c>
      <c r="Z11" s="18">
        <v>3784</v>
      </c>
      <c r="AA11" s="18">
        <v>3816</v>
      </c>
      <c r="AB11" s="18">
        <v>4032</v>
      </c>
      <c r="AC11" s="70">
        <v>289</v>
      </c>
      <c r="AD11" s="18">
        <v>220</v>
      </c>
      <c r="AE11" s="18">
        <v>243</v>
      </c>
      <c r="AF11" s="18">
        <v>293</v>
      </c>
      <c r="AG11" s="18">
        <v>334</v>
      </c>
      <c r="AH11" s="18">
        <v>329</v>
      </c>
      <c r="AI11" s="18">
        <v>423</v>
      </c>
      <c r="AJ11" s="18">
        <v>431</v>
      </c>
      <c r="AK11" s="18">
        <v>392</v>
      </c>
      <c r="AL11" s="18">
        <v>576</v>
      </c>
      <c r="AM11" s="18">
        <v>566</v>
      </c>
      <c r="AN11" s="18">
        <v>586</v>
      </c>
      <c r="AO11" s="70">
        <v>220</v>
      </c>
      <c r="AP11" s="18">
        <v>243</v>
      </c>
      <c r="AQ11" s="18">
        <v>293</v>
      </c>
      <c r="AR11" s="18">
        <v>334</v>
      </c>
      <c r="AS11" s="18">
        <v>329</v>
      </c>
      <c r="AT11" s="18">
        <v>423</v>
      </c>
      <c r="AU11" s="18">
        <v>431</v>
      </c>
      <c r="AV11" s="18">
        <v>379</v>
      </c>
      <c r="AW11" s="18">
        <v>514</v>
      </c>
      <c r="AX11" s="18">
        <v>566</v>
      </c>
      <c r="AY11" s="18">
        <v>483</v>
      </c>
      <c r="AZ11" s="70">
        <f t="shared" si="17"/>
        <v>220</v>
      </c>
      <c r="BA11" s="18">
        <f t="shared" si="18"/>
        <v>334</v>
      </c>
      <c r="BB11" s="18">
        <f t="shared" si="18"/>
        <v>329</v>
      </c>
      <c r="BC11" s="18">
        <f t="shared" si="18"/>
        <v>423</v>
      </c>
      <c r="BD11" s="18">
        <f t="shared" si="18"/>
        <v>431</v>
      </c>
      <c r="BE11" s="18">
        <f t="shared" si="18"/>
        <v>392</v>
      </c>
      <c r="BF11" s="18">
        <f t="shared" si="18"/>
        <v>576</v>
      </c>
      <c r="BG11" s="18">
        <f t="shared" si="18"/>
        <v>566</v>
      </c>
      <c r="BH11" s="18">
        <f t="shared" si="18"/>
        <v>586</v>
      </c>
      <c r="BI11" s="18">
        <v>602</v>
      </c>
      <c r="BJ11" s="18">
        <v>688</v>
      </c>
      <c r="BK11" s="18">
        <v>863</v>
      </c>
      <c r="BL11" s="18">
        <v>887</v>
      </c>
      <c r="BM11" s="18">
        <v>1028</v>
      </c>
      <c r="BN11" s="18">
        <v>1060</v>
      </c>
      <c r="BO11" s="18">
        <v>1299</v>
      </c>
      <c r="BP11" s="18">
        <v>1399</v>
      </c>
      <c r="BQ11" s="18">
        <v>1492</v>
      </c>
      <c r="BR11">
        <v>1428</v>
      </c>
      <c r="BS11">
        <v>1783</v>
      </c>
    </row>
    <row r="12" spans="1:71">
      <c r="A12" s="18" t="s">
        <v>50</v>
      </c>
      <c r="B12" s="70">
        <v>148</v>
      </c>
      <c r="C12" s="18">
        <v>163</v>
      </c>
      <c r="D12" s="18">
        <v>153</v>
      </c>
      <c r="E12" s="18">
        <v>130</v>
      </c>
      <c r="F12" s="18">
        <v>103</v>
      </c>
      <c r="G12" s="18">
        <v>86</v>
      </c>
      <c r="H12" s="18">
        <f>108+9</f>
        <v>117</v>
      </c>
      <c r="I12" s="18">
        <f>91+19</f>
        <v>110</v>
      </c>
      <c r="J12" s="18">
        <v>120</v>
      </c>
      <c r="K12" s="18">
        <v>132</v>
      </c>
      <c r="L12" s="18">
        <v>140</v>
      </c>
      <c r="M12" s="18">
        <v>147</v>
      </c>
      <c r="N12" s="18">
        <v>150</v>
      </c>
      <c r="O12" s="18">
        <v>209</v>
      </c>
      <c r="P12" s="18">
        <v>196</v>
      </c>
      <c r="Q12" s="18">
        <v>253</v>
      </c>
      <c r="R12" s="18">
        <v>279</v>
      </c>
      <c r="S12" s="18">
        <v>334</v>
      </c>
      <c r="T12" s="18">
        <v>388</v>
      </c>
      <c r="U12" s="18">
        <v>405</v>
      </c>
      <c r="V12" s="18">
        <v>399</v>
      </c>
      <c r="W12" s="18">
        <v>399</v>
      </c>
      <c r="X12" s="18">
        <v>444</v>
      </c>
      <c r="Y12" s="18">
        <v>504</v>
      </c>
      <c r="Z12" s="18">
        <v>530</v>
      </c>
      <c r="AA12" s="18">
        <v>673</v>
      </c>
      <c r="AB12" s="18">
        <v>661</v>
      </c>
      <c r="AC12" s="70" t="s">
        <v>197</v>
      </c>
      <c r="AD12" s="18"/>
      <c r="AE12" s="18" t="s">
        <v>197</v>
      </c>
      <c r="AF12" s="18" t="s">
        <v>197</v>
      </c>
      <c r="AG12" s="18"/>
      <c r="AH12" s="18"/>
      <c r="AI12" s="18"/>
      <c r="AJ12" s="18"/>
      <c r="AK12" s="18"/>
      <c r="AL12" s="18">
        <v>9</v>
      </c>
      <c r="AM12" s="18">
        <v>10</v>
      </c>
      <c r="AN12" s="18">
        <v>13</v>
      </c>
      <c r="AO12" s="70">
        <v>1</v>
      </c>
      <c r="AP12" s="18">
        <v>10</v>
      </c>
      <c r="AQ12" s="18">
        <v>10</v>
      </c>
      <c r="AR12" s="18">
        <v>10</v>
      </c>
      <c r="AS12" s="18">
        <v>4</v>
      </c>
      <c r="AT12" s="18">
        <v>8</v>
      </c>
      <c r="AU12" s="18">
        <v>11</v>
      </c>
      <c r="AV12" s="18">
        <v>11</v>
      </c>
      <c r="AW12" s="18">
        <v>9</v>
      </c>
      <c r="AX12" s="18">
        <v>10</v>
      </c>
      <c r="AY12" s="18">
        <v>13</v>
      </c>
      <c r="AZ12" s="70">
        <f t="shared" si="17"/>
        <v>1</v>
      </c>
      <c r="BA12" s="18">
        <f t="shared" si="18"/>
        <v>10</v>
      </c>
      <c r="BB12" s="18">
        <f t="shared" si="18"/>
        <v>4</v>
      </c>
      <c r="BC12" s="18">
        <f t="shared" si="18"/>
        <v>8</v>
      </c>
      <c r="BD12" s="18">
        <f t="shared" si="18"/>
        <v>11</v>
      </c>
      <c r="BE12" s="18">
        <f t="shared" si="18"/>
        <v>11</v>
      </c>
      <c r="BF12" s="18">
        <f t="shared" si="18"/>
        <v>9</v>
      </c>
      <c r="BG12" s="18">
        <f t="shared" si="18"/>
        <v>10</v>
      </c>
      <c r="BH12" s="18">
        <f t="shared" si="18"/>
        <v>13</v>
      </c>
      <c r="BI12" s="18">
        <v>21</v>
      </c>
      <c r="BJ12" s="18">
        <v>22</v>
      </c>
      <c r="BK12" s="18">
        <v>33</v>
      </c>
      <c r="BL12" s="18">
        <v>17</v>
      </c>
      <c r="BM12" s="18">
        <v>24</v>
      </c>
      <c r="BN12" s="18">
        <v>21</v>
      </c>
      <c r="BO12" s="18">
        <v>19</v>
      </c>
      <c r="BP12" s="18">
        <v>27</v>
      </c>
      <c r="BQ12" s="18">
        <v>21</v>
      </c>
      <c r="BR12">
        <v>30</v>
      </c>
      <c r="BS12">
        <v>27</v>
      </c>
    </row>
    <row r="13" spans="1:71">
      <c r="A13" s="18" t="s">
        <v>51</v>
      </c>
      <c r="B13" s="70">
        <v>904</v>
      </c>
      <c r="C13" s="18">
        <v>731</v>
      </c>
      <c r="D13" s="18">
        <v>607</v>
      </c>
      <c r="E13" s="18">
        <v>639</v>
      </c>
      <c r="F13" s="18">
        <f>318+229</f>
        <v>547</v>
      </c>
      <c r="G13" s="18">
        <v>467</v>
      </c>
      <c r="H13" s="18">
        <f>366+79</f>
        <v>445</v>
      </c>
      <c r="I13" s="18">
        <f>344+99</f>
        <v>443</v>
      </c>
      <c r="J13" s="18">
        <v>485</v>
      </c>
      <c r="K13" s="18">
        <v>558</v>
      </c>
      <c r="L13" s="18">
        <v>659</v>
      </c>
      <c r="M13" s="18">
        <v>704</v>
      </c>
      <c r="N13" s="18">
        <v>809</v>
      </c>
      <c r="O13" s="18">
        <v>821</v>
      </c>
      <c r="P13" s="18">
        <v>872</v>
      </c>
      <c r="Q13" s="18">
        <v>1058</v>
      </c>
      <c r="R13" s="18">
        <v>1142</v>
      </c>
      <c r="S13" s="18">
        <v>1282</v>
      </c>
      <c r="T13" s="18">
        <v>1351</v>
      </c>
      <c r="U13" s="18">
        <v>1253</v>
      </c>
      <c r="V13" s="18">
        <v>1298</v>
      </c>
      <c r="W13" s="18">
        <v>1173</v>
      </c>
      <c r="X13" s="18">
        <v>1260</v>
      </c>
      <c r="Y13" s="18">
        <v>1261</v>
      </c>
      <c r="Z13" s="18">
        <v>1206</v>
      </c>
      <c r="AA13" s="18">
        <v>1266</v>
      </c>
      <c r="AB13" s="18">
        <v>1412</v>
      </c>
      <c r="AC13" s="70">
        <v>229</v>
      </c>
      <c r="AD13" s="18">
        <v>249</v>
      </c>
      <c r="AE13" s="18">
        <v>280</v>
      </c>
      <c r="AF13" s="18">
        <v>248</v>
      </c>
      <c r="AG13" s="18">
        <v>282</v>
      </c>
      <c r="AH13" s="18">
        <v>333</v>
      </c>
      <c r="AI13" s="18">
        <v>393</v>
      </c>
      <c r="AJ13" s="18">
        <v>397</v>
      </c>
      <c r="AK13" s="18">
        <v>470</v>
      </c>
      <c r="AL13" s="18">
        <v>474</v>
      </c>
      <c r="AM13" s="18">
        <v>458</v>
      </c>
      <c r="AN13" s="18">
        <v>459</v>
      </c>
      <c r="AO13" s="70">
        <v>249</v>
      </c>
      <c r="AP13" s="18">
        <v>280</v>
      </c>
      <c r="AQ13" s="18">
        <v>248</v>
      </c>
      <c r="AR13" s="18">
        <v>282</v>
      </c>
      <c r="AS13" s="18">
        <v>333</v>
      </c>
      <c r="AT13" s="18">
        <v>393</v>
      </c>
      <c r="AU13" s="18">
        <v>397</v>
      </c>
      <c r="AV13" s="18">
        <v>470</v>
      </c>
      <c r="AW13" s="18">
        <v>474</v>
      </c>
      <c r="AX13" s="18">
        <v>458</v>
      </c>
      <c r="AY13" s="18">
        <v>459</v>
      </c>
      <c r="AZ13" s="70">
        <f t="shared" si="17"/>
        <v>249</v>
      </c>
      <c r="BA13" s="18">
        <f t="shared" si="18"/>
        <v>282</v>
      </c>
      <c r="BB13" s="18">
        <f t="shared" si="18"/>
        <v>333</v>
      </c>
      <c r="BC13" s="18">
        <f t="shared" si="18"/>
        <v>393</v>
      </c>
      <c r="BD13" s="18">
        <f t="shared" si="18"/>
        <v>397</v>
      </c>
      <c r="BE13" s="18">
        <f t="shared" si="18"/>
        <v>470</v>
      </c>
      <c r="BF13" s="18">
        <f t="shared" si="18"/>
        <v>474</v>
      </c>
      <c r="BG13" s="18">
        <f t="shared" si="18"/>
        <v>458</v>
      </c>
      <c r="BH13" s="18">
        <f t="shared" si="18"/>
        <v>459</v>
      </c>
      <c r="BI13" s="18">
        <v>445</v>
      </c>
      <c r="BJ13" s="18">
        <v>520</v>
      </c>
      <c r="BK13" s="18">
        <v>676</v>
      </c>
      <c r="BL13" s="18">
        <v>648</v>
      </c>
      <c r="BM13" s="18">
        <v>671</v>
      </c>
      <c r="BN13" s="18">
        <v>592</v>
      </c>
      <c r="BO13" s="18">
        <v>654</v>
      </c>
      <c r="BP13" s="18">
        <v>608</v>
      </c>
      <c r="BQ13" s="18">
        <v>567</v>
      </c>
      <c r="BR13">
        <v>591</v>
      </c>
      <c r="BS13">
        <v>574</v>
      </c>
    </row>
    <row r="14" spans="1:71">
      <c r="A14" s="18" t="s">
        <v>52</v>
      </c>
      <c r="B14" s="70">
        <v>593</v>
      </c>
      <c r="C14" s="18">
        <v>467</v>
      </c>
      <c r="D14" s="18">
        <v>442</v>
      </c>
      <c r="E14" s="18">
        <v>420</v>
      </c>
      <c r="F14" s="18">
        <f>269+167</f>
        <v>436</v>
      </c>
      <c r="G14" s="18">
        <v>385</v>
      </c>
      <c r="H14" s="18">
        <f>315+121</f>
        <v>436</v>
      </c>
      <c r="I14" s="18">
        <f>356+131</f>
        <v>487</v>
      </c>
      <c r="J14" s="18">
        <v>605</v>
      </c>
      <c r="K14" s="18">
        <v>701</v>
      </c>
      <c r="L14" s="18">
        <v>856</v>
      </c>
      <c r="M14" s="18">
        <v>952</v>
      </c>
      <c r="N14" s="18">
        <v>1185</v>
      </c>
      <c r="O14" s="18">
        <v>1253</v>
      </c>
      <c r="P14" s="18">
        <v>1218</v>
      </c>
      <c r="Q14" s="18">
        <v>1469</v>
      </c>
      <c r="R14" s="18">
        <v>1782</v>
      </c>
      <c r="S14" s="18">
        <v>2000</v>
      </c>
      <c r="T14" s="18">
        <v>2043</v>
      </c>
      <c r="U14" s="18">
        <v>2168</v>
      </c>
      <c r="V14" s="18">
        <v>2328</v>
      </c>
      <c r="W14" s="18">
        <v>2404</v>
      </c>
      <c r="X14" s="18">
        <v>2566</v>
      </c>
      <c r="Y14" s="18">
        <v>2837</v>
      </c>
      <c r="Z14" s="18">
        <v>3127</v>
      </c>
      <c r="AA14" s="18">
        <v>3392</v>
      </c>
      <c r="AB14" s="18">
        <v>3724</v>
      </c>
      <c r="AC14" s="70">
        <v>167</v>
      </c>
      <c r="AD14" s="18">
        <v>147</v>
      </c>
      <c r="AE14" s="18">
        <v>169</v>
      </c>
      <c r="AF14" s="18">
        <v>190</v>
      </c>
      <c r="AG14" s="18">
        <v>237</v>
      </c>
      <c r="AH14" s="18">
        <v>257</v>
      </c>
      <c r="AI14" s="18">
        <v>337</v>
      </c>
      <c r="AJ14" s="18">
        <v>383</v>
      </c>
      <c r="AK14" s="18">
        <v>421</v>
      </c>
      <c r="AL14" s="18">
        <v>455</v>
      </c>
      <c r="AM14" s="18">
        <v>441</v>
      </c>
      <c r="AN14" s="18">
        <v>450</v>
      </c>
      <c r="AO14" s="70">
        <v>147</v>
      </c>
      <c r="AP14" s="18">
        <v>169</v>
      </c>
      <c r="AQ14" s="18">
        <v>190</v>
      </c>
      <c r="AR14" s="18">
        <v>237</v>
      </c>
      <c r="AS14" s="18">
        <v>257</v>
      </c>
      <c r="AT14" s="18">
        <v>337</v>
      </c>
      <c r="AU14" s="18">
        <v>383</v>
      </c>
      <c r="AV14" s="18">
        <v>421</v>
      </c>
      <c r="AW14" s="18">
        <v>455</v>
      </c>
      <c r="AX14" s="18">
        <v>441</v>
      </c>
      <c r="AY14" s="18">
        <v>439</v>
      </c>
      <c r="AZ14" s="70">
        <f t="shared" si="17"/>
        <v>147</v>
      </c>
      <c r="BA14" s="18">
        <f t="shared" si="18"/>
        <v>237</v>
      </c>
      <c r="BB14" s="18">
        <f t="shared" si="18"/>
        <v>257</v>
      </c>
      <c r="BC14" s="18">
        <f t="shared" si="18"/>
        <v>337</v>
      </c>
      <c r="BD14" s="18">
        <f t="shared" si="18"/>
        <v>383</v>
      </c>
      <c r="BE14" s="18">
        <f t="shared" si="18"/>
        <v>421</v>
      </c>
      <c r="BF14" s="18">
        <f t="shared" si="18"/>
        <v>455</v>
      </c>
      <c r="BG14" s="18">
        <f t="shared" si="18"/>
        <v>441</v>
      </c>
      <c r="BH14" s="18">
        <f t="shared" si="18"/>
        <v>450</v>
      </c>
      <c r="BI14" s="18">
        <v>477</v>
      </c>
      <c r="BJ14" s="18">
        <v>414</v>
      </c>
      <c r="BK14" s="18">
        <v>425</v>
      </c>
      <c r="BL14" s="18">
        <v>509</v>
      </c>
      <c r="BM14" s="18">
        <v>494</v>
      </c>
      <c r="BN14" s="18">
        <v>555</v>
      </c>
      <c r="BO14" s="18">
        <v>587</v>
      </c>
      <c r="BP14" s="18">
        <v>518</v>
      </c>
      <c r="BQ14" s="18">
        <v>719</v>
      </c>
      <c r="BR14">
        <v>753</v>
      </c>
      <c r="BS14">
        <v>832</v>
      </c>
    </row>
    <row r="15" spans="1:71">
      <c r="A15" s="18" t="s">
        <v>53</v>
      </c>
      <c r="B15" s="70">
        <v>990</v>
      </c>
      <c r="C15" s="18">
        <v>746</v>
      </c>
      <c r="D15" s="18">
        <v>603</v>
      </c>
      <c r="E15" s="18">
        <v>394</v>
      </c>
      <c r="F15" s="18">
        <f>201+281</f>
        <v>482</v>
      </c>
      <c r="G15" s="18">
        <v>357</v>
      </c>
      <c r="H15" s="18">
        <f>322+24</f>
        <v>346</v>
      </c>
      <c r="I15" s="18">
        <f>383+30</f>
        <v>413</v>
      </c>
      <c r="J15" s="18">
        <v>419</v>
      </c>
      <c r="K15" s="18">
        <v>340</v>
      </c>
      <c r="L15" s="18">
        <v>406</v>
      </c>
      <c r="M15" s="18">
        <v>427</v>
      </c>
      <c r="N15" s="18">
        <v>450</v>
      </c>
      <c r="O15" s="18">
        <v>620</v>
      </c>
      <c r="P15" s="18">
        <v>753</v>
      </c>
      <c r="Q15" s="18">
        <v>774</v>
      </c>
      <c r="R15" s="18">
        <v>881</v>
      </c>
      <c r="S15" s="18">
        <v>968</v>
      </c>
      <c r="T15" s="18">
        <v>1047</v>
      </c>
      <c r="U15" s="18">
        <v>1135</v>
      </c>
      <c r="V15" s="18">
        <v>1213</v>
      </c>
      <c r="W15" s="18">
        <v>1227</v>
      </c>
      <c r="X15" s="18">
        <v>1263</v>
      </c>
      <c r="Y15" s="18">
        <v>1207</v>
      </c>
      <c r="Z15" s="18">
        <v>1369</v>
      </c>
      <c r="AA15" s="18">
        <v>1448</v>
      </c>
      <c r="AB15" s="18">
        <v>1489</v>
      </c>
      <c r="AC15" s="70">
        <v>281</v>
      </c>
      <c r="AD15" s="18">
        <v>227</v>
      </c>
      <c r="AE15" s="18">
        <v>186</v>
      </c>
      <c r="AF15" s="18">
        <v>200</v>
      </c>
      <c r="AG15" s="18">
        <v>174</v>
      </c>
      <c r="AH15" s="18">
        <v>135</v>
      </c>
      <c r="AI15" s="18">
        <v>190</v>
      </c>
      <c r="AJ15" s="18">
        <v>196</v>
      </c>
      <c r="AK15" s="18">
        <v>194</v>
      </c>
      <c r="AL15" s="18">
        <v>295</v>
      </c>
      <c r="AM15" s="18">
        <v>357</v>
      </c>
      <c r="AN15" s="18">
        <v>370</v>
      </c>
      <c r="AO15" s="70">
        <v>227</v>
      </c>
      <c r="AP15" s="18">
        <v>186</v>
      </c>
      <c r="AQ15" s="18">
        <v>200</v>
      </c>
      <c r="AR15" s="18">
        <v>174</v>
      </c>
      <c r="AS15" s="18">
        <v>135</v>
      </c>
      <c r="AT15" s="18">
        <v>190</v>
      </c>
      <c r="AU15" s="18">
        <v>196</v>
      </c>
      <c r="AV15" s="18">
        <v>194</v>
      </c>
      <c r="AW15" s="18">
        <v>295</v>
      </c>
      <c r="AX15" s="18">
        <v>357</v>
      </c>
      <c r="AY15" s="18">
        <v>370</v>
      </c>
      <c r="AZ15" s="70">
        <f t="shared" si="17"/>
        <v>227</v>
      </c>
      <c r="BA15" s="18">
        <f t="shared" si="18"/>
        <v>174</v>
      </c>
      <c r="BB15" s="18">
        <f t="shared" si="18"/>
        <v>135</v>
      </c>
      <c r="BC15" s="18">
        <f t="shared" si="18"/>
        <v>190</v>
      </c>
      <c r="BD15" s="18">
        <f t="shared" si="18"/>
        <v>196</v>
      </c>
      <c r="BE15" s="18">
        <f t="shared" si="18"/>
        <v>194</v>
      </c>
      <c r="BF15" s="18">
        <f t="shared" si="18"/>
        <v>295</v>
      </c>
      <c r="BG15" s="18">
        <f t="shared" si="18"/>
        <v>357</v>
      </c>
      <c r="BH15" s="18">
        <f t="shared" si="18"/>
        <v>370</v>
      </c>
      <c r="BI15" s="18">
        <v>422</v>
      </c>
      <c r="BJ15" s="18">
        <v>426</v>
      </c>
      <c r="BK15" s="18">
        <v>428</v>
      </c>
      <c r="BL15" s="18">
        <v>515</v>
      </c>
      <c r="BM15" s="18">
        <v>567</v>
      </c>
      <c r="BN15" s="18">
        <v>535</v>
      </c>
      <c r="BO15" s="18">
        <v>546</v>
      </c>
      <c r="BP15" s="18">
        <v>598</v>
      </c>
      <c r="BQ15" s="18">
        <v>700</v>
      </c>
      <c r="BR15">
        <v>732</v>
      </c>
      <c r="BS15">
        <v>752</v>
      </c>
    </row>
    <row r="16" spans="1:71">
      <c r="A16" s="18" t="s">
        <v>54</v>
      </c>
      <c r="B16" s="70">
        <v>664</v>
      </c>
      <c r="C16" s="18">
        <v>643</v>
      </c>
      <c r="D16" s="18">
        <v>524</v>
      </c>
      <c r="E16" s="18">
        <v>561</v>
      </c>
      <c r="F16" s="18">
        <f>275+223</f>
        <v>498</v>
      </c>
      <c r="G16" s="18">
        <v>517</v>
      </c>
      <c r="H16" s="18">
        <f>557+66</f>
        <v>623</v>
      </c>
      <c r="I16" s="18">
        <f>479+48</f>
        <v>527</v>
      </c>
      <c r="J16" s="18">
        <v>513</v>
      </c>
      <c r="K16" s="18">
        <v>583</v>
      </c>
      <c r="L16" s="18">
        <v>629</v>
      </c>
      <c r="M16" s="18">
        <v>711</v>
      </c>
      <c r="N16" s="18">
        <v>754</v>
      </c>
      <c r="O16" s="18">
        <v>731</v>
      </c>
      <c r="P16" s="18">
        <v>822</v>
      </c>
      <c r="Q16" s="18">
        <v>920</v>
      </c>
      <c r="R16" s="18">
        <v>1149</v>
      </c>
      <c r="S16" s="18">
        <v>1290</v>
      </c>
      <c r="T16" s="18">
        <v>1432</v>
      </c>
      <c r="U16" s="18">
        <v>1641</v>
      </c>
      <c r="V16" s="18">
        <v>1771</v>
      </c>
      <c r="W16" s="18">
        <v>1967</v>
      </c>
      <c r="X16" s="18">
        <v>1993</v>
      </c>
      <c r="Y16" s="18">
        <v>2104</v>
      </c>
      <c r="Z16" s="18">
        <v>2597</v>
      </c>
      <c r="AA16" s="18">
        <v>2408</v>
      </c>
      <c r="AB16" s="18">
        <v>2524</v>
      </c>
      <c r="AC16" s="70">
        <v>223</v>
      </c>
      <c r="AD16" s="18">
        <v>235</v>
      </c>
      <c r="AE16" s="18">
        <v>284</v>
      </c>
      <c r="AF16" s="18">
        <v>233</v>
      </c>
      <c r="AG16" s="18">
        <v>224</v>
      </c>
      <c r="AH16" s="18">
        <v>261</v>
      </c>
      <c r="AI16" s="18">
        <v>260</v>
      </c>
      <c r="AJ16" s="18">
        <v>339</v>
      </c>
      <c r="AK16" s="18">
        <v>335</v>
      </c>
      <c r="AL16" s="18">
        <v>263</v>
      </c>
      <c r="AM16" s="18">
        <v>339</v>
      </c>
      <c r="AN16" s="18">
        <v>370</v>
      </c>
      <c r="AO16" s="70">
        <v>235</v>
      </c>
      <c r="AP16" s="18">
        <v>284</v>
      </c>
      <c r="AQ16" s="18">
        <v>233</v>
      </c>
      <c r="AR16" s="18">
        <v>224</v>
      </c>
      <c r="AS16" s="18">
        <v>261</v>
      </c>
      <c r="AT16" s="18">
        <v>260</v>
      </c>
      <c r="AU16" s="18">
        <v>339</v>
      </c>
      <c r="AV16" s="18">
        <v>335</v>
      </c>
      <c r="AW16" s="18">
        <v>263</v>
      </c>
      <c r="AX16" s="18">
        <v>339</v>
      </c>
      <c r="AY16" s="18">
        <v>370</v>
      </c>
      <c r="AZ16" s="70">
        <f t="shared" si="17"/>
        <v>235</v>
      </c>
      <c r="BA16" s="18">
        <f t="shared" si="18"/>
        <v>224</v>
      </c>
      <c r="BB16" s="18">
        <f t="shared" si="18"/>
        <v>261</v>
      </c>
      <c r="BC16" s="18">
        <f t="shared" si="18"/>
        <v>260</v>
      </c>
      <c r="BD16" s="18">
        <f t="shared" si="18"/>
        <v>339</v>
      </c>
      <c r="BE16" s="18">
        <f t="shared" si="18"/>
        <v>335</v>
      </c>
      <c r="BF16" s="18">
        <f t="shared" si="18"/>
        <v>263</v>
      </c>
      <c r="BG16" s="18">
        <f t="shared" si="18"/>
        <v>339</v>
      </c>
      <c r="BH16" s="18">
        <f t="shared" si="18"/>
        <v>370</v>
      </c>
      <c r="BI16" s="18">
        <v>373</v>
      </c>
      <c r="BJ16" s="18">
        <v>431</v>
      </c>
      <c r="BK16" s="18">
        <v>538</v>
      </c>
      <c r="BL16" s="18">
        <v>584</v>
      </c>
      <c r="BM16" s="18">
        <v>722</v>
      </c>
      <c r="BN16" s="18">
        <v>938</v>
      </c>
      <c r="BO16" s="18">
        <v>898</v>
      </c>
      <c r="BP16" s="18">
        <v>858</v>
      </c>
      <c r="BQ16" s="18">
        <v>1244</v>
      </c>
      <c r="BR16">
        <v>1141</v>
      </c>
      <c r="BS16">
        <v>1202</v>
      </c>
    </row>
    <row r="17" spans="1:71">
      <c r="A17" s="18" t="s">
        <v>55</v>
      </c>
      <c r="B17" s="70"/>
      <c r="C17" s="18">
        <v>0</v>
      </c>
      <c r="D17" s="18">
        <v>0</v>
      </c>
      <c r="E17" s="18">
        <v>0</v>
      </c>
      <c r="F17" s="18">
        <f>132+0</f>
        <v>132</v>
      </c>
      <c r="G17" s="18">
        <v>133</v>
      </c>
      <c r="H17" s="18">
        <f>98+29</f>
        <v>127</v>
      </c>
      <c r="I17" s="18">
        <f>108+23</f>
        <v>131</v>
      </c>
      <c r="J17" s="18">
        <v>173</v>
      </c>
      <c r="K17" s="18">
        <v>155</v>
      </c>
      <c r="L17" s="18">
        <v>227</v>
      </c>
      <c r="M17" s="18">
        <v>239</v>
      </c>
      <c r="N17" s="18">
        <v>175</v>
      </c>
      <c r="O17" s="18">
        <v>224</v>
      </c>
      <c r="P17" s="18">
        <v>306</v>
      </c>
      <c r="Q17" s="18">
        <v>369</v>
      </c>
      <c r="R17" s="18">
        <v>415</v>
      </c>
      <c r="S17" s="18">
        <v>409</v>
      </c>
      <c r="T17" s="18">
        <v>423</v>
      </c>
      <c r="U17" s="18">
        <v>386</v>
      </c>
      <c r="V17" s="18">
        <v>405</v>
      </c>
      <c r="W17" s="18">
        <v>386</v>
      </c>
      <c r="X17" s="18">
        <v>474</v>
      </c>
      <c r="Y17" s="18">
        <v>476</v>
      </c>
      <c r="Z17" s="18">
        <v>456</v>
      </c>
      <c r="AA17" s="18">
        <v>467</v>
      </c>
      <c r="AB17" s="18">
        <v>551</v>
      </c>
      <c r="AC17" s="70">
        <v>0</v>
      </c>
      <c r="AD17" s="18"/>
      <c r="AE17" s="18">
        <v>0</v>
      </c>
      <c r="AF17" s="18">
        <v>0</v>
      </c>
      <c r="AG17" s="18">
        <v>7</v>
      </c>
      <c r="AH17" s="18">
        <v>8</v>
      </c>
      <c r="AI17" s="18">
        <v>4</v>
      </c>
      <c r="AJ17" s="18">
        <v>8</v>
      </c>
      <c r="AK17" s="18">
        <v>11</v>
      </c>
      <c r="AL17" s="18">
        <v>6</v>
      </c>
      <c r="AM17" s="18">
        <v>10</v>
      </c>
      <c r="AN17" s="18">
        <v>4</v>
      </c>
      <c r="AO17" s="70"/>
      <c r="AP17" s="18">
        <v>0</v>
      </c>
      <c r="AQ17" s="18">
        <v>0</v>
      </c>
      <c r="AR17" s="18">
        <v>7</v>
      </c>
      <c r="AS17" s="18">
        <v>8</v>
      </c>
      <c r="AT17" s="18">
        <v>4</v>
      </c>
      <c r="AU17" s="18">
        <v>8</v>
      </c>
      <c r="AV17" s="18">
        <v>11</v>
      </c>
      <c r="AW17" s="18">
        <v>6</v>
      </c>
      <c r="AX17" s="18">
        <v>10</v>
      </c>
      <c r="AY17" s="18">
        <v>4</v>
      </c>
      <c r="AZ17" s="70">
        <f t="shared" si="17"/>
        <v>0</v>
      </c>
      <c r="BA17" s="18">
        <f t="shared" si="18"/>
        <v>7</v>
      </c>
      <c r="BB17" s="18">
        <f t="shared" si="18"/>
        <v>8</v>
      </c>
      <c r="BC17" s="18">
        <f t="shared" si="18"/>
        <v>4</v>
      </c>
      <c r="BD17" s="18">
        <f t="shared" si="18"/>
        <v>8</v>
      </c>
      <c r="BE17" s="18">
        <f t="shared" si="18"/>
        <v>11</v>
      </c>
      <c r="BF17" s="18">
        <f t="shared" si="18"/>
        <v>6</v>
      </c>
      <c r="BG17" s="18">
        <f t="shared" si="18"/>
        <v>10</v>
      </c>
      <c r="BH17" s="18">
        <f t="shared" si="18"/>
        <v>4</v>
      </c>
      <c r="BI17" s="18">
        <v>32</v>
      </c>
      <c r="BJ17" s="18">
        <v>27</v>
      </c>
      <c r="BK17" s="18">
        <v>35</v>
      </c>
      <c r="BL17" s="18">
        <v>25</v>
      </c>
      <c r="BM17" s="18">
        <v>24</v>
      </c>
      <c r="BN17" s="18">
        <v>27</v>
      </c>
      <c r="BO17" s="18">
        <v>59</v>
      </c>
      <c r="BP17" s="18">
        <v>75</v>
      </c>
      <c r="BQ17" s="18">
        <v>63</v>
      </c>
      <c r="BR17">
        <v>65</v>
      </c>
      <c r="BS17">
        <v>89</v>
      </c>
    </row>
    <row r="18" spans="1:71">
      <c r="A18" s="18" t="s">
        <v>56</v>
      </c>
      <c r="B18" s="70">
        <v>576</v>
      </c>
      <c r="C18" s="18">
        <v>420</v>
      </c>
      <c r="D18" s="18">
        <v>351</v>
      </c>
      <c r="E18" s="18">
        <v>340</v>
      </c>
      <c r="F18" s="18">
        <f>197+135</f>
        <v>332</v>
      </c>
      <c r="G18" s="18">
        <v>354</v>
      </c>
      <c r="H18" s="18">
        <f>330+24</f>
        <v>354</v>
      </c>
      <c r="I18" s="18">
        <f>302+25</f>
        <v>327</v>
      </c>
      <c r="J18" s="18">
        <v>301</v>
      </c>
      <c r="K18" s="18">
        <v>299</v>
      </c>
      <c r="L18" s="18">
        <v>312</v>
      </c>
      <c r="M18" s="18">
        <v>392</v>
      </c>
      <c r="N18" s="18">
        <v>384</v>
      </c>
      <c r="O18" s="18">
        <v>511</v>
      </c>
      <c r="P18" s="18">
        <v>570</v>
      </c>
      <c r="Q18" s="18">
        <v>565</v>
      </c>
      <c r="R18" s="18">
        <v>636</v>
      </c>
      <c r="S18" s="18">
        <v>707</v>
      </c>
      <c r="T18" s="18">
        <v>724</v>
      </c>
      <c r="U18" s="18">
        <v>762</v>
      </c>
      <c r="V18" s="18">
        <v>722</v>
      </c>
      <c r="W18" s="18">
        <v>822</v>
      </c>
      <c r="X18" s="18">
        <v>761</v>
      </c>
      <c r="Y18" s="18">
        <v>807</v>
      </c>
      <c r="Z18" s="18">
        <v>958</v>
      </c>
      <c r="AA18" s="18">
        <v>887</v>
      </c>
      <c r="AB18" s="18">
        <v>954</v>
      </c>
      <c r="AC18" s="70">
        <v>135</v>
      </c>
      <c r="AD18" s="18">
        <v>131</v>
      </c>
      <c r="AE18" s="18">
        <v>131</v>
      </c>
      <c r="AF18" s="18">
        <v>70</v>
      </c>
      <c r="AG18" s="18">
        <v>48</v>
      </c>
      <c r="AH18" s="18">
        <v>56</v>
      </c>
      <c r="AI18" s="18">
        <v>69</v>
      </c>
      <c r="AJ18" s="18">
        <v>113</v>
      </c>
      <c r="AK18" s="18">
        <v>82</v>
      </c>
      <c r="AL18" s="18">
        <v>129</v>
      </c>
      <c r="AM18" s="18">
        <v>184</v>
      </c>
      <c r="AN18" s="18">
        <v>125</v>
      </c>
      <c r="AO18" s="70">
        <v>131</v>
      </c>
      <c r="AP18" s="18">
        <v>131</v>
      </c>
      <c r="AQ18" s="18">
        <v>70</v>
      </c>
      <c r="AR18" s="18">
        <v>48</v>
      </c>
      <c r="AS18" s="18">
        <v>56</v>
      </c>
      <c r="AT18" s="18">
        <v>69</v>
      </c>
      <c r="AU18" s="18">
        <v>113</v>
      </c>
      <c r="AV18" s="18">
        <v>82</v>
      </c>
      <c r="AW18" s="18">
        <v>129</v>
      </c>
      <c r="AX18" s="18">
        <v>184</v>
      </c>
      <c r="AY18" s="18">
        <v>125</v>
      </c>
      <c r="AZ18" s="70">
        <f t="shared" si="17"/>
        <v>131</v>
      </c>
      <c r="BA18" s="18">
        <f t="shared" si="18"/>
        <v>48</v>
      </c>
      <c r="BB18" s="18">
        <f t="shared" si="18"/>
        <v>56</v>
      </c>
      <c r="BC18" s="18">
        <f t="shared" si="18"/>
        <v>69</v>
      </c>
      <c r="BD18" s="18">
        <f t="shared" si="18"/>
        <v>113</v>
      </c>
      <c r="BE18" s="18">
        <f t="shared" si="18"/>
        <v>82</v>
      </c>
      <c r="BF18" s="18">
        <f t="shared" si="18"/>
        <v>129</v>
      </c>
      <c r="BG18" s="18">
        <f t="shared" si="18"/>
        <v>184</v>
      </c>
      <c r="BH18" s="18">
        <f t="shared" si="18"/>
        <v>125</v>
      </c>
      <c r="BI18" s="18">
        <v>111</v>
      </c>
      <c r="BJ18" s="18">
        <v>136</v>
      </c>
      <c r="BK18" s="18">
        <v>146</v>
      </c>
      <c r="BL18" s="18">
        <v>111</v>
      </c>
      <c r="BM18" s="18">
        <v>145</v>
      </c>
      <c r="BN18" s="18">
        <v>187</v>
      </c>
      <c r="BO18" s="18">
        <v>202</v>
      </c>
      <c r="BP18" s="18">
        <v>196</v>
      </c>
      <c r="BQ18" s="18">
        <v>332</v>
      </c>
      <c r="BR18">
        <v>337</v>
      </c>
      <c r="BS18">
        <v>350</v>
      </c>
    </row>
    <row r="19" spans="1:71">
      <c r="A19" s="18" t="s">
        <v>57</v>
      </c>
      <c r="B19" s="70">
        <v>497</v>
      </c>
      <c r="C19" s="18">
        <v>403</v>
      </c>
      <c r="D19" s="18">
        <v>376</v>
      </c>
      <c r="E19" s="18">
        <v>360</v>
      </c>
      <c r="F19" s="18">
        <f>182+72</f>
        <v>254</v>
      </c>
      <c r="G19" s="18">
        <v>328</v>
      </c>
      <c r="H19" s="18">
        <f>240+266</f>
        <v>506</v>
      </c>
      <c r="I19" s="18">
        <f>220+254</f>
        <v>474</v>
      </c>
      <c r="J19" s="18">
        <v>477</v>
      </c>
      <c r="K19" s="18">
        <v>317</v>
      </c>
      <c r="L19" s="18">
        <v>420</v>
      </c>
      <c r="M19" s="18">
        <v>460</v>
      </c>
      <c r="N19" s="18">
        <v>554</v>
      </c>
      <c r="O19" s="18">
        <v>550</v>
      </c>
      <c r="P19" s="18">
        <v>582</v>
      </c>
      <c r="Q19" s="18">
        <v>772</v>
      </c>
      <c r="R19" s="18">
        <v>899</v>
      </c>
      <c r="S19" s="18">
        <v>1013</v>
      </c>
      <c r="T19" s="18">
        <v>1078</v>
      </c>
      <c r="U19" s="18">
        <v>1262</v>
      </c>
      <c r="V19" s="18">
        <v>1168</v>
      </c>
      <c r="W19" s="18">
        <v>1149</v>
      </c>
      <c r="X19" s="18">
        <v>1290</v>
      </c>
      <c r="Y19" s="18">
        <v>1352</v>
      </c>
      <c r="Z19" s="18">
        <v>1595</v>
      </c>
      <c r="AA19" s="18">
        <v>1596</v>
      </c>
      <c r="AB19" s="18">
        <v>1599</v>
      </c>
      <c r="AC19" s="70">
        <v>72</v>
      </c>
      <c r="AD19" s="18">
        <v>80</v>
      </c>
      <c r="AE19" s="18">
        <v>72</v>
      </c>
      <c r="AF19" s="18">
        <v>62</v>
      </c>
      <c r="AG19" s="18">
        <v>92</v>
      </c>
      <c r="AH19" s="18">
        <v>62</v>
      </c>
      <c r="AI19" s="18">
        <v>66</v>
      </c>
      <c r="AJ19" s="18">
        <v>136</v>
      </c>
      <c r="AK19" s="18">
        <v>145</v>
      </c>
      <c r="AL19" s="18">
        <v>168</v>
      </c>
      <c r="AM19" s="18">
        <v>156</v>
      </c>
      <c r="AN19" s="18">
        <v>189</v>
      </c>
      <c r="AO19" s="70">
        <v>80</v>
      </c>
      <c r="AP19" s="18">
        <v>72</v>
      </c>
      <c r="AQ19" s="18">
        <v>62</v>
      </c>
      <c r="AR19" s="18">
        <v>92</v>
      </c>
      <c r="AS19" s="18">
        <v>62</v>
      </c>
      <c r="AT19" s="18">
        <v>88</v>
      </c>
      <c r="AU19" s="18">
        <v>136</v>
      </c>
      <c r="AV19" s="18">
        <v>145</v>
      </c>
      <c r="AW19" s="18">
        <v>168</v>
      </c>
      <c r="AX19" s="18">
        <v>156</v>
      </c>
      <c r="AY19" s="18">
        <v>189</v>
      </c>
      <c r="AZ19" s="70">
        <f t="shared" si="17"/>
        <v>80</v>
      </c>
      <c r="BA19" s="18">
        <f t="shared" si="18"/>
        <v>92</v>
      </c>
      <c r="BB19" s="18">
        <f t="shared" si="18"/>
        <v>62</v>
      </c>
      <c r="BC19" s="18">
        <f t="shared" si="18"/>
        <v>88</v>
      </c>
      <c r="BD19" s="18">
        <f t="shared" si="18"/>
        <v>136</v>
      </c>
      <c r="BE19" s="18">
        <f t="shared" si="18"/>
        <v>145</v>
      </c>
      <c r="BF19" s="18">
        <f t="shared" si="18"/>
        <v>168</v>
      </c>
      <c r="BG19" s="18">
        <f t="shared" si="18"/>
        <v>156</v>
      </c>
      <c r="BH19" s="18">
        <f t="shared" si="18"/>
        <v>189</v>
      </c>
      <c r="BI19" s="18">
        <v>161</v>
      </c>
      <c r="BJ19" s="18">
        <v>242</v>
      </c>
      <c r="BK19" s="18">
        <v>216</v>
      </c>
      <c r="BL19" s="18">
        <v>362</v>
      </c>
      <c r="BM19" s="18">
        <v>252</v>
      </c>
      <c r="BN19" s="18">
        <v>270</v>
      </c>
      <c r="BO19" s="18">
        <v>284</v>
      </c>
      <c r="BP19" s="18">
        <v>320</v>
      </c>
      <c r="BQ19" s="18">
        <v>475</v>
      </c>
      <c r="BR19">
        <v>441</v>
      </c>
      <c r="BS19">
        <v>490</v>
      </c>
    </row>
    <row r="20" spans="1:71">
      <c r="A20" s="18" t="s">
        <v>58</v>
      </c>
      <c r="B20" s="70">
        <v>1181</v>
      </c>
      <c r="C20" s="18">
        <v>1038</v>
      </c>
      <c r="D20" s="18">
        <v>946</v>
      </c>
      <c r="E20" s="18">
        <v>875</v>
      </c>
      <c r="F20" s="18">
        <f>496+302</f>
        <v>798</v>
      </c>
      <c r="G20" s="18">
        <v>737</v>
      </c>
      <c r="H20" s="18">
        <f>523+173</f>
        <v>696</v>
      </c>
      <c r="I20" s="18">
        <f>639+212</f>
        <v>851</v>
      </c>
      <c r="J20" s="18">
        <v>961</v>
      </c>
      <c r="K20" s="18">
        <v>1032</v>
      </c>
      <c r="L20" s="18">
        <v>1028</v>
      </c>
      <c r="M20" s="18">
        <v>1169</v>
      </c>
      <c r="N20" s="18">
        <v>1245</v>
      </c>
      <c r="O20" s="18">
        <v>1345</v>
      </c>
      <c r="P20" s="18">
        <v>1415</v>
      </c>
      <c r="Q20" s="18">
        <v>1701</v>
      </c>
      <c r="R20" s="18">
        <v>2151</v>
      </c>
      <c r="S20" s="18">
        <v>2495</v>
      </c>
      <c r="T20" s="18">
        <v>2750</v>
      </c>
      <c r="U20" s="18">
        <v>3072</v>
      </c>
      <c r="V20" s="18">
        <v>3189</v>
      </c>
      <c r="W20" s="18">
        <v>3423</v>
      </c>
      <c r="X20" s="18">
        <v>3711</v>
      </c>
      <c r="Y20" s="18">
        <v>3931</v>
      </c>
      <c r="Z20" s="18">
        <v>4160</v>
      </c>
      <c r="AA20" s="18">
        <v>4533</v>
      </c>
      <c r="AB20" s="18">
        <v>4972</v>
      </c>
      <c r="AC20" s="70">
        <v>302</v>
      </c>
      <c r="AD20" s="18">
        <v>244</v>
      </c>
      <c r="AE20" s="18">
        <v>148</v>
      </c>
      <c r="AF20" s="18">
        <v>259</v>
      </c>
      <c r="AG20" s="18">
        <v>261</v>
      </c>
      <c r="AH20" s="18">
        <v>300</v>
      </c>
      <c r="AI20" s="18">
        <v>280</v>
      </c>
      <c r="AJ20" s="18">
        <v>284</v>
      </c>
      <c r="AK20" s="18">
        <v>386</v>
      </c>
      <c r="AL20" s="18">
        <v>418</v>
      </c>
      <c r="AM20" s="18">
        <v>347</v>
      </c>
      <c r="AN20" s="18">
        <v>420</v>
      </c>
      <c r="AO20" s="70">
        <v>244</v>
      </c>
      <c r="AP20" s="18">
        <v>148</v>
      </c>
      <c r="AQ20" s="18">
        <v>259</v>
      </c>
      <c r="AR20" s="18">
        <v>261</v>
      </c>
      <c r="AS20" s="18">
        <v>300</v>
      </c>
      <c r="AT20" s="18">
        <v>280</v>
      </c>
      <c r="AU20" s="18">
        <v>284</v>
      </c>
      <c r="AV20" s="18">
        <v>386</v>
      </c>
      <c r="AW20" s="18">
        <v>418</v>
      </c>
      <c r="AX20" s="18">
        <v>347</v>
      </c>
      <c r="AY20" s="18">
        <v>420</v>
      </c>
      <c r="AZ20" s="70">
        <f t="shared" si="17"/>
        <v>244</v>
      </c>
      <c r="BA20" s="18">
        <f t="shared" si="18"/>
        <v>261</v>
      </c>
      <c r="BB20" s="18">
        <f t="shared" si="18"/>
        <v>300</v>
      </c>
      <c r="BC20" s="18">
        <f t="shared" si="18"/>
        <v>280</v>
      </c>
      <c r="BD20" s="18">
        <f t="shared" si="18"/>
        <v>284</v>
      </c>
      <c r="BE20" s="18">
        <f t="shared" si="18"/>
        <v>386</v>
      </c>
      <c r="BF20" s="18">
        <f t="shared" si="18"/>
        <v>418</v>
      </c>
      <c r="BG20" s="18">
        <f t="shared" si="18"/>
        <v>347</v>
      </c>
      <c r="BH20" s="18">
        <f t="shared" si="18"/>
        <v>420</v>
      </c>
      <c r="BI20" s="18">
        <v>474</v>
      </c>
      <c r="BJ20" s="18">
        <v>691</v>
      </c>
      <c r="BK20" s="18">
        <v>721</v>
      </c>
      <c r="BL20" s="18">
        <v>914</v>
      </c>
      <c r="BM20" s="18">
        <v>891</v>
      </c>
      <c r="BN20" s="18">
        <v>956</v>
      </c>
      <c r="BO20" s="18">
        <v>1023</v>
      </c>
      <c r="BP20" s="18">
        <v>817</v>
      </c>
      <c r="BQ20" s="18">
        <v>933</v>
      </c>
      <c r="BR20">
        <v>908</v>
      </c>
      <c r="BS20">
        <v>805</v>
      </c>
    </row>
    <row r="21" spans="1:71">
      <c r="A21" s="18" t="s">
        <v>59</v>
      </c>
      <c r="B21" s="70">
        <v>506</v>
      </c>
      <c r="C21" s="18">
        <v>467</v>
      </c>
      <c r="D21" s="18">
        <v>452</v>
      </c>
      <c r="E21" s="18">
        <v>406</v>
      </c>
      <c r="F21" s="18">
        <f>221+204</f>
        <v>425</v>
      </c>
      <c r="G21" s="18">
        <v>446</v>
      </c>
      <c r="H21" s="18">
        <f>398+102</f>
        <v>500</v>
      </c>
      <c r="I21" s="18">
        <f>427+118</f>
        <v>545</v>
      </c>
      <c r="J21" s="18">
        <v>556</v>
      </c>
      <c r="K21" s="18">
        <v>649</v>
      </c>
      <c r="L21" s="18">
        <v>695</v>
      </c>
      <c r="M21" s="18">
        <v>850</v>
      </c>
      <c r="N21" s="18">
        <v>883</v>
      </c>
      <c r="O21" s="18">
        <v>1003</v>
      </c>
      <c r="P21" s="18">
        <v>1044</v>
      </c>
      <c r="Q21" s="18">
        <v>1223</v>
      </c>
      <c r="R21" s="18">
        <v>1277</v>
      </c>
      <c r="S21" s="18">
        <v>1399</v>
      </c>
      <c r="T21" s="18">
        <v>1480</v>
      </c>
      <c r="U21" s="18">
        <v>1492</v>
      </c>
      <c r="V21" s="18">
        <v>1652</v>
      </c>
      <c r="W21" s="18">
        <v>1728</v>
      </c>
      <c r="X21" s="18">
        <v>1811</v>
      </c>
      <c r="Y21" s="18">
        <v>2120</v>
      </c>
      <c r="Z21" s="18">
        <v>2984</v>
      </c>
      <c r="AA21" s="18">
        <v>3258</v>
      </c>
      <c r="AB21" s="18">
        <v>3742</v>
      </c>
      <c r="AC21" s="70">
        <v>204</v>
      </c>
      <c r="AD21" s="18">
        <v>199</v>
      </c>
      <c r="AE21" s="18">
        <v>183</v>
      </c>
      <c r="AF21" s="18">
        <v>216</v>
      </c>
      <c r="AG21" s="18">
        <v>186</v>
      </c>
      <c r="AH21" s="18">
        <v>188</v>
      </c>
      <c r="AI21" s="18">
        <v>206</v>
      </c>
      <c r="AJ21" s="18">
        <v>219</v>
      </c>
      <c r="AK21" s="18">
        <v>267</v>
      </c>
      <c r="AL21" s="18">
        <v>278</v>
      </c>
      <c r="AM21" s="18">
        <v>306</v>
      </c>
      <c r="AN21" s="18">
        <v>338</v>
      </c>
      <c r="AO21" s="70">
        <v>199</v>
      </c>
      <c r="AP21" s="18">
        <v>183</v>
      </c>
      <c r="AQ21" s="18">
        <v>216</v>
      </c>
      <c r="AR21" s="18">
        <v>186</v>
      </c>
      <c r="AS21" s="18">
        <v>188</v>
      </c>
      <c r="AT21" s="18">
        <v>206</v>
      </c>
      <c r="AU21" s="18">
        <v>219</v>
      </c>
      <c r="AV21" s="18">
        <v>267</v>
      </c>
      <c r="AW21" s="18">
        <v>278</v>
      </c>
      <c r="AX21" s="18">
        <v>306</v>
      </c>
      <c r="AY21" s="18">
        <v>338</v>
      </c>
      <c r="AZ21" s="70">
        <f t="shared" si="17"/>
        <v>199</v>
      </c>
      <c r="BA21" s="18">
        <f t="shared" si="18"/>
        <v>186</v>
      </c>
      <c r="BB21" s="18">
        <f t="shared" si="18"/>
        <v>188</v>
      </c>
      <c r="BC21" s="18">
        <f t="shared" si="18"/>
        <v>206</v>
      </c>
      <c r="BD21" s="18">
        <f t="shared" si="18"/>
        <v>219</v>
      </c>
      <c r="BE21" s="18">
        <f t="shared" si="18"/>
        <v>267</v>
      </c>
      <c r="BF21" s="18">
        <f t="shared" si="18"/>
        <v>278</v>
      </c>
      <c r="BG21" s="18">
        <f t="shared" si="18"/>
        <v>306</v>
      </c>
      <c r="BH21" s="18">
        <f t="shared" si="18"/>
        <v>338</v>
      </c>
      <c r="BI21" s="18">
        <v>368</v>
      </c>
      <c r="BJ21" s="18">
        <v>396</v>
      </c>
      <c r="BK21" s="18">
        <v>398</v>
      </c>
      <c r="BL21" s="18">
        <v>381</v>
      </c>
      <c r="BM21" s="18">
        <v>424</v>
      </c>
      <c r="BN21" s="18">
        <v>396</v>
      </c>
      <c r="BO21" s="18">
        <v>405</v>
      </c>
      <c r="BP21" s="18">
        <v>480</v>
      </c>
      <c r="BQ21" s="18">
        <v>1071</v>
      </c>
      <c r="BR21">
        <v>962</v>
      </c>
      <c r="BS21">
        <v>1183</v>
      </c>
    </row>
    <row r="22" spans="1:71">
      <c r="A22" s="20" t="s">
        <v>60</v>
      </c>
      <c r="B22" s="71">
        <v>42</v>
      </c>
      <c r="C22" s="20">
        <v>31</v>
      </c>
      <c r="D22" s="20">
        <v>47</v>
      </c>
      <c r="E22" s="20">
        <v>65</v>
      </c>
      <c r="F22" s="20">
        <v>35</v>
      </c>
      <c r="G22" s="20">
        <v>39</v>
      </c>
      <c r="H22" s="20">
        <v>28</v>
      </c>
      <c r="I22" s="20">
        <f>19+2</f>
        <v>21</v>
      </c>
      <c r="J22" s="20">
        <v>40</v>
      </c>
      <c r="K22" s="20">
        <v>37</v>
      </c>
      <c r="L22" s="20">
        <v>52</v>
      </c>
      <c r="M22" s="20">
        <v>58</v>
      </c>
      <c r="N22" s="20">
        <v>57</v>
      </c>
      <c r="O22" s="20">
        <v>68</v>
      </c>
      <c r="P22" s="20">
        <v>70</v>
      </c>
      <c r="Q22" s="20">
        <v>78</v>
      </c>
      <c r="R22" s="20">
        <v>72</v>
      </c>
      <c r="S22" s="20">
        <v>77</v>
      </c>
      <c r="T22" s="20">
        <v>82</v>
      </c>
      <c r="U22" s="20">
        <v>72</v>
      </c>
      <c r="V22" s="20">
        <v>129</v>
      </c>
      <c r="W22" s="20">
        <v>170</v>
      </c>
      <c r="X22" s="20">
        <v>201</v>
      </c>
      <c r="Y22" s="20">
        <v>296</v>
      </c>
      <c r="Z22" s="20">
        <v>163</v>
      </c>
      <c r="AA22" s="20">
        <v>131</v>
      </c>
      <c r="AB22" s="20">
        <v>141</v>
      </c>
      <c r="AC22" s="71" t="s">
        <v>197</v>
      </c>
      <c r="AD22" s="20"/>
      <c r="AE22" s="20" t="s">
        <v>197</v>
      </c>
      <c r="AF22" s="20" t="s">
        <v>197</v>
      </c>
      <c r="AG22" s="20"/>
      <c r="AH22" s="20"/>
      <c r="AI22" s="20"/>
      <c r="AJ22" s="20"/>
      <c r="AK22" s="20"/>
      <c r="AL22" s="20"/>
      <c r="AM22" s="20"/>
      <c r="AN22" s="20"/>
      <c r="AO22" s="71"/>
      <c r="AP22" s="20">
        <v>0</v>
      </c>
      <c r="AQ22" s="20">
        <v>0</v>
      </c>
      <c r="AR22" s="20">
        <v>0</v>
      </c>
      <c r="AS22" s="20">
        <v>0</v>
      </c>
      <c r="AT22" s="20"/>
      <c r="AU22" s="20"/>
      <c r="AV22" s="20"/>
      <c r="AW22" s="20">
        <v>0</v>
      </c>
      <c r="AX22" s="20"/>
      <c r="AY22" s="20"/>
      <c r="AZ22" s="71">
        <f t="shared" si="17"/>
        <v>0</v>
      </c>
      <c r="BA22" s="20">
        <f t="shared" si="18"/>
        <v>0</v>
      </c>
      <c r="BB22" s="20">
        <f t="shared" si="18"/>
        <v>0</v>
      </c>
      <c r="BC22" s="20">
        <f t="shared" si="18"/>
        <v>0</v>
      </c>
      <c r="BD22" s="20">
        <f t="shared" si="18"/>
        <v>0</v>
      </c>
      <c r="BE22" s="20">
        <f t="shared" si="18"/>
        <v>0</v>
      </c>
      <c r="BF22" s="20">
        <f t="shared" si="18"/>
        <v>0</v>
      </c>
      <c r="BG22" s="20">
        <f t="shared" si="18"/>
        <v>0</v>
      </c>
      <c r="BH22" s="20">
        <f t="shared" si="18"/>
        <v>0</v>
      </c>
      <c r="BI22" s="20"/>
      <c r="BJ22" s="20">
        <v>0</v>
      </c>
      <c r="BK22" s="20">
        <v>0</v>
      </c>
      <c r="BL22" s="20">
        <v>1</v>
      </c>
      <c r="BM22" s="20">
        <v>1</v>
      </c>
      <c r="BN22" s="20">
        <v>1</v>
      </c>
      <c r="BO22" s="20">
        <v>1</v>
      </c>
      <c r="BP22" s="20">
        <v>2</v>
      </c>
      <c r="BQ22" s="20">
        <v>1</v>
      </c>
      <c r="BR22" s="162">
        <v>3</v>
      </c>
      <c r="BS22" s="141">
        <v>0</v>
      </c>
    </row>
    <row r="23" spans="1:71">
      <c r="A23" s="22" t="s">
        <v>61</v>
      </c>
      <c r="B23" s="52">
        <f>SUM(B25:B37)</f>
        <v>0</v>
      </c>
      <c r="C23" s="22">
        <f t="shared" ref="C23:BO23" si="19">SUM(C25:C37)</f>
        <v>0</v>
      </c>
      <c r="D23" s="22">
        <f t="shared" si="19"/>
        <v>0</v>
      </c>
      <c r="E23" s="22">
        <f t="shared" si="19"/>
        <v>0</v>
      </c>
      <c r="F23" s="22">
        <f t="shared" si="19"/>
        <v>0</v>
      </c>
      <c r="G23" s="22">
        <f t="shared" si="19"/>
        <v>1493</v>
      </c>
      <c r="H23" s="22">
        <f t="shared" si="19"/>
        <v>0</v>
      </c>
      <c r="I23" s="22">
        <f t="shared" si="19"/>
        <v>0</v>
      </c>
      <c r="J23" s="22">
        <f t="shared" si="19"/>
        <v>1622</v>
      </c>
      <c r="K23" s="22">
        <f t="shared" si="19"/>
        <v>1810</v>
      </c>
      <c r="L23" s="22">
        <f t="shared" si="19"/>
        <v>1877</v>
      </c>
      <c r="M23" s="22">
        <f t="shared" si="19"/>
        <v>2128</v>
      </c>
      <c r="N23" s="22">
        <f t="shared" si="19"/>
        <v>2316</v>
      </c>
      <c r="O23" s="22">
        <f t="shared" si="19"/>
        <v>2403</v>
      </c>
      <c r="P23" s="22">
        <f t="shared" si="19"/>
        <v>2599</v>
      </c>
      <c r="Q23" s="22">
        <f t="shared" si="19"/>
        <v>3156</v>
      </c>
      <c r="R23" s="22">
        <f t="shared" si="19"/>
        <v>3260</v>
      </c>
      <c r="S23" s="22">
        <f t="shared" si="19"/>
        <v>4123</v>
      </c>
      <c r="T23" s="22">
        <f t="shared" si="19"/>
        <v>5224</v>
      </c>
      <c r="U23" s="22">
        <f t="shared" si="19"/>
        <v>3879</v>
      </c>
      <c r="V23" s="22">
        <f t="shared" si="19"/>
        <v>7071</v>
      </c>
      <c r="W23" s="22">
        <f t="shared" si="19"/>
        <v>7531</v>
      </c>
      <c r="X23" s="22">
        <f t="shared" si="19"/>
        <v>8512</v>
      </c>
      <c r="Y23" s="22">
        <f t="shared" ref="Y23:Z23" si="20">SUM(Y25:Y37)</f>
        <v>9727</v>
      </c>
      <c r="Z23" s="22">
        <f t="shared" si="20"/>
        <v>5375</v>
      </c>
      <c r="AA23" s="22">
        <f t="shared" ref="AA23:AB23" si="21">SUM(AA25:AA37)</f>
        <v>10057</v>
      </c>
      <c r="AB23" s="22">
        <f t="shared" si="21"/>
        <v>9489</v>
      </c>
      <c r="AC23" s="52">
        <f t="shared" si="19"/>
        <v>0</v>
      </c>
      <c r="AD23" s="22">
        <f t="shared" si="19"/>
        <v>0</v>
      </c>
      <c r="AE23" s="22">
        <f t="shared" si="19"/>
        <v>0</v>
      </c>
      <c r="AF23" s="22">
        <f t="shared" si="19"/>
        <v>0</v>
      </c>
      <c r="AG23" s="22">
        <f t="shared" si="19"/>
        <v>0</v>
      </c>
      <c r="AH23" s="22">
        <f t="shared" si="19"/>
        <v>0</v>
      </c>
      <c r="AI23" s="22">
        <f t="shared" si="19"/>
        <v>0</v>
      </c>
      <c r="AJ23" s="22">
        <f t="shared" si="19"/>
        <v>0</v>
      </c>
      <c r="AK23" s="22">
        <f t="shared" si="19"/>
        <v>0</v>
      </c>
      <c r="AL23" s="22">
        <f t="shared" si="19"/>
        <v>0</v>
      </c>
      <c r="AM23" s="22">
        <f t="shared" si="19"/>
        <v>0</v>
      </c>
      <c r="AN23" s="22">
        <f t="shared" si="19"/>
        <v>0</v>
      </c>
      <c r="AO23" s="52">
        <f t="shared" si="19"/>
        <v>0</v>
      </c>
      <c r="AP23" s="22">
        <f t="shared" si="19"/>
        <v>0</v>
      </c>
      <c r="AQ23" s="22">
        <f t="shared" si="19"/>
        <v>0</v>
      </c>
      <c r="AR23" s="22">
        <f t="shared" si="19"/>
        <v>0</v>
      </c>
      <c r="AS23" s="22">
        <f t="shared" si="19"/>
        <v>0</v>
      </c>
      <c r="AT23" s="22">
        <f t="shared" si="19"/>
        <v>0</v>
      </c>
      <c r="AU23" s="22">
        <f t="shared" si="19"/>
        <v>0</v>
      </c>
      <c r="AV23" s="22">
        <f t="shared" si="19"/>
        <v>0</v>
      </c>
      <c r="AW23" s="22">
        <f t="shared" si="19"/>
        <v>0</v>
      </c>
      <c r="AX23" s="22">
        <f t="shared" si="19"/>
        <v>0</v>
      </c>
      <c r="AY23" s="22">
        <f t="shared" si="19"/>
        <v>0</v>
      </c>
      <c r="AZ23" s="52">
        <f t="shared" si="19"/>
        <v>0</v>
      </c>
      <c r="BA23" s="22">
        <f t="shared" si="19"/>
        <v>0</v>
      </c>
      <c r="BB23" s="22">
        <f t="shared" si="19"/>
        <v>0</v>
      </c>
      <c r="BC23" s="22">
        <f t="shared" si="19"/>
        <v>0</v>
      </c>
      <c r="BD23" s="22">
        <f t="shared" si="19"/>
        <v>0</v>
      </c>
      <c r="BE23" s="22">
        <f t="shared" si="19"/>
        <v>0</v>
      </c>
      <c r="BF23" s="22">
        <f t="shared" si="19"/>
        <v>0</v>
      </c>
      <c r="BG23" s="22">
        <f t="shared" si="19"/>
        <v>0</v>
      </c>
      <c r="BH23" s="22">
        <f t="shared" si="19"/>
        <v>0</v>
      </c>
      <c r="BI23" s="22">
        <f t="shared" si="19"/>
        <v>5</v>
      </c>
      <c r="BJ23" s="22">
        <f t="shared" si="19"/>
        <v>1</v>
      </c>
      <c r="BK23" s="22">
        <f t="shared" si="19"/>
        <v>1</v>
      </c>
      <c r="BL23" s="22">
        <f t="shared" si="19"/>
        <v>20</v>
      </c>
      <c r="BM23" s="22">
        <f t="shared" si="19"/>
        <v>0</v>
      </c>
      <c r="BN23" s="22">
        <f t="shared" si="19"/>
        <v>21</v>
      </c>
      <c r="BO23" s="22">
        <f t="shared" si="19"/>
        <v>28</v>
      </c>
      <c r="BP23" s="22">
        <f t="shared" ref="BP23:BQ23" si="22">SUM(BP25:BP37)</f>
        <v>36</v>
      </c>
      <c r="BQ23" s="22">
        <f t="shared" si="22"/>
        <v>36</v>
      </c>
      <c r="BR23" s="22">
        <f t="shared" ref="BR23:BS23" si="23">SUM(BR25:BR37)</f>
        <v>24</v>
      </c>
      <c r="BS23" s="22">
        <f t="shared" si="23"/>
        <v>27</v>
      </c>
    </row>
    <row r="24" spans="1:71">
      <c r="A24" s="17" t="s">
        <v>44</v>
      </c>
      <c r="B24" s="49">
        <f>(B23/B4)*100</f>
        <v>0</v>
      </c>
      <c r="C24" s="17">
        <f t="shared" ref="C24:BO24" si="24">(C23/C4)*100</f>
        <v>0</v>
      </c>
      <c r="D24" s="17">
        <f t="shared" si="24"/>
        <v>0</v>
      </c>
      <c r="E24" s="17">
        <f t="shared" si="24"/>
        <v>0</v>
      </c>
      <c r="F24" s="17">
        <f t="shared" si="24"/>
        <v>0</v>
      </c>
      <c r="G24" s="17">
        <f t="shared" si="24"/>
        <v>11.370906321401371</v>
      </c>
      <c r="H24" s="17">
        <f t="shared" si="24"/>
        <v>0</v>
      </c>
      <c r="I24" s="17">
        <f t="shared" si="24"/>
        <v>0</v>
      </c>
      <c r="J24" s="17">
        <f t="shared" si="24"/>
        <v>9.3336402347796064</v>
      </c>
      <c r="K24" s="17">
        <f t="shared" si="24"/>
        <v>9.5980485735496881</v>
      </c>
      <c r="L24" s="17">
        <f t="shared" si="24"/>
        <v>8.9894636015325666</v>
      </c>
      <c r="M24" s="17">
        <f t="shared" si="24"/>
        <v>9.2929822262980917</v>
      </c>
      <c r="N24" s="17">
        <f t="shared" si="24"/>
        <v>9.4603978595645604</v>
      </c>
      <c r="O24" s="17">
        <f t="shared" si="24"/>
        <v>8.93773711225173</v>
      </c>
      <c r="P24" s="17">
        <f t="shared" si="24"/>
        <v>9.087730340221686</v>
      </c>
      <c r="Q24" s="17">
        <f t="shared" si="24"/>
        <v>9.4023714472978615</v>
      </c>
      <c r="R24" s="17">
        <f t="shared" si="24"/>
        <v>8.1479630092476878</v>
      </c>
      <c r="S24" s="17">
        <f t="shared" si="24"/>
        <v>9.1321874723132801</v>
      </c>
      <c r="T24" s="17">
        <f t="shared" si="24"/>
        <v>10.850555613251636</v>
      </c>
      <c r="U24" s="17">
        <f t="shared" si="24"/>
        <v>7.8441285312733813</v>
      </c>
      <c r="V24" s="17">
        <f t="shared" si="24"/>
        <v>12.721744449641969</v>
      </c>
      <c r="W24" s="17">
        <f t="shared" si="24"/>
        <v>13.111985514311581</v>
      </c>
      <c r="X24" s="17">
        <f t="shared" si="24"/>
        <v>13.800930654863238</v>
      </c>
      <c r="Y24" s="17">
        <f t="shared" ref="Y24:Z24" si="25">(Y23/Y4)*100</f>
        <v>14.972216663844721</v>
      </c>
      <c r="Z24" s="17">
        <f t="shared" si="25"/>
        <v>8.4418338018878298</v>
      </c>
      <c r="AA24" s="17">
        <f t="shared" ref="AA24:AB24" si="26">(AA23/AA4)*100</f>
        <v>14.169179182281832</v>
      </c>
      <c r="AB24" s="17">
        <f t="shared" si="26"/>
        <v>12.942075041940015</v>
      </c>
      <c r="AC24" s="49">
        <f t="shared" si="24"/>
        <v>0</v>
      </c>
      <c r="AD24" s="17">
        <f t="shared" si="24"/>
        <v>0</v>
      </c>
      <c r="AE24" s="17">
        <f t="shared" si="24"/>
        <v>0</v>
      </c>
      <c r="AF24" s="17">
        <f t="shared" si="24"/>
        <v>0</v>
      </c>
      <c r="AG24" s="17">
        <f t="shared" si="24"/>
        <v>0</v>
      </c>
      <c r="AH24" s="17">
        <f t="shared" si="24"/>
        <v>0</v>
      </c>
      <c r="AI24" s="17">
        <f t="shared" si="24"/>
        <v>0</v>
      </c>
      <c r="AJ24" s="17">
        <f t="shared" si="24"/>
        <v>0</v>
      </c>
      <c r="AK24" s="17">
        <f t="shared" si="24"/>
        <v>0</v>
      </c>
      <c r="AL24" s="17">
        <f t="shared" si="24"/>
        <v>0</v>
      </c>
      <c r="AM24" s="17">
        <f t="shared" si="24"/>
        <v>0</v>
      </c>
      <c r="AN24" s="17">
        <f t="shared" si="24"/>
        <v>0</v>
      </c>
      <c r="AO24" s="49">
        <f t="shared" si="24"/>
        <v>0</v>
      </c>
      <c r="AP24" s="17">
        <f t="shared" si="24"/>
        <v>0</v>
      </c>
      <c r="AQ24" s="17">
        <f t="shared" si="24"/>
        <v>0</v>
      </c>
      <c r="AR24" s="17">
        <f t="shared" si="24"/>
        <v>0</v>
      </c>
      <c r="AS24" s="17">
        <f t="shared" si="24"/>
        <v>0</v>
      </c>
      <c r="AT24" s="17">
        <f t="shared" si="24"/>
        <v>0</v>
      </c>
      <c r="AU24" s="17">
        <f t="shared" si="24"/>
        <v>0</v>
      </c>
      <c r="AV24" s="17">
        <f t="shared" si="24"/>
        <v>0</v>
      </c>
      <c r="AW24" s="17">
        <f t="shared" si="24"/>
        <v>0</v>
      </c>
      <c r="AX24" s="17">
        <f t="shared" si="24"/>
        <v>0</v>
      </c>
      <c r="AY24" s="17">
        <f t="shared" si="24"/>
        <v>0</v>
      </c>
      <c r="AZ24" s="49">
        <f t="shared" si="24"/>
        <v>0</v>
      </c>
      <c r="BA24" s="17">
        <f t="shared" si="24"/>
        <v>0</v>
      </c>
      <c r="BB24" s="17">
        <f t="shared" si="24"/>
        <v>0</v>
      </c>
      <c r="BC24" s="17">
        <f t="shared" si="24"/>
        <v>0</v>
      </c>
      <c r="BD24" s="17">
        <f t="shared" si="24"/>
        <v>0</v>
      </c>
      <c r="BE24" s="17">
        <f t="shared" si="24"/>
        <v>0</v>
      </c>
      <c r="BF24" s="17">
        <f t="shared" si="24"/>
        <v>0</v>
      </c>
      <c r="BG24" s="17">
        <f t="shared" si="24"/>
        <v>0</v>
      </c>
      <c r="BH24" s="17">
        <f t="shared" si="24"/>
        <v>0</v>
      </c>
      <c r="BI24" s="17">
        <f t="shared" si="24"/>
        <v>8.76731544800982E-2</v>
      </c>
      <c r="BJ24" s="17">
        <f t="shared" si="24"/>
        <v>1.6477179106936891E-2</v>
      </c>
      <c r="BK24" s="17">
        <f t="shared" si="24"/>
        <v>1.4757969303423848E-2</v>
      </c>
      <c r="BL24" s="17">
        <f t="shared" si="24"/>
        <v>0.24978144123891594</v>
      </c>
      <c r="BM24" s="17">
        <f t="shared" si="24"/>
        <v>0</v>
      </c>
      <c r="BN24" s="17">
        <f t="shared" si="24"/>
        <v>0.23219814241486067</v>
      </c>
      <c r="BO24" s="17">
        <f t="shared" si="24"/>
        <v>0.28183190739808756</v>
      </c>
      <c r="BP24" s="17">
        <f t="shared" ref="BP24:BQ24" si="27">(BP23/BP4)*100</f>
        <v>0.40463077441834328</v>
      </c>
      <c r="BQ24" s="17">
        <f t="shared" si="27"/>
        <v>0.33780613681148541</v>
      </c>
      <c r="BR24" s="17">
        <f t="shared" ref="BR24:BS24" si="28">(BR23/BR4)*100</f>
        <v>0.23287405394915583</v>
      </c>
      <c r="BS24" s="17">
        <f t="shared" si="28"/>
        <v>0.24646280237334547</v>
      </c>
    </row>
    <row r="25" spans="1:71">
      <c r="A25" s="18" t="s">
        <v>62</v>
      </c>
      <c r="B25" s="70"/>
      <c r="C25" s="18"/>
      <c r="D25" s="18"/>
      <c r="E25" s="18"/>
      <c r="F25" s="18"/>
      <c r="G25" s="18">
        <v>2</v>
      </c>
      <c r="H25" s="18"/>
      <c r="I25" s="18"/>
      <c r="J25" s="18">
        <v>7</v>
      </c>
      <c r="K25" s="18">
        <v>5</v>
      </c>
      <c r="L25" s="18">
        <v>6</v>
      </c>
      <c r="M25" s="18">
        <v>9</v>
      </c>
      <c r="N25" s="18">
        <v>4</v>
      </c>
      <c r="O25" s="18">
        <v>6</v>
      </c>
      <c r="P25" s="18">
        <v>17</v>
      </c>
      <c r="Q25" s="18">
        <v>15</v>
      </c>
      <c r="R25" s="18">
        <v>12</v>
      </c>
      <c r="S25" s="18">
        <v>8</v>
      </c>
      <c r="T25" s="18">
        <v>13</v>
      </c>
      <c r="U25" s="18">
        <v>9</v>
      </c>
      <c r="V25" s="18">
        <v>21</v>
      </c>
      <c r="W25" s="18">
        <v>17</v>
      </c>
      <c r="X25" s="18">
        <v>11</v>
      </c>
      <c r="Y25" s="18">
        <v>15</v>
      </c>
      <c r="Z25" s="18">
        <v>15</v>
      </c>
      <c r="AA25" s="18">
        <v>17</v>
      </c>
      <c r="AB25" s="18">
        <v>17</v>
      </c>
      <c r="AC25" s="70"/>
      <c r="AD25" s="18"/>
      <c r="AE25" s="18"/>
      <c r="AF25" s="18"/>
      <c r="AG25" s="18"/>
      <c r="AH25" s="18"/>
      <c r="AI25" s="18"/>
      <c r="AJ25" s="18"/>
      <c r="AK25" s="18"/>
      <c r="AL25" s="18"/>
      <c r="AM25" s="18"/>
      <c r="AN25" s="18"/>
      <c r="AO25" s="70"/>
      <c r="AP25" s="18"/>
      <c r="AQ25" s="18"/>
      <c r="AR25" s="18"/>
      <c r="AS25" s="18"/>
      <c r="AT25" s="18"/>
      <c r="AU25" s="18"/>
      <c r="AV25" s="18"/>
      <c r="AW25" s="18"/>
      <c r="AX25" s="18"/>
      <c r="AY25" s="18"/>
      <c r="AZ25" s="70">
        <f t="shared" ref="AZ25:AZ37" si="29">IF(AD25&gt;AO25,(AD25),(AO25))</f>
        <v>0</v>
      </c>
      <c r="BA25" s="18">
        <f t="shared" ref="BA25:BH37" si="30">IF(AG25&gt;AR25,(AG25),(AR25))</f>
        <v>0</v>
      </c>
      <c r="BB25" s="18">
        <f t="shared" si="30"/>
        <v>0</v>
      </c>
      <c r="BC25" s="18">
        <f t="shared" si="30"/>
        <v>0</v>
      </c>
      <c r="BD25" s="18">
        <f t="shared" si="30"/>
        <v>0</v>
      </c>
      <c r="BE25" s="18">
        <f t="shared" si="30"/>
        <v>0</v>
      </c>
      <c r="BF25" s="18">
        <f t="shared" si="30"/>
        <v>0</v>
      </c>
      <c r="BG25" s="18">
        <f t="shared" si="30"/>
        <v>0</v>
      </c>
      <c r="BH25" s="18">
        <f t="shared" si="30"/>
        <v>0</v>
      </c>
      <c r="BI25" s="18"/>
      <c r="BJ25" s="18"/>
      <c r="BK25" s="18"/>
      <c r="BL25" s="18"/>
      <c r="BM25" s="18"/>
      <c r="BN25" s="18"/>
      <c r="BO25" s="18"/>
      <c r="BP25" s="18"/>
      <c r="BQ25" s="18"/>
      <c r="BR25">
        <v>0</v>
      </c>
      <c r="BS25">
        <v>0</v>
      </c>
    </row>
    <row r="26" spans="1:71">
      <c r="A26" s="18" t="s">
        <v>63</v>
      </c>
      <c r="B26" s="70"/>
      <c r="C26" s="18"/>
      <c r="D26" s="18"/>
      <c r="E26" s="18"/>
      <c r="F26" s="18"/>
      <c r="G26" s="18">
        <v>108</v>
      </c>
      <c r="H26" s="18"/>
      <c r="I26" s="18"/>
      <c r="J26" s="18">
        <v>77</v>
      </c>
      <c r="K26" s="18">
        <v>118</v>
      </c>
      <c r="L26" s="18">
        <v>102</v>
      </c>
      <c r="M26" s="18">
        <v>104</v>
      </c>
      <c r="N26" s="18">
        <v>165</v>
      </c>
      <c r="O26" s="18">
        <v>168</v>
      </c>
      <c r="P26" s="18">
        <v>217</v>
      </c>
      <c r="Q26" s="18">
        <v>313</v>
      </c>
      <c r="R26" s="18">
        <v>335</v>
      </c>
      <c r="S26" s="18">
        <v>790</v>
      </c>
      <c r="T26" s="18">
        <v>1585</v>
      </c>
      <c r="U26" s="18">
        <v>244</v>
      </c>
      <c r="V26" s="18">
        <v>2878</v>
      </c>
      <c r="W26" s="18">
        <v>3184</v>
      </c>
      <c r="X26" s="18">
        <v>3605</v>
      </c>
      <c r="Y26" s="18">
        <v>4692</v>
      </c>
      <c r="Z26" s="18">
        <v>832</v>
      </c>
      <c r="AA26" s="18">
        <v>5101</v>
      </c>
      <c r="AB26" s="18">
        <v>4620</v>
      </c>
      <c r="AC26" s="70"/>
      <c r="AD26" s="18"/>
      <c r="AE26" s="18"/>
      <c r="AF26" s="18"/>
      <c r="AG26" s="18"/>
      <c r="AH26" s="18"/>
      <c r="AI26" s="18"/>
      <c r="AJ26" s="18"/>
      <c r="AK26" s="18"/>
      <c r="AL26" s="18"/>
      <c r="AM26" s="18"/>
      <c r="AN26" s="18"/>
      <c r="AO26" s="70"/>
      <c r="AP26" s="18"/>
      <c r="AQ26" s="18"/>
      <c r="AR26" s="18"/>
      <c r="AS26" s="18"/>
      <c r="AT26" s="18"/>
      <c r="AU26" s="18"/>
      <c r="AV26" s="18"/>
      <c r="AW26" s="18"/>
      <c r="AX26" s="18"/>
      <c r="AY26" s="18"/>
      <c r="AZ26" s="70">
        <f t="shared" si="29"/>
        <v>0</v>
      </c>
      <c r="BA26" s="18">
        <f t="shared" si="30"/>
        <v>0</v>
      </c>
      <c r="BB26" s="18">
        <f t="shared" si="30"/>
        <v>0</v>
      </c>
      <c r="BC26" s="18">
        <f t="shared" si="30"/>
        <v>0</v>
      </c>
      <c r="BD26" s="18">
        <f t="shared" si="30"/>
        <v>0</v>
      </c>
      <c r="BE26" s="18">
        <f t="shared" si="30"/>
        <v>0</v>
      </c>
      <c r="BF26" s="18">
        <f t="shared" si="30"/>
        <v>0</v>
      </c>
      <c r="BG26" s="18">
        <f t="shared" si="30"/>
        <v>0</v>
      </c>
      <c r="BH26" s="18">
        <f t="shared" si="30"/>
        <v>0</v>
      </c>
      <c r="BI26" s="18"/>
      <c r="BJ26" s="18"/>
      <c r="BK26" s="18"/>
      <c r="BL26" s="18"/>
      <c r="BM26" s="18"/>
      <c r="BN26" s="18"/>
      <c r="BO26" s="18"/>
      <c r="BP26" s="18"/>
      <c r="BQ26" s="18"/>
      <c r="BR26">
        <v>0</v>
      </c>
      <c r="BS26">
        <v>0</v>
      </c>
    </row>
    <row r="27" spans="1:71">
      <c r="A27" s="18" t="s">
        <v>64</v>
      </c>
      <c r="B27" s="70"/>
      <c r="C27" s="18"/>
      <c r="D27" s="18"/>
      <c r="E27" s="18"/>
      <c r="F27" s="18"/>
      <c r="G27" s="18">
        <v>1225</v>
      </c>
      <c r="H27" s="18"/>
      <c r="I27" s="18"/>
      <c r="J27" s="18">
        <v>1263</v>
      </c>
      <c r="K27" s="18">
        <v>1384</v>
      </c>
      <c r="L27" s="18">
        <v>1390</v>
      </c>
      <c r="M27" s="18">
        <v>1581</v>
      </c>
      <c r="N27" s="18">
        <v>1581</v>
      </c>
      <c r="O27" s="18">
        <v>1699</v>
      </c>
      <c r="P27" s="18">
        <v>1853</v>
      </c>
      <c r="Q27" s="18">
        <v>2175</v>
      </c>
      <c r="R27" s="18">
        <v>2270</v>
      </c>
      <c r="S27" s="18">
        <v>2630</v>
      </c>
      <c r="T27" s="18">
        <v>2729</v>
      </c>
      <c r="U27" s="18">
        <v>2749</v>
      </c>
      <c r="V27" s="18">
        <v>2875</v>
      </c>
      <c r="W27" s="18">
        <v>2978</v>
      </c>
      <c r="X27" s="18">
        <v>3337</v>
      </c>
      <c r="Y27" s="18">
        <v>3335</v>
      </c>
      <c r="Z27" s="18">
        <v>3328</v>
      </c>
      <c r="AA27" s="18">
        <v>3457</v>
      </c>
      <c r="AB27" s="18">
        <v>3440</v>
      </c>
      <c r="AC27" s="70"/>
      <c r="AD27" s="18"/>
      <c r="AE27" s="18"/>
      <c r="AF27" s="18"/>
      <c r="AG27" s="18">
        <v>0</v>
      </c>
      <c r="AH27" s="18">
        <v>0</v>
      </c>
      <c r="AI27" s="18"/>
      <c r="AJ27" s="18"/>
      <c r="AK27" s="18"/>
      <c r="AL27" s="18"/>
      <c r="AM27" s="18"/>
      <c r="AN27" s="18"/>
      <c r="AO27" s="70"/>
      <c r="AP27" s="18"/>
      <c r="AQ27" s="18"/>
      <c r="AR27" s="18"/>
      <c r="AS27" s="18"/>
      <c r="AT27" s="18"/>
      <c r="AU27" s="18"/>
      <c r="AV27" s="18"/>
      <c r="AW27" s="18"/>
      <c r="AX27" s="18"/>
      <c r="AY27" s="18"/>
      <c r="AZ27" s="70">
        <f t="shared" si="29"/>
        <v>0</v>
      </c>
      <c r="BA27" s="18">
        <f t="shared" si="30"/>
        <v>0</v>
      </c>
      <c r="BB27" s="18">
        <f t="shared" si="30"/>
        <v>0</v>
      </c>
      <c r="BC27" s="18">
        <f t="shared" si="30"/>
        <v>0</v>
      </c>
      <c r="BD27" s="18">
        <f t="shared" si="30"/>
        <v>0</v>
      </c>
      <c r="BE27" s="18">
        <f t="shared" si="30"/>
        <v>0</v>
      </c>
      <c r="BF27" s="18">
        <f t="shared" si="30"/>
        <v>0</v>
      </c>
      <c r="BG27" s="18">
        <f t="shared" si="30"/>
        <v>0</v>
      </c>
      <c r="BH27" s="18">
        <f t="shared" si="30"/>
        <v>0</v>
      </c>
      <c r="BI27" s="18">
        <v>5</v>
      </c>
      <c r="BJ27" s="18">
        <v>1</v>
      </c>
      <c r="BK27" s="18">
        <v>1</v>
      </c>
      <c r="BL27" s="18"/>
      <c r="BM27" s="18"/>
      <c r="BN27" s="18">
        <v>0</v>
      </c>
      <c r="BO27" s="18">
        <v>10</v>
      </c>
      <c r="BP27" s="18">
        <v>11</v>
      </c>
      <c r="BQ27" s="18">
        <v>8</v>
      </c>
      <c r="BR27">
        <v>7</v>
      </c>
      <c r="BS27">
        <v>0</v>
      </c>
    </row>
    <row r="28" spans="1:71">
      <c r="A28" s="18" t="s">
        <v>65</v>
      </c>
      <c r="B28" s="70"/>
      <c r="C28" s="18"/>
      <c r="D28" s="18"/>
      <c r="E28" s="18"/>
      <c r="F28" s="18"/>
      <c r="G28" s="18">
        <v>50</v>
      </c>
      <c r="H28" s="18"/>
      <c r="I28" s="18"/>
      <c r="J28" s="18">
        <v>75</v>
      </c>
      <c r="K28" s="18">
        <v>91</v>
      </c>
      <c r="L28" s="18">
        <v>116</v>
      </c>
      <c r="M28" s="18">
        <v>141</v>
      </c>
      <c r="N28" s="18">
        <v>162</v>
      </c>
      <c r="O28" s="18">
        <v>174</v>
      </c>
      <c r="P28" s="18">
        <v>163</v>
      </c>
      <c r="Q28" s="18">
        <v>210</v>
      </c>
      <c r="R28" s="18">
        <v>243</v>
      </c>
      <c r="S28" s="18">
        <v>258</v>
      </c>
      <c r="T28" s="18">
        <v>364</v>
      </c>
      <c r="U28" s="18">
        <v>306</v>
      </c>
      <c r="V28" s="18">
        <v>698</v>
      </c>
      <c r="W28" s="18">
        <v>713</v>
      </c>
      <c r="X28" s="18">
        <v>877</v>
      </c>
      <c r="Y28" s="18">
        <v>846</v>
      </c>
      <c r="Z28" s="18">
        <v>385</v>
      </c>
      <c r="AA28" s="18">
        <v>526</v>
      </c>
      <c r="AB28" s="18">
        <v>485</v>
      </c>
      <c r="AC28" s="70"/>
      <c r="AD28" s="18"/>
      <c r="AE28" s="18"/>
      <c r="AF28" s="18"/>
      <c r="AG28" s="18"/>
      <c r="AH28" s="18"/>
      <c r="AI28" s="18"/>
      <c r="AJ28" s="18"/>
      <c r="AK28" s="18"/>
      <c r="AL28" s="18"/>
      <c r="AM28" s="18"/>
      <c r="AN28" s="18"/>
      <c r="AO28" s="70"/>
      <c r="AP28" s="18"/>
      <c r="AQ28" s="18"/>
      <c r="AR28" s="18"/>
      <c r="AS28" s="18"/>
      <c r="AT28" s="18"/>
      <c r="AU28" s="18"/>
      <c r="AV28" s="18"/>
      <c r="AW28" s="18"/>
      <c r="AX28" s="18"/>
      <c r="AY28" s="18"/>
      <c r="AZ28" s="70">
        <f t="shared" si="29"/>
        <v>0</v>
      </c>
      <c r="BA28" s="18">
        <f t="shared" si="30"/>
        <v>0</v>
      </c>
      <c r="BB28" s="18">
        <f t="shared" si="30"/>
        <v>0</v>
      </c>
      <c r="BC28" s="18">
        <f t="shared" si="30"/>
        <v>0</v>
      </c>
      <c r="BD28" s="18">
        <f t="shared" si="30"/>
        <v>0</v>
      </c>
      <c r="BE28" s="18">
        <f t="shared" si="30"/>
        <v>0</v>
      </c>
      <c r="BF28" s="18">
        <f t="shared" si="30"/>
        <v>0</v>
      </c>
      <c r="BG28" s="18">
        <f t="shared" si="30"/>
        <v>0</v>
      </c>
      <c r="BH28" s="18">
        <f t="shared" si="30"/>
        <v>0</v>
      </c>
      <c r="BI28" s="18"/>
      <c r="BJ28" s="18"/>
      <c r="BK28" s="18"/>
      <c r="BL28" s="18"/>
      <c r="BM28" s="18"/>
      <c r="BN28" s="18"/>
      <c r="BO28" s="18"/>
      <c r="BP28" s="18"/>
      <c r="BQ28" s="18"/>
      <c r="BR28">
        <v>0</v>
      </c>
      <c r="BS28">
        <v>0</v>
      </c>
    </row>
    <row r="29" spans="1:71">
      <c r="A29" s="18" t="s">
        <v>66</v>
      </c>
      <c r="B29" s="70"/>
      <c r="C29" s="18"/>
      <c r="D29" s="18"/>
      <c r="E29" s="18"/>
      <c r="F29" s="18"/>
      <c r="G29" s="18">
        <v>3</v>
      </c>
      <c r="H29" s="18"/>
      <c r="I29" s="18"/>
      <c r="J29" s="18">
        <v>16</v>
      </c>
      <c r="K29" s="18">
        <v>18</v>
      </c>
      <c r="L29" s="18">
        <v>19</v>
      </c>
      <c r="M29" s="18">
        <v>33</v>
      </c>
      <c r="N29" s="18">
        <v>32</v>
      </c>
      <c r="O29" s="18">
        <v>22</v>
      </c>
      <c r="P29" s="18">
        <v>26</v>
      </c>
      <c r="Q29" s="18">
        <v>24</v>
      </c>
      <c r="R29" s="18">
        <v>33</v>
      </c>
      <c r="S29" s="18">
        <v>28</v>
      </c>
      <c r="T29" s="18">
        <v>38</v>
      </c>
      <c r="U29" s="18">
        <v>52</v>
      </c>
      <c r="V29" s="18">
        <v>30</v>
      </c>
      <c r="W29" s="18">
        <v>35</v>
      </c>
      <c r="X29" s="18">
        <v>40</v>
      </c>
      <c r="Y29" s="18">
        <v>36</v>
      </c>
      <c r="Z29" s="18">
        <v>40</v>
      </c>
      <c r="AA29" s="18">
        <v>42</v>
      </c>
      <c r="AB29" s="18">
        <v>57</v>
      </c>
      <c r="AC29" s="70"/>
      <c r="AD29" s="18"/>
      <c r="AE29" s="18"/>
      <c r="AF29" s="18"/>
      <c r="AG29" s="18"/>
      <c r="AH29" s="18"/>
      <c r="AI29" s="18"/>
      <c r="AJ29" s="18"/>
      <c r="AK29" s="18"/>
      <c r="AL29" s="18"/>
      <c r="AM29" s="18"/>
      <c r="AN29" s="18"/>
      <c r="AO29" s="70"/>
      <c r="AP29" s="18"/>
      <c r="AQ29" s="18"/>
      <c r="AR29" s="18"/>
      <c r="AS29" s="18"/>
      <c r="AT29" s="18"/>
      <c r="AU29" s="18"/>
      <c r="AV29" s="18"/>
      <c r="AW29" s="18"/>
      <c r="AX29" s="18"/>
      <c r="AY29" s="18"/>
      <c r="AZ29" s="70">
        <f t="shared" si="29"/>
        <v>0</v>
      </c>
      <c r="BA29" s="18">
        <f t="shared" si="30"/>
        <v>0</v>
      </c>
      <c r="BB29" s="18">
        <f t="shared" si="30"/>
        <v>0</v>
      </c>
      <c r="BC29" s="18">
        <f t="shared" si="30"/>
        <v>0</v>
      </c>
      <c r="BD29" s="18">
        <f t="shared" si="30"/>
        <v>0</v>
      </c>
      <c r="BE29" s="18">
        <f t="shared" si="30"/>
        <v>0</v>
      </c>
      <c r="BF29" s="18">
        <f t="shared" si="30"/>
        <v>0</v>
      </c>
      <c r="BG29" s="18">
        <f t="shared" si="30"/>
        <v>0</v>
      </c>
      <c r="BH29" s="18">
        <f t="shared" si="30"/>
        <v>0</v>
      </c>
      <c r="BI29" s="18"/>
      <c r="BJ29" s="18"/>
      <c r="BK29" s="18"/>
      <c r="BL29" s="18"/>
      <c r="BM29" s="18"/>
      <c r="BN29" s="18"/>
      <c r="BO29" s="18"/>
      <c r="BP29" s="18"/>
      <c r="BQ29" s="18"/>
      <c r="BR29">
        <v>0</v>
      </c>
      <c r="BS29">
        <v>0</v>
      </c>
    </row>
    <row r="30" spans="1:71">
      <c r="A30" s="18" t="s">
        <v>67</v>
      </c>
      <c r="B30" s="70"/>
      <c r="C30" s="18"/>
      <c r="D30" s="18"/>
      <c r="E30" s="18"/>
      <c r="F30" s="18"/>
      <c r="G30" s="18">
        <v>2</v>
      </c>
      <c r="H30" s="18"/>
      <c r="I30" s="18"/>
      <c r="J30" s="18">
        <v>2</v>
      </c>
      <c r="K30" s="18">
        <v>3</v>
      </c>
      <c r="L30" s="18">
        <v>6</v>
      </c>
      <c r="M30" s="18">
        <v>3</v>
      </c>
      <c r="N30" s="18">
        <v>6</v>
      </c>
      <c r="O30" s="18">
        <v>1</v>
      </c>
      <c r="P30" s="18">
        <v>3</v>
      </c>
      <c r="Q30" s="18">
        <v>3</v>
      </c>
      <c r="R30" s="18">
        <v>8</v>
      </c>
      <c r="S30" s="18">
        <v>8</v>
      </c>
      <c r="T30" s="18">
        <v>14</v>
      </c>
      <c r="U30" s="18">
        <v>14</v>
      </c>
      <c r="V30" s="18">
        <v>12</v>
      </c>
      <c r="W30" s="18">
        <v>6</v>
      </c>
      <c r="X30" s="18">
        <v>11</v>
      </c>
      <c r="Y30" s="18">
        <v>14</v>
      </c>
      <c r="Z30" s="18">
        <v>19</v>
      </c>
      <c r="AA30" s="18">
        <v>23</v>
      </c>
      <c r="AB30" s="18">
        <v>22</v>
      </c>
      <c r="AC30" s="70"/>
      <c r="AD30" s="18"/>
      <c r="AE30" s="18"/>
      <c r="AF30" s="18"/>
      <c r="AG30" s="18"/>
      <c r="AH30" s="18"/>
      <c r="AI30" s="18"/>
      <c r="AJ30" s="18"/>
      <c r="AK30" s="18"/>
      <c r="AL30" s="18"/>
      <c r="AM30" s="18"/>
      <c r="AN30" s="18"/>
      <c r="AO30" s="70"/>
      <c r="AP30" s="18"/>
      <c r="AQ30" s="18"/>
      <c r="AR30" s="18"/>
      <c r="AS30" s="18"/>
      <c r="AT30" s="18"/>
      <c r="AU30" s="18"/>
      <c r="AV30" s="18"/>
      <c r="AW30" s="18"/>
      <c r="AX30" s="18"/>
      <c r="AY30" s="18"/>
      <c r="AZ30" s="70">
        <f t="shared" si="29"/>
        <v>0</v>
      </c>
      <c r="BA30" s="18">
        <f t="shared" si="30"/>
        <v>0</v>
      </c>
      <c r="BB30" s="18">
        <f t="shared" si="30"/>
        <v>0</v>
      </c>
      <c r="BC30" s="18">
        <f t="shared" si="30"/>
        <v>0</v>
      </c>
      <c r="BD30" s="18">
        <f t="shared" si="30"/>
        <v>0</v>
      </c>
      <c r="BE30" s="18">
        <f t="shared" si="30"/>
        <v>0</v>
      </c>
      <c r="BF30" s="18">
        <f t="shared" si="30"/>
        <v>0</v>
      </c>
      <c r="BG30" s="18">
        <f t="shared" si="30"/>
        <v>0</v>
      </c>
      <c r="BH30" s="18">
        <f t="shared" si="30"/>
        <v>0</v>
      </c>
      <c r="BI30" s="18"/>
      <c r="BJ30" s="18"/>
      <c r="BK30" s="18"/>
      <c r="BL30" s="18"/>
      <c r="BM30" s="18"/>
      <c r="BN30" s="18"/>
      <c r="BO30" s="18"/>
      <c r="BP30" s="18"/>
      <c r="BQ30" s="18"/>
      <c r="BR30">
        <v>0</v>
      </c>
      <c r="BS30">
        <v>0</v>
      </c>
    </row>
    <row r="31" spans="1:71">
      <c r="A31" s="18" t="s">
        <v>68</v>
      </c>
      <c r="B31" s="70"/>
      <c r="C31" s="18"/>
      <c r="D31" s="18"/>
      <c r="E31" s="18"/>
      <c r="F31" s="18"/>
      <c r="G31" s="18">
        <v>0</v>
      </c>
      <c r="H31" s="18"/>
      <c r="I31" s="18"/>
      <c r="J31" s="18">
        <v>2</v>
      </c>
      <c r="K31" s="18">
        <v>1</v>
      </c>
      <c r="L31" s="18">
        <v>2</v>
      </c>
      <c r="M31" s="18">
        <v>3</v>
      </c>
      <c r="N31" s="18">
        <v>2</v>
      </c>
      <c r="O31" s="18">
        <v>0</v>
      </c>
      <c r="P31" s="18">
        <v>1</v>
      </c>
      <c r="Q31" s="18">
        <v>4</v>
      </c>
      <c r="R31" s="18">
        <v>2</v>
      </c>
      <c r="S31" s="18">
        <v>1</v>
      </c>
      <c r="T31" s="18">
        <v>4</v>
      </c>
      <c r="U31" s="18">
        <v>3</v>
      </c>
      <c r="V31" s="18">
        <v>1</v>
      </c>
      <c r="W31" s="18">
        <v>4</v>
      </c>
      <c r="X31" s="18">
        <v>2</v>
      </c>
      <c r="Y31" s="18">
        <v>2</v>
      </c>
      <c r="Z31" s="18">
        <v>3</v>
      </c>
      <c r="AA31" s="18">
        <v>4</v>
      </c>
      <c r="AB31" s="18">
        <v>3</v>
      </c>
      <c r="AC31" s="70"/>
      <c r="AD31" s="18"/>
      <c r="AE31" s="18"/>
      <c r="AF31" s="18"/>
      <c r="AG31" s="18"/>
      <c r="AH31" s="18"/>
      <c r="AI31" s="18"/>
      <c r="AJ31" s="18"/>
      <c r="AK31" s="18"/>
      <c r="AL31" s="18"/>
      <c r="AM31" s="18"/>
      <c r="AN31" s="18"/>
      <c r="AO31" s="70"/>
      <c r="AP31" s="18"/>
      <c r="AQ31" s="18"/>
      <c r="AR31" s="18"/>
      <c r="AS31" s="18"/>
      <c r="AT31" s="18"/>
      <c r="AU31" s="18"/>
      <c r="AV31" s="18"/>
      <c r="AW31" s="18"/>
      <c r="AX31" s="18"/>
      <c r="AY31" s="18"/>
      <c r="AZ31" s="70">
        <f t="shared" si="29"/>
        <v>0</v>
      </c>
      <c r="BA31" s="18">
        <f t="shared" si="30"/>
        <v>0</v>
      </c>
      <c r="BB31" s="18">
        <f t="shared" si="30"/>
        <v>0</v>
      </c>
      <c r="BC31" s="18">
        <f t="shared" si="30"/>
        <v>0</v>
      </c>
      <c r="BD31" s="18">
        <f t="shared" si="30"/>
        <v>0</v>
      </c>
      <c r="BE31" s="18">
        <f t="shared" si="30"/>
        <v>0</v>
      </c>
      <c r="BF31" s="18">
        <f t="shared" si="30"/>
        <v>0</v>
      </c>
      <c r="BG31" s="18">
        <f t="shared" si="30"/>
        <v>0</v>
      </c>
      <c r="BH31" s="18">
        <f t="shared" si="30"/>
        <v>0</v>
      </c>
      <c r="BI31" s="18"/>
      <c r="BJ31" s="18"/>
      <c r="BK31" s="18"/>
      <c r="BL31" s="18"/>
      <c r="BM31" s="18"/>
      <c r="BN31" s="18"/>
      <c r="BO31" s="18"/>
      <c r="BP31" s="18"/>
      <c r="BQ31" s="18"/>
      <c r="BR31">
        <v>0</v>
      </c>
      <c r="BS31">
        <v>0</v>
      </c>
    </row>
    <row r="32" spans="1:71">
      <c r="A32" s="18" t="s">
        <v>69</v>
      </c>
      <c r="B32" s="70"/>
      <c r="C32" s="18"/>
      <c r="D32" s="18"/>
      <c r="E32" s="18"/>
      <c r="F32" s="18"/>
      <c r="G32" s="18">
        <v>5</v>
      </c>
      <c r="H32" s="18"/>
      <c r="I32" s="18"/>
      <c r="J32" s="18">
        <v>26</v>
      </c>
      <c r="K32" s="18">
        <v>15</v>
      </c>
      <c r="L32" s="18">
        <v>19</v>
      </c>
      <c r="M32" s="18">
        <v>14</v>
      </c>
      <c r="N32" s="18">
        <v>26</v>
      </c>
      <c r="O32" s="18">
        <v>42</v>
      </c>
      <c r="P32" s="18">
        <v>60</v>
      </c>
      <c r="Q32" s="18">
        <v>72</v>
      </c>
      <c r="R32" s="18">
        <v>58</v>
      </c>
      <c r="S32" s="18">
        <v>70</v>
      </c>
      <c r="T32" s="18">
        <v>94</v>
      </c>
      <c r="U32" s="18">
        <v>129</v>
      </c>
      <c r="V32" s="18">
        <v>130</v>
      </c>
      <c r="W32" s="18">
        <v>165</v>
      </c>
      <c r="X32" s="18">
        <v>155</v>
      </c>
      <c r="Y32" s="18">
        <v>168</v>
      </c>
      <c r="Z32" s="18">
        <v>150</v>
      </c>
      <c r="AA32" s="18">
        <v>215</v>
      </c>
      <c r="AB32" s="18">
        <v>137</v>
      </c>
      <c r="AC32" s="70"/>
      <c r="AD32" s="18"/>
      <c r="AE32" s="18"/>
      <c r="AF32" s="18"/>
      <c r="AG32" s="18"/>
      <c r="AH32" s="18"/>
      <c r="AI32" s="18"/>
      <c r="AJ32" s="18"/>
      <c r="AK32" s="18"/>
      <c r="AL32" s="18"/>
      <c r="AM32" s="18"/>
      <c r="AN32" s="18"/>
      <c r="AO32" s="70"/>
      <c r="AP32" s="18"/>
      <c r="AQ32" s="18"/>
      <c r="AR32" s="18"/>
      <c r="AS32" s="18"/>
      <c r="AT32" s="18"/>
      <c r="AU32" s="18"/>
      <c r="AV32" s="18"/>
      <c r="AW32" s="18"/>
      <c r="AX32" s="18"/>
      <c r="AY32" s="18"/>
      <c r="AZ32" s="70">
        <f t="shared" si="29"/>
        <v>0</v>
      </c>
      <c r="BA32" s="18">
        <f t="shared" si="30"/>
        <v>0</v>
      </c>
      <c r="BB32" s="18">
        <f t="shared" si="30"/>
        <v>0</v>
      </c>
      <c r="BC32" s="18">
        <f t="shared" si="30"/>
        <v>0</v>
      </c>
      <c r="BD32" s="18">
        <f t="shared" si="30"/>
        <v>0</v>
      </c>
      <c r="BE32" s="18">
        <f t="shared" si="30"/>
        <v>0</v>
      </c>
      <c r="BF32" s="18">
        <f t="shared" si="30"/>
        <v>0</v>
      </c>
      <c r="BG32" s="18">
        <f t="shared" si="30"/>
        <v>0</v>
      </c>
      <c r="BH32" s="18">
        <f t="shared" si="30"/>
        <v>0</v>
      </c>
      <c r="BI32" s="18"/>
      <c r="BJ32" s="18"/>
      <c r="BK32" s="18"/>
      <c r="BL32" s="18"/>
      <c r="BM32" s="18"/>
      <c r="BN32" s="18"/>
      <c r="BO32" s="18"/>
      <c r="BP32" s="18"/>
      <c r="BQ32" s="18"/>
      <c r="BR32">
        <v>0</v>
      </c>
      <c r="BS32">
        <v>0</v>
      </c>
    </row>
    <row r="33" spans="1:71">
      <c r="A33" s="18" t="s">
        <v>70</v>
      </c>
      <c r="B33" s="70"/>
      <c r="C33" s="18"/>
      <c r="D33" s="18"/>
      <c r="E33" s="18"/>
      <c r="F33" s="18"/>
      <c r="G33" s="18">
        <v>30</v>
      </c>
      <c r="H33" s="18"/>
      <c r="I33" s="18"/>
      <c r="J33" s="18">
        <v>42</v>
      </c>
      <c r="K33" s="18">
        <v>22</v>
      </c>
      <c r="L33" s="18">
        <v>29</v>
      </c>
      <c r="M33" s="18">
        <v>34</v>
      </c>
      <c r="N33" s="18">
        <v>50</v>
      </c>
      <c r="O33" s="18">
        <v>39</v>
      </c>
      <c r="P33" s="18">
        <v>44</v>
      </c>
      <c r="Q33" s="18">
        <v>49</v>
      </c>
      <c r="R33" s="18">
        <v>44</v>
      </c>
      <c r="S33" s="18">
        <v>54</v>
      </c>
      <c r="T33" s="18">
        <v>60</v>
      </c>
      <c r="U33" s="18">
        <v>62</v>
      </c>
      <c r="V33" s="18">
        <v>53</v>
      </c>
      <c r="W33" s="18">
        <v>63</v>
      </c>
      <c r="X33" s="18">
        <v>79</v>
      </c>
      <c r="Y33" s="18">
        <v>73</v>
      </c>
      <c r="Z33" s="18">
        <v>76</v>
      </c>
      <c r="AA33" s="18">
        <v>77</v>
      </c>
      <c r="AB33" s="18">
        <v>77</v>
      </c>
      <c r="AC33" s="70"/>
      <c r="AD33" s="18"/>
      <c r="AE33" s="18"/>
      <c r="AF33" s="18"/>
      <c r="AG33" s="18"/>
      <c r="AH33" s="18"/>
      <c r="AI33" s="18"/>
      <c r="AJ33" s="18"/>
      <c r="AK33" s="18"/>
      <c r="AL33" s="18"/>
      <c r="AM33" s="18"/>
      <c r="AN33" s="18"/>
      <c r="AO33" s="70"/>
      <c r="AP33" s="18"/>
      <c r="AQ33" s="18"/>
      <c r="AR33" s="18"/>
      <c r="AS33" s="18"/>
      <c r="AT33" s="18"/>
      <c r="AU33" s="18"/>
      <c r="AV33" s="18"/>
      <c r="AW33" s="18"/>
      <c r="AX33" s="18"/>
      <c r="AY33" s="18"/>
      <c r="AZ33" s="70">
        <f t="shared" si="29"/>
        <v>0</v>
      </c>
      <c r="BA33" s="18">
        <f t="shared" si="30"/>
        <v>0</v>
      </c>
      <c r="BB33" s="18">
        <f t="shared" si="30"/>
        <v>0</v>
      </c>
      <c r="BC33" s="18">
        <f t="shared" si="30"/>
        <v>0</v>
      </c>
      <c r="BD33" s="18">
        <f t="shared" si="30"/>
        <v>0</v>
      </c>
      <c r="BE33" s="18">
        <f t="shared" si="30"/>
        <v>0</v>
      </c>
      <c r="BF33" s="18">
        <f t="shared" si="30"/>
        <v>0</v>
      </c>
      <c r="BG33" s="18">
        <f t="shared" si="30"/>
        <v>0</v>
      </c>
      <c r="BH33" s="18">
        <f t="shared" si="30"/>
        <v>0</v>
      </c>
      <c r="BI33" s="18"/>
      <c r="BJ33" s="18"/>
      <c r="BK33" s="18"/>
      <c r="BL33" s="18"/>
      <c r="BM33" s="18"/>
      <c r="BN33" s="18"/>
      <c r="BO33" s="18"/>
      <c r="BP33" s="18"/>
      <c r="BQ33" s="18"/>
      <c r="BR33">
        <v>0</v>
      </c>
      <c r="BS33">
        <v>0</v>
      </c>
    </row>
    <row r="34" spans="1:71">
      <c r="A34" s="18" t="s">
        <v>71</v>
      </c>
      <c r="B34" s="70"/>
      <c r="C34" s="18"/>
      <c r="D34" s="18"/>
      <c r="E34" s="18"/>
      <c r="F34" s="18"/>
      <c r="G34" s="18">
        <v>18</v>
      </c>
      <c r="H34" s="18"/>
      <c r="I34" s="18"/>
      <c r="J34" s="18">
        <v>28</v>
      </c>
      <c r="K34" s="18">
        <v>32</v>
      </c>
      <c r="L34" s="18">
        <v>29</v>
      </c>
      <c r="M34" s="18">
        <v>26</v>
      </c>
      <c r="N34" s="18">
        <v>47</v>
      </c>
      <c r="O34" s="18">
        <v>43</v>
      </c>
      <c r="P34" s="18">
        <v>37</v>
      </c>
      <c r="Q34" s="18">
        <v>57</v>
      </c>
      <c r="R34" s="18">
        <v>51</v>
      </c>
      <c r="S34" s="18">
        <v>60</v>
      </c>
      <c r="T34" s="18">
        <v>76</v>
      </c>
      <c r="U34" s="18">
        <v>76</v>
      </c>
      <c r="V34" s="18">
        <v>79</v>
      </c>
      <c r="W34" s="18">
        <v>89</v>
      </c>
      <c r="X34" s="18">
        <v>89</v>
      </c>
      <c r="Y34" s="18">
        <v>98</v>
      </c>
      <c r="Z34" s="18">
        <v>142</v>
      </c>
      <c r="AA34" s="18">
        <v>211</v>
      </c>
      <c r="AB34" s="18">
        <v>265</v>
      </c>
      <c r="AC34" s="70"/>
      <c r="AD34" s="18"/>
      <c r="AE34" s="18"/>
      <c r="AF34" s="18"/>
      <c r="AG34" s="18"/>
      <c r="AH34" s="18"/>
      <c r="AI34" s="18"/>
      <c r="AJ34" s="18"/>
      <c r="AK34" s="18"/>
      <c r="AL34" s="18"/>
      <c r="AM34" s="18"/>
      <c r="AN34" s="18"/>
      <c r="AO34" s="70"/>
      <c r="AP34" s="18"/>
      <c r="AQ34" s="18"/>
      <c r="AR34" s="18"/>
      <c r="AS34" s="18"/>
      <c r="AT34" s="18"/>
      <c r="AU34" s="18"/>
      <c r="AV34" s="18"/>
      <c r="AW34" s="18"/>
      <c r="AX34" s="18"/>
      <c r="AY34" s="18"/>
      <c r="AZ34" s="70">
        <f t="shared" si="29"/>
        <v>0</v>
      </c>
      <c r="BA34" s="18">
        <f t="shared" si="30"/>
        <v>0</v>
      </c>
      <c r="BB34" s="18">
        <f t="shared" si="30"/>
        <v>0</v>
      </c>
      <c r="BC34" s="18">
        <f t="shared" si="30"/>
        <v>0</v>
      </c>
      <c r="BD34" s="18">
        <f t="shared" si="30"/>
        <v>0</v>
      </c>
      <c r="BE34" s="18">
        <f t="shared" si="30"/>
        <v>0</v>
      </c>
      <c r="BF34" s="18">
        <f t="shared" si="30"/>
        <v>0</v>
      </c>
      <c r="BG34" s="18">
        <f t="shared" si="30"/>
        <v>0</v>
      </c>
      <c r="BH34" s="18">
        <f t="shared" si="30"/>
        <v>0</v>
      </c>
      <c r="BI34" s="18"/>
      <c r="BJ34" s="18"/>
      <c r="BK34" s="18"/>
      <c r="BL34" s="18"/>
      <c r="BM34" s="18"/>
      <c r="BN34" s="18"/>
      <c r="BO34" s="18"/>
      <c r="BP34" s="18"/>
      <c r="BQ34" s="18"/>
      <c r="BR34">
        <v>0</v>
      </c>
      <c r="BS34">
        <v>0</v>
      </c>
    </row>
    <row r="35" spans="1:71">
      <c r="A35" s="18" t="s">
        <v>72</v>
      </c>
      <c r="B35" s="70"/>
      <c r="C35" s="18"/>
      <c r="D35" s="18"/>
      <c r="E35" s="18"/>
      <c r="F35" s="18"/>
      <c r="G35" s="18">
        <v>16</v>
      </c>
      <c r="H35" s="18"/>
      <c r="I35" s="18"/>
      <c r="J35" s="18">
        <v>4</v>
      </c>
      <c r="K35" s="18">
        <v>14</v>
      </c>
      <c r="L35" s="18">
        <v>19</v>
      </c>
      <c r="M35" s="18">
        <v>15</v>
      </c>
      <c r="N35" s="18">
        <v>33</v>
      </c>
      <c r="O35" s="18">
        <v>10</v>
      </c>
      <c r="P35" s="18">
        <v>14</v>
      </c>
      <c r="Q35" s="18">
        <v>21</v>
      </c>
      <c r="R35" s="18">
        <v>10</v>
      </c>
      <c r="S35" s="18">
        <v>19</v>
      </c>
      <c r="T35" s="18">
        <v>17</v>
      </c>
      <c r="U35" s="18">
        <v>24</v>
      </c>
      <c r="V35" s="18">
        <v>22</v>
      </c>
      <c r="W35" s="18">
        <v>39</v>
      </c>
      <c r="X35" s="18">
        <v>54</v>
      </c>
      <c r="Y35" s="18">
        <v>147</v>
      </c>
      <c r="Z35" s="18">
        <v>38</v>
      </c>
      <c r="AA35" s="18">
        <v>44</v>
      </c>
      <c r="AB35" s="18">
        <v>46</v>
      </c>
      <c r="AC35" s="70"/>
      <c r="AD35" s="18"/>
      <c r="AE35" s="18"/>
      <c r="AF35" s="18"/>
      <c r="AG35" s="18"/>
      <c r="AH35" s="18"/>
      <c r="AI35" s="18"/>
      <c r="AJ35" s="18"/>
      <c r="AK35" s="18"/>
      <c r="AL35" s="18"/>
      <c r="AM35" s="18"/>
      <c r="AN35" s="18"/>
      <c r="AO35" s="70"/>
      <c r="AP35" s="18"/>
      <c r="AQ35" s="18"/>
      <c r="AR35" s="18"/>
      <c r="AS35" s="18"/>
      <c r="AT35" s="18"/>
      <c r="AU35" s="18"/>
      <c r="AV35" s="18"/>
      <c r="AW35" s="18"/>
      <c r="AX35" s="18"/>
      <c r="AY35" s="18"/>
      <c r="AZ35" s="70">
        <f t="shared" si="29"/>
        <v>0</v>
      </c>
      <c r="BA35" s="18">
        <f t="shared" si="30"/>
        <v>0</v>
      </c>
      <c r="BB35" s="18">
        <f t="shared" si="30"/>
        <v>0</v>
      </c>
      <c r="BC35" s="18">
        <f t="shared" si="30"/>
        <v>0</v>
      </c>
      <c r="BD35" s="18">
        <f t="shared" si="30"/>
        <v>0</v>
      </c>
      <c r="BE35" s="18">
        <f t="shared" si="30"/>
        <v>0</v>
      </c>
      <c r="BF35" s="18">
        <f t="shared" si="30"/>
        <v>0</v>
      </c>
      <c r="BG35" s="18">
        <f t="shared" si="30"/>
        <v>0</v>
      </c>
      <c r="BH35" s="18">
        <f t="shared" si="30"/>
        <v>0</v>
      </c>
      <c r="BI35" s="18"/>
      <c r="BJ35" s="18"/>
      <c r="BK35" s="18"/>
      <c r="BL35" s="18"/>
      <c r="BM35" s="18"/>
      <c r="BN35" s="18"/>
      <c r="BO35" s="18"/>
      <c r="BP35" s="18"/>
      <c r="BQ35" s="18"/>
      <c r="BR35">
        <v>0</v>
      </c>
      <c r="BS35">
        <v>0</v>
      </c>
    </row>
    <row r="36" spans="1:71">
      <c r="A36" s="18" t="s">
        <v>73</v>
      </c>
      <c r="B36" s="70"/>
      <c r="C36" s="18"/>
      <c r="D36" s="18"/>
      <c r="E36" s="18"/>
      <c r="F36" s="18"/>
      <c r="G36" s="18">
        <v>34</v>
      </c>
      <c r="H36" s="18"/>
      <c r="I36" s="18"/>
      <c r="J36" s="18">
        <v>79</v>
      </c>
      <c r="K36" s="18">
        <v>105</v>
      </c>
      <c r="L36" s="18">
        <v>139</v>
      </c>
      <c r="M36" s="18">
        <v>163</v>
      </c>
      <c r="N36" s="18">
        <v>208</v>
      </c>
      <c r="O36" s="18">
        <v>195</v>
      </c>
      <c r="P36" s="18">
        <v>164</v>
      </c>
      <c r="Q36" s="18">
        <v>211</v>
      </c>
      <c r="R36" s="18">
        <v>193</v>
      </c>
      <c r="S36" s="18">
        <v>193</v>
      </c>
      <c r="T36" s="18">
        <v>228</v>
      </c>
      <c r="U36" s="18">
        <v>208</v>
      </c>
      <c r="V36" s="18">
        <v>268</v>
      </c>
      <c r="W36" s="18">
        <v>236</v>
      </c>
      <c r="X36" s="18">
        <v>249</v>
      </c>
      <c r="Y36" s="18">
        <v>297</v>
      </c>
      <c r="Z36" s="18">
        <v>346</v>
      </c>
      <c r="AA36" s="18">
        <v>337</v>
      </c>
      <c r="AB36" s="18">
        <v>318</v>
      </c>
      <c r="AC36" s="70"/>
      <c r="AD36" s="18"/>
      <c r="AE36" s="18"/>
      <c r="AF36" s="18"/>
      <c r="AG36" s="18"/>
      <c r="AH36" s="18"/>
      <c r="AI36" s="18"/>
      <c r="AJ36" s="18"/>
      <c r="AK36" s="18"/>
      <c r="AL36" s="18"/>
      <c r="AM36" s="18"/>
      <c r="AN36" s="18"/>
      <c r="AO36" s="70"/>
      <c r="AP36" s="18"/>
      <c r="AQ36" s="18"/>
      <c r="AR36" s="18"/>
      <c r="AS36" s="18"/>
      <c r="AT36" s="18"/>
      <c r="AU36" s="18"/>
      <c r="AV36" s="18"/>
      <c r="AW36" s="18"/>
      <c r="AX36" s="18"/>
      <c r="AY36" s="18"/>
      <c r="AZ36" s="70">
        <f t="shared" si="29"/>
        <v>0</v>
      </c>
      <c r="BA36" s="18">
        <f t="shared" si="30"/>
        <v>0</v>
      </c>
      <c r="BB36" s="18">
        <f t="shared" si="30"/>
        <v>0</v>
      </c>
      <c r="BC36" s="18">
        <f t="shared" si="30"/>
        <v>0</v>
      </c>
      <c r="BD36" s="18">
        <f t="shared" si="30"/>
        <v>0</v>
      </c>
      <c r="BE36" s="18">
        <f t="shared" si="30"/>
        <v>0</v>
      </c>
      <c r="BF36" s="18">
        <f t="shared" si="30"/>
        <v>0</v>
      </c>
      <c r="BG36" s="18">
        <f t="shared" si="30"/>
        <v>0</v>
      </c>
      <c r="BH36" s="18">
        <f t="shared" si="30"/>
        <v>0</v>
      </c>
      <c r="BI36" s="18"/>
      <c r="BJ36" s="18"/>
      <c r="BK36" s="18"/>
      <c r="BL36" s="18">
        <v>20</v>
      </c>
      <c r="BM36" s="18"/>
      <c r="BN36" s="18">
        <v>21</v>
      </c>
      <c r="BO36" s="18">
        <v>18</v>
      </c>
      <c r="BP36" s="18">
        <v>25</v>
      </c>
      <c r="BQ36" s="18">
        <v>28</v>
      </c>
      <c r="BR36">
        <v>17</v>
      </c>
      <c r="BS36">
        <v>27</v>
      </c>
    </row>
    <row r="37" spans="1:71">
      <c r="A37" s="20" t="s">
        <v>74</v>
      </c>
      <c r="B37" s="71"/>
      <c r="C37" s="20"/>
      <c r="D37" s="20"/>
      <c r="E37" s="20"/>
      <c r="F37" s="20"/>
      <c r="G37" s="20">
        <v>0</v>
      </c>
      <c r="H37" s="20"/>
      <c r="I37" s="20"/>
      <c r="J37" s="20">
        <v>1</v>
      </c>
      <c r="K37" s="20">
        <v>2</v>
      </c>
      <c r="L37" s="20">
        <v>1</v>
      </c>
      <c r="M37" s="20">
        <v>2</v>
      </c>
      <c r="N37" s="20">
        <v>0</v>
      </c>
      <c r="O37" s="20">
        <v>4</v>
      </c>
      <c r="P37" s="20">
        <v>0</v>
      </c>
      <c r="Q37" s="20">
        <v>2</v>
      </c>
      <c r="R37" s="20">
        <v>1</v>
      </c>
      <c r="S37" s="20">
        <v>4</v>
      </c>
      <c r="T37" s="20">
        <v>2</v>
      </c>
      <c r="U37" s="20">
        <v>3</v>
      </c>
      <c r="V37" s="20">
        <v>4</v>
      </c>
      <c r="W37" s="20">
        <v>2</v>
      </c>
      <c r="X37" s="20">
        <v>3</v>
      </c>
      <c r="Y37" s="20">
        <v>4</v>
      </c>
      <c r="Z37" s="20">
        <v>1</v>
      </c>
      <c r="AA37" s="20">
        <v>3</v>
      </c>
      <c r="AB37" s="20">
        <v>2</v>
      </c>
      <c r="AC37" s="71"/>
      <c r="AD37" s="20"/>
      <c r="AE37" s="20"/>
      <c r="AF37" s="20"/>
      <c r="AG37" s="20"/>
      <c r="AH37" s="20"/>
      <c r="AI37" s="20"/>
      <c r="AJ37" s="20"/>
      <c r="AK37" s="20"/>
      <c r="AL37" s="20"/>
      <c r="AM37" s="20"/>
      <c r="AN37" s="20"/>
      <c r="AO37" s="71"/>
      <c r="AP37" s="20"/>
      <c r="AQ37" s="20"/>
      <c r="AR37" s="20"/>
      <c r="AS37" s="20"/>
      <c r="AT37" s="20"/>
      <c r="AU37" s="20"/>
      <c r="AV37" s="20"/>
      <c r="AW37" s="20"/>
      <c r="AX37" s="20"/>
      <c r="AY37" s="20"/>
      <c r="AZ37" s="71">
        <f t="shared" si="29"/>
        <v>0</v>
      </c>
      <c r="BA37" s="20">
        <f t="shared" si="30"/>
        <v>0</v>
      </c>
      <c r="BB37" s="20">
        <f t="shared" si="30"/>
        <v>0</v>
      </c>
      <c r="BC37" s="20">
        <f t="shared" si="30"/>
        <v>0</v>
      </c>
      <c r="BD37" s="20">
        <f t="shared" si="30"/>
        <v>0</v>
      </c>
      <c r="BE37" s="20">
        <f t="shared" si="30"/>
        <v>0</v>
      </c>
      <c r="BF37" s="20">
        <f t="shared" si="30"/>
        <v>0</v>
      </c>
      <c r="BG37" s="20">
        <f t="shared" si="30"/>
        <v>0</v>
      </c>
      <c r="BH37" s="20">
        <f t="shared" si="30"/>
        <v>0</v>
      </c>
      <c r="BI37" s="20"/>
      <c r="BJ37" s="20"/>
      <c r="BK37" s="20"/>
      <c r="BL37" s="20"/>
      <c r="BM37" s="20"/>
      <c r="BN37" s="20"/>
      <c r="BO37" s="20"/>
      <c r="BP37" s="20"/>
      <c r="BQ37" s="20"/>
      <c r="BR37" s="162">
        <v>0</v>
      </c>
      <c r="BS37" s="141">
        <v>0</v>
      </c>
    </row>
    <row r="38" spans="1:71">
      <c r="A38" s="15" t="s">
        <v>75</v>
      </c>
      <c r="B38" s="48">
        <f t="shared" ref="B38:BO38" si="31">SUM(B40:B51)</f>
        <v>0</v>
      </c>
      <c r="C38" s="15">
        <f t="shared" si="31"/>
        <v>0</v>
      </c>
      <c r="D38" s="15">
        <f t="shared" si="31"/>
        <v>0</v>
      </c>
      <c r="E38" s="15">
        <f t="shared" si="31"/>
        <v>0</v>
      </c>
      <c r="F38" s="15">
        <f t="shared" si="31"/>
        <v>0</v>
      </c>
      <c r="G38" s="15">
        <f t="shared" si="31"/>
        <v>2914</v>
      </c>
      <c r="H38" s="15">
        <f t="shared" si="31"/>
        <v>0</v>
      </c>
      <c r="I38" s="15">
        <f t="shared" si="31"/>
        <v>0</v>
      </c>
      <c r="J38" s="15">
        <f t="shared" si="31"/>
        <v>4101</v>
      </c>
      <c r="K38" s="15">
        <f t="shared" si="31"/>
        <v>4527</v>
      </c>
      <c r="L38" s="15">
        <f t="shared" si="31"/>
        <v>4983</v>
      </c>
      <c r="M38" s="15">
        <f t="shared" si="31"/>
        <v>5202</v>
      </c>
      <c r="N38" s="15">
        <f t="shared" si="31"/>
        <v>5706</v>
      </c>
      <c r="O38" s="15">
        <f t="shared" si="31"/>
        <v>6193</v>
      </c>
      <c r="P38" s="15">
        <f t="shared" si="31"/>
        <v>6740</v>
      </c>
      <c r="Q38" s="15">
        <f t="shared" si="31"/>
        <v>8013</v>
      </c>
      <c r="R38" s="15">
        <f t="shared" si="31"/>
        <v>9531</v>
      </c>
      <c r="S38" s="15">
        <f t="shared" si="31"/>
        <v>10454</v>
      </c>
      <c r="T38" s="15">
        <f t="shared" si="31"/>
        <v>11178</v>
      </c>
      <c r="U38" s="15">
        <f t="shared" si="31"/>
        <v>11340</v>
      </c>
      <c r="V38" s="15">
        <f t="shared" si="31"/>
        <v>12958</v>
      </c>
      <c r="W38" s="15">
        <f t="shared" si="31"/>
        <v>13245</v>
      </c>
      <c r="X38" s="15">
        <f t="shared" si="31"/>
        <v>14113</v>
      </c>
      <c r="Y38" s="15">
        <f t="shared" ref="Y38:Z38" si="32">SUM(Y40:Y51)</f>
        <v>15388</v>
      </c>
      <c r="Z38" s="15">
        <f t="shared" si="32"/>
        <v>14897</v>
      </c>
      <c r="AA38" s="15">
        <f t="shared" ref="AA38:AB38" si="33">SUM(AA40:AA51)</f>
        <v>15270</v>
      </c>
      <c r="AB38" s="15">
        <f t="shared" si="33"/>
        <v>16477</v>
      </c>
      <c r="AC38" s="48">
        <f t="shared" si="31"/>
        <v>0</v>
      </c>
      <c r="AD38" s="15">
        <f t="shared" si="31"/>
        <v>150</v>
      </c>
      <c r="AE38" s="15">
        <f t="shared" si="31"/>
        <v>0</v>
      </c>
      <c r="AF38" s="15">
        <f t="shared" si="31"/>
        <v>0</v>
      </c>
      <c r="AG38" s="15">
        <f t="shared" si="31"/>
        <v>234</v>
      </c>
      <c r="AH38" s="15">
        <f t="shared" si="31"/>
        <v>294</v>
      </c>
      <c r="AI38" s="15">
        <f t="shared" si="31"/>
        <v>214</v>
      </c>
      <c r="AJ38" s="15">
        <f t="shared" si="31"/>
        <v>277</v>
      </c>
      <c r="AK38" s="15">
        <f t="shared" si="31"/>
        <v>268</v>
      </c>
      <c r="AL38" s="15">
        <f t="shared" si="31"/>
        <v>231</v>
      </c>
      <c r="AM38" s="15">
        <f t="shared" si="31"/>
        <v>243</v>
      </c>
      <c r="AN38" s="15">
        <f t="shared" si="31"/>
        <v>228</v>
      </c>
      <c r="AO38" s="48">
        <f t="shared" si="31"/>
        <v>7</v>
      </c>
      <c r="AP38" s="15">
        <f t="shared" si="31"/>
        <v>0</v>
      </c>
      <c r="AQ38" s="15">
        <f t="shared" si="31"/>
        <v>0</v>
      </c>
      <c r="AR38" s="15">
        <f t="shared" si="31"/>
        <v>10</v>
      </c>
      <c r="AS38" s="15">
        <f t="shared" si="31"/>
        <v>14</v>
      </c>
      <c r="AT38" s="15">
        <f t="shared" si="31"/>
        <v>4</v>
      </c>
      <c r="AU38" s="15">
        <f t="shared" si="31"/>
        <v>18</v>
      </c>
      <c r="AV38" s="15">
        <f t="shared" si="31"/>
        <v>20</v>
      </c>
      <c r="AW38" s="15">
        <f t="shared" si="31"/>
        <v>16</v>
      </c>
      <c r="AX38" s="15">
        <f t="shared" si="31"/>
        <v>19</v>
      </c>
      <c r="AY38" s="15">
        <f t="shared" si="31"/>
        <v>10</v>
      </c>
      <c r="AZ38" s="48">
        <f t="shared" si="31"/>
        <v>157</v>
      </c>
      <c r="BA38" s="15">
        <f t="shared" si="31"/>
        <v>244</v>
      </c>
      <c r="BB38" s="15">
        <f t="shared" si="31"/>
        <v>308</v>
      </c>
      <c r="BC38" s="15">
        <f t="shared" si="31"/>
        <v>218</v>
      </c>
      <c r="BD38" s="15">
        <f t="shared" si="31"/>
        <v>291</v>
      </c>
      <c r="BE38" s="15">
        <f t="shared" si="31"/>
        <v>282</v>
      </c>
      <c r="BF38" s="15">
        <f t="shared" si="31"/>
        <v>245</v>
      </c>
      <c r="BG38" s="15">
        <f t="shared" si="31"/>
        <v>257</v>
      </c>
      <c r="BH38" s="15">
        <f t="shared" si="31"/>
        <v>237</v>
      </c>
      <c r="BI38" s="15">
        <f t="shared" si="31"/>
        <v>379</v>
      </c>
      <c r="BJ38" s="15">
        <f t="shared" si="31"/>
        <v>250</v>
      </c>
      <c r="BK38" s="15">
        <f t="shared" si="31"/>
        <v>330</v>
      </c>
      <c r="BL38" s="15">
        <f t="shared" si="31"/>
        <v>482</v>
      </c>
      <c r="BM38" s="15">
        <f t="shared" si="31"/>
        <v>413</v>
      </c>
      <c r="BN38" s="15">
        <f t="shared" si="31"/>
        <v>465</v>
      </c>
      <c r="BO38" s="15">
        <f t="shared" si="31"/>
        <v>486</v>
      </c>
      <c r="BP38" s="15">
        <f t="shared" ref="BP38:BQ38" si="34">SUM(BP40:BP51)</f>
        <v>460</v>
      </c>
      <c r="BQ38" s="15">
        <f t="shared" si="34"/>
        <v>394</v>
      </c>
      <c r="BR38" s="15">
        <f t="shared" ref="BR38:BS38" si="35">SUM(BR40:BR51)</f>
        <v>384</v>
      </c>
      <c r="BS38" s="15">
        <f t="shared" si="35"/>
        <v>432</v>
      </c>
    </row>
    <row r="39" spans="1:71">
      <c r="A39" s="17" t="s">
        <v>44</v>
      </c>
      <c r="B39" s="49">
        <f t="shared" ref="B39:BO39" si="36">(B38/B4)*100</f>
        <v>0</v>
      </c>
      <c r="C39" s="17">
        <f t="shared" si="36"/>
        <v>0</v>
      </c>
      <c r="D39" s="17">
        <f t="shared" si="36"/>
        <v>0</v>
      </c>
      <c r="E39" s="17">
        <f t="shared" si="36"/>
        <v>0</v>
      </c>
      <c r="F39" s="17">
        <f t="shared" si="36"/>
        <v>0</v>
      </c>
      <c r="G39" s="17">
        <f t="shared" si="36"/>
        <v>22.193450114242193</v>
      </c>
      <c r="H39" s="17">
        <f t="shared" si="36"/>
        <v>0</v>
      </c>
      <c r="I39" s="17">
        <f t="shared" si="36"/>
        <v>0</v>
      </c>
      <c r="J39" s="17">
        <f t="shared" si="36"/>
        <v>23.598803084359535</v>
      </c>
      <c r="K39" s="17">
        <f t="shared" si="36"/>
        <v>24.005727012408524</v>
      </c>
      <c r="L39" s="17">
        <f t="shared" si="36"/>
        <v>23.864942528735632</v>
      </c>
      <c r="M39" s="17">
        <f t="shared" si="36"/>
        <v>22.717149220489976</v>
      </c>
      <c r="N39" s="17">
        <f t="shared" si="36"/>
        <v>23.307871410481599</v>
      </c>
      <c r="O39" s="17">
        <f t="shared" si="36"/>
        <v>23.034292940563862</v>
      </c>
      <c r="P39" s="17">
        <f t="shared" si="36"/>
        <v>23.567257596419456</v>
      </c>
      <c r="Q39" s="17">
        <f t="shared" si="36"/>
        <v>23.872370851456832</v>
      </c>
      <c r="R39" s="17">
        <f t="shared" si="36"/>
        <v>23.821544613846537</v>
      </c>
      <c r="S39" s="17">
        <f t="shared" si="36"/>
        <v>23.154957030211747</v>
      </c>
      <c r="T39" s="17">
        <f t="shared" si="36"/>
        <v>23.217364212275417</v>
      </c>
      <c r="U39" s="17">
        <f t="shared" si="36"/>
        <v>22.931791065903624</v>
      </c>
      <c r="V39" s="17">
        <f t="shared" si="36"/>
        <v>23.313302867834913</v>
      </c>
      <c r="W39" s="17">
        <f t="shared" si="36"/>
        <v>23.060449892053764</v>
      </c>
      <c r="X39" s="17">
        <f t="shared" si="36"/>
        <v>22.882111646156588</v>
      </c>
      <c r="Y39" s="17">
        <f t="shared" ref="Y39:Z39" si="37">(Y38/Y4)*100</f>
        <v>23.685871288500316</v>
      </c>
      <c r="Z39" s="17">
        <f t="shared" si="37"/>
        <v>23.396836864506604</v>
      </c>
      <c r="AA39" s="17">
        <f t="shared" ref="AA39:AB39" si="38">(AA38/AA4)*100</f>
        <v>21.513708473047988</v>
      </c>
      <c r="AB39" s="17">
        <f t="shared" si="38"/>
        <v>22.473028819269221</v>
      </c>
      <c r="AC39" s="49">
        <f t="shared" si="36"/>
        <v>0</v>
      </c>
      <c r="AD39" s="17">
        <f t="shared" si="36"/>
        <v>5.5228276877761413</v>
      </c>
      <c r="AE39" s="17">
        <f t="shared" si="36"/>
        <v>0</v>
      </c>
      <c r="AF39" s="17">
        <f t="shared" si="36"/>
        <v>0</v>
      </c>
      <c r="AG39" s="17">
        <f t="shared" si="36"/>
        <v>8.2134082134082131</v>
      </c>
      <c r="AH39" s="17">
        <f t="shared" si="36"/>
        <v>9.6488349195930425</v>
      </c>
      <c r="AI39" s="17">
        <f t="shared" si="36"/>
        <v>6.5543644716692189</v>
      </c>
      <c r="AJ39" s="17">
        <f t="shared" si="36"/>
        <v>7.2646210333071073</v>
      </c>
      <c r="AK39" s="17">
        <f t="shared" si="36"/>
        <v>6.3855134619966645</v>
      </c>
      <c r="AL39" s="17">
        <f t="shared" si="36"/>
        <v>5.0304878048780495</v>
      </c>
      <c r="AM39" s="17">
        <f t="shared" si="36"/>
        <v>5.2213149978513105</v>
      </c>
      <c r="AN39" s="17">
        <f t="shared" si="36"/>
        <v>4.294594085515163</v>
      </c>
      <c r="AO39" s="49">
        <f t="shared" si="36"/>
        <v>0.30541012216404884</v>
      </c>
      <c r="AP39" s="17">
        <f t="shared" si="36"/>
        <v>0</v>
      </c>
      <c r="AQ39" s="17">
        <f t="shared" si="36"/>
        <v>0</v>
      </c>
      <c r="AR39" s="17">
        <f t="shared" si="36"/>
        <v>0.40176777822418641</v>
      </c>
      <c r="AS39" s="17">
        <f t="shared" si="36"/>
        <v>0.50983248361252731</v>
      </c>
      <c r="AT39" s="17">
        <f t="shared" si="36"/>
        <v>0.1265022137887413</v>
      </c>
      <c r="AU39" s="17">
        <f t="shared" si="36"/>
        <v>0.52447552447552448</v>
      </c>
      <c r="AV39" s="17">
        <f t="shared" si="36"/>
        <v>0.52868094105207508</v>
      </c>
      <c r="AW39" s="17">
        <f t="shared" si="36"/>
        <v>0.38286671452500598</v>
      </c>
      <c r="AX39" s="17">
        <f t="shared" si="36"/>
        <v>0.43538038496791931</v>
      </c>
      <c r="AY39" s="17">
        <f t="shared" si="36"/>
        <v>0.21240441801189466</v>
      </c>
      <c r="AZ39" s="49">
        <f t="shared" si="36"/>
        <v>5.7635829662261377</v>
      </c>
      <c r="BA39" s="17">
        <f t="shared" si="36"/>
        <v>8.5047054722899951</v>
      </c>
      <c r="BB39" s="17">
        <f t="shared" si="36"/>
        <v>10.048939641109298</v>
      </c>
      <c r="BC39" s="17">
        <f t="shared" si="36"/>
        <v>6.3779988297249863</v>
      </c>
      <c r="BD39" s="17">
        <f t="shared" si="36"/>
        <v>7.5820739968733717</v>
      </c>
      <c r="BE39" s="17">
        <f t="shared" si="36"/>
        <v>6.6792989104689724</v>
      </c>
      <c r="BF39" s="17">
        <f t="shared" si="36"/>
        <v>5.3191489361702127</v>
      </c>
      <c r="BG39" s="17">
        <f t="shared" si="36"/>
        <v>5.5055698371893742</v>
      </c>
      <c r="BH39" s="17">
        <f t="shared" si="36"/>
        <v>4.4565626175253854</v>
      </c>
      <c r="BI39" s="17">
        <f t="shared" si="36"/>
        <v>6.6456251095914434</v>
      </c>
      <c r="BJ39" s="17">
        <f t="shared" si="36"/>
        <v>4.1192947767342236</v>
      </c>
      <c r="BK39" s="17">
        <f t="shared" si="36"/>
        <v>4.8701298701298708</v>
      </c>
      <c r="BL39" s="17">
        <f t="shared" si="36"/>
        <v>6.0197327338578743</v>
      </c>
      <c r="BM39" s="17">
        <f t="shared" si="36"/>
        <v>4.7536832412523014</v>
      </c>
      <c r="BN39" s="17">
        <f t="shared" si="36"/>
        <v>5.1415302963290586</v>
      </c>
      <c r="BO39" s="17">
        <f t="shared" si="36"/>
        <v>4.8917966784096629</v>
      </c>
      <c r="BP39" s="17">
        <f t="shared" ref="BP39:BQ39" si="39">(BP38/BP4)*100</f>
        <v>5.1702821175677194</v>
      </c>
      <c r="BQ39" s="17">
        <f t="shared" si="39"/>
        <v>3.6971004973257013</v>
      </c>
      <c r="BR39" s="17">
        <f t="shared" ref="BR39:BS39" si="40">(BR38/BR4)*100</f>
        <v>3.7259848631864934</v>
      </c>
      <c r="BS39" s="17">
        <f t="shared" si="40"/>
        <v>3.9434048379735276</v>
      </c>
    </row>
    <row r="40" spans="1:71">
      <c r="A40" s="18" t="s">
        <v>76</v>
      </c>
      <c r="B40" s="70"/>
      <c r="C40" s="18"/>
      <c r="D40" s="18"/>
      <c r="E40" s="18"/>
      <c r="F40" s="18"/>
      <c r="G40" s="18">
        <v>923</v>
      </c>
      <c r="H40" s="18"/>
      <c r="I40" s="18"/>
      <c r="J40" s="18">
        <v>1364</v>
      </c>
      <c r="K40" s="18">
        <v>1522</v>
      </c>
      <c r="L40" s="18">
        <v>1634</v>
      </c>
      <c r="M40" s="18">
        <v>1597</v>
      </c>
      <c r="N40" s="18">
        <v>1890</v>
      </c>
      <c r="O40" s="18">
        <v>1922</v>
      </c>
      <c r="P40" s="18">
        <v>2060</v>
      </c>
      <c r="Q40" s="18">
        <v>2280</v>
      </c>
      <c r="R40" s="18">
        <v>2477</v>
      </c>
      <c r="S40" s="18">
        <v>2633</v>
      </c>
      <c r="T40" s="18">
        <v>2803</v>
      </c>
      <c r="U40" s="18">
        <v>3039</v>
      </c>
      <c r="V40" s="18">
        <v>4100</v>
      </c>
      <c r="W40" s="18">
        <v>3959</v>
      </c>
      <c r="X40" s="18">
        <v>4065</v>
      </c>
      <c r="Y40" s="18">
        <v>4269</v>
      </c>
      <c r="Z40" s="18">
        <v>4026</v>
      </c>
      <c r="AA40" s="18">
        <v>4304</v>
      </c>
      <c r="AB40" s="18">
        <v>4509</v>
      </c>
      <c r="AC40" s="70"/>
      <c r="AD40" s="18">
        <v>139</v>
      </c>
      <c r="AE40" s="18"/>
      <c r="AF40" s="18"/>
      <c r="AG40" s="18">
        <v>214</v>
      </c>
      <c r="AH40" s="18">
        <v>263</v>
      </c>
      <c r="AI40" s="18">
        <v>210</v>
      </c>
      <c r="AJ40" s="18">
        <v>252</v>
      </c>
      <c r="AK40" s="18">
        <v>245</v>
      </c>
      <c r="AL40" s="18">
        <v>221</v>
      </c>
      <c r="AM40" s="18">
        <v>224</v>
      </c>
      <c r="AN40" s="18">
        <v>159</v>
      </c>
      <c r="AO40" s="70"/>
      <c r="AP40" s="18"/>
      <c r="AQ40" s="18"/>
      <c r="AR40" s="18"/>
      <c r="AS40" s="18"/>
      <c r="AT40" s="18"/>
      <c r="AU40" s="18"/>
      <c r="AV40" s="18"/>
      <c r="AW40" s="18"/>
      <c r="AX40" s="18"/>
      <c r="AY40" s="18"/>
      <c r="AZ40" s="70">
        <f t="shared" ref="AZ40:AZ51" si="41">IF(AD40&gt;AO40,(AD40),(AO40))</f>
        <v>139</v>
      </c>
      <c r="BA40" s="18">
        <f t="shared" ref="BA40:BH51" si="42">IF(AG40&gt;AR40,(AG40),(AR40))</f>
        <v>214</v>
      </c>
      <c r="BB40" s="18">
        <f t="shared" si="42"/>
        <v>263</v>
      </c>
      <c r="BC40" s="18">
        <f t="shared" si="42"/>
        <v>210</v>
      </c>
      <c r="BD40" s="18">
        <f t="shared" si="42"/>
        <v>252</v>
      </c>
      <c r="BE40" s="18">
        <f t="shared" si="42"/>
        <v>245</v>
      </c>
      <c r="BF40" s="18">
        <f t="shared" si="42"/>
        <v>221</v>
      </c>
      <c r="BG40" s="18">
        <f t="shared" si="42"/>
        <v>224</v>
      </c>
      <c r="BH40" s="18">
        <f t="shared" si="42"/>
        <v>159</v>
      </c>
      <c r="BI40" s="18">
        <v>220</v>
      </c>
      <c r="BJ40" s="18">
        <v>218</v>
      </c>
      <c r="BK40" s="18">
        <v>211</v>
      </c>
      <c r="BL40" s="18">
        <v>259</v>
      </c>
      <c r="BM40" s="18">
        <v>169</v>
      </c>
      <c r="BN40" s="18">
        <v>235</v>
      </c>
      <c r="BO40" s="18">
        <v>220</v>
      </c>
      <c r="BP40" s="18">
        <v>202</v>
      </c>
      <c r="BQ40" s="18">
        <v>152</v>
      </c>
      <c r="BR40">
        <v>177</v>
      </c>
      <c r="BS40">
        <v>234</v>
      </c>
    </row>
    <row r="41" spans="1:71">
      <c r="A41" s="18" t="s">
        <v>77</v>
      </c>
      <c r="B41" s="70"/>
      <c r="C41" s="18"/>
      <c r="D41" s="18"/>
      <c r="E41" s="18"/>
      <c r="F41" s="18"/>
      <c r="G41" s="18">
        <v>176</v>
      </c>
      <c r="H41" s="18"/>
      <c r="I41" s="18"/>
      <c r="J41" s="18">
        <v>208</v>
      </c>
      <c r="K41" s="18">
        <v>219</v>
      </c>
      <c r="L41" s="18">
        <v>238</v>
      </c>
      <c r="M41" s="18">
        <v>244</v>
      </c>
      <c r="N41" s="18">
        <v>326</v>
      </c>
      <c r="O41" s="18">
        <v>316</v>
      </c>
      <c r="P41" s="18">
        <v>374</v>
      </c>
      <c r="Q41" s="18">
        <v>417</v>
      </c>
      <c r="R41" s="18">
        <v>563</v>
      </c>
      <c r="S41" s="18">
        <v>679</v>
      </c>
      <c r="T41" s="18">
        <v>683</v>
      </c>
      <c r="U41" s="18">
        <v>740</v>
      </c>
      <c r="V41" s="18">
        <v>805</v>
      </c>
      <c r="W41" s="18">
        <v>913</v>
      </c>
      <c r="X41" s="18">
        <v>980</v>
      </c>
      <c r="Y41" s="18">
        <v>1048</v>
      </c>
      <c r="Z41" s="18">
        <v>1040</v>
      </c>
      <c r="AA41" s="18">
        <v>1052</v>
      </c>
      <c r="AB41" s="18">
        <v>1002</v>
      </c>
      <c r="AC41" s="70"/>
      <c r="AD41" s="18"/>
      <c r="AE41" s="18"/>
      <c r="AF41" s="18"/>
      <c r="AG41" s="18">
        <v>0</v>
      </c>
      <c r="AH41" s="18">
        <v>5</v>
      </c>
      <c r="AI41" s="18">
        <v>4</v>
      </c>
      <c r="AJ41" s="18">
        <v>3</v>
      </c>
      <c r="AK41" s="18">
        <v>5</v>
      </c>
      <c r="AL41" s="18">
        <v>8</v>
      </c>
      <c r="AM41" s="18">
        <v>14</v>
      </c>
      <c r="AN41" s="18">
        <v>18</v>
      </c>
      <c r="AO41" s="70"/>
      <c r="AP41" s="18"/>
      <c r="AQ41" s="18"/>
      <c r="AR41" s="18"/>
      <c r="AS41" s="18"/>
      <c r="AT41" s="18"/>
      <c r="AU41" s="18"/>
      <c r="AV41" s="18"/>
      <c r="AW41" s="18"/>
      <c r="AX41" s="18"/>
      <c r="AY41" s="18"/>
      <c r="AZ41" s="70">
        <f t="shared" si="41"/>
        <v>0</v>
      </c>
      <c r="BA41" s="18">
        <f t="shared" si="42"/>
        <v>0</v>
      </c>
      <c r="BB41" s="18">
        <f t="shared" si="42"/>
        <v>5</v>
      </c>
      <c r="BC41" s="18">
        <f t="shared" si="42"/>
        <v>4</v>
      </c>
      <c r="BD41" s="18">
        <f t="shared" si="42"/>
        <v>3</v>
      </c>
      <c r="BE41" s="18">
        <f t="shared" si="42"/>
        <v>5</v>
      </c>
      <c r="BF41" s="18">
        <f t="shared" si="42"/>
        <v>8</v>
      </c>
      <c r="BG41" s="18">
        <f t="shared" si="42"/>
        <v>14</v>
      </c>
      <c r="BH41" s="18">
        <f t="shared" si="42"/>
        <v>18</v>
      </c>
      <c r="BI41" s="18">
        <v>13</v>
      </c>
      <c r="BJ41" s="18">
        <v>15</v>
      </c>
      <c r="BK41" s="18">
        <v>4</v>
      </c>
      <c r="BL41" s="18">
        <v>20</v>
      </c>
      <c r="BM41" s="18">
        <v>33</v>
      </c>
      <c r="BN41" s="18">
        <v>36</v>
      </c>
      <c r="BO41" s="18">
        <v>32</v>
      </c>
      <c r="BP41" s="18">
        <v>42</v>
      </c>
      <c r="BQ41" s="18">
        <v>86</v>
      </c>
      <c r="BR41">
        <v>78</v>
      </c>
      <c r="BS41">
        <v>6</v>
      </c>
    </row>
    <row r="42" spans="1:71">
      <c r="A42" s="18" t="s">
        <v>78</v>
      </c>
      <c r="B42" s="70"/>
      <c r="C42" s="18"/>
      <c r="D42" s="18"/>
      <c r="E42" s="18"/>
      <c r="F42" s="18"/>
      <c r="G42" s="18">
        <v>44</v>
      </c>
      <c r="H42" s="18"/>
      <c r="I42" s="18"/>
      <c r="J42" s="18">
        <v>65</v>
      </c>
      <c r="K42" s="18">
        <v>48</v>
      </c>
      <c r="L42" s="18">
        <v>84</v>
      </c>
      <c r="M42" s="18">
        <v>98</v>
      </c>
      <c r="N42" s="18">
        <v>78</v>
      </c>
      <c r="O42" s="18">
        <v>91</v>
      </c>
      <c r="P42" s="18">
        <v>89</v>
      </c>
      <c r="Q42" s="18">
        <v>90</v>
      </c>
      <c r="R42" s="18">
        <v>90</v>
      </c>
      <c r="S42" s="18">
        <v>89</v>
      </c>
      <c r="T42" s="18">
        <v>105</v>
      </c>
      <c r="U42" s="18">
        <v>121</v>
      </c>
      <c r="V42" s="18">
        <v>132</v>
      </c>
      <c r="W42" s="18">
        <v>151</v>
      </c>
      <c r="X42" s="18">
        <v>318</v>
      </c>
      <c r="Y42" s="18">
        <v>670</v>
      </c>
      <c r="Z42" s="18">
        <v>1191</v>
      </c>
      <c r="AA42" s="18">
        <v>1884</v>
      </c>
      <c r="AB42" s="18">
        <v>2569</v>
      </c>
      <c r="AC42" s="70"/>
      <c r="AD42" s="18"/>
      <c r="AE42" s="18"/>
      <c r="AF42" s="18"/>
      <c r="AG42" s="18"/>
      <c r="AH42" s="18"/>
      <c r="AI42" s="18"/>
      <c r="AJ42" s="18"/>
      <c r="AK42" s="18"/>
      <c r="AL42" s="18"/>
      <c r="AM42" s="18"/>
      <c r="AN42" s="18"/>
      <c r="AO42" s="70"/>
      <c r="AP42" s="18"/>
      <c r="AQ42" s="18"/>
      <c r="AR42" s="18"/>
      <c r="AS42" s="18"/>
      <c r="AT42" s="18"/>
      <c r="AU42" s="18"/>
      <c r="AV42" s="18"/>
      <c r="AW42" s="18"/>
      <c r="AX42" s="18"/>
      <c r="AY42" s="18"/>
      <c r="AZ42" s="70">
        <f t="shared" si="41"/>
        <v>0</v>
      </c>
      <c r="BA42" s="18">
        <f t="shared" si="42"/>
        <v>0</v>
      </c>
      <c r="BB42" s="18">
        <f t="shared" si="42"/>
        <v>0</v>
      </c>
      <c r="BC42" s="18">
        <f t="shared" si="42"/>
        <v>0</v>
      </c>
      <c r="BD42" s="18">
        <f t="shared" si="42"/>
        <v>0</v>
      </c>
      <c r="BE42" s="18">
        <f t="shared" si="42"/>
        <v>0</v>
      </c>
      <c r="BF42" s="18">
        <f t="shared" si="42"/>
        <v>0</v>
      </c>
      <c r="BG42" s="18">
        <f t="shared" si="42"/>
        <v>0</v>
      </c>
      <c r="BH42" s="18">
        <f t="shared" si="42"/>
        <v>0</v>
      </c>
      <c r="BI42" s="18"/>
      <c r="BJ42" s="18"/>
      <c r="BK42" s="18"/>
      <c r="BL42" s="18"/>
      <c r="BM42" s="18"/>
      <c r="BN42" s="18"/>
      <c r="BO42" s="18"/>
      <c r="BP42" s="18"/>
      <c r="BQ42" s="18"/>
      <c r="BR42">
        <v>0</v>
      </c>
      <c r="BS42">
        <v>0</v>
      </c>
    </row>
    <row r="43" spans="1:71">
      <c r="A43" s="18" t="s">
        <v>79</v>
      </c>
      <c r="B43" s="70"/>
      <c r="C43" s="18"/>
      <c r="D43" s="18"/>
      <c r="E43" s="18"/>
      <c r="F43" s="18"/>
      <c r="G43" s="18">
        <v>48</v>
      </c>
      <c r="H43" s="18"/>
      <c r="I43" s="18"/>
      <c r="J43" s="18">
        <v>63</v>
      </c>
      <c r="K43" s="18">
        <v>86</v>
      </c>
      <c r="L43" s="18">
        <v>123</v>
      </c>
      <c r="M43" s="18">
        <v>95</v>
      </c>
      <c r="N43" s="18">
        <v>120</v>
      </c>
      <c r="O43" s="18">
        <v>144</v>
      </c>
      <c r="P43" s="18">
        <v>147</v>
      </c>
      <c r="Q43" s="18">
        <v>178</v>
      </c>
      <c r="R43" s="18">
        <v>207</v>
      </c>
      <c r="S43" s="18">
        <v>192</v>
      </c>
      <c r="T43" s="18">
        <v>187</v>
      </c>
      <c r="U43" s="18">
        <v>211</v>
      </c>
      <c r="V43" s="18">
        <v>228</v>
      </c>
      <c r="W43" s="18">
        <v>250</v>
      </c>
      <c r="X43" s="18">
        <v>238</v>
      </c>
      <c r="Y43" s="18">
        <v>268</v>
      </c>
      <c r="Z43" s="18">
        <v>299</v>
      </c>
      <c r="AA43" s="18">
        <v>323</v>
      </c>
      <c r="AB43" s="18">
        <v>307</v>
      </c>
      <c r="AC43" s="70"/>
      <c r="AD43" s="18"/>
      <c r="AE43" s="18"/>
      <c r="AF43" s="18"/>
      <c r="AG43" s="18"/>
      <c r="AH43" s="18"/>
      <c r="AI43" s="18"/>
      <c r="AJ43" s="18"/>
      <c r="AK43" s="18"/>
      <c r="AL43" s="18"/>
      <c r="AM43" s="18"/>
      <c r="AN43" s="18"/>
      <c r="AO43" s="70"/>
      <c r="AP43" s="18"/>
      <c r="AQ43" s="18"/>
      <c r="AR43" s="18"/>
      <c r="AS43" s="18"/>
      <c r="AT43" s="18"/>
      <c r="AU43" s="18"/>
      <c r="AV43" s="18"/>
      <c r="AW43" s="18"/>
      <c r="AX43" s="18"/>
      <c r="AY43" s="18"/>
      <c r="AZ43" s="70">
        <f t="shared" si="41"/>
        <v>0</v>
      </c>
      <c r="BA43" s="18">
        <f t="shared" si="42"/>
        <v>0</v>
      </c>
      <c r="BB43" s="18">
        <f t="shared" si="42"/>
        <v>0</v>
      </c>
      <c r="BC43" s="18">
        <f t="shared" si="42"/>
        <v>0</v>
      </c>
      <c r="BD43" s="18">
        <f t="shared" si="42"/>
        <v>0</v>
      </c>
      <c r="BE43" s="18">
        <f t="shared" si="42"/>
        <v>0</v>
      </c>
      <c r="BF43" s="18">
        <f t="shared" si="42"/>
        <v>0</v>
      </c>
      <c r="BG43" s="18">
        <f t="shared" si="42"/>
        <v>0</v>
      </c>
      <c r="BH43" s="18">
        <f t="shared" si="42"/>
        <v>0</v>
      </c>
      <c r="BI43" s="18"/>
      <c r="BJ43" s="18"/>
      <c r="BK43" s="18"/>
      <c r="BL43" s="18"/>
      <c r="BM43" s="18"/>
      <c r="BN43" s="18"/>
      <c r="BO43" s="18"/>
      <c r="BP43" s="18"/>
      <c r="BQ43" s="18"/>
      <c r="BR43">
        <v>0</v>
      </c>
      <c r="BS43">
        <v>0</v>
      </c>
    </row>
    <row r="44" spans="1:71">
      <c r="A44" s="18" t="s">
        <v>80</v>
      </c>
      <c r="B44" s="70"/>
      <c r="C44" s="18"/>
      <c r="D44" s="18"/>
      <c r="E44" s="18"/>
      <c r="F44" s="18"/>
      <c r="G44" s="18">
        <v>734</v>
      </c>
      <c r="H44" s="18"/>
      <c r="I44" s="18"/>
      <c r="J44" s="18">
        <v>966</v>
      </c>
      <c r="K44" s="18">
        <v>1097</v>
      </c>
      <c r="L44" s="18">
        <v>1198</v>
      </c>
      <c r="M44" s="18">
        <v>1308</v>
      </c>
      <c r="N44" s="18">
        <v>1279</v>
      </c>
      <c r="O44" s="18">
        <v>1544</v>
      </c>
      <c r="P44" s="18">
        <v>1706</v>
      </c>
      <c r="Q44" s="18">
        <v>2160</v>
      </c>
      <c r="R44" s="18">
        <v>2258</v>
      </c>
      <c r="S44" s="18">
        <v>2433</v>
      </c>
      <c r="T44" s="18">
        <v>2599</v>
      </c>
      <c r="U44" s="18">
        <v>2382</v>
      </c>
      <c r="V44" s="18">
        <v>2273</v>
      </c>
      <c r="W44" s="18">
        <v>2325</v>
      </c>
      <c r="X44" s="18">
        <v>2242</v>
      </c>
      <c r="Y44" s="18">
        <v>2280</v>
      </c>
      <c r="Z44" s="18">
        <v>2110</v>
      </c>
      <c r="AA44" s="18">
        <v>2178</v>
      </c>
      <c r="AB44" s="18">
        <v>2125</v>
      </c>
      <c r="AC44" s="70"/>
      <c r="AD44" s="18">
        <v>11</v>
      </c>
      <c r="AE44" s="18"/>
      <c r="AF44" s="18"/>
      <c r="AG44" s="18">
        <v>20</v>
      </c>
      <c r="AH44" s="18">
        <v>26</v>
      </c>
      <c r="AI44" s="18"/>
      <c r="AJ44" s="18">
        <v>18</v>
      </c>
      <c r="AK44" s="18">
        <v>12</v>
      </c>
      <c r="AL44" s="18"/>
      <c r="AM44" s="18"/>
      <c r="AN44" s="18">
        <v>50</v>
      </c>
      <c r="AO44" s="70"/>
      <c r="AP44" s="18"/>
      <c r="AQ44" s="18"/>
      <c r="AR44" s="18"/>
      <c r="AS44" s="18">
        <v>0</v>
      </c>
      <c r="AT44" s="18"/>
      <c r="AU44" s="18"/>
      <c r="AV44" s="18"/>
      <c r="AW44" s="18"/>
      <c r="AX44" s="18"/>
      <c r="AY44" s="18"/>
      <c r="AZ44" s="70">
        <f t="shared" si="41"/>
        <v>11</v>
      </c>
      <c r="BA44" s="18">
        <f t="shared" si="42"/>
        <v>20</v>
      </c>
      <c r="BB44" s="18">
        <f t="shared" si="42"/>
        <v>26</v>
      </c>
      <c r="BC44" s="18">
        <f t="shared" si="42"/>
        <v>0</v>
      </c>
      <c r="BD44" s="18">
        <f t="shared" si="42"/>
        <v>18</v>
      </c>
      <c r="BE44" s="18">
        <f t="shared" si="42"/>
        <v>12</v>
      </c>
      <c r="BF44" s="18">
        <f t="shared" si="42"/>
        <v>0</v>
      </c>
      <c r="BG44" s="18">
        <f t="shared" si="42"/>
        <v>0</v>
      </c>
      <c r="BH44" s="18">
        <f t="shared" si="42"/>
        <v>50</v>
      </c>
      <c r="BI44" s="18">
        <v>105</v>
      </c>
      <c r="BJ44" s="18"/>
      <c r="BK44" s="18">
        <v>92</v>
      </c>
      <c r="BL44" s="18">
        <v>152</v>
      </c>
      <c r="BM44" s="18">
        <v>139</v>
      </c>
      <c r="BN44" s="18">
        <v>112</v>
      </c>
      <c r="BO44" s="18">
        <v>141</v>
      </c>
      <c r="BP44" s="18">
        <v>140</v>
      </c>
      <c r="BQ44" s="18">
        <v>103</v>
      </c>
      <c r="BR44">
        <v>55</v>
      </c>
      <c r="BS44">
        <v>119</v>
      </c>
    </row>
    <row r="45" spans="1:71">
      <c r="A45" s="18" t="s">
        <v>81</v>
      </c>
      <c r="B45" s="70"/>
      <c r="C45" s="18"/>
      <c r="D45" s="18"/>
      <c r="E45" s="18"/>
      <c r="F45" s="18"/>
      <c r="G45" s="18">
        <v>25</v>
      </c>
      <c r="H45" s="18"/>
      <c r="I45" s="18"/>
      <c r="J45" s="18">
        <v>68</v>
      </c>
      <c r="K45" s="18">
        <v>64</v>
      </c>
      <c r="L45" s="18">
        <v>95</v>
      </c>
      <c r="M45" s="18">
        <v>88</v>
      </c>
      <c r="N45" s="18">
        <v>117</v>
      </c>
      <c r="O45" s="18">
        <v>121</v>
      </c>
      <c r="P45" s="18">
        <v>144</v>
      </c>
      <c r="Q45" s="18">
        <v>142</v>
      </c>
      <c r="R45" s="18">
        <v>276</v>
      </c>
      <c r="S45" s="18">
        <v>390</v>
      </c>
      <c r="T45" s="18">
        <v>526</v>
      </c>
      <c r="U45" s="18">
        <v>390</v>
      </c>
      <c r="V45" s="18">
        <v>947</v>
      </c>
      <c r="W45" s="18">
        <v>1205</v>
      </c>
      <c r="X45" s="18">
        <v>1684</v>
      </c>
      <c r="Y45" s="18">
        <v>2196</v>
      </c>
      <c r="Z45" s="18">
        <v>1322</v>
      </c>
      <c r="AA45" s="18">
        <v>372</v>
      </c>
      <c r="AB45" s="18">
        <v>385</v>
      </c>
      <c r="AC45" s="70"/>
      <c r="AD45" s="18"/>
      <c r="AE45" s="18"/>
      <c r="AF45" s="18"/>
      <c r="AG45" s="18"/>
      <c r="AH45" s="18"/>
      <c r="AI45" s="18"/>
      <c r="AJ45" s="18"/>
      <c r="AK45" s="18"/>
      <c r="AL45" s="18"/>
      <c r="AM45" s="18"/>
      <c r="AN45" s="18"/>
      <c r="AO45" s="70"/>
      <c r="AP45" s="18"/>
      <c r="AQ45" s="18"/>
      <c r="AR45" s="18"/>
      <c r="AS45" s="18"/>
      <c r="AT45" s="18"/>
      <c r="AU45" s="18"/>
      <c r="AV45" s="18"/>
      <c r="AW45" s="18"/>
      <c r="AX45" s="18"/>
      <c r="AY45" s="18"/>
      <c r="AZ45" s="70">
        <f t="shared" si="41"/>
        <v>0</v>
      </c>
      <c r="BA45" s="18">
        <f t="shared" si="42"/>
        <v>0</v>
      </c>
      <c r="BB45" s="18">
        <f t="shared" si="42"/>
        <v>0</v>
      </c>
      <c r="BC45" s="18">
        <f t="shared" si="42"/>
        <v>0</v>
      </c>
      <c r="BD45" s="18">
        <f t="shared" si="42"/>
        <v>0</v>
      </c>
      <c r="BE45" s="18">
        <f t="shared" si="42"/>
        <v>0</v>
      </c>
      <c r="BF45" s="18">
        <f t="shared" si="42"/>
        <v>0</v>
      </c>
      <c r="BG45" s="18">
        <f t="shared" si="42"/>
        <v>0</v>
      </c>
      <c r="BH45" s="18">
        <f t="shared" si="42"/>
        <v>0</v>
      </c>
      <c r="BI45" s="18"/>
      <c r="BJ45" s="18"/>
      <c r="BK45" s="18"/>
      <c r="BL45" s="18"/>
      <c r="BM45" s="18"/>
      <c r="BN45" s="18"/>
      <c r="BO45" s="18"/>
      <c r="BP45" s="18"/>
      <c r="BQ45" s="18"/>
      <c r="BR45">
        <v>0</v>
      </c>
      <c r="BS45">
        <v>0</v>
      </c>
    </row>
    <row r="46" spans="1:71">
      <c r="A46" s="18" t="s">
        <v>82</v>
      </c>
      <c r="B46" s="70"/>
      <c r="C46" s="18"/>
      <c r="D46" s="18"/>
      <c r="E46" s="18"/>
      <c r="F46" s="18"/>
      <c r="G46" s="18">
        <v>433</v>
      </c>
      <c r="H46" s="18"/>
      <c r="I46" s="18"/>
      <c r="J46" s="18">
        <v>628</v>
      </c>
      <c r="K46" s="18">
        <v>663</v>
      </c>
      <c r="L46" s="18">
        <v>721</v>
      </c>
      <c r="M46" s="18">
        <v>751</v>
      </c>
      <c r="N46" s="18">
        <v>878</v>
      </c>
      <c r="O46" s="18">
        <v>935</v>
      </c>
      <c r="P46" s="18">
        <v>1091</v>
      </c>
      <c r="Q46" s="18">
        <v>1386</v>
      </c>
      <c r="R46" s="18">
        <v>1991</v>
      </c>
      <c r="S46" s="18">
        <v>2256</v>
      </c>
      <c r="T46" s="18">
        <v>2390</v>
      </c>
      <c r="U46" s="18">
        <v>2469</v>
      </c>
      <c r="V46" s="18">
        <v>2497</v>
      </c>
      <c r="W46" s="18">
        <v>2424</v>
      </c>
      <c r="X46" s="18">
        <v>2478</v>
      </c>
      <c r="Y46" s="18">
        <v>2435</v>
      </c>
      <c r="Z46" s="18">
        <v>2625</v>
      </c>
      <c r="AA46" s="18">
        <v>2699</v>
      </c>
      <c r="AB46" s="18">
        <v>2990</v>
      </c>
      <c r="AC46" s="70"/>
      <c r="AD46" s="18"/>
      <c r="AE46" s="18"/>
      <c r="AF46" s="18"/>
      <c r="AG46" s="18">
        <v>0</v>
      </c>
      <c r="AH46" s="18">
        <v>0</v>
      </c>
      <c r="AI46" s="18"/>
      <c r="AJ46" s="18"/>
      <c r="AK46" s="18"/>
      <c r="AL46" s="18"/>
      <c r="AM46" s="18"/>
      <c r="AN46" s="18"/>
      <c r="AO46" s="70">
        <v>7</v>
      </c>
      <c r="AP46" s="18"/>
      <c r="AQ46" s="18"/>
      <c r="AR46" s="18">
        <v>10</v>
      </c>
      <c r="AS46" s="18">
        <v>14</v>
      </c>
      <c r="AT46" s="18">
        <v>4</v>
      </c>
      <c r="AU46" s="18">
        <v>14</v>
      </c>
      <c r="AV46" s="18">
        <v>14</v>
      </c>
      <c r="AW46" s="18">
        <v>14</v>
      </c>
      <c r="AX46" s="18">
        <v>14</v>
      </c>
      <c r="AY46" s="18">
        <v>9</v>
      </c>
      <c r="AZ46" s="70">
        <f t="shared" si="41"/>
        <v>7</v>
      </c>
      <c r="BA46" s="18">
        <f t="shared" si="42"/>
        <v>10</v>
      </c>
      <c r="BB46" s="18">
        <f t="shared" si="42"/>
        <v>14</v>
      </c>
      <c r="BC46" s="18">
        <f t="shared" si="42"/>
        <v>4</v>
      </c>
      <c r="BD46" s="18">
        <f t="shared" si="42"/>
        <v>14</v>
      </c>
      <c r="BE46" s="18">
        <f t="shared" si="42"/>
        <v>14</v>
      </c>
      <c r="BF46" s="18">
        <f t="shared" si="42"/>
        <v>14</v>
      </c>
      <c r="BG46" s="18">
        <f t="shared" si="42"/>
        <v>14</v>
      </c>
      <c r="BH46" s="18">
        <f t="shared" si="42"/>
        <v>9</v>
      </c>
      <c r="BI46" s="18">
        <v>13</v>
      </c>
      <c r="BJ46" s="18">
        <v>15</v>
      </c>
      <c r="BK46" s="18">
        <v>9</v>
      </c>
      <c r="BL46" s="18">
        <v>35</v>
      </c>
      <c r="BM46" s="18">
        <v>22</v>
      </c>
      <c r="BN46" s="18">
        <v>24</v>
      </c>
      <c r="BO46" s="18">
        <v>24</v>
      </c>
      <c r="BP46" s="18">
        <v>19</v>
      </c>
      <c r="BQ46" s="18">
        <v>16</v>
      </c>
      <c r="BR46">
        <v>15</v>
      </c>
      <c r="BS46">
        <v>21</v>
      </c>
    </row>
    <row r="47" spans="1:71">
      <c r="A47" s="18" t="s">
        <v>83</v>
      </c>
      <c r="B47" s="70"/>
      <c r="C47" s="18"/>
      <c r="D47" s="18"/>
      <c r="E47" s="18"/>
      <c r="F47" s="18"/>
      <c r="G47" s="18">
        <v>22</v>
      </c>
      <c r="H47" s="18"/>
      <c r="I47" s="18"/>
      <c r="J47" s="18">
        <v>34</v>
      </c>
      <c r="K47" s="18">
        <v>33</v>
      </c>
      <c r="L47" s="18">
        <v>36</v>
      </c>
      <c r="M47" s="18">
        <v>40</v>
      </c>
      <c r="N47" s="18">
        <v>40</v>
      </c>
      <c r="O47" s="18">
        <v>48</v>
      </c>
      <c r="P47" s="18">
        <v>71</v>
      </c>
      <c r="Q47" s="18">
        <v>103</v>
      </c>
      <c r="R47" s="18">
        <v>146</v>
      </c>
      <c r="S47" s="18">
        <v>143</v>
      </c>
      <c r="T47" s="18">
        <v>156</v>
      </c>
      <c r="U47" s="18">
        <v>155</v>
      </c>
      <c r="V47" s="18">
        <v>132</v>
      </c>
      <c r="W47" s="18">
        <v>161</v>
      </c>
      <c r="X47" s="18">
        <v>173</v>
      </c>
      <c r="Y47" s="18">
        <v>168</v>
      </c>
      <c r="Z47" s="18">
        <v>206</v>
      </c>
      <c r="AA47" s="18">
        <v>222</v>
      </c>
      <c r="AB47" s="18">
        <v>241</v>
      </c>
      <c r="AC47" s="70"/>
      <c r="AD47" s="18"/>
      <c r="AE47" s="18"/>
      <c r="AF47" s="18"/>
      <c r="AG47" s="18"/>
      <c r="AH47" s="18"/>
      <c r="AI47" s="18"/>
      <c r="AJ47" s="18"/>
      <c r="AK47" s="18"/>
      <c r="AL47" s="18"/>
      <c r="AM47" s="18"/>
      <c r="AN47" s="18"/>
      <c r="AO47" s="70"/>
      <c r="AP47" s="18"/>
      <c r="AQ47" s="18"/>
      <c r="AR47" s="18"/>
      <c r="AS47" s="18"/>
      <c r="AT47" s="18"/>
      <c r="AU47" s="18"/>
      <c r="AV47" s="18"/>
      <c r="AW47" s="18"/>
      <c r="AX47" s="18"/>
      <c r="AY47" s="18"/>
      <c r="AZ47" s="70">
        <f t="shared" si="41"/>
        <v>0</v>
      </c>
      <c r="BA47" s="18">
        <f t="shared" si="42"/>
        <v>0</v>
      </c>
      <c r="BB47" s="18">
        <f t="shared" si="42"/>
        <v>0</v>
      </c>
      <c r="BC47" s="18">
        <f t="shared" si="42"/>
        <v>0</v>
      </c>
      <c r="BD47" s="18">
        <f t="shared" si="42"/>
        <v>0</v>
      </c>
      <c r="BE47" s="18">
        <f t="shared" si="42"/>
        <v>0</v>
      </c>
      <c r="BF47" s="18">
        <f t="shared" si="42"/>
        <v>0</v>
      </c>
      <c r="BG47" s="18">
        <f t="shared" si="42"/>
        <v>0</v>
      </c>
      <c r="BH47" s="18">
        <f t="shared" si="42"/>
        <v>0</v>
      </c>
      <c r="BI47" s="18"/>
      <c r="BJ47" s="18"/>
      <c r="BK47" s="18"/>
      <c r="BL47" s="18"/>
      <c r="BM47" s="18"/>
      <c r="BN47" s="18"/>
      <c r="BO47" s="18"/>
      <c r="BP47" s="18"/>
      <c r="BQ47" s="18"/>
      <c r="BR47">
        <v>0</v>
      </c>
      <c r="BS47">
        <v>0</v>
      </c>
    </row>
    <row r="48" spans="1:71">
      <c r="A48" s="18" t="s">
        <v>84</v>
      </c>
      <c r="B48" s="70"/>
      <c r="C48" s="18"/>
      <c r="D48" s="18"/>
      <c r="E48" s="18"/>
      <c r="F48" s="18"/>
      <c r="G48" s="18">
        <v>1</v>
      </c>
      <c r="H48" s="18"/>
      <c r="I48" s="18"/>
      <c r="J48" s="18">
        <v>3</v>
      </c>
      <c r="K48" s="18">
        <v>3</v>
      </c>
      <c r="L48" s="18">
        <v>2</v>
      </c>
      <c r="M48" s="18">
        <v>2</v>
      </c>
      <c r="N48" s="18">
        <v>4</v>
      </c>
      <c r="O48" s="18">
        <v>5</v>
      </c>
      <c r="P48" s="18">
        <v>7</v>
      </c>
      <c r="Q48" s="18">
        <v>2</v>
      </c>
      <c r="R48" s="18">
        <v>5</v>
      </c>
      <c r="S48" s="18">
        <v>16</v>
      </c>
      <c r="T48" s="18">
        <v>17</v>
      </c>
      <c r="U48" s="18">
        <v>7</v>
      </c>
      <c r="V48" s="18">
        <v>12</v>
      </c>
      <c r="W48" s="18">
        <v>21</v>
      </c>
      <c r="X48" s="18">
        <v>15</v>
      </c>
      <c r="Y48" s="18">
        <v>22</v>
      </c>
      <c r="Z48" s="18">
        <v>52</v>
      </c>
      <c r="AA48" s="18">
        <v>33</v>
      </c>
      <c r="AB48" s="18">
        <v>44</v>
      </c>
      <c r="AC48" s="70"/>
      <c r="AD48" s="18"/>
      <c r="AE48" s="18"/>
      <c r="AF48" s="18"/>
      <c r="AG48" s="18"/>
      <c r="AH48" s="18"/>
      <c r="AI48" s="18"/>
      <c r="AJ48" s="18"/>
      <c r="AK48" s="18"/>
      <c r="AL48" s="18"/>
      <c r="AM48" s="18"/>
      <c r="AN48" s="18"/>
      <c r="AO48" s="70"/>
      <c r="AP48" s="18"/>
      <c r="AQ48" s="18"/>
      <c r="AR48" s="18"/>
      <c r="AS48" s="18"/>
      <c r="AT48" s="18"/>
      <c r="AU48" s="18"/>
      <c r="AV48" s="18"/>
      <c r="AW48" s="18"/>
      <c r="AX48" s="18"/>
      <c r="AY48" s="18"/>
      <c r="AZ48" s="70">
        <f t="shared" si="41"/>
        <v>0</v>
      </c>
      <c r="BA48" s="18">
        <f t="shared" si="42"/>
        <v>0</v>
      </c>
      <c r="BB48" s="18">
        <f t="shared" si="42"/>
        <v>0</v>
      </c>
      <c r="BC48" s="18">
        <f t="shared" si="42"/>
        <v>0</v>
      </c>
      <c r="BD48" s="18">
        <f t="shared" si="42"/>
        <v>0</v>
      </c>
      <c r="BE48" s="18">
        <f t="shared" si="42"/>
        <v>0</v>
      </c>
      <c r="BF48" s="18">
        <f t="shared" si="42"/>
        <v>0</v>
      </c>
      <c r="BG48" s="18">
        <f t="shared" si="42"/>
        <v>0</v>
      </c>
      <c r="BH48" s="18">
        <f t="shared" si="42"/>
        <v>0</v>
      </c>
      <c r="BI48" s="18"/>
      <c r="BJ48" s="18"/>
      <c r="BK48" s="18"/>
      <c r="BL48" s="18"/>
      <c r="BM48" s="18"/>
      <c r="BN48" s="18"/>
      <c r="BO48" s="18"/>
      <c r="BP48" s="18"/>
      <c r="BQ48" s="18"/>
      <c r="BR48">
        <v>0</v>
      </c>
      <c r="BS48">
        <v>0</v>
      </c>
    </row>
    <row r="49" spans="1:71">
      <c r="A49" s="18" t="s">
        <v>85</v>
      </c>
      <c r="B49" s="70"/>
      <c r="C49" s="18"/>
      <c r="D49" s="18"/>
      <c r="E49" s="18"/>
      <c r="F49" s="18"/>
      <c r="G49" s="18">
        <v>424</v>
      </c>
      <c r="H49" s="18"/>
      <c r="I49" s="18"/>
      <c r="J49" s="18">
        <v>594</v>
      </c>
      <c r="K49" s="18">
        <v>681</v>
      </c>
      <c r="L49" s="18">
        <v>718</v>
      </c>
      <c r="M49" s="18">
        <v>830</v>
      </c>
      <c r="N49" s="18">
        <v>826</v>
      </c>
      <c r="O49" s="18">
        <v>898</v>
      </c>
      <c r="P49" s="18">
        <v>875</v>
      </c>
      <c r="Q49" s="18">
        <v>1007</v>
      </c>
      <c r="R49" s="18">
        <v>1189</v>
      </c>
      <c r="S49" s="18">
        <v>1234</v>
      </c>
      <c r="T49" s="18">
        <v>1369</v>
      </c>
      <c r="U49" s="18">
        <v>1488</v>
      </c>
      <c r="V49" s="18">
        <v>1506</v>
      </c>
      <c r="W49" s="18">
        <v>1524</v>
      </c>
      <c r="X49" s="18">
        <v>1553</v>
      </c>
      <c r="Y49" s="18">
        <v>1639</v>
      </c>
      <c r="Z49" s="18">
        <v>1659</v>
      </c>
      <c r="AA49" s="18">
        <v>1792</v>
      </c>
      <c r="AB49" s="18">
        <v>1867</v>
      </c>
      <c r="AC49" s="70"/>
      <c r="AD49" s="18"/>
      <c r="AE49" s="18"/>
      <c r="AF49" s="18"/>
      <c r="AG49" s="18">
        <v>0</v>
      </c>
      <c r="AH49" s="18">
        <v>0</v>
      </c>
      <c r="AI49" s="18"/>
      <c r="AJ49" s="18">
        <v>4</v>
      </c>
      <c r="AK49" s="18">
        <v>6</v>
      </c>
      <c r="AL49" s="18">
        <v>2</v>
      </c>
      <c r="AM49" s="18">
        <v>5</v>
      </c>
      <c r="AN49" s="18">
        <v>1</v>
      </c>
      <c r="AO49" s="70"/>
      <c r="AP49" s="18"/>
      <c r="AQ49" s="18"/>
      <c r="AR49" s="18">
        <v>0</v>
      </c>
      <c r="AS49" s="18">
        <v>0</v>
      </c>
      <c r="AT49" s="18"/>
      <c r="AU49" s="18">
        <v>4</v>
      </c>
      <c r="AV49" s="18">
        <v>6</v>
      </c>
      <c r="AW49" s="18">
        <v>2</v>
      </c>
      <c r="AX49" s="18">
        <v>5</v>
      </c>
      <c r="AY49" s="18">
        <v>1</v>
      </c>
      <c r="AZ49" s="70">
        <f t="shared" si="41"/>
        <v>0</v>
      </c>
      <c r="BA49" s="18">
        <f t="shared" si="42"/>
        <v>0</v>
      </c>
      <c r="BB49" s="18">
        <f t="shared" si="42"/>
        <v>0</v>
      </c>
      <c r="BC49" s="18">
        <f t="shared" si="42"/>
        <v>0</v>
      </c>
      <c r="BD49" s="18">
        <f t="shared" si="42"/>
        <v>4</v>
      </c>
      <c r="BE49" s="18">
        <f t="shared" si="42"/>
        <v>6</v>
      </c>
      <c r="BF49" s="18">
        <f t="shared" si="42"/>
        <v>2</v>
      </c>
      <c r="BG49" s="18">
        <f t="shared" si="42"/>
        <v>5</v>
      </c>
      <c r="BH49" s="18">
        <f t="shared" si="42"/>
        <v>1</v>
      </c>
      <c r="BI49" s="18">
        <v>28</v>
      </c>
      <c r="BJ49" s="18">
        <v>2</v>
      </c>
      <c r="BK49" s="18">
        <v>14</v>
      </c>
      <c r="BL49" s="18">
        <v>16</v>
      </c>
      <c r="BM49" s="18">
        <v>50</v>
      </c>
      <c r="BN49" s="18">
        <v>58</v>
      </c>
      <c r="BO49" s="18">
        <v>69</v>
      </c>
      <c r="BP49" s="18">
        <v>57</v>
      </c>
      <c r="BQ49" s="18">
        <v>37</v>
      </c>
      <c r="BR49">
        <v>59</v>
      </c>
      <c r="BS49">
        <v>51</v>
      </c>
    </row>
    <row r="50" spans="1:71">
      <c r="A50" s="18" t="s">
        <v>86</v>
      </c>
      <c r="B50" s="70"/>
      <c r="C50" s="18"/>
      <c r="D50" s="18"/>
      <c r="E50" s="18"/>
      <c r="F50" s="18"/>
      <c r="G50" s="18">
        <v>2</v>
      </c>
      <c r="H50" s="18"/>
      <c r="I50" s="18"/>
      <c r="J50" s="18">
        <v>13</v>
      </c>
      <c r="K50" s="18">
        <v>12</v>
      </c>
      <c r="L50" s="18">
        <v>12</v>
      </c>
      <c r="M50" s="18">
        <v>4</v>
      </c>
      <c r="N50" s="18">
        <v>4</v>
      </c>
      <c r="O50" s="18">
        <v>8</v>
      </c>
      <c r="P50" s="18">
        <v>6</v>
      </c>
      <c r="Q50" s="18">
        <v>5</v>
      </c>
      <c r="R50" s="18">
        <v>8</v>
      </c>
      <c r="S50" s="18">
        <v>14</v>
      </c>
      <c r="T50" s="18">
        <v>10</v>
      </c>
      <c r="U50" s="18">
        <v>17</v>
      </c>
      <c r="V50" s="18">
        <v>13</v>
      </c>
      <c r="W50" s="18">
        <v>15</v>
      </c>
      <c r="X50" s="18">
        <v>18</v>
      </c>
      <c r="Y50" s="18">
        <v>17</v>
      </c>
      <c r="Z50" s="18">
        <v>41</v>
      </c>
      <c r="AA50" s="18">
        <v>41</v>
      </c>
      <c r="AB50" s="18">
        <v>37</v>
      </c>
      <c r="AC50" s="70"/>
      <c r="AD50" s="18"/>
      <c r="AE50" s="18"/>
      <c r="AF50" s="18"/>
      <c r="AG50" s="18"/>
      <c r="AH50" s="18"/>
      <c r="AI50" s="18"/>
      <c r="AJ50" s="18"/>
      <c r="AK50" s="18"/>
      <c r="AL50" s="18"/>
      <c r="AM50" s="18"/>
      <c r="AN50" s="18"/>
      <c r="AO50" s="70"/>
      <c r="AP50" s="18"/>
      <c r="AQ50" s="18"/>
      <c r="AR50" s="18"/>
      <c r="AS50" s="18"/>
      <c r="AT50" s="18"/>
      <c r="AU50" s="18"/>
      <c r="AV50" s="18"/>
      <c r="AW50" s="18"/>
      <c r="AX50" s="18"/>
      <c r="AY50" s="18"/>
      <c r="AZ50" s="70">
        <f t="shared" si="41"/>
        <v>0</v>
      </c>
      <c r="BA50" s="18">
        <f t="shared" si="42"/>
        <v>0</v>
      </c>
      <c r="BB50" s="18">
        <f t="shared" si="42"/>
        <v>0</v>
      </c>
      <c r="BC50" s="18">
        <f t="shared" si="42"/>
        <v>0</v>
      </c>
      <c r="BD50" s="18">
        <f t="shared" si="42"/>
        <v>0</v>
      </c>
      <c r="BE50" s="18">
        <f t="shared" si="42"/>
        <v>0</v>
      </c>
      <c r="BF50" s="18">
        <f t="shared" si="42"/>
        <v>0</v>
      </c>
      <c r="BG50" s="18">
        <f t="shared" si="42"/>
        <v>0</v>
      </c>
      <c r="BH50" s="18">
        <f t="shared" si="42"/>
        <v>0</v>
      </c>
      <c r="BI50" s="18"/>
      <c r="BJ50" s="18"/>
      <c r="BK50" s="18"/>
      <c r="BL50" s="18"/>
      <c r="BM50" s="18"/>
      <c r="BN50" s="18"/>
      <c r="BO50" s="18"/>
      <c r="BP50" s="18"/>
      <c r="BQ50" s="18"/>
      <c r="BR50">
        <v>0</v>
      </c>
      <c r="BS50">
        <v>0</v>
      </c>
    </row>
    <row r="51" spans="1:71">
      <c r="A51" s="20" t="s">
        <v>87</v>
      </c>
      <c r="B51" s="71"/>
      <c r="C51" s="20"/>
      <c r="D51" s="20"/>
      <c r="E51" s="20"/>
      <c r="F51" s="20"/>
      <c r="G51" s="20">
        <v>82</v>
      </c>
      <c r="H51" s="20"/>
      <c r="I51" s="20"/>
      <c r="J51" s="20">
        <v>95</v>
      </c>
      <c r="K51" s="20">
        <v>99</v>
      </c>
      <c r="L51" s="20">
        <v>122</v>
      </c>
      <c r="M51" s="20">
        <v>145</v>
      </c>
      <c r="N51" s="20">
        <v>144</v>
      </c>
      <c r="O51" s="20">
        <v>161</v>
      </c>
      <c r="P51" s="20">
        <v>170</v>
      </c>
      <c r="Q51" s="20">
        <v>243</v>
      </c>
      <c r="R51" s="20">
        <v>321</v>
      </c>
      <c r="S51" s="20">
        <v>375</v>
      </c>
      <c r="T51" s="20">
        <v>333</v>
      </c>
      <c r="U51" s="20">
        <v>321</v>
      </c>
      <c r="V51" s="20">
        <v>313</v>
      </c>
      <c r="W51" s="20">
        <v>297</v>
      </c>
      <c r="X51" s="20">
        <v>349</v>
      </c>
      <c r="Y51" s="20">
        <v>376</v>
      </c>
      <c r="Z51" s="20">
        <v>326</v>
      </c>
      <c r="AA51" s="20">
        <v>370</v>
      </c>
      <c r="AB51" s="20">
        <v>401</v>
      </c>
      <c r="AC51" s="71"/>
      <c r="AD51" s="20"/>
      <c r="AE51" s="20"/>
      <c r="AF51" s="20"/>
      <c r="AG51" s="20"/>
      <c r="AH51" s="20"/>
      <c r="AI51" s="20"/>
      <c r="AJ51" s="20"/>
      <c r="AK51" s="20"/>
      <c r="AL51" s="20"/>
      <c r="AM51" s="20"/>
      <c r="AN51" s="20"/>
      <c r="AO51" s="71"/>
      <c r="AP51" s="20"/>
      <c r="AQ51" s="20"/>
      <c r="AR51" s="20"/>
      <c r="AS51" s="20"/>
      <c r="AT51" s="20"/>
      <c r="AU51" s="20"/>
      <c r="AV51" s="20"/>
      <c r="AW51" s="20"/>
      <c r="AX51" s="20"/>
      <c r="AY51" s="20"/>
      <c r="AZ51" s="71">
        <f t="shared" si="41"/>
        <v>0</v>
      </c>
      <c r="BA51" s="20">
        <f t="shared" si="42"/>
        <v>0</v>
      </c>
      <c r="BB51" s="20">
        <f t="shared" si="42"/>
        <v>0</v>
      </c>
      <c r="BC51" s="20">
        <f t="shared" si="42"/>
        <v>0</v>
      </c>
      <c r="BD51" s="20">
        <f t="shared" si="42"/>
        <v>0</v>
      </c>
      <c r="BE51" s="20">
        <f t="shared" si="42"/>
        <v>0</v>
      </c>
      <c r="BF51" s="20">
        <f t="shared" si="42"/>
        <v>0</v>
      </c>
      <c r="BG51" s="20">
        <f t="shared" si="42"/>
        <v>0</v>
      </c>
      <c r="BH51" s="20">
        <f t="shared" si="42"/>
        <v>0</v>
      </c>
      <c r="BI51" s="20"/>
      <c r="BJ51" s="20"/>
      <c r="BK51" s="20"/>
      <c r="BL51" s="20"/>
      <c r="BM51" s="20"/>
      <c r="BN51" s="20"/>
      <c r="BO51" s="20"/>
      <c r="BP51" s="20"/>
      <c r="BQ51" s="20"/>
      <c r="BR51">
        <v>0</v>
      </c>
      <c r="BS51">
        <v>1</v>
      </c>
    </row>
    <row r="52" spans="1:71">
      <c r="A52" s="15" t="s">
        <v>88</v>
      </c>
      <c r="B52" s="48">
        <f t="shared" ref="B52:BO52" si="43">SUM(B54:B62)</f>
        <v>0</v>
      </c>
      <c r="C52" s="15">
        <f t="shared" si="43"/>
        <v>0</v>
      </c>
      <c r="D52" s="15">
        <f t="shared" si="43"/>
        <v>0</v>
      </c>
      <c r="E52" s="15">
        <f t="shared" si="43"/>
        <v>0</v>
      </c>
      <c r="F52" s="15">
        <f t="shared" si="43"/>
        <v>0</v>
      </c>
      <c r="G52" s="15">
        <f t="shared" si="43"/>
        <v>2577</v>
      </c>
      <c r="H52" s="15">
        <f t="shared" si="43"/>
        <v>0</v>
      </c>
      <c r="I52" s="15">
        <f t="shared" si="43"/>
        <v>0</v>
      </c>
      <c r="J52" s="15">
        <f t="shared" si="43"/>
        <v>4082</v>
      </c>
      <c r="K52" s="15">
        <f t="shared" si="43"/>
        <v>4477</v>
      </c>
      <c r="L52" s="15">
        <f t="shared" si="43"/>
        <v>4864</v>
      </c>
      <c r="M52" s="15">
        <f t="shared" si="43"/>
        <v>5592</v>
      </c>
      <c r="N52" s="15">
        <f t="shared" si="43"/>
        <v>5409</v>
      </c>
      <c r="O52" s="15">
        <f t="shared" si="43"/>
        <v>5822</v>
      </c>
      <c r="P52" s="15">
        <f t="shared" si="43"/>
        <v>6173</v>
      </c>
      <c r="Q52" s="15">
        <f t="shared" si="43"/>
        <v>6869</v>
      </c>
      <c r="R52" s="15">
        <f t="shared" si="43"/>
        <v>8425</v>
      </c>
      <c r="S52" s="15">
        <f t="shared" si="43"/>
        <v>9312</v>
      </c>
      <c r="T52" s="15">
        <f t="shared" si="43"/>
        <v>9263</v>
      </c>
      <c r="U52" s="15">
        <f t="shared" si="43"/>
        <v>9999</v>
      </c>
      <c r="V52" s="15">
        <f t="shared" si="43"/>
        <v>10300</v>
      </c>
      <c r="W52" s="15">
        <f t="shared" si="43"/>
        <v>10232</v>
      </c>
      <c r="X52" s="15">
        <f t="shared" si="43"/>
        <v>10841</v>
      </c>
      <c r="Y52" s="15">
        <f t="shared" ref="Y52:Z52" si="44">SUM(Y54:Y62)</f>
        <v>10939</v>
      </c>
      <c r="Z52" s="15">
        <f t="shared" si="44"/>
        <v>11328</v>
      </c>
      <c r="AA52" s="15">
        <f t="shared" ref="AA52:AB52" si="45">SUM(AA54:AA62)</f>
        <v>12055</v>
      </c>
      <c r="AB52" s="15">
        <f t="shared" si="45"/>
        <v>11914</v>
      </c>
      <c r="AC52" s="48">
        <f t="shared" si="43"/>
        <v>0</v>
      </c>
      <c r="AD52" s="15">
        <f t="shared" si="43"/>
        <v>136</v>
      </c>
      <c r="AE52" s="15">
        <f t="shared" si="43"/>
        <v>0</v>
      </c>
      <c r="AF52" s="15">
        <f t="shared" si="43"/>
        <v>0</v>
      </c>
      <c r="AG52" s="15">
        <f t="shared" si="43"/>
        <v>134</v>
      </c>
      <c r="AH52" s="15">
        <f t="shared" si="43"/>
        <v>127</v>
      </c>
      <c r="AI52" s="15">
        <f t="shared" si="43"/>
        <v>171</v>
      </c>
      <c r="AJ52" s="15">
        <f t="shared" si="43"/>
        <v>200</v>
      </c>
      <c r="AK52" s="15">
        <f t="shared" si="43"/>
        <v>194</v>
      </c>
      <c r="AL52" s="15">
        <f t="shared" si="43"/>
        <v>218</v>
      </c>
      <c r="AM52" s="15">
        <f t="shared" si="43"/>
        <v>236</v>
      </c>
      <c r="AN52" s="15">
        <f t="shared" si="43"/>
        <v>455</v>
      </c>
      <c r="AO52" s="48">
        <f t="shared" si="43"/>
        <v>57</v>
      </c>
      <c r="AP52" s="15">
        <f t="shared" si="43"/>
        <v>0</v>
      </c>
      <c r="AQ52" s="15">
        <f t="shared" si="43"/>
        <v>0</v>
      </c>
      <c r="AR52" s="15">
        <f t="shared" si="43"/>
        <v>116</v>
      </c>
      <c r="AS52" s="15">
        <f t="shared" si="43"/>
        <v>102</v>
      </c>
      <c r="AT52" s="15">
        <f t="shared" si="43"/>
        <v>129</v>
      </c>
      <c r="AU52" s="15">
        <f t="shared" si="43"/>
        <v>129</v>
      </c>
      <c r="AV52" s="15">
        <f t="shared" si="43"/>
        <v>125</v>
      </c>
      <c r="AW52" s="15">
        <f t="shared" si="43"/>
        <v>169</v>
      </c>
      <c r="AX52" s="15">
        <f t="shared" si="43"/>
        <v>189</v>
      </c>
      <c r="AY52" s="15">
        <f t="shared" si="43"/>
        <v>354</v>
      </c>
      <c r="AZ52" s="48">
        <f t="shared" si="43"/>
        <v>136</v>
      </c>
      <c r="BA52" s="15">
        <f t="shared" si="43"/>
        <v>134</v>
      </c>
      <c r="BB52" s="15">
        <f t="shared" si="43"/>
        <v>127</v>
      </c>
      <c r="BC52" s="15">
        <f t="shared" si="43"/>
        <v>171</v>
      </c>
      <c r="BD52" s="15">
        <f t="shared" si="43"/>
        <v>200</v>
      </c>
      <c r="BE52" s="15">
        <f t="shared" si="43"/>
        <v>194</v>
      </c>
      <c r="BF52" s="15">
        <f t="shared" si="43"/>
        <v>218</v>
      </c>
      <c r="BG52" s="15">
        <f t="shared" si="43"/>
        <v>236</v>
      </c>
      <c r="BH52" s="15">
        <f t="shared" si="43"/>
        <v>455</v>
      </c>
      <c r="BI52" s="15">
        <f t="shared" si="43"/>
        <v>385</v>
      </c>
      <c r="BJ52" s="15">
        <f t="shared" si="43"/>
        <v>404</v>
      </c>
      <c r="BK52" s="15">
        <f t="shared" si="43"/>
        <v>374</v>
      </c>
      <c r="BL52" s="15">
        <f t="shared" si="43"/>
        <v>450</v>
      </c>
      <c r="BM52" s="15">
        <f t="shared" si="43"/>
        <v>513</v>
      </c>
      <c r="BN52" s="15">
        <f t="shared" si="43"/>
        <v>473</v>
      </c>
      <c r="BO52" s="15">
        <f t="shared" si="43"/>
        <v>543</v>
      </c>
      <c r="BP52" s="15">
        <f t="shared" ref="BP52:BQ52" si="46">SUM(BP54:BP62)</f>
        <v>509</v>
      </c>
      <c r="BQ52" s="15">
        <f t="shared" si="46"/>
        <v>627</v>
      </c>
      <c r="BR52" s="15">
        <f t="shared" ref="BR52:BS52" si="47">SUM(BR54:BR62)</f>
        <v>638</v>
      </c>
      <c r="BS52" s="15">
        <f t="shared" si="47"/>
        <v>580</v>
      </c>
    </row>
    <row r="53" spans="1:71">
      <c r="A53" s="17" t="s">
        <v>44</v>
      </c>
      <c r="B53" s="49">
        <f t="shared" ref="B53:BO53" si="48">(B52/B4)*100</f>
        <v>0</v>
      </c>
      <c r="C53" s="17">
        <f t="shared" si="48"/>
        <v>0</v>
      </c>
      <c r="D53" s="17">
        <f t="shared" si="48"/>
        <v>0</v>
      </c>
      <c r="E53" s="17">
        <f t="shared" si="48"/>
        <v>0</v>
      </c>
      <c r="F53" s="17">
        <f t="shared" si="48"/>
        <v>0</v>
      </c>
      <c r="G53" s="17">
        <f t="shared" si="48"/>
        <v>19.626808834729626</v>
      </c>
      <c r="H53" s="17">
        <f t="shared" si="48"/>
        <v>0</v>
      </c>
      <c r="I53" s="17">
        <f t="shared" si="48"/>
        <v>0</v>
      </c>
      <c r="J53" s="17">
        <f t="shared" si="48"/>
        <v>23.489469444124754</v>
      </c>
      <c r="K53" s="17">
        <f t="shared" si="48"/>
        <v>23.740587549050801</v>
      </c>
      <c r="L53" s="17">
        <f t="shared" si="48"/>
        <v>23.295019157088124</v>
      </c>
      <c r="M53" s="17">
        <f t="shared" si="48"/>
        <v>24.420280361587842</v>
      </c>
      <c r="N53" s="17">
        <f t="shared" si="48"/>
        <v>22.094685674604793</v>
      </c>
      <c r="O53" s="17">
        <f t="shared" si="48"/>
        <v>21.654392620694786</v>
      </c>
      <c r="P53" s="17">
        <f t="shared" si="48"/>
        <v>21.58467079268506</v>
      </c>
      <c r="Q53" s="17">
        <f t="shared" si="48"/>
        <v>20.464160162068758</v>
      </c>
      <c r="R53" s="17">
        <f t="shared" si="48"/>
        <v>21.057235691077231</v>
      </c>
      <c r="S53" s="17">
        <f t="shared" si="48"/>
        <v>20.625498360946221</v>
      </c>
      <c r="T53" s="17">
        <f t="shared" si="48"/>
        <v>19.239796448229306</v>
      </c>
      <c r="U53" s="17">
        <f t="shared" si="48"/>
        <v>20.220015773189623</v>
      </c>
      <c r="V53" s="17">
        <f t="shared" si="48"/>
        <v>18.531179158720448</v>
      </c>
      <c r="W53" s="17">
        <f t="shared" si="48"/>
        <v>17.814611045337418</v>
      </c>
      <c r="X53" s="17">
        <f t="shared" si="48"/>
        <v>17.577054655706341</v>
      </c>
      <c r="Y53" s="17">
        <f t="shared" ref="Y53:Z53" si="49">(Y52/Y4)*100</f>
        <v>16.837779180199178</v>
      </c>
      <c r="Z53" s="17">
        <f t="shared" si="49"/>
        <v>17.791459220053085</v>
      </c>
      <c r="AA53" s="17">
        <f t="shared" ref="AA53:AB53" si="50">(AA52/AA4)*100</f>
        <v>16.984135929442925</v>
      </c>
      <c r="AB53" s="17">
        <f t="shared" si="50"/>
        <v>16.249539682756176</v>
      </c>
      <c r="AC53" s="49">
        <f t="shared" si="48"/>
        <v>0</v>
      </c>
      <c r="AD53" s="17">
        <f t="shared" si="48"/>
        <v>5.0073637702503682</v>
      </c>
      <c r="AE53" s="17">
        <f t="shared" si="48"/>
        <v>0</v>
      </c>
      <c r="AF53" s="17">
        <f t="shared" si="48"/>
        <v>0</v>
      </c>
      <c r="AG53" s="17">
        <f t="shared" si="48"/>
        <v>4.7034047034047033</v>
      </c>
      <c r="AH53" s="17">
        <f t="shared" si="48"/>
        <v>4.1680341319330489</v>
      </c>
      <c r="AI53" s="17">
        <f t="shared" si="48"/>
        <v>5.2373660030627871</v>
      </c>
      <c r="AJ53" s="17">
        <f t="shared" si="48"/>
        <v>5.2452137424600052</v>
      </c>
      <c r="AK53" s="17">
        <f t="shared" si="48"/>
        <v>4.6223492971169886</v>
      </c>
      <c r="AL53" s="17">
        <f t="shared" si="48"/>
        <v>4.7473867595818815</v>
      </c>
      <c r="AM53" s="17">
        <f t="shared" si="48"/>
        <v>5.0709067468844005</v>
      </c>
      <c r="AN53" s="17">
        <f t="shared" si="48"/>
        <v>8.5703522320587684</v>
      </c>
      <c r="AO53" s="49">
        <f t="shared" si="48"/>
        <v>2.4869109947643979</v>
      </c>
      <c r="AP53" s="17">
        <f t="shared" si="48"/>
        <v>0</v>
      </c>
      <c r="AQ53" s="17">
        <f t="shared" si="48"/>
        <v>0</v>
      </c>
      <c r="AR53" s="17">
        <f t="shared" si="48"/>
        <v>4.6605062274005622</v>
      </c>
      <c r="AS53" s="17">
        <f t="shared" si="48"/>
        <v>3.7144938091769846</v>
      </c>
      <c r="AT53" s="17">
        <f t="shared" si="48"/>
        <v>4.0796963946869065</v>
      </c>
      <c r="AU53" s="17">
        <f t="shared" si="48"/>
        <v>3.7587412587412583</v>
      </c>
      <c r="AV53" s="17">
        <f t="shared" si="48"/>
        <v>3.3042558815754695</v>
      </c>
      <c r="AW53" s="17">
        <f t="shared" si="48"/>
        <v>4.0440296721703763</v>
      </c>
      <c r="AX53" s="17">
        <f t="shared" si="48"/>
        <v>4.3308890925756192</v>
      </c>
      <c r="AY53" s="17">
        <f t="shared" si="48"/>
        <v>7.5191163976210698</v>
      </c>
      <c r="AZ53" s="49">
        <f t="shared" si="48"/>
        <v>4.9926578560939792</v>
      </c>
      <c r="BA53" s="17">
        <f t="shared" si="48"/>
        <v>4.6706169397002437</v>
      </c>
      <c r="BB53" s="17">
        <f t="shared" si="48"/>
        <v>4.1435562805872763</v>
      </c>
      <c r="BC53" s="17">
        <f t="shared" si="48"/>
        <v>5.0029256875365711</v>
      </c>
      <c r="BD53" s="17">
        <f t="shared" si="48"/>
        <v>5.2110474205315267</v>
      </c>
      <c r="BE53" s="17">
        <f t="shared" si="48"/>
        <v>4.5949786830885841</v>
      </c>
      <c r="BF53" s="17">
        <f t="shared" si="48"/>
        <v>4.7329570125922711</v>
      </c>
      <c r="BG53" s="17">
        <f t="shared" si="48"/>
        <v>5.0556983718937447</v>
      </c>
      <c r="BH53" s="17">
        <f t="shared" si="48"/>
        <v>8.5558480631816458</v>
      </c>
      <c r="BI53" s="17">
        <f t="shared" si="48"/>
        <v>6.7508328949675604</v>
      </c>
      <c r="BJ53" s="17">
        <f t="shared" si="48"/>
        <v>6.6567803592025045</v>
      </c>
      <c r="BK53" s="17">
        <f t="shared" si="48"/>
        <v>5.5194805194805197</v>
      </c>
      <c r="BL53" s="17">
        <f t="shared" si="48"/>
        <v>5.6200824278756087</v>
      </c>
      <c r="BM53" s="17">
        <f t="shared" si="48"/>
        <v>5.9046961325966851</v>
      </c>
      <c r="BN53" s="17">
        <f t="shared" si="48"/>
        <v>5.2299867315347193</v>
      </c>
      <c r="BO53" s="17">
        <f t="shared" si="48"/>
        <v>5.4655259184700551</v>
      </c>
      <c r="BP53" s="17">
        <f t="shared" ref="BP53:BQ53" si="51">(BP52/BP4)*100</f>
        <v>5.72102956052602</v>
      </c>
      <c r="BQ53" s="17">
        <f t="shared" si="51"/>
        <v>5.8834568828000373</v>
      </c>
      <c r="BR53" s="17">
        <f t="shared" ref="BR53:BS53" si="52">(BR52/BR4)*100</f>
        <v>6.1905686008150589</v>
      </c>
      <c r="BS53" s="17">
        <f t="shared" si="52"/>
        <v>5.2943861250570521</v>
      </c>
    </row>
    <row r="54" spans="1:71">
      <c r="A54" s="18" t="s">
        <v>89</v>
      </c>
      <c r="B54" s="70"/>
      <c r="C54" s="18"/>
      <c r="D54" s="18"/>
      <c r="E54" s="18"/>
      <c r="F54" s="18"/>
      <c r="G54" s="18">
        <v>142</v>
      </c>
      <c r="H54" s="18"/>
      <c r="I54" s="18"/>
      <c r="J54" s="18">
        <v>177</v>
      </c>
      <c r="K54" s="18">
        <v>164</v>
      </c>
      <c r="L54" s="18">
        <v>195</v>
      </c>
      <c r="M54" s="18">
        <v>211</v>
      </c>
      <c r="N54" s="18">
        <v>201</v>
      </c>
      <c r="O54" s="18">
        <v>241</v>
      </c>
      <c r="P54" s="18">
        <v>284</v>
      </c>
      <c r="Q54" s="18">
        <v>312</v>
      </c>
      <c r="R54" s="18">
        <v>336</v>
      </c>
      <c r="S54" s="18">
        <v>382</v>
      </c>
      <c r="T54" s="18">
        <v>428</v>
      </c>
      <c r="U54" s="18">
        <v>492</v>
      </c>
      <c r="V54" s="18">
        <v>457</v>
      </c>
      <c r="W54" s="18">
        <v>454</v>
      </c>
      <c r="X54" s="18">
        <v>462</v>
      </c>
      <c r="Y54" s="18">
        <v>434</v>
      </c>
      <c r="Z54" s="18">
        <v>454</v>
      </c>
      <c r="AA54" s="18">
        <v>567</v>
      </c>
      <c r="AB54" s="18">
        <v>545</v>
      </c>
      <c r="AC54" s="70"/>
      <c r="AD54" s="18"/>
      <c r="AE54" s="18"/>
      <c r="AF54" s="18"/>
      <c r="AG54" s="18"/>
      <c r="AH54" s="18"/>
      <c r="AI54" s="18"/>
      <c r="AJ54" s="18"/>
      <c r="AK54" s="18"/>
      <c r="AL54" s="18"/>
      <c r="AM54" s="18"/>
      <c r="AN54" s="18"/>
      <c r="AO54" s="70"/>
      <c r="AP54" s="18"/>
      <c r="AQ54" s="18"/>
      <c r="AR54" s="18"/>
      <c r="AS54" s="18"/>
      <c r="AT54" s="18"/>
      <c r="AU54" s="18"/>
      <c r="AV54" s="18"/>
      <c r="AW54" s="18"/>
      <c r="AX54" s="18"/>
      <c r="AY54" s="18"/>
      <c r="AZ54" s="70">
        <f t="shared" ref="AZ54:AZ63" si="53">IF(AD54&gt;AO54,(AD54),(AO54))</f>
        <v>0</v>
      </c>
      <c r="BA54" s="18">
        <f t="shared" ref="BA54:BH63" si="54">IF(AG54&gt;AR54,(AG54),(AR54))</f>
        <v>0</v>
      </c>
      <c r="BB54" s="18">
        <f t="shared" si="54"/>
        <v>0</v>
      </c>
      <c r="BC54" s="18">
        <f t="shared" si="54"/>
        <v>0</v>
      </c>
      <c r="BD54" s="18">
        <f t="shared" si="54"/>
        <v>0</v>
      </c>
      <c r="BE54" s="18">
        <f t="shared" si="54"/>
        <v>0</v>
      </c>
      <c r="BF54" s="18">
        <f t="shared" si="54"/>
        <v>0</v>
      </c>
      <c r="BG54" s="18">
        <f t="shared" si="54"/>
        <v>0</v>
      </c>
      <c r="BH54" s="18">
        <f t="shared" si="54"/>
        <v>0</v>
      </c>
      <c r="BI54" s="18"/>
      <c r="BJ54" s="18"/>
      <c r="BK54" s="18"/>
      <c r="BL54" s="18"/>
      <c r="BM54" s="18"/>
      <c r="BN54" s="18">
        <v>0</v>
      </c>
      <c r="BO54" s="18">
        <v>4</v>
      </c>
      <c r="BP54" s="18"/>
      <c r="BQ54" s="18"/>
      <c r="BR54">
        <v>0</v>
      </c>
      <c r="BS54">
        <v>0</v>
      </c>
    </row>
    <row r="55" spans="1:71">
      <c r="A55" s="18" t="s">
        <v>90</v>
      </c>
      <c r="B55" s="70"/>
      <c r="C55" s="18"/>
      <c r="D55" s="18"/>
      <c r="E55" s="18"/>
      <c r="F55" s="18"/>
      <c r="G55" s="18">
        <v>3</v>
      </c>
      <c r="H55" s="18"/>
      <c r="I55" s="18"/>
      <c r="J55" s="18">
        <v>1</v>
      </c>
      <c r="K55" s="18">
        <v>3</v>
      </c>
      <c r="L55" s="18">
        <v>2</v>
      </c>
      <c r="M55" s="18">
        <v>3</v>
      </c>
      <c r="N55" s="18">
        <v>2</v>
      </c>
      <c r="O55" s="18">
        <v>9</v>
      </c>
      <c r="P55" s="18">
        <v>8</v>
      </c>
      <c r="Q55" s="18">
        <v>9</v>
      </c>
      <c r="R55" s="18">
        <v>7</v>
      </c>
      <c r="S55" s="18">
        <v>20</v>
      </c>
      <c r="T55" s="18">
        <v>8</v>
      </c>
      <c r="U55" s="18">
        <v>16</v>
      </c>
      <c r="V55" s="18">
        <v>9</v>
      </c>
      <c r="W55" s="18">
        <v>13</v>
      </c>
      <c r="X55" s="18">
        <v>15</v>
      </c>
      <c r="Y55" s="18">
        <v>26</v>
      </c>
      <c r="Z55" s="18">
        <v>19</v>
      </c>
      <c r="AA55" s="18">
        <v>41</v>
      </c>
      <c r="AB55" s="18">
        <v>35</v>
      </c>
      <c r="AC55" s="70"/>
      <c r="AD55" s="18"/>
      <c r="AE55" s="18"/>
      <c r="AF55" s="18"/>
      <c r="AG55" s="18"/>
      <c r="AH55" s="18"/>
      <c r="AI55" s="18"/>
      <c r="AJ55" s="18"/>
      <c r="AK55" s="18"/>
      <c r="AL55" s="18"/>
      <c r="AM55" s="18"/>
      <c r="AN55" s="18"/>
      <c r="AO55" s="70"/>
      <c r="AP55" s="18"/>
      <c r="AQ55" s="18"/>
      <c r="AR55" s="18"/>
      <c r="AS55" s="18"/>
      <c r="AT55" s="18"/>
      <c r="AU55" s="18"/>
      <c r="AV55" s="18"/>
      <c r="AW55" s="18"/>
      <c r="AX55" s="18"/>
      <c r="AY55" s="18"/>
      <c r="AZ55" s="70">
        <f t="shared" si="53"/>
        <v>0</v>
      </c>
      <c r="BA55" s="18">
        <f t="shared" si="54"/>
        <v>0</v>
      </c>
      <c r="BB55" s="18">
        <f t="shared" si="54"/>
        <v>0</v>
      </c>
      <c r="BC55" s="18">
        <f t="shared" si="54"/>
        <v>0</v>
      </c>
      <c r="BD55" s="18">
        <f t="shared" si="54"/>
        <v>0</v>
      </c>
      <c r="BE55" s="18">
        <f t="shared" si="54"/>
        <v>0</v>
      </c>
      <c r="BF55" s="18">
        <f t="shared" si="54"/>
        <v>0</v>
      </c>
      <c r="BG55" s="18">
        <f t="shared" si="54"/>
        <v>0</v>
      </c>
      <c r="BH55" s="18">
        <f t="shared" si="54"/>
        <v>0</v>
      </c>
      <c r="BI55" s="18"/>
      <c r="BJ55" s="18"/>
      <c r="BK55" s="18"/>
      <c r="BL55" s="18"/>
      <c r="BM55" s="18"/>
      <c r="BN55" s="18"/>
      <c r="BO55" s="18"/>
      <c r="BP55" s="18"/>
      <c r="BQ55" s="18"/>
      <c r="BR55">
        <v>0</v>
      </c>
      <c r="BS55">
        <v>0</v>
      </c>
    </row>
    <row r="56" spans="1:71">
      <c r="A56" s="18" t="s">
        <v>91</v>
      </c>
      <c r="B56" s="70"/>
      <c r="C56" s="18"/>
      <c r="D56" s="18"/>
      <c r="E56" s="18"/>
      <c r="F56" s="18"/>
      <c r="G56" s="18">
        <v>379</v>
      </c>
      <c r="H56" s="18"/>
      <c r="I56" s="18"/>
      <c r="J56" s="18">
        <v>517</v>
      </c>
      <c r="K56" s="18">
        <v>581</v>
      </c>
      <c r="L56" s="18">
        <v>721</v>
      </c>
      <c r="M56" s="18">
        <v>818</v>
      </c>
      <c r="N56" s="18">
        <v>788</v>
      </c>
      <c r="O56" s="18">
        <v>928</v>
      </c>
      <c r="P56" s="18">
        <v>926</v>
      </c>
      <c r="Q56" s="18">
        <v>1087</v>
      </c>
      <c r="R56" s="18">
        <v>1413</v>
      </c>
      <c r="S56" s="18">
        <v>1349</v>
      </c>
      <c r="T56" s="18">
        <v>1468</v>
      </c>
      <c r="U56" s="18">
        <v>1555</v>
      </c>
      <c r="V56" s="18">
        <v>1543</v>
      </c>
      <c r="W56" s="18">
        <v>1596</v>
      </c>
      <c r="X56" s="18">
        <v>1573</v>
      </c>
      <c r="Y56" s="18">
        <v>1577</v>
      </c>
      <c r="Z56" s="18">
        <v>1719</v>
      </c>
      <c r="AA56" s="18">
        <v>1847</v>
      </c>
      <c r="AB56" s="18">
        <v>1767</v>
      </c>
      <c r="AC56" s="70"/>
      <c r="AD56" s="18"/>
      <c r="AE56" s="18"/>
      <c r="AF56" s="18"/>
      <c r="AG56" s="18">
        <v>0</v>
      </c>
      <c r="AH56" s="18">
        <v>0</v>
      </c>
      <c r="AI56" s="18"/>
      <c r="AJ56" s="18"/>
      <c r="AK56" s="18"/>
      <c r="AL56" s="18"/>
      <c r="AM56" s="18"/>
      <c r="AN56" s="18"/>
      <c r="AO56" s="70"/>
      <c r="AP56" s="18"/>
      <c r="AQ56" s="18"/>
      <c r="AR56" s="18"/>
      <c r="AS56" s="18"/>
      <c r="AT56" s="18"/>
      <c r="AU56" s="18"/>
      <c r="AV56" s="18"/>
      <c r="AW56" s="18"/>
      <c r="AX56" s="18"/>
      <c r="AY56" s="18"/>
      <c r="AZ56" s="70">
        <f t="shared" si="53"/>
        <v>0</v>
      </c>
      <c r="BA56" s="18">
        <f t="shared" si="54"/>
        <v>0</v>
      </c>
      <c r="BB56" s="18">
        <f t="shared" si="54"/>
        <v>0</v>
      </c>
      <c r="BC56" s="18">
        <f t="shared" si="54"/>
        <v>0</v>
      </c>
      <c r="BD56" s="18">
        <f t="shared" si="54"/>
        <v>0</v>
      </c>
      <c r="BE56" s="18">
        <f t="shared" si="54"/>
        <v>0</v>
      </c>
      <c r="BF56" s="18">
        <f t="shared" si="54"/>
        <v>0</v>
      </c>
      <c r="BG56" s="18">
        <f t="shared" si="54"/>
        <v>0</v>
      </c>
      <c r="BH56" s="18">
        <f t="shared" si="54"/>
        <v>0</v>
      </c>
      <c r="BI56" s="18">
        <v>5</v>
      </c>
      <c r="BJ56" s="18"/>
      <c r="BK56" s="18">
        <v>3</v>
      </c>
      <c r="BL56" s="18"/>
      <c r="BM56" s="18">
        <v>1</v>
      </c>
      <c r="BN56" s="18">
        <v>2</v>
      </c>
      <c r="BO56" s="18">
        <v>2</v>
      </c>
      <c r="BP56" s="18">
        <v>0</v>
      </c>
      <c r="BQ56" s="18">
        <v>97</v>
      </c>
      <c r="BR56">
        <v>154</v>
      </c>
      <c r="BS56">
        <v>143</v>
      </c>
    </row>
    <row r="57" spans="1:71">
      <c r="A57" s="18" t="s">
        <v>92</v>
      </c>
      <c r="B57" s="70"/>
      <c r="C57" s="18"/>
      <c r="D57" s="18"/>
      <c r="E57" s="18"/>
      <c r="F57" s="18"/>
      <c r="G57" s="18">
        <v>39</v>
      </c>
      <c r="H57" s="18"/>
      <c r="I57" s="18"/>
      <c r="J57" s="18">
        <v>12</v>
      </c>
      <c r="K57" s="18">
        <v>20</v>
      </c>
      <c r="L57" s="18">
        <v>15</v>
      </c>
      <c r="M57" s="18">
        <v>21</v>
      </c>
      <c r="N57" s="18">
        <v>26</v>
      </c>
      <c r="O57" s="18">
        <v>21</v>
      </c>
      <c r="P57" s="18">
        <v>18</v>
      </c>
      <c r="Q57" s="18">
        <v>23</v>
      </c>
      <c r="R57" s="18">
        <v>31</v>
      </c>
      <c r="S57" s="18">
        <v>36</v>
      </c>
      <c r="T57" s="18">
        <v>32</v>
      </c>
      <c r="U57" s="18">
        <v>36</v>
      </c>
      <c r="V57" s="18">
        <v>46</v>
      </c>
      <c r="W57" s="18">
        <v>34</v>
      </c>
      <c r="X57" s="18">
        <v>38</v>
      </c>
      <c r="Y57" s="18">
        <v>41</v>
      </c>
      <c r="Z57" s="18">
        <v>59</v>
      </c>
      <c r="AA57" s="18">
        <v>62</v>
      </c>
      <c r="AB57" s="18">
        <v>74</v>
      </c>
      <c r="AC57" s="70"/>
      <c r="AD57" s="18"/>
      <c r="AE57" s="18"/>
      <c r="AF57" s="18"/>
      <c r="AG57" s="18"/>
      <c r="AH57" s="18"/>
      <c r="AI57" s="18"/>
      <c r="AJ57" s="18"/>
      <c r="AK57" s="18"/>
      <c r="AL57" s="18"/>
      <c r="AM57" s="18"/>
      <c r="AN57" s="18"/>
      <c r="AO57" s="70"/>
      <c r="AP57" s="18"/>
      <c r="AQ57" s="18"/>
      <c r="AR57" s="18"/>
      <c r="AS57" s="18"/>
      <c r="AT57" s="18"/>
      <c r="AU57" s="18"/>
      <c r="AV57" s="18"/>
      <c r="AW57" s="18"/>
      <c r="AX57" s="18"/>
      <c r="AY57" s="18"/>
      <c r="AZ57" s="70">
        <f t="shared" si="53"/>
        <v>0</v>
      </c>
      <c r="BA57" s="18">
        <f t="shared" si="54"/>
        <v>0</v>
      </c>
      <c r="BB57" s="18">
        <f t="shared" si="54"/>
        <v>0</v>
      </c>
      <c r="BC57" s="18">
        <f t="shared" si="54"/>
        <v>0</v>
      </c>
      <c r="BD57" s="18">
        <f t="shared" si="54"/>
        <v>0</v>
      </c>
      <c r="BE57" s="18">
        <f t="shared" si="54"/>
        <v>0</v>
      </c>
      <c r="BF57" s="18">
        <f t="shared" si="54"/>
        <v>0</v>
      </c>
      <c r="BG57" s="18">
        <f t="shared" si="54"/>
        <v>0</v>
      </c>
      <c r="BH57" s="18">
        <f t="shared" si="54"/>
        <v>0</v>
      </c>
      <c r="BI57" s="18"/>
      <c r="BJ57" s="18"/>
      <c r="BK57" s="18"/>
      <c r="BL57" s="18"/>
      <c r="BM57" s="18"/>
      <c r="BN57" s="18"/>
      <c r="BO57" s="18"/>
      <c r="BP57" s="18"/>
      <c r="BQ57" s="18"/>
      <c r="BR57">
        <v>0</v>
      </c>
      <c r="BS57">
        <v>0</v>
      </c>
    </row>
    <row r="58" spans="1:71">
      <c r="A58" s="18" t="s">
        <v>93</v>
      </c>
      <c r="B58" s="70"/>
      <c r="C58" s="18"/>
      <c r="D58" s="18"/>
      <c r="E58" s="18"/>
      <c r="F58" s="18"/>
      <c r="G58" s="18">
        <v>226</v>
      </c>
      <c r="H58" s="18"/>
      <c r="I58" s="18"/>
      <c r="J58" s="18">
        <v>275</v>
      </c>
      <c r="K58" s="18">
        <v>319</v>
      </c>
      <c r="L58" s="18">
        <v>348</v>
      </c>
      <c r="M58" s="18">
        <v>381</v>
      </c>
      <c r="N58" s="18">
        <v>403</v>
      </c>
      <c r="O58" s="18">
        <v>420</v>
      </c>
      <c r="P58" s="18">
        <v>471</v>
      </c>
      <c r="Q58" s="18">
        <v>539</v>
      </c>
      <c r="R58" s="18">
        <v>766</v>
      </c>
      <c r="S58" s="18">
        <v>871</v>
      </c>
      <c r="T58" s="18">
        <v>844</v>
      </c>
      <c r="U58" s="18">
        <v>994</v>
      </c>
      <c r="V58" s="18">
        <v>993</v>
      </c>
      <c r="W58" s="18">
        <v>1017</v>
      </c>
      <c r="X58" s="18">
        <v>1088</v>
      </c>
      <c r="Y58" s="18">
        <v>1180</v>
      </c>
      <c r="Z58" s="18">
        <v>1227</v>
      </c>
      <c r="AA58" s="18">
        <v>1391</v>
      </c>
      <c r="AB58" s="18">
        <v>1202</v>
      </c>
      <c r="AC58" s="70"/>
      <c r="AD58" s="18"/>
      <c r="AE58" s="18"/>
      <c r="AF58" s="18"/>
      <c r="AG58" s="18">
        <v>0</v>
      </c>
      <c r="AH58" s="18">
        <v>0</v>
      </c>
      <c r="AI58" s="18"/>
      <c r="AJ58" s="18"/>
      <c r="AK58" s="18"/>
      <c r="AL58" s="18"/>
      <c r="AM58" s="18"/>
      <c r="AN58" s="18"/>
      <c r="AO58" s="70"/>
      <c r="AP58" s="18"/>
      <c r="AQ58" s="18"/>
      <c r="AR58" s="18"/>
      <c r="AS58" s="18"/>
      <c r="AT58" s="18"/>
      <c r="AU58" s="18"/>
      <c r="AV58" s="18"/>
      <c r="AW58" s="18"/>
      <c r="AX58" s="18"/>
      <c r="AY58" s="18"/>
      <c r="AZ58" s="70">
        <f t="shared" si="53"/>
        <v>0</v>
      </c>
      <c r="BA58" s="18">
        <f t="shared" si="54"/>
        <v>0</v>
      </c>
      <c r="BB58" s="18">
        <f t="shared" si="54"/>
        <v>0</v>
      </c>
      <c r="BC58" s="18">
        <f t="shared" si="54"/>
        <v>0</v>
      </c>
      <c r="BD58" s="18">
        <f t="shared" si="54"/>
        <v>0</v>
      </c>
      <c r="BE58" s="18">
        <f t="shared" si="54"/>
        <v>0</v>
      </c>
      <c r="BF58" s="18">
        <f t="shared" si="54"/>
        <v>0</v>
      </c>
      <c r="BG58" s="18">
        <f t="shared" si="54"/>
        <v>0</v>
      </c>
      <c r="BH58" s="18">
        <f t="shared" si="54"/>
        <v>0</v>
      </c>
      <c r="BI58" s="18">
        <v>3</v>
      </c>
      <c r="BJ58" s="18">
        <v>0</v>
      </c>
      <c r="BK58" s="18">
        <v>1</v>
      </c>
      <c r="BL58" s="18">
        <v>3</v>
      </c>
      <c r="BM58" s="18">
        <v>1</v>
      </c>
      <c r="BN58" s="18">
        <v>2</v>
      </c>
      <c r="BO58" s="18">
        <v>14</v>
      </c>
      <c r="BP58" s="18">
        <v>21</v>
      </c>
      <c r="BQ58" s="18">
        <v>24</v>
      </c>
      <c r="BR58">
        <v>39</v>
      </c>
      <c r="BS58">
        <v>32</v>
      </c>
    </row>
    <row r="59" spans="1:71">
      <c r="A59" s="18" t="s">
        <v>94</v>
      </c>
      <c r="B59" s="70"/>
      <c r="C59" s="18"/>
      <c r="D59" s="18"/>
      <c r="E59" s="18"/>
      <c r="F59" s="18"/>
      <c r="G59" s="18">
        <v>1139</v>
      </c>
      <c r="H59" s="18"/>
      <c r="I59" s="18"/>
      <c r="J59" s="18">
        <v>2358</v>
      </c>
      <c r="K59" s="18">
        <v>2633</v>
      </c>
      <c r="L59" s="18">
        <v>2620</v>
      </c>
      <c r="M59" s="18">
        <v>3127</v>
      </c>
      <c r="N59" s="18">
        <v>2934</v>
      </c>
      <c r="O59" s="18">
        <v>3071</v>
      </c>
      <c r="P59" s="18">
        <v>3216</v>
      </c>
      <c r="Q59" s="18">
        <v>3453</v>
      </c>
      <c r="R59" s="18">
        <v>4361</v>
      </c>
      <c r="S59" s="18">
        <v>4830</v>
      </c>
      <c r="T59" s="18">
        <v>4677</v>
      </c>
      <c r="U59" s="18">
        <v>5008</v>
      </c>
      <c r="V59" s="18">
        <v>5159</v>
      </c>
      <c r="W59" s="18">
        <v>5020</v>
      </c>
      <c r="X59" s="18">
        <v>5365</v>
      </c>
      <c r="Y59" s="18">
        <v>5367</v>
      </c>
      <c r="Z59" s="18">
        <v>5347</v>
      </c>
      <c r="AA59" s="18">
        <v>5492</v>
      </c>
      <c r="AB59" s="18">
        <v>5596</v>
      </c>
      <c r="AC59" s="70"/>
      <c r="AD59" s="18"/>
      <c r="AE59" s="18"/>
      <c r="AF59" s="18"/>
      <c r="AG59" s="18">
        <v>18</v>
      </c>
      <c r="AH59" s="18">
        <v>25</v>
      </c>
      <c r="AI59" s="18">
        <v>42</v>
      </c>
      <c r="AJ59" s="18">
        <v>71</v>
      </c>
      <c r="AK59" s="18">
        <v>69</v>
      </c>
      <c r="AL59" s="18">
        <v>49</v>
      </c>
      <c r="AM59" s="18">
        <v>47</v>
      </c>
      <c r="AN59" s="18">
        <v>101</v>
      </c>
      <c r="AO59" s="70"/>
      <c r="AP59" s="18"/>
      <c r="AQ59" s="18"/>
      <c r="AR59" s="18"/>
      <c r="AS59" s="18"/>
      <c r="AT59" s="18"/>
      <c r="AU59" s="18"/>
      <c r="AV59" s="18"/>
      <c r="AW59" s="18"/>
      <c r="AX59" s="18"/>
      <c r="AY59" s="18"/>
      <c r="AZ59" s="70">
        <f t="shared" si="53"/>
        <v>0</v>
      </c>
      <c r="BA59" s="18">
        <f t="shared" si="54"/>
        <v>18</v>
      </c>
      <c r="BB59" s="18">
        <f t="shared" si="54"/>
        <v>25</v>
      </c>
      <c r="BC59" s="18">
        <f t="shared" si="54"/>
        <v>42</v>
      </c>
      <c r="BD59" s="18">
        <f t="shared" si="54"/>
        <v>71</v>
      </c>
      <c r="BE59" s="18">
        <f t="shared" si="54"/>
        <v>69</v>
      </c>
      <c r="BF59" s="18">
        <f t="shared" si="54"/>
        <v>49</v>
      </c>
      <c r="BG59" s="18">
        <f t="shared" si="54"/>
        <v>47</v>
      </c>
      <c r="BH59" s="18">
        <f t="shared" si="54"/>
        <v>101</v>
      </c>
      <c r="BI59" s="18">
        <v>160</v>
      </c>
      <c r="BJ59" s="18">
        <v>144</v>
      </c>
      <c r="BK59" s="18">
        <v>214</v>
      </c>
      <c r="BL59" s="18">
        <v>199</v>
      </c>
      <c r="BM59" s="18">
        <v>251</v>
      </c>
      <c r="BN59" s="18">
        <v>216</v>
      </c>
      <c r="BO59" s="18">
        <v>226</v>
      </c>
      <c r="BP59" s="18">
        <v>256</v>
      </c>
      <c r="BQ59" s="18">
        <v>259</v>
      </c>
      <c r="BR59">
        <v>225</v>
      </c>
      <c r="BS59">
        <v>256</v>
      </c>
    </row>
    <row r="60" spans="1:71">
      <c r="A60" s="18" t="s">
        <v>95</v>
      </c>
      <c r="B60" s="70"/>
      <c r="C60" s="18"/>
      <c r="D60" s="18"/>
      <c r="E60" s="18"/>
      <c r="F60" s="18"/>
      <c r="G60" s="18">
        <v>616</v>
      </c>
      <c r="H60" s="18"/>
      <c r="I60" s="18"/>
      <c r="J60" s="18">
        <v>712</v>
      </c>
      <c r="K60" s="18">
        <v>707</v>
      </c>
      <c r="L60" s="18">
        <v>931</v>
      </c>
      <c r="M60" s="18">
        <v>973</v>
      </c>
      <c r="N60" s="18">
        <v>995</v>
      </c>
      <c r="O60" s="18">
        <v>1077</v>
      </c>
      <c r="P60" s="18">
        <v>1173</v>
      </c>
      <c r="Q60" s="18">
        <v>1381</v>
      </c>
      <c r="R60" s="18">
        <v>1457</v>
      </c>
      <c r="S60" s="18">
        <v>1754</v>
      </c>
      <c r="T60" s="18">
        <v>1705</v>
      </c>
      <c r="U60" s="18">
        <v>1796</v>
      </c>
      <c r="V60" s="18">
        <v>1978</v>
      </c>
      <c r="W60" s="18">
        <v>1997</v>
      </c>
      <c r="X60" s="18">
        <v>2203</v>
      </c>
      <c r="Y60" s="18">
        <v>2172</v>
      </c>
      <c r="Z60" s="18">
        <v>2346</v>
      </c>
      <c r="AA60" s="18">
        <v>2524</v>
      </c>
      <c r="AB60" s="18">
        <v>2557</v>
      </c>
      <c r="AC60" s="70"/>
      <c r="AD60" s="18">
        <v>136</v>
      </c>
      <c r="AE60" s="18"/>
      <c r="AF60" s="18"/>
      <c r="AG60" s="18">
        <v>116</v>
      </c>
      <c r="AH60" s="18">
        <v>102</v>
      </c>
      <c r="AI60" s="18">
        <v>129</v>
      </c>
      <c r="AJ60" s="18">
        <v>129</v>
      </c>
      <c r="AK60" s="18">
        <v>125</v>
      </c>
      <c r="AL60" s="18">
        <v>169</v>
      </c>
      <c r="AM60" s="18">
        <v>189</v>
      </c>
      <c r="AN60" s="18">
        <v>354</v>
      </c>
      <c r="AO60" s="70">
        <v>57</v>
      </c>
      <c r="AP60" s="18"/>
      <c r="AQ60" s="18"/>
      <c r="AR60" s="18">
        <v>116</v>
      </c>
      <c r="AS60" s="18">
        <v>102</v>
      </c>
      <c r="AT60" s="18">
        <v>129</v>
      </c>
      <c r="AU60" s="18">
        <v>129</v>
      </c>
      <c r="AV60" s="18">
        <v>125</v>
      </c>
      <c r="AW60" s="18">
        <v>169</v>
      </c>
      <c r="AX60" s="18">
        <v>189</v>
      </c>
      <c r="AY60" s="18">
        <v>354</v>
      </c>
      <c r="AZ60" s="70">
        <f t="shared" si="53"/>
        <v>136</v>
      </c>
      <c r="BA60" s="18">
        <f t="shared" si="54"/>
        <v>116</v>
      </c>
      <c r="BB60" s="18">
        <f t="shared" si="54"/>
        <v>102</v>
      </c>
      <c r="BC60" s="18">
        <f t="shared" si="54"/>
        <v>129</v>
      </c>
      <c r="BD60" s="18">
        <f t="shared" si="54"/>
        <v>129</v>
      </c>
      <c r="BE60" s="18">
        <f t="shared" si="54"/>
        <v>125</v>
      </c>
      <c r="BF60" s="18">
        <f t="shared" si="54"/>
        <v>169</v>
      </c>
      <c r="BG60" s="18">
        <f t="shared" si="54"/>
        <v>189</v>
      </c>
      <c r="BH60" s="18">
        <f t="shared" si="54"/>
        <v>354</v>
      </c>
      <c r="BI60" s="18">
        <v>217</v>
      </c>
      <c r="BJ60" s="18">
        <v>260</v>
      </c>
      <c r="BK60" s="18">
        <v>156</v>
      </c>
      <c r="BL60" s="18">
        <v>248</v>
      </c>
      <c r="BM60" s="18">
        <v>260</v>
      </c>
      <c r="BN60" s="18">
        <v>253</v>
      </c>
      <c r="BO60" s="18">
        <v>297</v>
      </c>
      <c r="BP60" s="18">
        <v>232</v>
      </c>
      <c r="BQ60" s="18">
        <v>247</v>
      </c>
      <c r="BR60">
        <v>220</v>
      </c>
      <c r="BS60">
        <v>149</v>
      </c>
    </row>
    <row r="61" spans="1:71">
      <c r="A61" s="18" t="s">
        <v>96</v>
      </c>
      <c r="B61" s="70"/>
      <c r="C61" s="18"/>
      <c r="D61" s="18"/>
      <c r="E61" s="18"/>
      <c r="F61" s="18"/>
      <c r="G61" s="18">
        <v>19</v>
      </c>
      <c r="H61" s="18"/>
      <c r="I61" s="18"/>
      <c r="J61" s="18">
        <v>22</v>
      </c>
      <c r="K61" s="18">
        <v>40</v>
      </c>
      <c r="L61" s="18">
        <v>23</v>
      </c>
      <c r="M61" s="18">
        <v>43</v>
      </c>
      <c r="N61" s="18">
        <v>38</v>
      </c>
      <c r="O61" s="18">
        <v>43</v>
      </c>
      <c r="P61" s="18">
        <v>45</v>
      </c>
      <c r="Q61" s="18">
        <v>40</v>
      </c>
      <c r="R61" s="18">
        <v>41</v>
      </c>
      <c r="S61" s="18">
        <v>52</v>
      </c>
      <c r="T61" s="18">
        <v>63</v>
      </c>
      <c r="U61" s="18">
        <v>65</v>
      </c>
      <c r="V61" s="18">
        <v>60</v>
      </c>
      <c r="W61" s="18">
        <v>51</v>
      </c>
      <c r="X61" s="18">
        <v>46</v>
      </c>
      <c r="Y61" s="18">
        <v>74</v>
      </c>
      <c r="Z61" s="18">
        <v>68</v>
      </c>
      <c r="AA61" s="18">
        <v>67</v>
      </c>
      <c r="AB61" s="18">
        <v>68</v>
      </c>
      <c r="AC61" s="70"/>
      <c r="AD61" s="18"/>
      <c r="AE61" s="18"/>
      <c r="AF61" s="18"/>
      <c r="AG61" s="18"/>
      <c r="AH61" s="18"/>
      <c r="AI61" s="18"/>
      <c r="AJ61" s="18"/>
      <c r="AK61" s="18"/>
      <c r="AL61" s="18"/>
      <c r="AM61" s="18"/>
      <c r="AN61" s="18"/>
      <c r="AO61" s="70"/>
      <c r="AP61" s="18"/>
      <c r="AQ61" s="18"/>
      <c r="AR61" s="18"/>
      <c r="AS61" s="18"/>
      <c r="AT61" s="18"/>
      <c r="AU61" s="18"/>
      <c r="AV61" s="18"/>
      <c r="AW61" s="18"/>
      <c r="AX61" s="18"/>
      <c r="AY61" s="18"/>
      <c r="AZ61" s="70">
        <f t="shared" si="53"/>
        <v>0</v>
      </c>
      <c r="BA61" s="18">
        <f t="shared" si="54"/>
        <v>0</v>
      </c>
      <c r="BB61" s="18">
        <f t="shared" si="54"/>
        <v>0</v>
      </c>
      <c r="BC61" s="18">
        <f t="shared" si="54"/>
        <v>0</v>
      </c>
      <c r="BD61" s="18">
        <f t="shared" si="54"/>
        <v>0</v>
      </c>
      <c r="BE61" s="18">
        <f t="shared" si="54"/>
        <v>0</v>
      </c>
      <c r="BF61" s="18">
        <f t="shared" si="54"/>
        <v>0</v>
      </c>
      <c r="BG61" s="18">
        <f t="shared" si="54"/>
        <v>0</v>
      </c>
      <c r="BH61" s="18">
        <f t="shared" si="54"/>
        <v>0</v>
      </c>
      <c r="BI61" s="18"/>
      <c r="BJ61" s="18"/>
      <c r="BK61" s="18"/>
      <c r="BL61" s="18"/>
      <c r="BM61" s="18"/>
      <c r="BN61" s="18"/>
      <c r="BO61" s="18"/>
      <c r="BP61" s="18"/>
      <c r="BQ61" s="18"/>
      <c r="BR61">
        <v>0</v>
      </c>
      <c r="BS61">
        <v>0</v>
      </c>
    </row>
    <row r="62" spans="1:71">
      <c r="A62" s="20" t="s">
        <v>97</v>
      </c>
      <c r="B62" s="71"/>
      <c r="C62" s="20"/>
      <c r="D62" s="20"/>
      <c r="E62" s="20"/>
      <c r="F62" s="20"/>
      <c r="G62" s="20">
        <v>14</v>
      </c>
      <c r="H62" s="20"/>
      <c r="I62" s="20"/>
      <c r="J62" s="20">
        <v>8</v>
      </c>
      <c r="K62" s="20">
        <v>10</v>
      </c>
      <c r="L62" s="20">
        <v>9</v>
      </c>
      <c r="M62" s="20">
        <v>15</v>
      </c>
      <c r="N62" s="20">
        <v>22</v>
      </c>
      <c r="O62" s="20">
        <v>12</v>
      </c>
      <c r="P62" s="20">
        <v>32</v>
      </c>
      <c r="Q62" s="20">
        <v>25</v>
      </c>
      <c r="R62" s="20">
        <v>13</v>
      </c>
      <c r="S62" s="20">
        <v>18</v>
      </c>
      <c r="T62" s="20">
        <v>38</v>
      </c>
      <c r="U62" s="20">
        <v>37</v>
      </c>
      <c r="V62" s="20">
        <v>55</v>
      </c>
      <c r="W62" s="20">
        <v>50</v>
      </c>
      <c r="X62" s="20">
        <v>51</v>
      </c>
      <c r="Y62" s="20">
        <v>68</v>
      </c>
      <c r="Z62" s="20">
        <v>89</v>
      </c>
      <c r="AA62" s="20">
        <v>64</v>
      </c>
      <c r="AB62" s="20">
        <v>70</v>
      </c>
      <c r="AC62" s="71"/>
      <c r="AD62" s="20"/>
      <c r="AE62" s="20"/>
      <c r="AF62" s="20"/>
      <c r="AG62" s="20"/>
      <c r="AH62" s="20"/>
      <c r="AI62" s="20"/>
      <c r="AJ62" s="20"/>
      <c r="AK62" s="20"/>
      <c r="AL62" s="20"/>
      <c r="AM62" s="20"/>
      <c r="AN62" s="20"/>
      <c r="AO62" s="71"/>
      <c r="AP62" s="20"/>
      <c r="AQ62" s="20"/>
      <c r="AR62" s="20"/>
      <c r="AS62" s="20"/>
      <c r="AT62" s="20"/>
      <c r="AU62" s="20"/>
      <c r="AV62" s="20"/>
      <c r="AW62" s="20"/>
      <c r="AX62" s="20"/>
      <c r="AY62" s="20"/>
      <c r="AZ62" s="71">
        <f t="shared" si="53"/>
        <v>0</v>
      </c>
      <c r="BA62" s="20">
        <f t="shared" si="54"/>
        <v>0</v>
      </c>
      <c r="BB62" s="20">
        <f t="shared" si="54"/>
        <v>0</v>
      </c>
      <c r="BC62" s="20">
        <f t="shared" si="54"/>
        <v>0</v>
      </c>
      <c r="BD62" s="20">
        <f t="shared" si="54"/>
        <v>0</v>
      </c>
      <c r="BE62" s="20">
        <f t="shared" si="54"/>
        <v>0</v>
      </c>
      <c r="BF62" s="20">
        <f t="shared" si="54"/>
        <v>0</v>
      </c>
      <c r="BG62" s="20">
        <f t="shared" si="54"/>
        <v>0</v>
      </c>
      <c r="BH62" s="20">
        <f t="shared" si="54"/>
        <v>0</v>
      </c>
      <c r="BI62" s="20"/>
      <c r="BJ62" s="20"/>
      <c r="BK62" s="20"/>
      <c r="BL62" s="20"/>
      <c r="BM62" s="20"/>
      <c r="BN62" s="20"/>
      <c r="BO62" s="20"/>
      <c r="BP62" s="20"/>
      <c r="BQ62" s="20"/>
      <c r="BR62" s="162">
        <v>0</v>
      </c>
      <c r="BS62" s="141">
        <v>0</v>
      </c>
    </row>
    <row r="63" spans="1:71">
      <c r="A63" s="26" t="s">
        <v>98</v>
      </c>
      <c r="B63" s="53"/>
      <c r="C63" s="26"/>
      <c r="D63" s="26"/>
      <c r="E63" s="26"/>
      <c r="F63" s="26"/>
      <c r="G63" s="26">
        <v>580</v>
      </c>
      <c r="H63" s="26"/>
      <c r="I63" s="26"/>
      <c r="J63" s="26">
        <v>539</v>
      </c>
      <c r="K63" s="26">
        <v>633</v>
      </c>
      <c r="L63" s="26">
        <v>762</v>
      </c>
      <c r="M63" s="26">
        <v>717</v>
      </c>
      <c r="N63" s="26">
        <v>833</v>
      </c>
      <c r="O63" s="26">
        <v>864</v>
      </c>
      <c r="P63" s="26">
        <v>878</v>
      </c>
      <c r="Q63" s="26">
        <v>982</v>
      </c>
      <c r="R63" s="26">
        <v>1169</v>
      </c>
      <c r="S63" s="26">
        <v>1421</v>
      </c>
      <c r="T63" s="26">
        <v>1296</v>
      </c>
      <c r="U63" s="26">
        <v>1672</v>
      </c>
      <c r="V63" s="26">
        <v>2017</v>
      </c>
      <c r="W63" s="26">
        <v>2143</v>
      </c>
      <c r="X63" s="26">
        <v>2397</v>
      </c>
      <c r="Y63" s="26">
        <v>1213</v>
      </c>
      <c r="Z63" s="26">
        <v>1318</v>
      </c>
      <c r="AA63" s="26">
        <v>1389</v>
      </c>
      <c r="AB63" s="26">
        <v>1468</v>
      </c>
      <c r="AC63" s="53"/>
      <c r="AD63" s="26">
        <v>389</v>
      </c>
      <c r="AE63" s="26"/>
      <c r="AF63" s="26"/>
      <c r="AG63" s="26">
        <v>325</v>
      </c>
      <c r="AH63" s="26">
        <v>338</v>
      </c>
      <c r="AI63" s="26">
        <v>281</v>
      </c>
      <c r="AJ63" s="26">
        <v>402</v>
      </c>
      <c r="AK63" s="26">
        <v>520</v>
      </c>
      <c r="AL63" s="26">
        <v>507</v>
      </c>
      <c r="AM63" s="26">
        <v>438</v>
      </c>
      <c r="AN63" s="26">
        <v>563</v>
      </c>
      <c r="AO63" s="53">
        <v>186</v>
      </c>
      <c r="AP63" s="26"/>
      <c r="AQ63" s="26"/>
      <c r="AR63" s="26">
        <v>197</v>
      </c>
      <c r="AS63" s="26">
        <v>338</v>
      </c>
      <c r="AT63" s="26">
        <v>400</v>
      </c>
      <c r="AU63" s="26">
        <v>340</v>
      </c>
      <c r="AV63" s="26">
        <v>425</v>
      </c>
      <c r="AW63" s="26">
        <v>420</v>
      </c>
      <c r="AX63" s="26">
        <v>419</v>
      </c>
      <c r="AY63" s="26">
        <v>395</v>
      </c>
      <c r="AZ63" s="53">
        <f t="shared" si="53"/>
        <v>389</v>
      </c>
      <c r="BA63" s="26">
        <f t="shared" si="54"/>
        <v>325</v>
      </c>
      <c r="BB63" s="26">
        <f t="shared" si="54"/>
        <v>338</v>
      </c>
      <c r="BC63" s="26">
        <f t="shared" si="54"/>
        <v>400</v>
      </c>
      <c r="BD63" s="26">
        <f t="shared" si="54"/>
        <v>402</v>
      </c>
      <c r="BE63" s="26">
        <f t="shared" si="54"/>
        <v>520</v>
      </c>
      <c r="BF63" s="26">
        <f t="shared" si="54"/>
        <v>507</v>
      </c>
      <c r="BG63" s="26">
        <f t="shared" si="54"/>
        <v>438</v>
      </c>
      <c r="BH63" s="26">
        <f t="shared" si="54"/>
        <v>563</v>
      </c>
      <c r="BI63" s="26">
        <v>686</v>
      </c>
      <c r="BJ63" s="26">
        <v>538</v>
      </c>
      <c r="BK63" s="26">
        <v>804</v>
      </c>
      <c r="BL63" s="26">
        <v>1113</v>
      </c>
      <c r="BM63" s="26">
        <v>1496</v>
      </c>
      <c r="BN63" s="26">
        <v>1585</v>
      </c>
      <c r="BO63" s="26">
        <v>1776</v>
      </c>
      <c r="BP63" s="26">
        <v>589</v>
      </c>
      <c r="BQ63" s="26">
        <v>564</v>
      </c>
      <c r="BR63" s="162">
        <v>681</v>
      </c>
      <c r="BS63" s="176">
        <v>592</v>
      </c>
    </row>
    <row r="64" spans="1:71">
      <c r="A64" s="30"/>
      <c r="B64" s="3"/>
      <c r="C64" s="3"/>
      <c r="D64" s="3"/>
      <c r="E64" s="3"/>
      <c r="F64" s="3"/>
      <c r="G64" s="43"/>
      <c r="H64" s="54"/>
      <c r="I64" s="43"/>
      <c r="J64" s="43"/>
      <c r="K64" s="43"/>
      <c r="L64" s="31"/>
      <c r="M64" s="31"/>
      <c r="N64" s="31"/>
      <c r="O64" s="31"/>
      <c r="P64" s="31"/>
      <c r="Q64" s="31"/>
      <c r="R64" s="31"/>
      <c r="S64" s="31"/>
      <c r="T64" s="31"/>
      <c r="U64" s="31"/>
      <c r="V64" s="31"/>
      <c r="W64" s="31"/>
      <c r="X64" s="3"/>
      <c r="Y64" s="3"/>
      <c r="Z64" s="3"/>
      <c r="AA64" s="3"/>
      <c r="AB64" s="3"/>
      <c r="AC64" s="6"/>
      <c r="AD64" s="43"/>
      <c r="AE64" s="43"/>
      <c r="AF64" s="43"/>
      <c r="AG64" s="43"/>
      <c r="AH64" s="43"/>
      <c r="AI64" s="31"/>
      <c r="AJ64" s="31"/>
      <c r="AK64" s="31"/>
      <c r="AL64" s="72"/>
      <c r="AM64" s="72"/>
      <c r="AN64" s="73"/>
      <c r="AO64" s="31"/>
      <c r="AP64" s="43"/>
      <c r="AQ64" s="43"/>
      <c r="AR64" s="43"/>
      <c r="AS64" s="43"/>
      <c r="AT64" s="43"/>
      <c r="AU64" s="43"/>
      <c r="AV64" s="43"/>
      <c r="AW64" s="31"/>
      <c r="AX64" s="31"/>
      <c r="AY64" s="74"/>
      <c r="AZ64" s="75"/>
      <c r="BA64" s="64"/>
      <c r="BB64" s="64"/>
      <c r="BC64" s="64"/>
      <c r="BD64" s="64"/>
      <c r="BE64" s="64"/>
      <c r="BF64" s="64"/>
      <c r="BG64" s="64"/>
      <c r="BH64" s="30"/>
      <c r="BI64" s="64"/>
      <c r="BJ64" s="30"/>
      <c r="BK64" s="30"/>
      <c r="BL64" s="30"/>
      <c r="BM64" s="30"/>
      <c r="BN64" s="30"/>
      <c r="BO64" s="3"/>
      <c r="BP64" s="3"/>
    </row>
    <row r="65" spans="1:71">
      <c r="A65" s="30"/>
      <c r="B65" s="31" t="s">
        <v>156</v>
      </c>
      <c r="C65" s="43" t="s">
        <v>156</v>
      </c>
      <c r="D65" s="43" t="s">
        <v>156</v>
      </c>
      <c r="E65" s="43" t="s">
        <v>156</v>
      </c>
      <c r="F65" s="43" t="s">
        <v>156</v>
      </c>
      <c r="G65" s="43" t="s">
        <v>155</v>
      </c>
      <c r="H65" s="31"/>
      <c r="I65" s="31"/>
      <c r="J65" s="43" t="s">
        <v>155</v>
      </c>
      <c r="K65" s="43" t="s">
        <v>155</v>
      </c>
      <c r="L65" s="43" t="s">
        <v>155</v>
      </c>
      <c r="M65" s="43" t="s">
        <v>155</v>
      </c>
      <c r="N65" s="43" t="s">
        <v>155</v>
      </c>
      <c r="O65" s="43" t="s">
        <v>155</v>
      </c>
      <c r="P65" s="31" t="s">
        <v>155</v>
      </c>
      <c r="Q65" s="50" t="s">
        <v>155</v>
      </c>
      <c r="R65" s="50"/>
      <c r="S65" s="50"/>
      <c r="T65" s="50"/>
      <c r="U65" s="50"/>
      <c r="V65" s="50"/>
      <c r="W65" s="50"/>
      <c r="X65" s="29" t="s">
        <v>100</v>
      </c>
      <c r="Y65" s="29"/>
      <c r="Z65" s="29"/>
      <c r="AA65" s="29" t="s">
        <v>100</v>
      </c>
      <c r="AB65" s="29"/>
      <c r="AC65" s="31" t="s">
        <v>156</v>
      </c>
      <c r="AD65" s="43" t="s">
        <v>155</v>
      </c>
      <c r="AE65" s="31"/>
      <c r="AF65" s="31"/>
      <c r="AG65" s="43" t="s">
        <v>155</v>
      </c>
      <c r="AH65" s="43" t="s">
        <v>155</v>
      </c>
      <c r="AI65" s="43" t="s">
        <v>155</v>
      </c>
      <c r="AJ65" s="43" t="s">
        <v>155</v>
      </c>
      <c r="AK65" s="43" t="s">
        <v>155</v>
      </c>
      <c r="AL65" s="43" t="s">
        <v>155</v>
      </c>
      <c r="AM65" s="31" t="s">
        <v>155</v>
      </c>
      <c r="AN65" s="50" t="s">
        <v>155</v>
      </c>
      <c r="AO65" s="31" t="s">
        <v>155</v>
      </c>
      <c r="AP65" s="31"/>
      <c r="AQ65" s="31"/>
      <c r="AR65" s="43" t="s">
        <v>155</v>
      </c>
      <c r="AS65" s="43" t="s">
        <v>155</v>
      </c>
      <c r="AT65" s="43" t="s">
        <v>155</v>
      </c>
      <c r="AU65" s="43" t="s">
        <v>155</v>
      </c>
      <c r="AV65" s="43" t="s">
        <v>155</v>
      </c>
      <c r="AW65" s="43" t="s">
        <v>155</v>
      </c>
      <c r="AX65" s="31" t="s">
        <v>155</v>
      </c>
      <c r="AY65" s="50" t="s">
        <v>155</v>
      </c>
      <c r="AZ65" s="75"/>
      <c r="BA65" s="64"/>
      <c r="BB65" s="64"/>
      <c r="BC65" s="64"/>
      <c r="BD65" s="64"/>
      <c r="BE65" s="64"/>
      <c r="BF65" s="64"/>
      <c r="BG65" s="64"/>
      <c r="BH65" s="30"/>
      <c r="BI65" s="64"/>
      <c r="BJ65" s="30"/>
      <c r="BK65" s="30"/>
      <c r="BL65" s="30"/>
      <c r="BM65" s="30"/>
      <c r="BN65" s="30"/>
      <c r="BO65" s="29" t="s">
        <v>100</v>
      </c>
      <c r="BP65" s="29"/>
      <c r="BR65" s="29" t="s">
        <v>100</v>
      </c>
      <c r="BS65" s="29"/>
    </row>
    <row r="66" spans="1:71">
      <c r="A66" s="30"/>
      <c r="B66" s="31" t="s">
        <v>183</v>
      </c>
      <c r="C66" s="43" t="s">
        <v>183</v>
      </c>
      <c r="D66" s="43" t="s">
        <v>183</v>
      </c>
      <c r="E66" s="43" t="s">
        <v>183</v>
      </c>
      <c r="F66" s="43" t="s">
        <v>183</v>
      </c>
      <c r="G66" s="43" t="s">
        <v>156</v>
      </c>
      <c r="H66" s="31"/>
      <c r="I66" s="31"/>
      <c r="J66" s="43" t="s">
        <v>156</v>
      </c>
      <c r="K66" s="43" t="s">
        <v>156</v>
      </c>
      <c r="L66" s="43" t="s">
        <v>156</v>
      </c>
      <c r="M66" s="43" t="s">
        <v>156</v>
      </c>
      <c r="N66" s="43" t="s">
        <v>156</v>
      </c>
      <c r="O66" s="43" t="s">
        <v>156</v>
      </c>
      <c r="P66" s="31" t="s">
        <v>156</v>
      </c>
      <c r="Q66" s="50" t="s">
        <v>156</v>
      </c>
      <c r="R66" s="50"/>
      <c r="S66" s="50"/>
      <c r="T66" s="50"/>
      <c r="U66" s="50"/>
      <c r="V66" s="50"/>
      <c r="W66" s="50"/>
      <c r="X66" s="3" t="s">
        <v>104</v>
      </c>
      <c r="Y66" s="3"/>
      <c r="Z66" s="3"/>
      <c r="AA66" s="3" t="s">
        <v>104</v>
      </c>
      <c r="AB66" s="3"/>
      <c r="AC66" s="31" t="s">
        <v>183</v>
      </c>
      <c r="AD66" s="43" t="s">
        <v>156</v>
      </c>
      <c r="AE66" s="31"/>
      <c r="AF66" s="31"/>
      <c r="AG66" s="43" t="s">
        <v>156</v>
      </c>
      <c r="AH66" s="43" t="s">
        <v>156</v>
      </c>
      <c r="AI66" s="43" t="s">
        <v>156</v>
      </c>
      <c r="AJ66" s="43" t="s">
        <v>156</v>
      </c>
      <c r="AK66" s="43" t="s">
        <v>156</v>
      </c>
      <c r="AL66" s="43" t="s">
        <v>156</v>
      </c>
      <c r="AM66" s="31" t="s">
        <v>156</v>
      </c>
      <c r="AN66" s="50" t="s">
        <v>156</v>
      </c>
      <c r="AO66" s="31" t="s">
        <v>156</v>
      </c>
      <c r="AP66" s="31"/>
      <c r="AQ66" s="31"/>
      <c r="AR66" s="43" t="s">
        <v>156</v>
      </c>
      <c r="AS66" s="43" t="s">
        <v>156</v>
      </c>
      <c r="AT66" s="43" t="s">
        <v>156</v>
      </c>
      <c r="AU66" s="43" t="s">
        <v>156</v>
      </c>
      <c r="AV66" s="43" t="s">
        <v>156</v>
      </c>
      <c r="AW66" s="43" t="s">
        <v>156</v>
      </c>
      <c r="AX66" s="31" t="s">
        <v>156</v>
      </c>
      <c r="AY66" s="50" t="s">
        <v>156</v>
      </c>
      <c r="AZ66" s="75"/>
      <c r="BA66" s="64"/>
      <c r="BB66" s="64"/>
      <c r="BC66" s="64"/>
      <c r="BD66" s="64"/>
      <c r="BE66" s="64"/>
      <c r="BF66" s="64"/>
      <c r="BG66" s="64"/>
      <c r="BH66" s="30"/>
      <c r="BI66" s="64"/>
      <c r="BJ66" s="30"/>
      <c r="BK66" s="30"/>
      <c r="BL66" s="30"/>
      <c r="BM66" s="30"/>
      <c r="BN66" s="30"/>
      <c r="BO66" s="3" t="s">
        <v>104</v>
      </c>
      <c r="BP66" s="3"/>
      <c r="BR66" s="3" t="s">
        <v>104</v>
      </c>
      <c r="BS66" s="3"/>
    </row>
    <row r="67" spans="1:71">
      <c r="A67" s="30"/>
      <c r="B67" s="31" t="s">
        <v>184</v>
      </c>
      <c r="C67" s="43" t="s">
        <v>184</v>
      </c>
      <c r="D67" s="43" t="s">
        <v>184</v>
      </c>
      <c r="E67" s="43" t="s">
        <v>184</v>
      </c>
      <c r="F67" s="43" t="s">
        <v>184</v>
      </c>
      <c r="G67" s="43" t="s">
        <v>157</v>
      </c>
      <c r="H67" s="31"/>
      <c r="I67" s="31"/>
      <c r="J67" s="43" t="s">
        <v>157</v>
      </c>
      <c r="K67" s="43" t="s">
        <v>157</v>
      </c>
      <c r="L67" s="43" t="s">
        <v>157</v>
      </c>
      <c r="M67" s="43" t="s">
        <v>157</v>
      </c>
      <c r="N67" s="43" t="s">
        <v>157</v>
      </c>
      <c r="O67" s="43" t="s">
        <v>157</v>
      </c>
      <c r="P67" s="31" t="s">
        <v>157</v>
      </c>
      <c r="Q67" s="50" t="s">
        <v>157</v>
      </c>
      <c r="R67" s="50"/>
      <c r="S67" s="50"/>
      <c r="T67" s="50"/>
      <c r="U67" s="50"/>
      <c r="V67" s="50"/>
      <c r="W67" s="50"/>
      <c r="X67" s="3" t="s">
        <v>108</v>
      </c>
      <c r="Y67" s="3"/>
      <c r="Z67" s="3"/>
      <c r="AA67" s="3" t="s">
        <v>108</v>
      </c>
      <c r="AB67" s="3"/>
      <c r="AC67" s="31" t="s">
        <v>184</v>
      </c>
      <c r="AD67" s="43" t="s">
        <v>157</v>
      </c>
      <c r="AE67" s="31"/>
      <c r="AF67" s="31"/>
      <c r="AG67" s="43" t="s">
        <v>157</v>
      </c>
      <c r="AH67" s="43" t="s">
        <v>157</v>
      </c>
      <c r="AI67" s="43" t="s">
        <v>157</v>
      </c>
      <c r="AJ67" s="43" t="s">
        <v>157</v>
      </c>
      <c r="AK67" s="43" t="s">
        <v>157</v>
      </c>
      <c r="AL67" s="43" t="s">
        <v>157</v>
      </c>
      <c r="AM67" s="31" t="s">
        <v>157</v>
      </c>
      <c r="AN67" s="50" t="s">
        <v>157</v>
      </c>
      <c r="AO67" s="31" t="s">
        <v>157</v>
      </c>
      <c r="AP67" s="31"/>
      <c r="AQ67" s="31"/>
      <c r="AR67" s="43" t="s">
        <v>157</v>
      </c>
      <c r="AS67" s="43" t="s">
        <v>157</v>
      </c>
      <c r="AT67" s="43" t="s">
        <v>157</v>
      </c>
      <c r="AU67" s="43" t="s">
        <v>157</v>
      </c>
      <c r="AV67" s="43" t="s">
        <v>157</v>
      </c>
      <c r="AW67" s="43" t="s">
        <v>157</v>
      </c>
      <c r="AX67" s="31" t="s">
        <v>157</v>
      </c>
      <c r="AY67" s="50" t="s">
        <v>157</v>
      </c>
      <c r="AZ67" s="75"/>
      <c r="BA67" s="64"/>
      <c r="BB67" s="64"/>
      <c r="BC67" s="64"/>
      <c r="BD67" s="64"/>
      <c r="BE67" s="64"/>
      <c r="BF67" s="64"/>
      <c r="BG67" s="64"/>
      <c r="BH67" s="30"/>
      <c r="BI67" s="64"/>
      <c r="BJ67" s="30"/>
      <c r="BK67" s="30"/>
      <c r="BL67" s="30"/>
      <c r="BM67" s="30"/>
      <c r="BN67" s="30"/>
      <c r="BO67" s="3" t="s">
        <v>108</v>
      </c>
      <c r="BP67" s="3"/>
      <c r="BR67" s="3" t="s">
        <v>108</v>
      </c>
      <c r="BS67" s="3"/>
    </row>
    <row r="68" spans="1:71">
      <c r="A68" s="30"/>
      <c r="B68" s="31" t="s">
        <v>185</v>
      </c>
      <c r="C68" s="43" t="s">
        <v>185</v>
      </c>
      <c r="D68" s="43" t="s">
        <v>185</v>
      </c>
      <c r="E68" s="43" t="s">
        <v>185</v>
      </c>
      <c r="F68" s="43" t="s">
        <v>185</v>
      </c>
      <c r="G68" s="43" t="s">
        <v>158</v>
      </c>
      <c r="H68" s="31"/>
      <c r="I68" s="31"/>
      <c r="J68" s="43" t="s">
        <v>158</v>
      </c>
      <c r="K68" s="43" t="s">
        <v>158</v>
      </c>
      <c r="L68" s="43" t="s">
        <v>158</v>
      </c>
      <c r="M68" s="43" t="s">
        <v>158</v>
      </c>
      <c r="N68" s="43" t="s">
        <v>158</v>
      </c>
      <c r="O68" s="43" t="s">
        <v>158</v>
      </c>
      <c r="P68" s="31" t="s">
        <v>158</v>
      </c>
      <c r="Q68" s="50" t="s">
        <v>158</v>
      </c>
      <c r="R68" s="50"/>
      <c r="S68" s="50"/>
      <c r="T68" s="50"/>
      <c r="U68" s="50"/>
      <c r="V68" s="50"/>
      <c r="W68" s="50"/>
      <c r="X68" s="3" t="s">
        <v>112</v>
      </c>
      <c r="Y68" s="3"/>
      <c r="Z68" s="3"/>
      <c r="AA68" s="3" t="s">
        <v>112</v>
      </c>
      <c r="AB68" s="3"/>
      <c r="AC68" s="31" t="s">
        <v>185</v>
      </c>
      <c r="AD68" s="43" t="s">
        <v>158</v>
      </c>
      <c r="AE68" s="31"/>
      <c r="AF68" s="31"/>
      <c r="AG68" s="43" t="s">
        <v>158</v>
      </c>
      <c r="AH68" s="43" t="s">
        <v>158</v>
      </c>
      <c r="AI68" s="43" t="s">
        <v>158</v>
      </c>
      <c r="AJ68" s="43" t="s">
        <v>158</v>
      </c>
      <c r="AK68" s="43" t="s">
        <v>158</v>
      </c>
      <c r="AL68" s="43" t="s">
        <v>158</v>
      </c>
      <c r="AM68" s="31" t="s">
        <v>158</v>
      </c>
      <c r="AN68" s="50" t="s">
        <v>158</v>
      </c>
      <c r="AO68" s="31" t="s">
        <v>158</v>
      </c>
      <c r="AP68" s="31"/>
      <c r="AQ68" s="31"/>
      <c r="AR68" s="43" t="s">
        <v>158</v>
      </c>
      <c r="AS68" s="43" t="s">
        <v>158</v>
      </c>
      <c r="AT68" s="43" t="s">
        <v>158</v>
      </c>
      <c r="AU68" s="43" t="s">
        <v>158</v>
      </c>
      <c r="AV68" s="43" t="s">
        <v>158</v>
      </c>
      <c r="AW68" s="43" t="s">
        <v>158</v>
      </c>
      <c r="AX68" s="31" t="s">
        <v>158</v>
      </c>
      <c r="AY68" s="50" t="s">
        <v>158</v>
      </c>
      <c r="AZ68" s="75"/>
      <c r="BA68" s="64"/>
      <c r="BB68" s="64"/>
      <c r="BC68" s="64"/>
      <c r="BD68" s="64"/>
      <c r="BE68" s="64"/>
      <c r="BF68" s="64"/>
      <c r="BG68" s="64"/>
      <c r="BH68" s="30"/>
      <c r="BI68" s="64"/>
      <c r="BJ68" s="30"/>
      <c r="BK68" s="30"/>
      <c r="BL68" s="30"/>
      <c r="BM68" s="30"/>
      <c r="BN68" s="30"/>
      <c r="BO68" s="3" t="s">
        <v>112</v>
      </c>
      <c r="BP68" s="3"/>
      <c r="BR68" s="3" t="s">
        <v>112</v>
      </c>
      <c r="BS68" s="3"/>
    </row>
    <row r="69" spans="1:71">
      <c r="A69" s="30"/>
      <c r="B69" s="31" t="s">
        <v>186</v>
      </c>
      <c r="C69" s="43" t="s">
        <v>186</v>
      </c>
      <c r="D69" s="43" t="s">
        <v>186</v>
      </c>
      <c r="E69" s="43" t="s">
        <v>186</v>
      </c>
      <c r="F69" s="43" t="s">
        <v>186</v>
      </c>
      <c r="G69" s="43" t="s">
        <v>159</v>
      </c>
      <c r="H69" s="31"/>
      <c r="I69" s="31"/>
      <c r="J69" s="43" t="s">
        <v>159</v>
      </c>
      <c r="K69" s="43" t="s">
        <v>159</v>
      </c>
      <c r="L69" s="43" t="s">
        <v>159</v>
      </c>
      <c r="M69" s="43" t="s">
        <v>159</v>
      </c>
      <c r="N69" s="43" t="s">
        <v>159</v>
      </c>
      <c r="O69" s="43" t="s">
        <v>159</v>
      </c>
      <c r="P69" s="31" t="s">
        <v>159</v>
      </c>
      <c r="Q69" s="50" t="s">
        <v>159</v>
      </c>
      <c r="R69" s="50"/>
      <c r="S69" s="50"/>
      <c r="T69" s="50"/>
      <c r="U69" s="50"/>
      <c r="V69" s="50"/>
      <c r="W69" s="50"/>
      <c r="X69" s="3" t="s">
        <v>115</v>
      </c>
      <c r="Y69" s="3"/>
      <c r="Z69" s="3"/>
      <c r="AA69" s="3" t="s">
        <v>115</v>
      </c>
      <c r="AB69" s="3"/>
      <c r="AC69" s="31" t="s">
        <v>186</v>
      </c>
      <c r="AD69" s="43" t="s">
        <v>159</v>
      </c>
      <c r="AE69" s="31"/>
      <c r="AF69" s="31"/>
      <c r="AG69" s="43" t="s">
        <v>159</v>
      </c>
      <c r="AH69" s="43" t="s">
        <v>159</v>
      </c>
      <c r="AI69" s="43" t="s">
        <v>159</v>
      </c>
      <c r="AJ69" s="43" t="s">
        <v>159</v>
      </c>
      <c r="AK69" s="43" t="s">
        <v>159</v>
      </c>
      <c r="AL69" s="43" t="s">
        <v>159</v>
      </c>
      <c r="AM69" s="31" t="s">
        <v>159</v>
      </c>
      <c r="AN69" s="50" t="s">
        <v>159</v>
      </c>
      <c r="AO69" s="31" t="s">
        <v>159</v>
      </c>
      <c r="AP69" s="31"/>
      <c r="AQ69" s="31"/>
      <c r="AR69" s="43" t="s">
        <v>159</v>
      </c>
      <c r="AS69" s="43" t="s">
        <v>159</v>
      </c>
      <c r="AT69" s="43" t="s">
        <v>159</v>
      </c>
      <c r="AU69" s="43" t="s">
        <v>159</v>
      </c>
      <c r="AV69" s="43" t="s">
        <v>159</v>
      </c>
      <c r="AW69" s="43" t="s">
        <v>159</v>
      </c>
      <c r="AX69" s="31" t="s">
        <v>159</v>
      </c>
      <c r="AY69" s="50" t="s">
        <v>159</v>
      </c>
      <c r="AZ69" s="75"/>
      <c r="BA69" s="64"/>
      <c r="BB69" s="64"/>
      <c r="BC69" s="64"/>
      <c r="BD69" s="64"/>
      <c r="BE69" s="64"/>
      <c r="BF69" s="64"/>
      <c r="BG69" s="64"/>
      <c r="BH69" s="30"/>
      <c r="BI69" s="64"/>
      <c r="BJ69" s="30"/>
      <c r="BK69" s="30"/>
      <c r="BL69" s="30"/>
      <c r="BM69" s="30"/>
      <c r="BN69" s="30"/>
      <c r="BO69" s="3" t="s">
        <v>115</v>
      </c>
      <c r="BP69" s="3"/>
      <c r="BR69" s="3" t="s">
        <v>115</v>
      </c>
      <c r="BS69" s="3"/>
    </row>
    <row r="70" spans="1:71">
      <c r="A70" s="30"/>
      <c r="B70" s="31" t="s">
        <v>187</v>
      </c>
      <c r="C70" s="43" t="s">
        <v>188</v>
      </c>
      <c r="D70" s="43" t="s">
        <v>189</v>
      </c>
      <c r="E70" s="43" t="s">
        <v>15</v>
      </c>
      <c r="F70" s="43" t="s">
        <v>17</v>
      </c>
      <c r="G70" s="43" t="s">
        <v>160</v>
      </c>
      <c r="H70" s="31"/>
      <c r="I70" s="31"/>
      <c r="J70" s="43" t="s">
        <v>160</v>
      </c>
      <c r="K70" s="43" t="s">
        <v>160</v>
      </c>
      <c r="L70" s="43" t="s">
        <v>160</v>
      </c>
      <c r="M70" s="43" t="s">
        <v>160</v>
      </c>
      <c r="N70" s="43" t="s">
        <v>160</v>
      </c>
      <c r="O70" s="43" t="s">
        <v>160</v>
      </c>
      <c r="P70" s="31" t="s">
        <v>160</v>
      </c>
      <c r="Q70" s="50" t="s">
        <v>160</v>
      </c>
      <c r="R70" s="50"/>
      <c r="S70" s="50"/>
      <c r="T70" s="50"/>
      <c r="U70" s="50"/>
      <c r="V70" s="50"/>
      <c r="W70" s="50"/>
      <c r="X70" s="3" t="s">
        <v>117</v>
      </c>
      <c r="Y70" s="3"/>
      <c r="Z70" s="3"/>
      <c r="AA70" s="3" t="s">
        <v>117</v>
      </c>
      <c r="AB70" s="3"/>
      <c r="AC70" s="31" t="s">
        <v>17</v>
      </c>
      <c r="AD70" s="43" t="s">
        <v>160</v>
      </c>
      <c r="AE70" s="31"/>
      <c r="AF70" s="31"/>
      <c r="AG70" s="43" t="s">
        <v>160</v>
      </c>
      <c r="AH70" s="43" t="s">
        <v>160</v>
      </c>
      <c r="AI70" s="43" t="s">
        <v>160</v>
      </c>
      <c r="AJ70" s="43" t="s">
        <v>160</v>
      </c>
      <c r="AK70" s="43" t="s">
        <v>160</v>
      </c>
      <c r="AL70" s="43" t="s">
        <v>160</v>
      </c>
      <c r="AM70" s="31" t="s">
        <v>160</v>
      </c>
      <c r="AN70" s="50" t="s">
        <v>160</v>
      </c>
      <c r="AO70" s="31" t="s">
        <v>160</v>
      </c>
      <c r="AP70" s="31"/>
      <c r="AQ70" s="31"/>
      <c r="AR70" s="43" t="s">
        <v>160</v>
      </c>
      <c r="AS70" s="43" t="s">
        <v>160</v>
      </c>
      <c r="AT70" s="43" t="s">
        <v>160</v>
      </c>
      <c r="AU70" s="43" t="s">
        <v>160</v>
      </c>
      <c r="AV70" s="43" t="s">
        <v>160</v>
      </c>
      <c r="AW70" s="43" t="s">
        <v>160</v>
      </c>
      <c r="AX70" s="31" t="s">
        <v>160</v>
      </c>
      <c r="AY70" s="50" t="s">
        <v>160</v>
      </c>
      <c r="AZ70" s="75"/>
      <c r="BA70" s="64"/>
      <c r="BB70" s="64"/>
      <c r="BC70" s="64"/>
      <c r="BD70" s="64"/>
      <c r="BE70" s="64"/>
      <c r="BF70" s="64"/>
      <c r="BG70" s="64"/>
      <c r="BH70" s="30"/>
      <c r="BI70" s="64"/>
      <c r="BJ70" s="30"/>
      <c r="BK70" s="30"/>
      <c r="BL70" s="30"/>
      <c r="BM70" s="30"/>
      <c r="BN70" s="30"/>
      <c r="BO70" s="3" t="s">
        <v>117</v>
      </c>
      <c r="BP70" s="3"/>
      <c r="BR70" s="3" t="s">
        <v>117</v>
      </c>
      <c r="BS70" s="3"/>
    </row>
    <row r="71" spans="1:71">
      <c r="A71" s="30"/>
      <c r="B71" s="31"/>
      <c r="C71" s="31"/>
      <c r="D71" s="31"/>
      <c r="E71" s="31"/>
      <c r="F71" s="31"/>
      <c r="G71" s="43" t="s">
        <v>161</v>
      </c>
      <c r="H71" s="31"/>
      <c r="I71" s="31"/>
      <c r="J71" s="43" t="s">
        <v>161</v>
      </c>
      <c r="K71" s="43" t="s">
        <v>161</v>
      </c>
      <c r="L71" s="43" t="s">
        <v>161</v>
      </c>
      <c r="M71" s="43" t="s">
        <v>161</v>
      </c>
      <c r="N71" s="43" t="s">
        <v>161</v>
      </c>
      <c r="O71" s="43" t="s">
        <v>161</v>
      </c>
      <c r="P71" s="31" t="s">
        <v>161</v>
      </c>
      <c r="Q71" s="50" t="s">
        <v>161</v>
      </c>
      <c r="R71" s="50"/>
      <c r="S71" s="50"/>
      <c r="T71" s="50"/>
      <c r="U71" s="50"/>
      <c r="V71" s="50"/>
      <c r="W71" s="50"/>
      <c r="X71" s="3" t="s">
        <v>121</v>
      </c>
      <c r="Y71" s="3"/>
      <c r="Z71" s="3"/>
      <c r="AA71" s="3" t="s">
        <v>121</v>
      </c>
      <c r="AB71" s="3"/>
      <c r="AC71" s="31"/>
      <c r="AD71" s="43" t="s">
        <v>161</v>
      </c>
      <c r="AE71" s="31"/>
      <c r="AF71" s="31"/>
      <c r="AG71" s="43" t="s">
        <v>161</v>
      </c>
      <c r="AH71" s="43" t="s">
        <v>161</v>
      </c>
      <c r="AI71" s="43" t="s">
        <v>161</v>
      </c>
      <c r="AJ71" s="43" t="s">
        <v>161</v>
      </c>
      <c r="AK71" s="43" t="s">
        <v>161</v>
      </c>
      <c r="AL71" s="43" t="s">
        <v>161</v>
      </c>
      <c r="AM71" s="31" t="s">
        <v>161</v>
      </c>
      <c r="AN71" s="50" t="s">
        <v>161</v>
      </c>
      <c r="AO71" s="31" t="s">
        <v>161</v>
      </c>
      <c r="AP71" s="31"/>
      <c r="AQ71" s="31"/>
      <c r="AR71" s="43" t="s">
        <v>161</v>
      </c>
      <c r="AS71" s="43" t="s">
        <v>161</v>
      </c>
      <c r="AT71" s="43" t="s">
        <v>161</v>
      </c>
      <c r="AU71" s="43" t="s">
        <v>161</v>
      </c>
      <c r="AV71" s="43" t="s">
        <v>161</v>
      </c>
      <c r="AW71" s="43" t="s">
        <v>161</v>
      </c>
      <c r="AX71" s="31" t="s">
        <v>161</v>
      </c>
      <c r="AY71" s="50" t="s">
        <v>161</v>
      </c>
      <c r="AZ71" s="75"/>
      <c r="BA71" s="64"/>
      <c r="BB71" s="64"/>
      <c r="BC71" s="64"/>
      <c r="BD71" s="64"/>
      <c r="BE71" s="64"/>
      <c r="BF71" s="64"/>
      <c r="BG71" s="64"/>
      <c r="BH71" s="30"/>
      <c r="BI71" s="64"/>
      <c r="BJ71" s="30"/>
      <c r="BK71" s="30"/>
      <c r="BL71" s="30"/>
      <c r="BM71" s="30"/>
      <c r="BN71" s="30"/>
      <c r="BO71" s="3" t="s">
        <v>121</v>
      </c>
      <c r="BP71" s="3"/>
      <c r="BR71" s="3" t="s">
        <v>121</v>
      </c>
      <c r="BS71" s="3"/>
    </row>
    <row r="72" spans="1:71">
      <c r="A72" s="30"/>
      <c r="B72" s="31"/>
      <c r="C72" s="31"/>
      <c r="D72" s="31"/>
      <c r="E72" s="31"/>
      <c r="F72" s="31"/>
      <c r="G72" s="43" t="s">
        <v>19</v>
      </c>
      <c r="H72" s="31"/>
      <c r="I72" s="31"/>
      <c r="J72" s="43" t="s">
        <v>24</v>
      </c>
      <c r="K72" s="43" t="s">
        <v>25</v>
      </c>
      <c r="L72" s="43" t="s">
        <v>26</v>
      </c>
      <c r="M72" s="43" t="s">
        <v>27</v>
      </c>
      <c r="N72" s="43" t="s">
        <v>28</v>
      </c>
      <c r="O72" s="43" t="s">
        <v>29</v>
      </c>
      <c r="P72" s="31" t="s">
        <v>30</v>
      </c>
      <c r="Q72" s="50" t="s">
        <v>32</v>
      </c>
      <c r="R72" s="50"/>
      <c r="S72" s="50"/>
      <c r="T72" s="50"/>
      <c r="U72" s="50"/>
      <c r="V72" s="50"/>
      <c r="W72" s="50"/>
      <c r="X72" s="3" t="s">
        <v>125</v>
      </c>
      <c r="Y72" s="3"/>
      <c r="Z72" s="3"/>
      <c r="AA72" s="3" t="s">
        <v>125</v>
      </c>
      <c r="AB72" s="3"/>
      <c r="AC72" s="76"/>
      <c r="AD72" s="43" t="s">
        <v>19</v>
      </c>
      <c r="AE72" s="31"/>
      <c r="AF72" s="31"/>
      <c r="AG72" s="43" t="s">
        <v>24</v>
      </c>
      <c r="AH72" s="43" t="s">
        <v>25</v>
      </c>
      <c r="AI72" s="43" t="s">
        <v>26</v>
      </c>
      <c r="AJ72" s="43" t="s">
        <v>27</v>
      </c>
      <c r="AK72" s="43" t="s">
        <v>28</v>
      </c>
      <c r="AL72" s="43" t="s">
        <v>29</v>
      </c>
      <c r="AM72" s="31" t="s">
        <v>30</v>
      </c>
      <c r="AN72" s="50" t="s">
        <v>32</v>
      </c>
      <c r="AO72" s="31" t="s">
        <v>19</v>
      </c>
      <c r="AP72" s="31"/>
      <c r="AQ72" s="31"/>
      <c r="AR72" s="43" t="s">
        <v>24</v>
      </c>
      <c r="AS72" s="43" t="s">
        <v>25</v>
      </c>
      <c r="AT72" s="43" t="s">
        <v>26</v>
      </c>
      <c r="AU72" s="43" t="s">
        <v>27</v>
      </c>
      <c r="AV72" s="43" t="s">
        <v>28</v>
      </c>
      <c r="AW72" s="43" t="s">
        <v>29</v>
      </c>
      <c r="AX72" s="31" t="s">
        <v>30</v>
      </c>
      <c r="AY72" s="50" t="s">
        <v>32</v>
      </c>
      <c r="AZ72" s="75"/>
      <c r="BA72" s="64"/>
      <c r="BB72" s="64"/>
      <c r="BC72" s="64"/>
      <c r="BD72" s="64"/>
      <c r="BE72" s="64"/>
      <c r="BF72" s="64"/>
      <c r="BG72" s="64"/>
      <c r="BH72" s="30"/>
      <c r="BI72" s="64"/>
      <c r="BJ72" s="30"/>
      <c r="BK72" s="30"/>
      <c r="BL72" s="30"/>
      <c r="BM72" s="30"/>
      <c r="BN72" s="30"/>
      <c r="BO72" s="3" t="s">
        <v>125</v>
      </c>
      <c r="BP72" s="3"/>
      <c r="BR72" s="3" t="s">
        <v>125</v>
      </c>
      <c r="BS72" s="3"/>
    </row>
    <row r="73" spans="1:71">
      <c r="A73" s="30"/>
      <c r="B73" s="31"/>
      <c r="C73" s="31"/>
      <c r="D73" s="31"/>
      <c r="E73" s="31"/>
      <c r="F73" s="31"/>
      <c r="G73" s="31"/>
      <c r="H73" s="31"/>
      <c r="I73" s="31"/>
      <c r="J73" s="31"/>
      <c r="K73" s="31"/>
      <c r="L73" s="31"/>
      <c r="M73" s="31"/>
      <c r="N73" s="31"/>
      <c r="O73" s="31"/>
      <c r="P73" s="31"/>
      <c r="Q73" s="31"/>
      <c r="R73" s="31"/>
      <c r="S73" s="31"/>
      <c r="T73" s="31"/>
      <c r="U73" s="31"/>
      <c r="V73" s="31"/>
      <c r="W73" s="31"/>
      <c r="X73" s="3" t="s">
        <v>128</v>
      </c>
      <c r="Y73" s="3"/>
      <c r="Z73" s="3"/>
      <c r="AA73" s="3" t="s">
        <v>128</v>
      </c>
      <c r="AB73" s="3"/>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75"/>
      <c r="BA73" s="64"/>
      <c r="BB73" s="64"/>
      <c r="BC73" s="64"/>
      <c r="BD73" s="64"/>
      <c r="BE73" s="64"/>
      <c r="BF73" s="64"/>
      <c r="BG73" s="64"/>
      <c r="BH73" s="30"/>
      <c r="BI73" s="64"/>
      <c r="BJ73" s="30"/>
      <c r="BK73" s="30"/>
      <c r="BL73" s="30"/>
      <c r="BM73" s="30"/>
      <c r="BN73" s="30"/>
      <c r="BO73" s="3" t="s">
        <v>128</v>
      </c>
      <c r="BP73" s="3"/>
      <c r="BR73" s="3" t="s">
        <v>128</v>
      </c>
      <c r="BS73" s="3"/>
    </row>
    <row r="74" spans="1:71">
      <c r="A74" s="30"/>
      <c r="B74" s="31"/>
      <c r="C74" s="31"/>
      <c r="D74" s="31"/>
      <c r="E74" s="31"/>
      <c r="F74" s="31"/>
      <c r="G74" s="31"/>
      <c r="H74" s="31"/>
      <c r="I74" s="31"/>
      <c r="J74" s="31"/>
      <c r="K74" s="31"/>
      <c r="L74" s="31"/>
      <c r="M74" s="31"/>
      <c r="N74" s="31"/>
      <c r="O74" s="31"/>
      <c r="P74" s="31"/>
      <c r="Q74" s="31"/>
      <c r="R74" s="31"/>
      <c r="S74" s="31"/>
      <c r="T74" s="31"/>
      <c r="U74" s="31"/>
      <c r="V74" s="31"/>
      <c r="W74" s="31"/>
      <c r="X74" s="3" t="s">
        <v>131</v>
      </c>
      <c r="Y74" s="3"/>
      <c r="Z74" s="3"/>
      <c r="AA74" s="3" t="s">
        <v>233</v>
      </c>
      <c r="AB74" s="3"/>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75"/>
      <c r="BA74" s="64"/>
      <c r="BB74" s="64"/>
      <c r="BC74" s="64"/>
      <c r="BD74" s="64"/>
      <c r="BE74" s="64"/>
      <c r="BF74" s="64"/>
      <c r="BG74" s="64"/>
      <c r="BH74" s="30"/>
      <c r="BI74" s="64"/>
      <c r="BJ74" s="30"/>
      <c r="BK74" s="30"/>
      <c r="BL74" s="30"/>
      <c r="BM74" s="30"/>
      <c r="BN74" s="30"/>
      <c r="BO74" s="3" t="s">
        <v>131</v>
      </c>
      <c r="BP74" s="3"/>
      <c r="BR74" s="3" t="s">
        <v>233</v>
      </c>
      <c r="BS74" s="3"/>
    </row>
    <row r="75" spans="1:71">
      <c r="A75" s="30"/>
      <c r="B75" s="31"/>
      <c r="C75" s="31"/>
      <c r="D75" s="31"/>
      <c r="E75" s="31"/>
      <c r="F75" s="31"/>
      <c r="G75" s="31"/>
      <c r="H75" s="31"/>
      <c r="I75" s="31"/>
      <c r="J75" s="31"/>
      <c r="K75" s="31"/>
      <c r="L75" s="31"/>
      <c r="M75" s="31"/>
      <c r="N75" s="31"/>
      <c r="O75" s="31"/>
      <c r="P75" s="31"/>
      <c r="Q75" s="31"/>
      <c r="R75" s="31"/>
      <c r="S75" s="31"/>
      <c r="T75" s="31"/>
      <c r="U75" s="31"/>
      <c r="V75" s="31"/>
      <c r="W75" s="31"/>
      <c r="X75" s="3" t="s">
        <v>134</v>
      </c>
      <c r="Y75" s="3"/>
      <c r="Z75" s="3"/>
      <c r="AA75" s="3" t="s">
        <v>134</v>
      </c>
      <c r="AB75" s="3"/>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75"/>
      <c r="BA75" s="64"/>
      <c r="BB75" s="64"/>
      <c r="BC75" s="64"/>
      <c r="BD75" s="64"/>
      <c r="BE75" s="64"/>
      <c r="BF75" s="64"/>
      <c r="BG75" s="64"/>
      <c r="BH75" s="30"/>
      <c r="BI75" s="64"/>
      <c r="BJ75" s="30"/>
      <c r="BK75" s="30"/>
      <c r="BL75" s="30"/>
      <c r="BM75" s="30"/>
      <c r="BN75" s="30"/>
      <c r="BO75" s="3" t="s">
        <v>134</v>
      </c>
      <c r="BP75" s="3"/>
      <c r="BR75" s="3" t="s">
        <v>134</v>
      </c>
      <c r="BS75" s="3"/>
    </row>
    <row r="76" spans="1:71">
      <c r="A76" s="30"/>
      <c r="B76" s="31"/>
      <c r="C76" s="31"/>
      <c r="D76" s="31"/>
      <c r="E76" s="31"/>
      <c r="F76" s="31"/>
      <c r="G76" s="31"/>
      <c r="H76" s="31"/>
      <c r="I76" s="31"/>
      <c r="J76" s="31"/>
      <c r="K76" s="31"/>
      <c r="L76" s="31"/>
      <c r="M76" s="31"/>
      <c r="N76" s="31"/>
      <c r="O76" s="31"/>
      <c r="P76" s="31"/>
      <c r="Q76" s="31"/>
      <c r="R76" s="31"/>
      <c r="S76" s="31"/>
      <c r="T76" s="31"/>
      <c r="U76" s="31"/>
      <c r="V76" s="31"/>
      <c r="W76" s="31"/>
      <c r="X76" s="3"/>
      <c r="Y76" s="3"/>
      <c r="Z76" s="3"/>
      <c r="AA76" s="3"/>
      <c r="AB76" s="3"/>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75"/>
      <c r="BA76" s="64"/>
      <c r="BB76" s="64"/>
      <c r="BC76" s="64"/>
      <c r="BD76" s="64"/>
      <c r="BE76" s="64"/>
      <c r="BF76" s="64"/>
      <c r="BG76" s="64"/>
      <c r="BH76" s="30"/>
      <c r="BI76" s="64"/>
      <c r="BJ76" s="30"/>
      <c r="BK76" s="30"/>
      <c r="BL76" s="30"/>
      <c r="BM76" s="30"/>
      <c r="BN76" s="30"/>
      <c r="BO76" s="3"/>
      <c r="BP76" s="3"/>
    </row>
    <row r="77" spans="1:71">
      <c r="A77" s="30"/>
      <c r="B77" s="31"/>
      <c r="C77" s="31"/>
      <c r="D77" s="31"/>
      <c r="E77" s="31"/>
      <c r="F77" s="31"/>
      <c r="G77" s="31"/>
      <c r="H77" s="31"/>
      <c r="I77" s="31"/>
      <c r="J77" s="31"/>
      <c r="K77" s="31"/>
      <c r="L77" s="31"/>
      <c r="M77" s="31"/>
      <c r="N77" s="31"/>
      <c r="O77" s="31"/>
      <c r="P77" s="31"/>
      <c r="Q77" s="31"/>
      <c r="R77" s="31"/>
      <c r="S77" s="31"/>
      <c r="T77" s="31"/>
      <c r="U77" s="31"/>
      <c r="V77" s="31"/>
      <c r="W77" s="13" t="s">
        <v>138</v>
      </c>
      <c r="X77" s="13" t="s">
        <v>138</v>
      </c>
      <c r="Y77" s="13"/>
      <c r="Z77" s="13"/>
      <c r="AA77" s="13"/>
      <c r="AB77" s="13"/>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75"/>
      <c r="BA77" s="64"/>
      <c r="BB77" s="64"/>
      <c r="BC77" s="64"/>
      <c r="BD77" s="64"/>
      <c r="BE77" s="64"/>
      <c r="BF77" s="64"/>
      <c r="BG77" s="64"/>
      <c r="BH77" s="30"/>
      <c r="BI77" s="64"/>
      <c r="BJ77" s="30"/>
      <c r="BK77" s="30"/>
      <c r="BL77" s="30"/>
      <c r="BM77" s="30"/>
      <c r="BN77" s="13" t="s">
        <v>138</v>
      </c>
      <c r="BO77" s="13" t="s">
        <v>138</v>
      </c>
      <c r="BP77" s="13"/>
    </row>
    <row r="78" spans="1:71">
      <c r="A78" s="30"/>
      <c r="B78" s="31"/>
      <c r="C78" s="31"/>
      <c r="D78" s="31"/>
      <c r="E78" s="31"/>
      <c r="F78" s="31"/>
      <c r="G78" s="31"/>
      <c r="H78" s="31"/>
      <c r="I78" s="31"/>
      <c r="J78" s="31"/>
      <c r="K78" s="31"/>
      <c r="L78" s="31"/>
      <c r="M78" s="31"/>
      <c r="N78" s="31"/>
      <c r="O78" s="31"/>
      <c r="P78" s="31"/>
      <c r="Q78" s="31"/>
      <c r="R78" s="31"/>
      <c r="S78" s="31"/>
      <c r="T78" s="31"/>
      <c r="U78" s="31"/>
      <c r="V78" s="31"/>
      <c r="W78" s="13" t="s">
        <v>140</v>
      </c>
      <c r="X78" s="13" t="s">
        <v>140</v>
      </c>
      <c r="Y78" s="13"/>
      <c r="Z78" s="13"/>
      <c r="AA78" s="13"/>
      <c r="AB78" s="13"/>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75"/>
      <c r="BA78" s="64"/>
      <c r="BB78" s="64"/>
      <c r="BC78" s="64"/>
      <c r="BD78" s="64"/>
      <c r="BE78" s="64"/>
      <c r="BF78" s="64"/>
      <c r="BG78" s="64"/>
      <c r="BH78" s="30"/>
      <c r="BI78" s="64"/>
      <c r="BJ78" s="30"/>
      <c r="BK78" s="30"/>
      <c r="BL78" s="30"/>
      <c r="BM78" s="30"/>
      <c r="BN78" s="13" t="s">
        <v>140</v>
      </c>
      <c r="BO78" s="13" t="s">
        <v>140</v>
      </c>
      <c r="BP78" s="13"/>
    </row>
    <row r="79" spans="1:71">
      <c r="A79" s="30"/>
      <c r="B79" s="31"/>
      <c r="C79" s="31"/>
      <c r="D79" s="31"/>
      <c r="E79" s="31"/>
      <c r="F79" s="31"/>
      <c r="G79" s="31"/>
      <c r="H79" s="31"/>
      <c r="I79" s="31"/>
      <c r="J79" s="31"/>
      <c r="K79" s="31"/>
      <c r="L79" s="31"/>
      <c r="M79" s="31"/>
      <c r="N79" s="31"/>
      <c r="O79" s="31"/>
      <c r="P79" s="31"/>
      <c r="Q79" s="31"/>
      <c r="R79" s="31"/>
      <c r="S79" s="31"/>
      <c r="T79" s="31"/>
      <c r="U79" s="31"/>
      <c r="V79" s="31"/>
      <c r="W79" s="13" t="s">
        <v>141</v>
      </c>
      <c r="X79" s="13" t="s">
        <v>141</v>
      </c>
      <c r="Y79" s="13"/>
      <c r="Z79" s="13"/>
      <c r="AA79" s="13"/>
      <c r="AB79" s="13"/>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75"/>
      <c r="BA79" s="64"/>
      <c r="BB79" s="64"/>
      <c r="BC79" s="64"/>
      <c r="BD79" s="64"/>
      <c r="BE79" s="64"/>
      <c r="BF79" s="64"/>
      <c r="BG79" s="64"/>
      <c r="BH79" s="30"/>
      <c r="BI79" s="64"/>
      <c r="BJ79" s="30"/>
      <c r="BK79" s="30"/>
      <c r="BL79" s="30"/>
      <c r="BM79" s="30"/>
      <c r="BN79" s="13" t="s">
        <v>141</v>
      </c>
      <c r="BO79" s="13" t="s">
        <v>141</v>
      </c>
      <c r="BP79" s="13"/>
    </row>
    <row r="80" spans="1:71">
      <c r="A80" s="30"/>
      <c r="B80" s="31"/>
      <c r="C80" s="31"/>
      <c r="D80" s="31"/>
      <c r="E80" s="31"/>
      <c r="F80" s="31"/>
      <c r="G80" s="31"/>
      <c r="H80" s="31"/>
      <c r="I80" s="31"/>
      <c r="J80" s="31"/>
      <c r="K80" s="31"/>
      <c r="L80" s="31"/>
      <c r="M80" s="31"/>
      <c r="N80" s="31"/>
      <c r="O80" s="31"/>
      <c r="P80" s="31"/>
      <c r="Q80" s="31"/>
      <c r="R80" s="31"/>
      <c r="S80" s="31"/>
      <c r="T80" s="31"/>
      <c r="U80" s="31"/>
      <c r="V80" s="31"/>
      <c r="W80" s="13" t="s">
        <v>142</v>
      </c>
      <c r="X80" s="13" t="s">
        <v>142</v>
      </c>
      <c r="Y80" s="13"/>
      <c r="Z80" s="13"/>
      <c r="AA80" s="13"/>
      <c r="AB80" s="13"/>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75"/>
      <c r="BA80" s="64"/>
      <c r="BB80" s="64"/>
      <c r="BC80" s="64"/>
      <c r="BD80" s="64"/>
      <c r="BE80" s="64"/>
      <c r="BF80" s="64"/>
      <c r="BG80" s="64"/>
      <c r="BH80" s="30"/>
      <c r="BI80" s="64"/>
      <c r="BJ80" s="30"/>
      <c r="BK80" s="30"/>
      <c r="BL80" s="30"/>
      <c r="BM80" s="30"/>
      <c r="BN80" s="13" t="s">
        <v>142</v>
      </c>
      <c r="BO80" s="13" t="s">
        <v>142</v>
      </c>
      <c r="BP80" s="13"/>
    </row>
    <row r="81" spans="1:68">
      <c r="A81" s="30"/>
      <c r="B81" s="31"/>
      <c r="C81" s="31"/>
      <c r="D81" s="31"/>
      <c r="E81" s="31"/>
      <c r="F81" s="31"/>
      <c r="G81" s="31"/>
      <c r="H81" s="31"/>
      <c r="I81" s="31"/>
      <c r="J81" s="31"/>
      <c r="K81" s="31"/>
      <c r="L81" s="31"/>
      <c r="M81" s="31"/>
      <c r="N81" s="31"/>
      <c r="O81" s="31"/>
      <c r="P81" s="31"/>
      <c r="Q81" s="31"/>
      <c r="R81" s="31"/>
      <c r="S81" s="31"/>
      <c r="T81" s="31"/>
      <c r="U81" s="31"/>
      <c r="V81" s="31"/>
      <c r="W81" s="13" t="s">
        <v>143</v>
      </c>
      <c r="X81" s="13" t="s">
        <v>143</v>
      </c>
      <c r="Y81" s="13"/>
      <c r="Z81" s="13"/>
      <c r="AA81" s="13"/>
      <c r="AB81" s="13"/>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75"/>
      <c r="BA81" s="64"/>
      <c r="BB81" s="64"/>
      <c r="BC81" s="64"/>
      <c r="BD81" s="64"/>
      <c r="BE81" s="64"/>
      <c r="BF81" s="64"/>
      <c r="BG81" s="64"/>
      <c r="BH81" s="30"/>
      <c r="BI81" s="64"/>
      <c r="BJ81" s="30"/>
      <c r="BK81" s="30"/>
      <c r="BL81" s="30"/>
      <c r="BM81" s="30"/>
      <c r="BN81" s="13" t="s">
        <v>143</v>
      </c>
      <c r="BO81" s="13" t="s">
        <v>143</v>
      </c>
      <c r="BP81" s="13"/>
    </row>
    <row r="82" spans="1:68">
      <c r="A82" s="30"/>
      <c r="B82" s="31"/>
      <c r="C82" s="31"/>
      <c r="D82" s="31"/>
      <c r="E82" s="31"/>
      <c r="F82" s="31"/>
      <c r="G82" s="31"/>
      <c r="H82" s="31"/>
      <c r="I82" s="31"/>
      <c r="J82" s="31"/>
      <c r="K82" s="31"/>
      <c r="L82" s="31"/>
      <c r="M82" s="31"/>
      <c r="N82" s="31"/>
      <c r="O82" s="31"/>
      <c r="P82" s="31"/>
      <c r="Q82" s="31"/>
      <c r="R82" s="31"/>
      <c r="S82" s="31"/>
      <c r="T82" s="31"/>
      <c r="U82" s="31"/>
      <c r="V82" s="31"/>
      <c r="W82" s="13" t="s">
        <v>144</v>
      </c>
      <c r="X82" s="13" t="s">
        <v>144</v>
      </c>
      <c r="Y82" s="13"/>
      <c r="Z82" s="13"/>
      <c r="AA82" s="13"/>
      <c r="AB82" s="13"/>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75"/>
      <c r="BA82" s="64"/>
      <c r="BB82" s="64"/>
      <c r="BC82" s="64"/>
      <c r="BD82" s="64"/>
      <c r="BE82" s="64"/>
      <c r="BF82" s="64"/>
      <c r="BG82" s="64"/>
      <c r="BH82" s="30"/>
      <c r="BI82" s="64"/>
      <c r="BJ82" s="30"/>
      <c r="BK82" s="30"/>
      <c r="BL82" s="30"/>
      <c r="BM82" s="30"/>
      <c r="BN82" s="13" t="s">
        <v>144</v>
      </c>
      <c r="BO82" s="13" t="s">
        <v>144</v>
      </c>
      <c r="BP82" s="13"/>
    </row>
    <row r="83" spans="1:68">
      <c r="A83" s="30"/>
      <c r="B83" s="31"/>
      <c r="C83" s="31"/>
      <c r="D83" s="31"/>
      <c r="E83" s="31"/>
      <c r="F83" s="31"/>
      <c r="G83" s="31"/>
      <c r="H83" s="31"/>
      <c r="I83" s="31"/>
      <c r="J83" s="31"/>
      <c r="K83" s="31"/>
      <c r="L83" s="31"/>
      <c r="M83" s="31"/>
      <c r="N83" s="31"/>
      <c r="O83" s="31"/>
      <c r="P83" s="31"/>
      <c r="Q83" s="31"/>
      <c r="R83" s="31"/>
      <c r="S83" s="31"/>
      <c r="T83" s="31"/>
      <c r="U83" s="31"/>
      <c r="V83" s="31"/>
      <c r="W83" s="13" t="s">
        <v>145</v>
      </c>
      <c r="X83" s="13" t="s">
        <v>145</v>
      </c>
      <c r="Y83" s="13"/>
      <c r="Z83" s="13"/>
      <c r="AA83" s="13"/>
      <c r="AB83" s="13"/>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75"/>
      <c r="BA83" s="64"/>
      <c r="BB83" s="64"/>
      <c r="BC83" s="64"/>
      <c r="BD83" s="64"/>
      <c r="BE83" s="64"/>
      <c r="BF83" s="64"/>
      <c r="BG83" s="64"/>
      <c r="BH83" s="30"/>
      <c r="BI83" s="64"/>
      <c r="BJ83" s="30"/>
      <c r="BK83" s="30"/>
      <c r="BL83" s="30"/>
      <c r="BM83" s="30"/>
      <c r="BN83" s="13" t="s">
        <v>145</v>
      </c>
      <c r="BO83" s="13" t="s">
        <v>145</v>
      </c>
      <c r="BP83" s="13"/>
    </row>
    <row r="84" spans="1:68">
      <c r="A84" s="30"/>
      <c r="B84" s="43"/>
      <c r="C84" s="43"/>
      <c r="D84" s="43"/>
      <c r="E84" s="43"/>
      <c r="F84" s="43"/>
      <c r="G84" s="43"/>
      <c r="H84" s="43"/>
      <c r="I84" s="43"/>
      <c r="J84" s="43"/>
      <c r="K84" s="43"/>
      <c r="L84" s="43"/>
      <c r="M84" s="43"/>
      <c r="N84" s="31"/>
      <c r="O84" s="31"/>
      <c r="P84" s="31"/>
      <c r="Q84" s="31"/>
      <c r="R84" s="31"/>
      <c r="S84" s="31"/>
      <c r="T84" s="31"/>
      <c r="U84" s="31"/>
      <c r="V84" s="31"/>
      <c r="W84" s="13" t="s">
        <v>146</v>
      </c>
      <c r="X84" s="13" t="s">
        <v>146</v>
      </c>
      <c r="Y84" s="13"/>
      <c r="Z84" s="13"/>
      <c r="AA84" s="13"/>
      <c r="AB84" s="13"/>
      <c r="AC84" s="43"/>
      <c r="AD84" s="43"/>
      <c r="AE84" s="43"/>
      <c r="AF84" s="43"/>
      <c r="AG84" s="43"/>
      <c r="AH84" s="43"/>
      <c r="AI84" s="43"/>
      <c r="AJ84" s="43"/>
      <c r="AK84" s="31"/>
      <c r="AL84" s="31"/>
      <c r="AM84" s="31"/>
      <c r="AN84" s="31"/>
      <c r="AO84" s="43"/>
      <c r="AP84" s="43"/>
      <c r="AQ84" s="43"/>
      <c r="AR84" s="43"/>
      <c r="AS84" s="43"/>
      <c r="AT84" s="43"/>
      <c r="AU84" s="43"/>
      <c r="AV84" s="43"/>
      <c r="AW84" s="31"/>
      <c r="AX84" s="31"/>
      <c r="AY84" s="31"/>
      <c r="AZ84" s="75"/>
      <c r="BA84" s="64"/>
      <c r="BB84" s="64"/>
      <c r="BC84" s="64"/>
      <c r="BD84" s="64"/>
      <c r="BE84" s="64"/>
      <c r="BF84" s="64"/>
      <c r="BG84" s="64"/>
      <c r="BH84" s="30"/>
      <c r="BI84" s="64"/>
      <c r="BJ84" s="30"/>
      <c r="BK84" s="30"/>
      <c r="BL84" s="30"/>
      <c r="BM84" s="30"/>
      <c r="BN84" s="13" t="s">
        <v>146</v>
      </c>
      <c r="BO84" s="13" t="s">
        <v>146</v>
      </c>
      <c r="BP84" s="13"/>
    </row>
    <row r="85" spans="1:68">
      <c r="A85" s="30"/>
      <c r="B85" s="43"/>
      <c r="C85" s="43"/>
      <c r="D85" s="43"/>
      <c r="E85" s="43"/>
      <c r="F85" s="43"/>
      <c r="G85" s="43"/>
      <c r="H85" s="43"/>
      <c r="I85" s="43"/>
      <c r="J85" s="43"/>
      <c r="K85" s="43"/>
      <c r="L85" s="43"/>
      <c r="M85" s="43"/>
      <c r="N85" s="31"/>
      <c r="O85" s="31"/>
      <c r="P85" s="31"/>
      <c r="Q85" s="31"/>
      <c r="R85" s="31"/>
      <c r="S85" s="31"/>
      <c r="T85" s="31"/>
      <c r="U85" s="31"/>
      <c r="V85" s="31"/>
      <c r="W85" s="13" t="s">
        <v>147</v>
      </c>
      <c r="X85" s="13" t="s">
        <v>147</v>
      </c>
      <c r="Y85" s="13"/>
      <c r="Z85" s="13"/>
      <c r="AA85" s="13"/>
      <c r="AB85" s="13"/>
      <c r="AC85" s="43"/>
      <c r="AD85" s="43"/>
      <c r="AE85" s="43"/>
      <c r="AF85" s="43"/>
      <c r="AG85" s="43"/>
      <c r="AH85" s="43"/>
      <c r="AI85" s="43"/>
      <c r="AJ85" s="43"/>
      <c r="AK85" s="31"/>
      <c r="AL85" s="31"/>
      <c r="AM85" s="31"/>
      <c r="AN85" s="31"/>
      <c r="AO85" s="43"/>
      <c r="AP85" s="43"/>
      <c r="AQ85" s="43"/>
      <c r="AR85" s="43"/>
      <c r="AS85" s="43"/>
      <c r="AT85" s="43"/>
      <c r="AU85" s="43"/>
      <c r="AV85" s="43"/>
      <c r="AW85" s="31"/>
      <c r="AX85" s="31"/>
      <c r="AY85" s="31"/>
      <c r="AZ85" s="75"/>
      <c r="BA85" s="64"/>
      <c r="BB85" s="64"/>
      <c r="BC85" s="64"/>
      <c r="BD85" s="64"/>
      <c r="BE85" s="64"/>
      <c r="BF85" s="64"/>
      <c r="BG85" s="64"/>
      <c r="BH85" s="30"/>
      <c r="BI85" s="64"/>
      <c r="BJ85" s="30"/>
      <c r="BK85" s="30"/>
      <c r="BL85" s="30"/>
      <c r="BM85" s="30"/>
      <c r="BN85" s="13" t="s">
        <v>147</v>
      </c>
      <c r="BO85" s="13" t="s">
        <v>147</v>
      </c>
      <c r="BP85" s="13"/>
    </row>
    <row r="86" spans="1:68">
      <c r="A86" s="30"/>
      <c r="B86" s="43"/>
      <c r="C86" s="43"/>
      <c r="D86" s="43"/>
      <c r="E86" s="43"/>
      <c r="F86" s="43"/>
      <c r="G86" s="43"/>
      <c r="H86" s="43"/>
      <c r="I86" s="43"/>
      <c r="J86" s="43"/>
      <c r="K86" s="43"/>
      <c r="L86" s="43"/>
      <c r="M86" s="43"/>
      <c r="N86" s="31"/>
      <c r="O86" s="31"/>
      <c r="P86" s="31"/>
      <c r="Q86" s="31"/>
      <c r="R86" s="31"/>
      <c r="S86" s="31"/>
      <c r="T86" s="31"/>
      <c r="U86" s="31"/>
      <c r="V86" s="31"/>
      <c r="W86" s="13" t="s">
        <v>148</v>
      </c>
      <c r="X86" s="13" t="s">
        <v>148</v>
      </c>
      <c r="Y86" s="13"/>
      <c r="Z86" s="13"/>
      <c r="AA86" s="13"/>
      <c r="AB86" s="13"/>
      <c r="AC86" s="43"/>
      <c r="AD86" s="43"/>
      <c r="AE86" s="43"/>
      <c r="AF86" s="43"/>
      <c r="AG86" s="43"/>
      <c r="AH86" s="43"/>
      <c r="AI86" s="43"/>
      <c r="AJ86" s="43"/>
      <c r="AK86" s="31"/>
      <c r="AL86" s="31"/>
      <c r="AM86" s="31"/>
      <c r="AN86" s="31"/>
      <c r="AO86" s="43"/>
      <c r="AP86" s="43"/>
      <c r="AQ86" s="43"/>
      <c r="AR86" s="43"/>
      <c r="AS86" s="43"/>
      <c r="AT86" s="43"/>
      <c r="AU86" s="43"/>
      <c r="AV86" s="43"/>
      <c r="AW86" s="31"/>
      <c r="AX86" s="31"/>
      <c r="AY86" s="31"/>
      <c r="AZ86" s="75"/>
      <c r="BA86" s="64"/>
      <c r="BB86" s="64"/>
      <c r="BC86" s="64"/>
      <c r="BD86" s="64"/>
      <c r="BE86" s="64"/>
      <c r="BF86" s="64"/>
      <c r="BG86" s="64"/>
      <c r="BH86" s="30"/>
      <c r="BI86" s="64"/>
      <c r="BJ86" s="30"/>
      <c r="BK86" s="30"/>
      <c r="BL86" s="30"/>
      <c r="BM86" s="30"/>
      <c r="BN86" s="13" t="s">
        <v>148</v>
      </c>
      <c r="BO86" s="13" t="s">
        <v>148</v>
      </c>
      <c r="BP86" s="13"/>
    </row>
    <row r="87" spans="1:68">
      <c r="A87" s="30"/>
      <c r="B87" s="43"/>
      <c r="C87" s="43"/>
      <c r="D87" s="43"/>
      <c r="E87" s="43"/>
      <c r="F87" s="43"/>
      <c r="G87" s="43"/>
      <c r="H87" s="43"/>
      <c r="I87" s="43"/>
      <c r="J87" s="43"/>
      <c r="K87" s="43"/>
      <c r="L87" s="43"/>
      <c r="M87" s="43"/>
      <c r="N87" s="31"/>
      <c r="O87" s="31"/>
      <c r="P87" s="31"/>
      <c r="Q87" s="31"/>
      <c r="R87" s="31"/>
      <c r="S87" s="31"/>
      <c r="T87" s="31"/>
      <c r="U87" s="31"/>
      <c r="V87" s="31"/>
      <c r="W87" s="13" t="s">
        <v>149</v>
      </c>
      <c r="X87" s="13" t="s">
        <v>149</v>
      </c>
      <c r="Y87" s="13"/>
      <c r="Z87" s="13"/>
      <c r="AA87" s="13"/>
      <c r="AB87" s="13"/>
      <c r="AC87" s="43"/>
      <c r="AD87" s="43"/>
      <c r="AE87" s="43"/>
      <c r="AF87" s="43"/>
      <c r="AG87" s="43"/>
      <c r="AH87" s="43"/>
      <c r="AI87" s="43"/>
      <c r="AJ87" s="43"/>
      <c r="AK87" s="31"/>
      <c r="AL87" s="31"/>
      <c r="AM87" s="31"/>
      <c r="AN87" s="31"/>
      <c r="AO87" s="43"/>
      <c r="AP87" s="43"/>
      <c r="AQ87" s="43"/>
      <c r="AR87" s="43"/>
      <c r="AS87" s="43"/>
      <c r="AT87" s="43"/>
      <c r="AU87" s="43"/>
      <c r="AV87" s="43"/>
      <c r="AW87" s="31"/>
      <c r="AX87" s="31"/>
      <c r="AY87" s="31"/>
      <c r="AZ87" s="75"/>
      <c r="BA87" s="64"/>
      <c r="BB87" s="64"/>
      <c r="BC87" s="64"/>
      <c r="BD87" s="64"/>
      <c r="BE87" s="64"/>
      <c r="BF87" s="64"/>
      <c r="BG87" s="64"/>
      <c r="BH87" s="30"/>
      <c r="BI87" s="64"/>
      <c r="BJ87" s="30"/>
      <c r="BK87" s="30"/>
      <c r="BL87" s="30"/>
      <c r="BM87" s="30"/>
      <c r="BN87" s="13" t="s">
        <v>149</v>
      </c>
      <c r="BO87" s="13" t="s">
        <v>149</v>
      </c>
      <c r="BP87" s="13"/>
    </row>
    <row r="88" spans="1:68">
      <c r="A88" s="30"/>
      <c r="B88" s="43"/>
      <c r="C88" s="43"/>
      <c r="D88" s="43"/>
      <c r="E88" s="43"/>
      <c r="F88" s="43"/>
      <c r="G88" s="43"/>
      <c r="H88" s="43"/>
      <c r="I88" s="43"/>
      <c r="J88" s="43"/>
      <c r="K88" s="43"/>
      <c r="L88" s="43"/>
      <c r="M88" s="43"/>
      <c r="N88" s="31"/>
      <c r="O88" s="31"/>
      <c r="P88" s="31"/>
      <c r="Q88" s="31"/>
      <c r="R88" s="31"/>
      <c r="S88" s="31"/>
      <c r="T88" s="31"/>
      <c r="U88" s="31"/>
      <c r="V88" s="31"/>
      <c r="W88" s="13" t="s">
        <v>150</v>
      </c>
      <c r="X88" s="13" t="s">
        <v>150</v>
      </c>
      <c r="Y88" s="13"/>
      <c r="Z88" s="13"/>
      <c r="AA88" s="13"/>
      <c r="AB88" s="13"/>
      <c r="AC88" s="43"/>
      <c r="AD88" s="43"/>
      <c r="AE88" s="43"/>
      <c r="AF88" s="43"/>
      <c r="AG88" s="43"/>
      <c r="AH88" s="43"/>
      <c r="AI88" s="43"/>
      <c r="AJ88" s="43"/>
      <c r="AK88" s="31"/>
      <c r="AL88" s="31"/>
      <c r="AM88" s="31"/>
      <c r="AN88" s="31"/>
      <c r="AO88" s="43"/>
      <c r="AP88" s="43"/>
      <c r="AQ88" s="43"/>
      <c r="AR88" s="43"/>
      <c r="AS88" s="43"/>
      <c r="AT88" s="43"/>
      <c r="AU88" s="43"/>
      <c r="AV88" s="43"/>
      <c r="AW88" s="31"/>
      <c r="AX88" s="31"/>
      <c r="AY88" s="31"/>
      <c r="AZ88" s="75"/>
      <c r="BA88" s="64"/>
      <c r="BB88" s="64"/>
      <c r="BC88" s="64"/>
      <c r="BD88" s="64"/>
      <c r="BE88" s="64"/>
      <c r="BF88" s="64"/>
      <c r="BG88" s="64"/>
      <c r="BH88" s="30"/>
      <c r="BI88" s="64"/>
      <c r="BJ88" s="30"/>
      <c r="BK88" s="30"/>
      <c r="BL88" s="30"/>
      <c r="BM88" s="30"/>
      <c r="BN88" s="13" t="s">
        <v>150</v>
      </c>
      <c r="BO88" s="13" t="s">
        <v>150</v>
      </c>
      <c r="BP88" s="13"/>
    </row>
    <row r="89" spans="1:68">
      <c r="A89" s="30"/>
      <c r="B89" s="43"/>
      <c r="C89" s="43"/>
      <c r="D89" s="43"/>
      <c r="E89" s="43"/>
      <c r="F89" s="43"/>
      <c r="G89" s="43"/>
      <c r="H89" s="43"/>
      <c r="I89" s="43"/>
      <c r="J89" s="43"/>
      <c r="K89" s="43"/>
      <c r="L89" s="43"/>
      <c r="M89" s="43"/>
      <c r="N89" s="31"/>
      <c r="O89" s="31"/>
      <c r="P89" s="31"/>
      <c r="Q89" s="31"/>
      <c r="R89" s="31"/>
      <c r="S89" s="31"/>
      <c r="T89" s="31"/>
      <c r="U89" s="31"/>
      <c r="V89" s="31"/>
      <c r="W89" s="13" t="s">
        <v>151</v>
      </c>
      <c r="X89" s="13" t="s">
        <v>151</v>
      </c>
      <c r="Y89" s="13"/>
      <c r="Z89" s="13"/>
      <c r="AA89" s="13"/>
      <c r="AB89" s="13"/>
      <c r="AC89" s="43"/>
      <c r="AD89" s="43"/>
      <c r="AE89" s="43"/>
      <c r="AF89" s="43"/>
      <c r="AG89" s="43"/>
      <c r="AH89" s="43"/>
      <c r="AI89" s="43"/>
      <c r="AJ89" s="43"/>
      <c r="AK89" s="31"/>
      <c r="AL89" s="31"/>
      <c r="AM89" s="31"/>
      <c r="AN89" s="31"/>
      <c r="AO89" s="43"/>
      <c r="AP89" s="43"/>
      <c r="AQ89" s="43"/>
      <c r="AR89" s="43"/>
      <c r="AS89" s="43"/>
      <c r="AT89" s="43"/>
      <c r="AU89" s="43"/>
      <c r="AV89" s="43"/>
      <c r="AW89" s="31"/>
      <c r="AX89" s="31"/>
      <c r="AY89" s="31"/>
      <c r="AZ89" s="75"/>
      <c r="BA89" s="64"/>
      <c r="BB89" s="64"/>
      <c r="BC89" s="64"/>
      <c r="BD89" s="64"/>
      <c r="BE89" s="64"/>
      <c r="BF89" s="64"/>
      <c r="BG89" s="64"/>
      <c r="BH89" s="30"/>
      <c r="BI89" s="64"/>
      <c r="BJ89" s="30"/>
      <c r="BK89" s="30"/>
      <c r="BL89" s="30"/>
      <c r="BM89" s="30"/>
      <c r="BN89" s="13" t="s">
        <v>151</v>
      </c>
      <c r="BO89" s="13" t="s">
        <v>151</v>
      </c>
      <c r="BP89" s="13"/>
    </row>
    <row r="90" spans="1:68">
      <c r="A90" s="30"/>
      <c r="B90" s="43"/>
      <c r="C90" s="43"/>
      <c r="D90" s="43"/>
      <c r="E90" s="43"/>
      <c r="F90" s="43"/>
      <c r="G90" s="43"/>
      <c r="H90" s="43"/>
      <c r="I90" s="43"/>
      <c r="J90" s="43"/>
      <c r="K90" s="43"/>
      <c r="L90" s="43"/>
      <c r="M90" s="43"/>
      <c r="N90" s="31"/>
      <c r="O90" s="31"/>
      <c r="P90" s="31"/>
      <c r="Q90" s="31"/>
      <c r="R90" s="31"/>
      <c r="S90" s="31"/>
      <c r="T90" s="31"/>
      <c r="U90" s="31"/>
      <c r="V90" s="31"/>
      <c r="W90" s="13" t="s">
        <v>152</v>
      </c>
      <c r="X90" s="13" t="s">
        <v>152</v>
      </c>
      <c r="Y90" s="13"/>
      <c r="Z90" s="13"/>
      <c r="AA90" s="13"/>
      <c r="AB90" s="13"/>
      <c r="AC90" s="43"/>
      <c r="AD90" s="43"/>
      <c r="AE90" s="43"/>
      <c r="AF90" s="43"/>
      <c r="AG90" s="43"/>
      <c r="AH90" s="43"/>
      <c r="AI90" s="43"/>
      <c r="AJ90" s="43"/>
      <c r="AK90" s="31"/>
      <c r="AL90" s="31"/>
      <c r="AM90" s="31"/>
      <c r="AN90" s="31"/>
      <c r="AO90" s="43"/>
      <c r="AP90" s="43"/>
      <c r="AQ90" s="43"/>
      <c r="AR90" s="43"/>
      <c r="AS90" s="43"/>
      <c r="AT90" s="43"/>
      <c r="AU90" s="43"/>
      <c r="AV90" s="43"/>
      <c r="AW90" s="31"/>
      <c r="AX90" s="31"/>
      <c r="AY90" s="31"/>
      <c r="AZ90" s="75"/>
      <c r="BA90" s="64"/>
      <c r="BB90" s="64"/>
      <c r="BC90" s="64"/>
      <c r="BD90" s="64"/>
      <c r="BE90" s="64"/>
      <c r="BF90" s="64"/>
      <c r="BG90" s="64"/>
      <c r="BH90" s="30"/>
      <c r="BI90" s="64"/>
      <c r="BJ90" s="30"/>
      <c r="BK90" s="30"/>
      <c r="BL90" s="30"/>
      <c r="BM90" s="30"/>
      <c r="BN90" s="13" t="s">
        <v>152</v>
      </c>
      <c r="BO90" s="13" t="s">
        <v>152</v>
      </c>
      <c r="BP90" s="13"/>
    </row>
    <row r="91" spans="1:68">
      <c r="A91" s="30"/>
      <c r="B91" s="43"/>
      <c r="C91" s="43"/>
      <c r="D91" s="43"/>
      <c r="E91" s="43"/>
      <c r="F91" s="43"/>
      <c r="G91" s="43"/>
      <c r="H91" s="43"/>
      <c r="I91" s="43"/>
      <c r="J91" s="43"/>
      <c r="K91" s="43"/>
      <c r="L91" s="43"/>
      <c r="M91" s="43"/>
      <c r="N91" s="31"/>
      <c r="O91" s="31"/>
      <c r="P91" s="31"/>
      <c r="Q91" s="31"/>
      <c r="R91" s="31"/>
      <c r="S91" s="31"/>
      <c r="T91" s="31"/>
      <c r="U91" s="31"/>
      <c r="V91" s="31"/>
      <c r="W91" s="34" t="s">
        <v>153</v>
      </c>
      <c r="X91" s="34" t="s">
        <v>153</v>
      </c>
      <c r="Y91" s="34"/>
      <c r="Z91" s="34"/>
      <c r="AA91" s="34"/>
      <c r="AB91" s="34"/>
      <c r="AC91" s="43"/>
      <c r="AD91" s="43"/>
      <c r="AE91" s="43"/>
      <c r="AF91" s="43"/>
      <c r="AG91" s="43"/>
      <c r="AH91" s="43"/>
      <c r="AI91" s="43"/>
      <c r="AJ91" s="43"/>
      <c r="AK91" s="31"/>
      <c r="AL91" s="31"/>
      <c r="AM91" s="31"/>
      <c r="AN91" s="31"/>
      <c r="AO91" s="43"/>
      <c r="AP91" s="43"/>
      <c r="AQ91" s="43"/>
      <c r="AR91" s="43"/>
      <c r="AS91" s="43"/>
      <c r="AT91" s="43"/>
      <c r="AU91" s="43"/>
      <c r="AV91" s="43"/>
      <c r="AW91" s="31"/>
      <c r="AX91" s="31"/>
      <c r="AY91" s="31"/>
      <c r="AZ91" s="75"/>
      <c r="BA91" s="64"/>
      <c r="BB91" s="64"/>
      <c r="BC91" s="64"/>
      <c r="BD91" s="64"/>
      <c r="BE91" s="64"/>
      <c r="BF91" s="64"/>
      <c r="BG91" s="64"/>
      <c r="BH91" s="30"/>
      <c r="BI91" s="64"/>
      <c r="BJ91" s="30"/>
      <c r="BK91" s="30"/>
      <c r="BL91" s="30"/>
      <c r="BM91" s="30"/>
      <c r="BN91" s="34" t="s">
        <v>153</v>
      </c>
      <c r="BO91" s="34" t="s">
        <v>153</v>
      </c>
      <c r="BP91" s="34"/>
    </row>
  </sheetData>
  <hyperlinks>
    <hyperlink ref="X75" r:id="rId1" display="www.nces.ed.gov"/>
    <hyperlink ref="BO75" r:id="rId2" display="www.nces.ed.gov"/>
    <hyperlink ref="AA75" r:id="rId3" display="www.nces.ed.gov"/>
    <hyperlink ref="BR75" r:id="rId4" display="www.nces.ed.gov"/>
  </hyperlinks>
  <pageMargins left="0.7" right="0.7" top="0.75" bottom="0.75" header="0.3" footer="0.3"/>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399"/>
  </sheetPr>
  <dimension ref="A1:AS91"/>
  <sheetViews>
    <sheetView workbookViewId="0">
      <pane xSplit="1" ySplit="4" topLeftCell="B38" activePane="bottomRight" state="frozen"/>
      <selection pane="topRight" activeCell="B1" sqref="B1"/>
      <selection pane="bottomLeft" activeCell="A5" sqref="A5"/>
      <selection pane="bottomRight" activeCell="AS39" sqref="AS39"/>
    </sheetView>
  </sheetViews>
  <sheetFormatPr defaultRowHeight="12.75"/>
  <sheetData>
    <row r="1" spans="1:45">
      <c r="A1" s="1" t="s">
        <v>181</v>
      </c>
      <c r="B1" s="51"/>
      <c r="C1" s="3"/>
      <c r="D1" s="3"/>
      <c r="E1" s="3"/>
      <c r="F1" s="3"/>
      <c r="G1" s="3"/>
      <c r="H1" s="3"/>
      <c r="I1" s="6"/>
      <c r="J1" s="6"/>
      <c r="K1" s="6"/>
      <c r="L1" s="6"/>
      <c r="M1" s="6"/>
      <c r="N1" s="6"/>
      <c r="O1" s="6"/>
      <c r="P1" s="6"/>
      <c r="Q1" s="6"/>
      <c r="R1" s="6"/>
      <c r="S1" s="3"/>
      <c r="T1" s="3"/>
      <c r="U1" s="3"/>
      <c r="V1" s="3"/>
      <c r="W1" s="3"/>
      <c r="X1" s="51"/>
      <c r="Y1" s="3"/>
      <c r="Z1" s="3"/>
      <c r="AA1" s="3"/>
      <c r="AB1" s="3"/>
      <c r="AC1" s="3"/>
      <c r="AD1" s="3"/>
      <c r="AE1" s="6"/>
      <c r="AF1" s="3"/>
      <c r="AG1" s="3"/>
      <c r="AH1" s="30"/>
      <c r="AI1" s="30"/>
      <c r="AJ1" s="30"/>
      <c r="AK1" s="30"/>
      <c r="AL1" s="30"/>
      <c r="AM1" s="30"/>
      <c r="AN1" s="30"/>
      <c r="AO1" s="3"/>
      <c r="AP1" s="3"/>
    </row>
    <row r="2" spans="1:45">
      <c r="A2" s="30"/>
      <c r="B2" s="44" t="s">
        <v>198</v>
      </c>
      <c r="C2" s="56" t="s">
        <v>199</v>
      </c>
      <c r="D2" s="56"/>
      <c r="E2" s="56"/>
      <c r="F2" s="56"/>
      <c r="G2" s="57"/>
      <c r="H2" s="57"/>
      <c r="I2" s="57"/>
      <c r="J2" s="57"/>
      <c r="K2" s="57"/>
      <c r="L2" s="57"/>
      <c r="M2" s="57"/>
      <c r="N2" s="57"/>
      <c r="O2" s="57"/>
      <c r="P2" s="57"/>
      <c r="Q2" s="57"/>
      <c r="R2" s="57"/>
      <c r="S2" s="57"/>
      <c r="T2" s="57"/>
      <c r="U2" s="57"/>
      <c r="V2" s="57"/>
      <c r="W2" s="57"/>
      <c r="X2" s="44" t="s">
        <v>200</v>
      </c>
      <c r="Y2" s="56"/>
      <c r="Z2" s="56"/>
      <c r="AA2" s="56"/>
      <c r="AB2" s="56"/>
      <c r="AC2" s="57"/>
      <c r="AD2" s="57"/>
      <c r="AE2" s="57"/>
      <c r="AF2" s="43"/>
      <c r="AG2" s="43"/>
      <c r="AH2" s="30"/>
      <c r="AI2" s="30"/>
      <c r="AJ2" s="30"/>
      <c r="AK2" s="30"/>
      <c r="AL2" s="30"/>
      <c r="AM2" s="30"/>
      <c r="AN2" s="30"/>
      <c r="AO2" s="3"/>
      <c r="AP2" s="3"/>
    </row>
    <row r="3" spans="1:45">
      <c r="A3" s="58"/>
      <c r="B3" s="77" t="s">
        <v>19</v>
      </c>
      <c r="C3" s="78" t="s">
        <v>21</v>
      </c>
      <c r="D3" s="78" t="s">
        <v>22</v>
      </c>
      <c r="E3" s="78" t="s">
        <v>24</v>
      </c>
      <c r="F3" s="78" t="s">
        <v>25</v>
      </c>
      <c r="G3" s="60" t="s">
        <v>26</v>
      </c>
      <c r="H3" s="60" t="s">
        <v>27</v>
      </c>
      <c r="I3" s="60" t="s">
        <v>28</v>
      </c>
      <c r="J3" s="78" t="s">
        <v>29</v>
      </c>
      <c r="K3" s="78" t="s">
        <v>30</v>
      </c>
      <c r="L3" s="78" t="s">
        <v>32</v>
      </c>
      <c r="M3" s="79" t="s">
        <v>35</v>
      </c>
      <c r="N3" s="79" t="s">
        <v>36</v>
      </c>
      <c r="O3" s="79" t="s">
        <v>37</v>
      </c>
      <c r="P3" s="158" t="s">
        <v>38</v>
      </c>
      <c r="Q3" s="79" t="s">
        <v>39</v>
      </c>
      <c r="R3" s="79" t="s">
        <v>40</v>
      </c>
      <c r="S3" s="79" t="s">
        <v>41</v>
      </c>
      <c r="T3" s="79" t="s">
        <v>216</v>
      </c>
      <c r="U3" s="158" t="s">
        <v>217</v>
      </c>
      <c r="V3" s="165" t="s">
        <v>232</v>
      </c>
      <c r="W3" s="165" t="s">
        <v>235</v>
      </c>
      <c r="X3" s="77" t="s">
        <v>19</v>
      </c>
      <c r="Y3" s="78" t="s">
        <v>21</v>
      </c>
      <c r="Z3" s="78" t="s">
        <v>22</v>
      </c>
      <c r="AA3" s="78" t="s">
        <v>24</v>
      </c>
      <c r="AB3" s="78" t="s">
        <v>25</v>
      </c>
      <c r="AC3" s="60" t="s">
        <v>26</v>
      </c>
      <c r="AD3" s="60" t="s">
        <v>27</v>
      </c>
      <c r="AE3" s="60" t="s">
        <v>28</v>
      </c>
      <c r="AF3" s="78" t="s">
        <v>29</v>
      </c>
      <c r="AG3" s="78" t="s">
        <v>30</v>
      </c>
      <c r="AH3" s="78" t="s">
        <v>32</v>
      </c>
      <c r="AI3" s="79" t="s">
        <v>35</v>
      </c>
      <c r="AJ3" s="79" t="s">
        <v>36</v>
      </c>
      <c r="AK3" s="79" t="s">
        <v>37</v>
      </c>
      <c r="AL3" s="158" t="s">
        <v>38</v>
      </c>
      <c r="AM3" s="79" t="s">
        <v>39</v>
      </c>
      <c r="AN3" s="79" t="s">
        <v>40</v>
      </c>
      <c r="AO3" s="35" t="s">
        <v>41</v>
      </c>
      <c r="AP3" s="35" t="s">
        <v>216</v>
      </c>
      <c r="AQ3" s="156" t="s">
        <v>217</v>
      </c>
      <c r="AR3" s="161" t="s">
        <v>232</v>
      </c>
      <c r="AS3" s="161" t="s">
        <v>235</v>
      </c>
    </row>
    <row r="4" spans="1:45">
      <c r="A4" s="12" t="s">
        <v>42</v>
      </c>
      <c r="B4" s="47">
        <f>B5+B23+B38+B52+B63</f>
        <v>6659</v>
      </c>
      <c r="C4" s="12">
        <f>4542+3993</f>
        <v>8535</v>
      </c>
      <c r="D4" s="12">
        <f>4816+4064</f>
        <v>8880</v>
      </c>
      <c r="E4" s="12">
        <f t="shared" ref="E4:X4" si="0">E5+E23+E38+E52+E63</f>
        <v>9050</v>
      </c>
      <c r="F4" s="12">
        <f t="shared" si="0"/>
        <v>10141</v>
      </c>
      <c r="G4" s="12">
        <f t="shared" si="0"/>
        <v>11317</v>
      </c>
      <c r="H4" s="12">
        <f t="shared" si="0"/>
        <v>12207</v>
      </c>
      <c r="I4" s="12">
        <f t="shared" si="0"/>
        <v>13666</v>
      </c>
      <c r="J4" s="12">
        <f t="shared" si="0"/>
        <v>14570</v>
      </c>
      <c r="K4" s="12">
        <f t="shared" si="0"/>
        <v>15393</v>
      </c>
      <c r="L4" s="12">
        <f t="shared" si="0"/>
        <v>17986</v>
      </c>
      <c r="M4" s="12">
        <f t="shared" si="0"/>
        <v>22541</v>
      </c>
      <c r="N4" s="12">
        <f t="shared" si="0"/>
        <v>26471</v>
      </c>
      <c r="O4" s="12">
        <f t="shared" si="0"/>
        <v>28181</v>
      </c>
      <c r="P4" s="12">
        <f t="shared" si="0"/>
        <v>28021</v>
      </c>
      <c r="Q4" s="12">
        <f t="shared" si="0"/>
        <v>30936</v>
      </c>
      <c r="R4" s="12">
        <f t="shared" si="0"/>
        <v>32479</v>
      </c>
      <c r="S4" s="12">
        <f t="shared" si="0"/>
        <v>34687</v>
      </c>
      <c r="T4" s="12">
        <f t="shared" ref="T4:U4" si="1">T5+T23+T38+T52+T63</f>
        <v>37910</v>
      </c>
      <c r="U4" s="12">
        <f t="shared" si="1"/>
        <v>39526</v>
      </c>
      <c r="V4" s="12">
        <f t="shared" ref="V4:W4" si="2">V5+V23+V38+V52+V63</f>
        <v>44571</v>
      </c>
      <c r="W4" s="12">
        <f t="shared" si="2"/>
        <v>46543</v>
      </c>
      <c r="X4" s="47">
        <f t="shared" si="0"/>
        <v>28245</v>
      </c>
      <c r="Y4" s="12">
        <f>19796+12855</f>
        <v>32651</v>
      </c>
      <c r="Z4" s="12">
        <f>20832+14340</f>
        <v>35172</v>
      </c>
      <c r="AA4" s="12">
        <f t="shared" ref="AA4:AN4" si="3">AA5+AA23+AA38+AA52+AA63</f>
        <v>39573</v>
      </c>
      <c r="AB4" s="12">
        <f t="shared" si="3"/>
        <v>44030</v>
      </c>
      <c r="AC4" s="12">
        <f t="shared" si="3"/>
        <v>46407</v>
      </c>
      <c r="AD4" s="12">
        <f t="shared" si="3"/>
        <v>48652</v>
      </c>
      <c r="AE4" s="12">
        <f t="shared" si="3"/>
        <v>47814</v>
      </c>
      <c r="AF4" s="12">
        <f t="shared" si="3"/>
        <v>49379</v>
      </c>
      <c r="AG4" s="12">
        <f t="shared" si="3"/>
        <v>52379</v>
      </c>
      <c r="AH4" s="12">
        <f t="shared" si="3"/>
        <v>55980</v>
      </c>
      <c r="AI4" s="12">
        <f t="shared" si="3"/>
        <v>71523</v>
      </c>
      <c r="AJ4" s="12">
        <f t="shared" si="3"/>
        <v>74839</v>
      </c>
      <c r="AK4" s="12">
        <f t="shared" si="3"/>
        <v>73185</v>
      </c>
      <c r="AL4" s="12">
        <f t="shared" si="3"/>
        <v>69057</v>
      </c>
      <c r="AM4" s="12">
        <f t="shared" si="3"/>
        <v>68235</v>
      </c>
      <c r="AN4" s="12">
        <f t="shared" si="3"/>
        <v>72778</v>
      </c>
      <c r="AO4" s="12">
        <f>AO5+AO23+AO38+AO52+AO63</f>
        <v>79552</v>
      </c>
      <c r="AP4" s="12">
        <f>AP5+AP23+AP38+AP52+AP63</f>
        <v>81326</v>
      </c>
      <c r="AQ4" s="12">
        <f>AQ5+AQ23+AQ38+AQ52+AQ63</f>
        <v>84845</v>
      </c>
      <c r="AR4" s="12">
        <f>AR5+AR23+AR38+AR52+AR63</f>
        <v>88851</v>
      </c>
      <c r="AS4" s="12">
        <f>AS5+AS23+AS38+AS52+AS63</f>
        <v>94192</v>
      </c>
    </row>
    <row r="5" spans="1:45">
      <c r="A5" s="15" t="s">
        <v>43</v>
      </c>
      <c r="B5" s="48">
        <f t="shared" ref="B5:AO5" si="4">SUM(B7:B22)</f>
        <v>1840</v>
      </c>
      <c r="C5" s="15">
        <f t="shared" si="4"/>
        <v>2148</v>
      </c>
      <c r="D5" s="15">
        <f t="shared" si="4"/>
        <v>2306</v>
      </c>
      <c r="E5" s="15">
        <f t="shared" si="4"/>
        <v>2663</v>
      </c>
      <c r="F5" s="15">
        <f t="shared" si="4"/>
        <v>3225</v>
      </c>
      <c r="G5" s="15">
        <f t="shared" si="4"/>
        <v>3431</v>
      </c>
      <c r="H5" s="15">
        <f t="shared" si="4"/>
        <v>3935</v>
      </c>
      <c r="I5" s="15">
        <f t="shared" si="4"/>
        <v>4322</v>
      </c>
      <c r="J5" s="15">
        <f t="shared" si="4"/>
        <v>4698</v>
      </c>
      <c r="K5" s="15">
        <f t="shared" si="4"/>
        <v>5092</v>
      </c>
      <c r="L5" s="15">
        <f t="shared" si="4"/>
        <v>6063</v>
      </c>
      <c r="M5" s="15">
        <f t="shared" si="4"/>
        <v>7496</v>
      </c>
      <c r="N5" s="15">
        <f t="shared" si="4"/>
        <v>8550</v>
      </c>
      <c r="O5" s="15">
        <f t="shared" si="4"/>
        <v>9032</v>
      </c>
      <c r="P5" s="15">
        <f t="shared" si="4"/>
        <v>9253</v>
      </c>
      <c r="Q5" s="15">
        <f t="shared" si="4"/>
        <v>10163</v>
      </c>
      <c r="R5" s="15">
        <f t="shared" si="4"/>
        <v>10563</v>
      </c>
      <c r="S5" s="15">
        <f t="shared" si="4"/>
        <v>11371</v>
      </c>
      <c r="T5" s="15">
        <f t="shared" ref="T5:U5" si="5">SUM(T7:T22)</f>
        <v>12999</v>
      </c>
      <c r="U5" s="15">
        <f t="shared" si="5"/>
        <v>13962</v>
      </c>
      <c r="V5" s="15">
        <f t="shared" ref="V5:W5" si="6">SUM(V7:V22)</f>
        <v>15872</v>
      </c>
      <c r="W5" s="15">
        <f t="shared" si="6"/>
        <v>16433</v>
      </c>
      <c r="X5" s="48">
        <f t="shared" si="4"/>
        <v>7357</v>
      </c>
      <c r="Y5" s="15">
        <f t="shared" si="4"/>
        <v>7657</v>
      </c>
      <c r="Z5" s="15">
        <f t="shared" si="4"/>
        <v>7996</v>
      </c>
      <c r="AA5" s="15">
        <f t="shared" si="4"/>
        <v>9195</v>
      </c>
      <c r="AB5" s="15">
        <f t="shared" si="4"/>
        <v>10213</v>
      </c>
      <c r="AC5" s="15">
        <f t="shared" si="4"/>
        <v>11206</v>
      </c>
      <c r="AD5" s="15">
        <f t="shared" si="4"/>
        <v>12164</v>
      </c>
      <c r="AE5" s="15">
        <f t="shared" si="4"/>
        <v>11542</v>
      </c>
      <c r="AF5" s="15">
        <f t="shared" si="4"/>
        <v>12243</v>
      </c>
      <c r="AG5" s="15">
        <f t="shared" si="4"/>
        <v>12834</v>
      </c>
      <c r="AH5" s="15">
        <f t="shared" si="4"/>
        <v>13448</v>
      </c>
      <c r="AI5" s="15">
        <f t="shared" si="4"/>
        <v>17996</v>
      </c>
      <c r="AJ5" s="15">
        <f t="shared" si="4"/>
        <v>19606</v>
      </c>
      <c r="AK5" s="15">
        <f t="shared" si="4"/>
        <v>19497</v>
      </c>
      <c r="AL5" s="15">
        <f t="shared" si="4"/>
        <v>18246</v>
      </c>
      <c r="AM5" s="15">
        <f t="shared" si="4"/>
        <v>16437</v>
      </c>
      <c r="AN5" s="15">
        <f t="shared" si="4"/>
        <v>17926</v>
      </c>
      <c r="AO5" s="15">
        <f t="shared" si="4"/>
        <v>20044</v>
      </c>
      <c r="AP5" s="15">
        <f t="shared" ref="AP5:AQ5" si="7">SUM(AP7:AP22)</f>
        <v>19976</v>
      </c>
      <c r="AQ5" s="15">
        <f t="shared" si="7"/>
        <v>22014</v>
      </c>
      <c r="AR5" s="15">
        <f t="shared" ref="AR5:AS5" si="8">SUM(AR7:AR22)</f>
        <v>21991</v>
      </c>
      <c r="AS5" s="15">
        <f t="shared" si="8"/>
        <v>23515</v>
      </c>
    </row>
    <row r="6" spans="1:45">
      <c r="A6" s="17" t="s">
        <v>44</v>
      </c>
      <c r="B6" s="49">
        <f t="shared" ref="B6:AO6" si="9">(B5/B4)*100</f>
        <v>27.631776543024479</v>
      </c>
      <c r="C6" s="17">
        <f t="shared" si="9"/>
        <v>25.166959578207383</v>
      </c>
      <c r="D6" s="17">
        <f t="shared" si="9"/>
        <v>25.968468468468469</v>
      </c>
      <c r="E6" s="17">
        <f t="shared" si="9"/>
        <v>29.425414364640883</v>
      </c>
      <c r="F6" s="17">
        <f t="shared" si="9"/>
        <v>31.801597475594122</v>
      </c>
      <c r="G6" s="17">
        <f t="shared" si="9"/>
        <v>30.317221878589734</v>
      </c>
      <c r="H6" s="17">
        <f t="shared" si="9"/>
        <v>32.235602523142461</v>
      </c>
      <c r="I6" s="17">
        <f t="shared" si="9"/>
        <v>31.625932972340117</v>
      </c>
      <c r="J6" s="17">
        <f t="shared" si="9"/>
        <v>32.244337680164719</v>
      </c>
      <c r="K6" s="17">
        <f t="shared" si="9"/>
        <v>33.079971415578505</v>
      </c>
      <c r="L6" s="17">
        <f t="shared" si="9"/>
        <v>33.70955187367953</v>
      </c>
      <c r="M6" s="17">
        <f t="shared" si="9"/>
        <v>33.254957632758085</v>
      </c>
      <c r="N6" s="17">
        <f t="shared" si="9"/>
        <v>32.29949756337124</v>
      </c>
      <c r="O6" s="17">
        <f t="shared" si="9"/>
        <v>32.049962740853765</v>
      </c>
      <c r="P6" s="17">
        <f t="shared" si="9"/>
        <v>33.02166232468506</v>
      </c>
      <c r="Q6" s="17">
        <f t="shared" si="9"/>
        <v>32.851693819498315</v>
      </c>
      <c r="R6" s="17">
        <f t="shared" si="9"/>
        <v>32.522553034268299</v>
      </c>
      <c r="S6" s="17">
        <f t="shared" si="9"/>
        <v>32.781733790757343</v>
      </c>
      <c r="T6" s="17">
        <f t="shared" ref="T6:U6" si="10">(T5/T4)*100</f>
        <v>34.289105776839882</v>
      </c>
      <c r="U6" s="17">
        <f t="shared" si="10"/>
        <v>35.323584476041084</v>
      </c>
      <c r="V6" s="17">
        <f t="shared" ref="V6:W6" si="11">(V5/V4)*100</f>
        <v>35.610598819860442</v>
      </c>
      <c r="W6" s="17">
        <f t="shared" si="11"/>
        <v>35.307135337215051</v>
      </c>
      <c r="X6" s="49">
        <f t="shared" si="9"/>
        <v>26.047087980173483</v>
      </c>
      <c r="Y6" s="17">
        <f t="shared" si="9"/>
        <v>23.451042847079723</v>
      </c>
      <c r="Z6" s="17">
        <f t="shared" si="9"/>
        <v>22.733992948936653</v>
      </c>
      <c r="AA6" s="17">
        <f t="shared" si="9"/>
        <v>23.235539382912592</v>
      </c>
      <c r="AB6" s="17">
        <f t="shared" si="9"/>
        <v>23.195548489666137</v>
      </c>
      <c r="AC6" s="17">
        <f t="shared" si="9"/>
        <v>24.14721916952184</v>
      </c>
      <c r="AD6" s="17">
        <f t="shared" si="9"/>
        <v>25.002055413960374</v>
      </c>
      <c r="AE6" s="17">
        <f t="shared" si="9"/>
        <v>24.139373405278789</v>
      </c>
      <c r="AF6" s="17">
        <f t="shared" si="9"/>
        <v>24.793940744040992</v>
      </c>
      <c r="AG6" s="17">
        <f t="shared" si="9"/>
        <v>24.502185990568741</v>
      </c>
      <c r="AH6" s="17">
        <f t="shared" si="9"/>
        <v>24.022865309038941</v>
      </c>
      <c r="AI6" s="17">
        <f t="shared" si="9"/>
        <v>25.161136976916517</v>
      </c>
      <c r="AJ6" s="17">
        <f t="shared" si="9"/>
        <v>26.197570785285745</v>
      </c>
      <c r="AK6" s="17">
        <f t="shared" si="9"/>
        <v>26.640705062512808</v>
      </c>
      <c r="AL6" s="17">
        <f t="shared" si="9"/>
        <v>26.421651679047741</v>
      </c>
      <c r="AM6" s="17">
        <f t="shared" si="9"/>
        <v>24.088810727632445</v>
      </c>
      <c r="AN6" s="17">
        <f t="shared" si="9"/>
        <v>24.631069828794416</v>
      </c>
      <c r="AO6" s="17">
        <f t="shared" si="9"/>
        <v>25.196098149637976</v>
      </c>
      <c r="AP6" s="17">
        <f t="shared" ref="AP6:AQ6" si="12">(AP5/AP4)*100</f>
        <v>24.562870422743035</v>
      </c>
      <c r="AQ6" s="17">
        <f t="shared" si="12"/>
        <v>25.946137073486948</v>
      </c>
      <c r="AR6" s="17">
        <f t="shared" ref="AR6:AS6" si="13">(AR5/AR4)*100</f>
        <v>24.750424868600241</v>
      </c>
      <c r="AS6" s="17">
        <f t="shared" si="13"/>
        <v>24.964965177509768</v>
      </c>
    </row>
    <row r="7" spans="1:45">
      <c r="A7" s="18" t="s">
        <v>45</v>
      </c>
      <c r="B7" s="70">
        <v>18</v>
      </c>
      <c r="C7" s="18">
        <f>35+7</f>
        <v>42</v>
      </c>
      <c r="D7" s="18">
        <f>31+3</f>
        <v>34</v>
      </c>
      <c r="E7" s="18">
        <v>48</v>
      </c>
      <c r="F7" s="18">
        <v>57</v>
      </c>
      <c r="G7" s="18">
        <v>50</v>
      </c>
      <c r="H7" s="18">
        <v>50</v>
      </c>
      <c r="I7" s="18">
        <v>55</v>
      </c>
      <c r="J7" s="18">
        <v>94</v>
      </c>
      <c r="K7" s="18">
        <v>80</v>
      </c>
      <c r="L7" s="18">
        <v>109</v>
      </c>
      <c r="M7" s="18">
        <v>110</v>
      </c>
      <c r="N7" s="18">
        <v>124</v>
      </c>
      <c r="O7" s="18">
        <v>146</v>
      </c>
      <c r="P7" s="18">
        <v>155</v>
      </c>
      <c r="Q7" s="18">
        <v>172</v>
      </c>
      <c r="R7" s="18">
        <v>158</v>
      </c>
      <c r="S7" s="18">
        <v>187</v>
      </c>
      <c r="T7" s="18">
        <v>192</v>
      </c>
      <c r="U7" s="18">
        <v>182</v>
      </c>
      <c r="V7" s="174">
        <v>254</v>
      </c>
      <c r="W7" s="174">
        <v>245</v>
      </c>
      <c r="X7" s="70">
        <v>220</v>
      </c>
      <c r="Y7" s="18">
        <f>401+27</f>
        <v>428</v>
      </c>
      <c r="Z7" s="18">
        <f>412+20</f>
        <v>432</v>
      </c>
      <c r="AA7" s="18">
        <v>497</v>
      </c>
      <c r="AB7" s="18">
        <v>487</v>
      </c>
      <c r="AC7" s="18">
        <v>477</v>
      </c>
      <c r="AD7" s="18">
        <v>450</v>
      </c>
      <c r="AE7" s="18">
        <v>459</v>
      </c>
      <c r="AF7" s="18">
        <v>427</v>
      </c>
      <c r="AG7" s="18">
        <v>384</v>
      </c>
      <c r="AH7" s="18">
        <v>384</v>
      </c>
      <c r="AI7" s="18">
        <v>544</v>
      </c>
      <c r="AJ7" s="18">
        <v>831</v>
      </c>
      <c r="AK7" s="18">
        <v>796</v>
      </c>
      <c r="AL7" s="18">
        <v>617</v>
      </c>
      <c r="AM7" s="18">
        <v>506</v>
      </c>
      <c r="AN7" s="18">
        <v>735</v>
      </c>
      <c r="AO7" s="18">
        <v>856</v>
      </c>
      <c r="AP7" s="18">
        <v>719</v>
      </c>
      <c r="AQ7">
        <v>757</v>
      </c>
      <c r="AR7">
        <v>662</v>
      </c>
      <c r="AS7">
        <v>654</v>
      </c>
    </row>
    <row r="8" spans="1:45">
      <c r="A8" s="18" t="s">
        <v>46</v>
      </c>
      <c r="B8" s="70">
        <v>8</v>
      </c>
      <c r="C8" s="18">
        <f>11+0</f>
        <v>11</v>
      </c>
      <c r="D8" s="18">
        <f>6+0</f>
        <v>6</v>
      </c>
      <c r="E8" s="18">
        <v>26</v>
      </c>
      <c r="F8" s="18">
        <v>12</v>
      </c>
      <c r="G8" s="18">
        <v>5</v>
      </c>
      <c r="H8" s="18">
        <v>12</v>
      </c>
      <c r="I8" s="18">
        <v>6</v>
      </c>
      <c r="J8" s="18">
        <v>20</v>
      </c>
      <c r="K8" s="18">
        <v>17</v>
      </c>
      <c r="L8" s="18">
        <v>19</v>
      </c>
      <c r="M8" s="18">
        <v>26</v>
      </c>
      <c r="N8" s="18">
        <v>29</v>
      </c>
      <c r="O8" s="18">
        <v>34</v>
      </c>
      <c r="P8" s="18">
        <v>35</v>
      </c>
      <c r="Q8" s="18">
        <v>45</v>
      </c>
      <c r="R8" s="18">
        <v>60</v>
      </c>
      <c r="S8" s="18">
        <v>54</v>
      </c>
      <c r="T8" s="18">
        <v>65</v>
      </c>
      <c r="U8" s="18">
        <v>71</v>
      </c>
      <c r="V8" s="174">
        <v>99</v>
      </c>
      <c r="W8" s="174">
        <v>99</v>
      </c>
      <c r="X8" s="70">
        <v>76</v>
      </c>
      <c r="Y8" s="18">
        <f>92+1</f>
        <v>93</v>
      </c>
      <c r="Z8" s="18">
        <f>75+1</f>
        <v>76</v>
      </c>
      <c r="AA8" s="18">
        <v>78</v>
      </c>
      <c r="AB8" s="18">
        <v>78</v>
      </c>
      <c r="AC8" s="18">
        <v>187</v>
      </c>
      <c r="AD8" s="18">
        <v>191</v>
      </c>
      <c r="AE8" s="18">
        <v>172</v>
      </c>
      <c r="AF8" s="18">
        <v>231</v>
      </c>
      <c r="AG8" s="18">
        <v>207</v>
      </c>
      <c r="AH8" s="18">
        <v>239</v>
      </c>
      <c r="AI8" s="18">
        <v>273</v>
      </c>
      <c r="AJ8" s="18">
        <v>336</v>
      </c>
      <c r="AK8" s="18">
        <v>255</v>
      </c>
      <c r="AL8" s="18">
        <v>291</v>
      </c>
      <c r="AM8" s="18">
        <v>265</v>
      </c>
      <c r="AN8" s="18">
        <v>349</v>
      </c>
      <c r="AO8" s="18">
        <v>339</v>
      </c>
      <c r="AP8" s="18">
        <v>327</v>
      </c>
      <c r="AQ8">
        <v>392</v>
      </c>
      <c r="AR8">
        <v>406</v>
      </c>
      <c r="AS8">
        <v>415</v>
      </c>
    </row>
    <row r="9" spans="1:45">
      <c r="A9" s="18" t="s">
        <v>47</v>
      </c>
      <c r="B9" s="70">
        <v>6</v>
      </c>
      <c r="C9" s="18"/>
      <c r="D9" s="18">
        <v>6</v>
      </c>
      <c r="E9" s="18">
        <v>9</v>
      </c>
      <c r="F9" s="18">
        <v>10</v>
      </c>
      <c r="G9" s="18">
        <v>12</v>
      </c>
      <c r="H9" s="18">
        <v>19</v>
      </c>
      <c r="I9" s="18">
        <v>18</v>
      </c>
      <c r="J9" s="18">
        <v>19</v>
      </c>
      <c r="K9" s="18">
        <v>19</v>
      </c>
      <c r="L9" s="18">
        <v>24</v>
      </c>
      <c r="M9" s="18">
        <v>48</v>
      </c>
      <c r="N9" s="18">
        <v>32</v>
      </c>
      <c r="O9" s="18">
        <v>26</v>
      </c>
      <c r="P9" s="18">
        <v>39</v>
      </c>
      <c r="Q9" s="18">
        <v>43</v>
      </c>
      <c r="R9" s="18">
        <v>29</v>
      </c>
      <c r="S9" s="18">
        <v>36</v>
      </c>
      <c r="T9" s="18">
        <v>42</v>
      </c>
      <c r="U9" s="18">
        <v>49</v>
      </c>
      <c r="V9" s="174">
        <v>56</v>
      </c>
      <c r="W9" s="174">
        <v>60</v>
      </c>
      <c r="X9" s="70">
        <v>45</v>
      </c>
      <c r="Y9" s="18">
        <v>77</v>
      </c>
      <c r="Z9" s="18">
        <v>78</v>
      </c>
      <c r="AA9" s="18">
        <v>79</v>
      </c>
      <c r="AB9" s="18">
        <v>109</v>
      </c>
      <c r="AC9" s="18">
        <v>91</v>
      </c>
      <c r="AD9" s="18">
        <v>132</v>
      </c>
      <c r="AE9" s="18">
        <v>151</v>
      </c>
      <c r="AF9" s="18">
        <v>139</v>
      </c>
      <c r="AG9" s="18">
        <v>124</v>
      </c>
      <c r="AH9" s="18">
        <v>159</v>
      </c>
      <c r="AI9" s="18">
        <v>163</v>
      </c>
      <c r="AJ9" s="18">
        <v>143</v>
      </c>
      <c r="AK9" s="18">
        <v>170</v>
      </c>
      <c r="AL9" s="18">
        <v>155</v>
      </c>
      <c r="AM9" s="18">
        <v>172</v>
      </c>
      <c r="AN9" s="18">
        <v>161</v>
      </c>
      <c r="AO9" s="18">
        <v>159</v>
      </c>
      <c r="AP9" s="18">
        <v>161</v>
      </c>
      <c r="AQ9">
        <v>381</v>
      </c>
      <c r="AR9">
        <v>317</v>
      </c>
      <c r="AS9">
        <v>319</v>
      </c>
    </row>
    <row r="10" spans="1:45">
      <c r="A10" s="18" t="s">
        <v>48</v>
      </c>
      <c r="B10" s="70">
        <v>466</v>
      </c>
      <c r="C10" s="18">
        <f>254+411</f>
        <v>665</v>
      </c>
      <c r="D10" s="18">
        <f>288+391</f>
        <v>679</v>
      </c>
      <c r="E10" s="18">
        <v>842</v>
      </c>
      <c r="F10" s="18">
        <v>1080</v>
      </c>
      <c r="G10" s="18">
        <v>1097</v>
      </c>
      <c r="H10" s="18">
        <v>1291</v>
      </c>
      <c r="I10" s="18">
        <v>1453</v>
      </c>
      <c r="J10" s="18">
        <v>1554</v>
      </c>
      <c r="K10" s="18">
        <v>1657</v>
      </c>
      <c r="L10" s="18">
        <v>2052</v>
      </c>
      <c r="M10" s="18">
        <v>2583</v>
      </c>
      <c r="N10" s="18">
        <v>2847</v>
      </c>
      <c r="O10" s="18">
        <v>3123</v>
      </c>
      <c r="P10" s="18">
        <v>3177</v>
      </c>
      <c r="Q10" s="18">
        <v>3499</v>
      </c>
      <c r="R10" s="18">
        <v>3641</v>
      </c>
      <c r="S10" s="18">
        <v>3835</v>
      </c>
      <c r="T10" s="18">
        <v>4208</v>
      </c>
      <c r="U10" s="18">
        <v>4560</v>
      </c>
      <c r="V10" s="174">
        <v>5106</v>
      </c>
      <c r="W10" s="174">
        <v>5091</v>
      </c>
      <c r="X10" s="70">
        <v>867</v>
      </c>
      <c r="Y10" s="18">
        <f>464+392</f>
        <v>856</v>
      </c>
      <c r="Z10" s="18">
        <f>552+415</f>
        <v>967</v>
      </c>
      <c r="AA10" s="18">
        <v>1036</v>
      </c>
      <c r="AB10" s="18">
        <v>1172</v>
      </c>
      <c r="AC10" s="18">
        <v>1175</v>
      </c>
      <c r="AD10" s="18">
        <v>1459</v>
      </c>
      <c r="AE10" s="18">
        <v>1478</v>
      </c>
      <c r="AF10" s="18">
        <v>1596</v>
      </c>
      <c r="AG10" s="18">
        <v>1506</v>
      </c>
      <c r="AH10" s="18">
        <v>1619</v>
      </c>
      <c r="AI10" s="18">
        <v>2335</v>
      </c>
      <c r="AJ10" s="18">
        <v>2500</v>
      </c>
      <c r="AK10" s="18">
        <v>2542</v>
      </c>
      <c r="AL10" s="18">
        <v>2375</v>
      </c>
      <c r="AM10" s="18">
        <v>2192</v>
      </c>
      <c r="AN10" s="18">
        <v>2581</v>
      </c>
      <c r="AO10" s="18">
        <v>2916</v>
      </c>
      <c r="AP10" s="18">
        <v>2846</v>
      </c>
      <c r="AQ10" s="159">
        <v>2957</v>
      </c>
      <c r="AR10">
        <v>3190</v>
      </c>
      <c r="AS10">
        <v>3523</v>
      </c>
    </row>
    <row r="11" spans="1:45">
      <c r="A11" s="18" t="s">
        <v>49</v>
      </c>
      <c r="B11" s="70">
        <v>59</v>
      </c>
      <c r="C11" s="18">
        <f>58+6</f>
        <v>64</v>
      </c>
      <c r="D11" s="18">
        <f>66+21</f>
        <v>87</v>
      </c>
      <c r="E11" s="18">
        <v>77</v>
      </c>
      <c r="F11" s="18">
        <v>93</v>
      </c>
      <c r="G11" s="18">
        <v>95</v>
      </c>
      <c r="H11" s="18">
        <v>115</v>
      </c>
      <c r="I11" s="18">
        <v>148</v>
      </c>
      <c r="J11" s="18">
        <v>132</v>
      </c>
      <c r="K11" s="18">
        <v>166</v>
      </c>
      <c r="L11" s="18">
        <v>129</v>
      </c>
      <c r="M11" s="18">
        <v>171</v>
      </c>
      <c r="N11" s="18">
        <v>284</v>
      </c>
      <c r="O11" s="18">
        <v>222</v>
      </c>
      <c r="P11" s="18">
        <v>224</v>
      </c>
      <c r="Q11" s="18">
        <v>205</v>
      </c>
      <c r="R11" s="18">
        <v>255</v>
      </c>
      <c r="S11" s="18">
        <v>310</v>
      </c>
      <c r="T11" s="18">
        <v>391</v>
      </c>
      <c r="U11" s="18">
        <v>423</v>
      </c>
      <c r="V11" s="174">
        <v>489</v>
      </c>
      <c r="W11" s="174">
        <v>521</v>
      </c>
      <c r="X11" s="70">
        <v>522</v>
      </c>
      <c r="Y11" s="18">
        <f>497+124</f>
        <v>621</v>
      </c>
      <c r="Z11" s="18">
        <f>449+151</f>
        <v>600</v>
      </c>
      <c r="AA11" s="18">
        <v>588</v>
      </c>
      <c r="AB11" s="18">
        <v>655</v>
      </c>
      <c r="AC11" s="18">
        <v>684</v>
      </c>
      <c r="AD11" s="18">
        <v>723</v>
      </c>
      <c r="AE11" s="18">
        <v>764</v>
      </c>
      <c r="AF11" s="18">
        <v>815</v>
      </c>
      <c r="AG11" s="18">
        <v>1034</v>
      </c>
      <c r="AH11" s="18">
        <v>1047</v>
      </c>
      <c r="AI11" s="18">
        <v>1636</v>
      </c>
      <c r="AJ11" s="18">
        <v>1726</v>
      </c>
      <c r="AK11" s="18">
        <v>1661</v>
      </c>
      <c r="AL11" s="18">
        <v>1492</v>
      </c>
      <c r="AM11" s="18">
        <v>1462</v>
      </c>
      <c r="AN11" s="18">
        <v>1552</v>
      </c>
      <c r="AO11" s="18">
        <v>1915</v>
      </c>
      <c r="AP11" s="18">
        <v>1709</v>
      </c>
      <c r="AQ11" s="159">
        <v>1950</v>
      </c>
      <c r="AR11">
        <v>1878</v>
      </c>
      <c r="AS11">
        <v>1921</v>
      </c>
    </row>
    <row r="12" spans="1:45">
      <c r="A12" s="18" t="s">
        <v>50</v>
      </c>
      <c r="B12" s="70">
        <v>23</v>
      </c>
      <c r="C12" s="18">
        <v>13</v>
      </c>
      <c r="D12" s="18">
        <f>18+1</f>
        <v>19</v>
      </c>
      <c r="E12" s="18">
        <v>28</v>
      </c>
      <c r="F12" s="18">
        <v>15</v>
      </c>
      <c r="G12" s="18">
        <v>22</v>
      </c>
      <c r="H12" s="18">
        <v>18</v>
      </c>
      <c r="I12" s="18">
        <v>24</v>
      </c>
      <c r="J12" s="18">
        <v>27</v>
      </c>
      <c r="K12" s="18">
        <v>29</v>
      </c>
      <c r="L12" s="18">
        <v>39</v>
      </c>
      <c r="M12" s="18">
        <v>35</v>
      </c>
      <c r="N12" s="18">
        <v>66</v>
      </c>
      <c r="O12" s="18">
        <v>53</v>
      </c>
      <c r="P12" s="18">
        <v>60</v>
      </c>
      <c r="Q12" s="18">
        <v>64</v>
      </c>
      <c r="R12" s="18">
        <v>79</v>
      </c>
      <c r="S12" s="18">
        <v>77</v>
      </c>
      <c r="T12" s="18">
        <v>100</v>
      </c>
      <c r="U12" s="18">
        <v>100</v>
      </c>
      <c r="V12" s="174">
        <v>109</v>
      </c>
      <c r="W12" s="174">
        <v>131</v>
      </c>
      <c r="X12" s="70">
        <v>186</v>
      </c>
      <c r="Y12" s="18">
        <f>187+17</f>
        <v>204</v>
      </c>
      <c r="Z12" s="18">
        <f>184+20</f>
        <v>204</v>
      </c>
      <c r="AA12" s="18">
        <v>209</v>
      </c>
      <c r="AB12" s="18">
        <v>267</v>
      </c>
      <c r="AC12" s="18">
        <v>256</v>
      </c>
      <c r="AD12" s="18">
        <v>286</v>
      </c>
      <c r="AE12" s="18">
        <v>292</v>
      </c>
      <c r="AF12" s="18">
        <v>341</v>
      </c>
      <c r="AG12" s="18">
        <v>385</v>
      </c>
      <c r="AH12" s="18">
        <v>334</v>
      </c>
      <c r="AI12" s="18">
        <v>500</v>
      </c>
      <c r="AJ12" s="18">
        <v>469</v>
      </c>
      <c r="AK12" s="18">
        <v>511</v>
      </c>
      <c r="AL12" s="18">
        <v>637</v>
      </c>
      <c r="AM12" s="18">
        <v>685</v>
      </c>
      <c r="AN12" s="18">
        <v>584</v>
      </c>
      <c r="AO12" s="18">
        <v>540</v>
      </c>
      <c r="AP12" s="18">
        <v>438</v>
      </c>
      <c r="AQ12">
        <v>494</v>
      </c>
      <c r="AR12">
        <v>592</v>
      </c>
      <c r="AS12">
        <v>570</v>
      </c>
    </row>
    <row r="13" spans="1:45">
      <c r="A13" s="18" t="s">
        <v>51</v>
      </c>
      <c r="B13" s="70">
        <v>93</v>
      </c>
      <c r="C13" s="18">
        <f>38+29</f>
        <v>67</v>
      </c>
      <c r="D13" s="18">
        <f>44+37</f>
        <v>81</v>
      </c>
      <c r="E13" s="18">
        <v>72</v>
      </c>
      <c r="F13" s="18">
        <v>89</v>
      </c>
      <c r="G13" s="18">
        <v>82</v>
      </c>
      <c r="H13" s="18">
        <v>91</v>
      </c>
      <c r="I13" s="18">
        <v>105</v>
      </c>
      <c r="J13" s="18">
        <v>103</v>
      </c>
      <c r="K13" s="18">
        <v>120</v>
      </c>
      <c r="L13" s="18">
        <v>118</v>
      </c>
      <c r="M13" s="18">
        <v>116</v>
      </c>
      <c r="N13" s="18">
        <v>150</v>
      </c>
      <c r="O13" s="18">
        <v>134</v>
      </c>
      <c r="P13" s="18">
        <v>117</v>
      </c>
      <c r="Q13" s="18">
        <v>118</v>
      </c>
      <c r="R13" s="18">
        <v>178</v>
      </c>
      <c r="S13" s="18">
        <v>142</v>
      </c>
      <c r="T13" s="18">
        <v>184</v>
      </c>
      <c r="U13" s="18">
        <v>177</v>
      </c>
      <c r="V13" s="174">
        <v>186</v>
      </c>
      <c r="W13" s="174">
        <v>233</v>
      </c>
      <c r="X13" s="70">
        <v>503</v>
      </c>
      <c r="Y13" s="18">
        <f>353+161</f>
        <v>514</v>
      </c>
      <c r="Z13" s="18">
        <f>348+182</f>
        <v>530</v>
      </c>
      <c r="AA13" s="18">
        <v>527</v>
      </c>
      <c r="AB13" s="18">
        <v>672</v>
      </c>
      <c r="AC13" s="18">
        <v>841</v>
      </c>
      <c r="AD13" s="18">
        <v>820</v>
      </c>
      <c r="AE13" s="18">
        <v>794</v>
      </c>
      <c r="AF13" s="18">
        <v>842</v>
      </c>
      <c r="AG13" s="18">
        <v>844</v>
      </c>
      <c r="AH13" s="18">
        <v>775</v>
      </c>
      <c r="AI13" s="18">
        <v>959</v>
      </c>
      <c r="AJ13" s="18">
        <v>965</v>
      </c>
      <c r="AK13" s="18">
        <v>1170</v>
      </c>
      <c r="AL13" s="18">
        <v>1327</v>
      </c>
      <c r="AM13" s="18">
        <v>891</v>
      </c>
      <c r="AN13" s="18">
        <v>769</v>
      </c>
      <c r="AO13" s="18">
        <v>828</v>
      </c>
      <c r="AP13" s="18">
        <v>904</v>
      </c>
      <c r="AQ13">
        <v>988</v>
      </c>
      <c r="AR13">
        <v>897</v>
      </c>
      <c r="AS13">
        <v>999</v>
      </c>
    </row>
    <row r="14" spans="1:45">
      <c r="A14" s="18" t="s">
        <v>52</v>
      </c>
      <c r="B14" s="70">
        <v>80</v>
      </c>
      <c r="C14" s="18">
        <f>30+33</f>
        <v>63</v>
      </c>
      <c r="D14" s="18">
        <f>31+37</f>
        <v>68</v>
      </c>
      <c r="E14" s="18">
        <v>80</v>
      </c>
      <c r="F14" s="18">
        <v>127</v>
      </c>
      <c r="G14" s="18">
        <v>124</v>
      </c>
      <c r="H14" s="18">
        <v>137</v>
      </c>
      <c r="I14" s="18">
        <v>191</v>
      </c>
      <c r="J14" s="18">
        <v>173</v>
      </c>
      <c r="K14" s="18">
        <v>177</v>
      </c>
      <c r="L14" s="18">
        <v>218</v>
      </c>
      <c r="M14" s="18">
        <v>262</v>
      </c>
      <c r="N14" s="18">
        <v>290</v>
      </c>
      <c r="O14" s="18">
        <v>305</v>
      </c>
      <c r="P14" s="18">
        <v>347</v>
      </c>
      <c r="Q14" s="18">
        <v>375</v>
      </c>
      <c r="R14" s="18">
        <v>464</v>
      </c>
      <c r="S14" s="18">
        <v>424</v>
      </c>
      <c r="T14" s="18">
        <v>449</v>
      </c>
      <c r="U14" s="18">
        <v>581</v>
      </c>
      <c r="V14" s="174">
        <v>653</v>
      </c>
      <c r="W14" s="174">
        <v>718</v>
      </c>
      <c r="X14" s="70">
        <v>567</v>
      </c>
      <c r="Y14" s="18">
        <f>351+243</f>
        <v>594</v>
      </c>
      <c r="Z14" s="18">
        <f>334+275</f>
        <v>609</v>
      </c>
      <c r="AA14" s="18">
        <v>744</v>
      </c>
      <c r="AB14" s="18">
        <v>874</v>
      </c>
      <c r="AC14" s="18">
        <v>825</v>
      </c>
      <c r="AD14" s="18">
        <v>883</v>
      </c>
      <c r="AE14" s="18">
        <v>866</v>
      </c>
      <c r="AF14" s="18">
        <v>929</v>
      </c>
      <c r="AG14" s="18">
        <v>1062</v>
      </c>
      <c r="AH14" s="18">
        <v>1144</v>
      </c>
      <c r="AI14" s="18">
        <v>1382</v>
      </c>
      <c r="AJ14" s="18">
        <v>1373</v>
      </c>
      <c r="AK14" s="18">
        <v>1374</v>
      </c>
      <c r="AL14" s="18">
        <v>1216</v>
      </c>
      <c r="AM14" s="18">
        <v>1256</v>
      </c>
      <c r="AN14" s="18">
        <v>1354</v>
      </c>
      <c r="AO14" s="18">
        <v>1436</v>
      </c>
      <c r="AP14" s="18">
        <v>1470</v>
      </c>
      <c r="AQ14" s="159">
        <v>1794</v>
      </c>
      <c r="AR14">
        <v>1838</v>
      </c>
      <c r="AS14">
        <v>2139</v>
      </c>
    </row>
    <row r="15" spans="1:45">
      <c r="A15" s="18" t="s">
        <v>53</v>
      </c>
      <c r="B15" s="70">
        <v>9</v>
      </c>
      <c r="C15" s="18">
        <v>7</v>
      </c>
      <c r="D15" s="18">
        <f>3+1</f>
        <v>4</v>
      </c>
      <c r="E15" s="18">
        <v>9</v>
      </c>
      <c r="F15" s="18">
        <v>7</v>
      </c>
      <c r="G15" s="18">
        <v>7</v>
      </c>
      <c r="H15" s="18">
        <v>11</v>
      </c>
      <c r="I15" s="18">
        <v>10</v>
      </c>
      <c r="J15" s="18">
        <v>16</v>
      </c>
      <c r="K15" s="18">
        <v>28</v>
      </c>
      <c r="L15" s="18">
        <v>16</v>
      </c>
      <c r="M15" s="18">
        <v>37</v>
      </c>
      <c r="N15" s="18">
        <v>29</v>
      </c>
      <c r="O15" s="18">
        <v>28</v>
      </c>
      <c r="P15" s="18">
        <v>35</v>
      </c>
      <c r="Q15" s="18">
        <v>40</v>
      </c>
      <c r="R15" s="18">
        <v>43</v>
      </c>
      <c r="S15" s="18">
        <v>28</v>
      </c>
      <c r="T15" s="18">
        <v>35</v>
      </c>
      <c r="U15" s="18">
        <v>60</v>
      </c>
      <c r="V15" s="174">
        <v>66</v>
      </c>
      <c r="W15" s="174">
        <v>60</v>
      </c>
      <c r="X15" s="70">
        <v>152</v>
      </c>
      <c r="Y15" s="18">
        <f>155+15</f>
        <v>170</v>
      </c>
      <c r="Z15" s="18">
        <f>148+23</f>
        <v>171</v>
      </c>
      <c r="AA15" s="18">
        <v>165</v>
      </c>
      <c r="AB15" s="18">
        <v>289</v>
      </c>
      <c r="AC15" s="18">
        <v>326</v>
      </c>
      <c r="AD15" s="18">
        <v>300</v>
      </c>
      <c r="AE15" s="18">
        <v>247</v>
      </c>
      <c r="AF15" s="18">
        <v>271</v>
      </c>
      <c r="AG15" s="18">
        <v>237</v>
      </c>
      <c r="AH15" s="18">
        <v>230</v>
      </c>
      <c r="AI15" s="18">
        <v>274</v>
      </c>
      <c r="AJ15" s="18">
        <v>326</v>
      </c>
      <c r="AK15" s="18">
        <v>289</v>
      </c>
      <c r="AL15" s="18">
        <v>218</v>
      </c>
      <c r="AM15" s="18">
        <v>236</v>
      </c>
      <c r="AN15" s="18">
        <v>280</v>
      </c>
      <c r="AO15" s="18">
        <v>266</v>
      </c>
      <c r="AP15" s="18">
        <v>244</v>
      </c>
      <c r="AQ15">
        <v>268</v>
      </c>
      <c r="AR15">
        <v>253</v>
      </c>
      <c r="AS15">
        <v>242</v>
      </c>
    </row>
    <row r="16" spans="1:45">
      <c r="A16" s="18" t="s">
        <v>54</v>
      </c>
      <c r="B16" s="70">
        <v>41</v>
      </c>
      <c r="C16" s="18">
        <f>31+8</f>
        <v>39</v>
      </c>
      <c r="D16" s="18">
        <f>29+5</f>
        <v>34</v>
      </c>
      <c r="E16" s="18">
        <v>43</v>
      </c>
      <c r="F16" s="18">
        <v>57</v>
      </c>
      <c r="G16" s="18">
        <v>75</v>
      </c>
      <c r="H16" s="18">
        <v>92</v>
      </c>
      <c r="I16" s="18">
        <v>97</v>
      </c>
      <c r="J16" s="18">
        <v>97</v>
      </c>
      <c r="K16" s="18">
        <v>108</v>
      </c>
      <c r="L16" s="18">
        <v>150</v>
      </c>
      <c r="M16" s="18">
        <v>141</v>
      </c>
      <c r="N16" s="18">
        <v>187</v>
      </c>
      <c r="O16" s="18">
        <v>182</v>
      </c>
      <c r="P16" s="18">
        <v>210</v>
      </c>
      <c r="Q16" s="18">
        <v>245</v>
      </c>
      <c r="R16" s="18">
        <v>242</v>
      </c>
      <c r="S16" s="18">
        <v>300</v>
      </c>
      <c r="T16" s="18">
        <v>356</v>
      </c>
      <c r="U16" s="18">
        <v>424</v>
      </c>
      <c r="V16" s="174">
        <v>464</v>
      </c>
      <c r="W16" s="174">
        <v>472</v>
      </c>
      <c r="X16" s="70">
        <v>328</v>
      </c>
      <c r="Y16" s="18">
        <f>307+91</f>
        <v>398</v>
      </c>
      <c r="Z16" s="18">
        <f>277+58</f>
        <v>335</v>
      </c>
      <c r="AA16" s="18">
        <v>506</v>
      </c>
      <c r="AB16" s="18">
        <v>483</v>
      </c>
      <c r="AC16" s="18">
        <v>571</v>
      </c>
      <c r="AD16" s="18">
        <v>572</v>
      </c>
      <c r="AE16" s="18">
        <v>567</v>
      </c>
      <c r="AF16" s="18">
        <v>622</v>
      </c>
      <c r="AG16" s="18">
        <v>605</v>
      </c>
      <c r="AH16" s="18">
        <v>649</v>
      </c>
      <c r="AI16" s="18">
        <v>1110</v>
      </c>
      <c r="AJ16" s="18">
        <v>1099</v>
      </c>
      <c r="AK16" s="18">
        <v>877</v>
      </c>
      <c r="AL16" s="18">
        <v>998</v>
      </c>
      <c r="AM16" s="18">
        <v>949</v>
      </c>
      <c r="AN16" s="18">
        <v>1145</v>
      </c>
      <c r="AO16" s="18">
        <v>1312</v>
      </c>
      <c r="AP16" s="18">
        <v>1396</v>
      </c>
      <c r="AQ16" s="159">
        <v>1390</v>
      </c>
      <c r="AR16">
        <v>1351</v>
      </c>
      <c r="AS16">
        <v>1553</v>
      </c>
    </row>
    <row r="17" spans="1:45">
      <c r="A17" s="18" t="s">
        <v>55</v>
      </c>
      <c r="B17" s="70">
        <v>34</v>
      </c>
      <c r="C17" s="18">
        <f>34+7</f>
        <v>41</v>
      </c>
      <c r="D17" s="18">
        <f>32+6</f>
        <v>38</v>
      </c>
      <c r="E17" s="18">
        <v>46</v>
      </c>
      <c r="F17" s="18">
        <v>47</v>
      </c>
      <c r="G17" s="18">
        <v>71</v>
      </c>
      <c r="H17" s="18">
        <v>64</v>
      </c>
      <c r="I17" s="18">
        <v>58</v>
      </c>
      <c r="J17" s="18">
        <v>55</v>
      </c>
      <c r="K17" s="18">
        <v>89</v>
      </c>
      <c r="L17" s="18">
        <v>99</v>
      </c>
      <c r="M17" s="18">
        <v>120</v>
      </c>
      <c r="N17" s="18">
        <v>140</v>
      </c>
      <c r="O17" s="18">
        <v>117</v>
      </c>
      <c r="P17" s="18">
        <v>138</v>
      </c>
      <c r="Q17" s="18">
        <v>138</v>
      </c>
      <c r="R17" s="18">
        <v>154</v>
      </c>
      <c r="S17" s="18">
        <v>156</v>
      </c>
      <c r="T17" s="18">
        <v>155</v>
      </c>
      <c r="U17" s="18">
        <v>109</v>
      </c>
      <c r="V17" s="174">
        <v>180</v>
      </c>
      <c r="W17" s="174">
        <v>240</v>
      </c>
      <c r="X17" s="70">
        <v>636</v>
      </c>
      <c r="Y17" s="18">
        <f>381+417</f>
        <v>798</v>
      </c>
      <c r="Z17" s="18">
        <f>349+427</f>
        <v>776</v>
      </c>
      <c r="AA17" s="18">
        <v>846</v>
      </c>
      <c r="AB17" s="18">
        <v>831</v>
      </c>
      <c r="AC17" s="18">
        <v>905</v>
      </c>
      <c r="AD17" s="18">
        <v>1152</v>
      </c>
      <c r="AE17" s="18">
        <v>789</v>
      </c>
      <c r="AF17" s="18">
        <v>898</v>
      </c>
      <c r="AG17" s="18">
        <v>1284</v>
      </c>
      <c r="AH17" s="18">
        <v>1096</v>
      </c>
      <c r="AI17" s="18">
        <v>1042</v>
      </c>
      <c r="AJ17" s="18">
        <v>1148</v>
      </c>
      <c r="AK17" s="18">
        <v>1314</v>
      </c>
      <c r="AL17" s="18">
        <v>1050</v>
      </c>
      <c r="AM17" s="18">
        <v>817</v>
      </c>
      <c r="AN17" s="18">
        <v>727</v>
      </c>
      <c r="AO17" s="18">
        <v>869</v>
      </c>
      <c r="AP17" s="18">
        <v>895</v>
      </c>
      <c r="AQ17">
        <v>891</v>
      </c>
      <c r="AR17">
        <v>912</v>
      </c>
      <c r="AS17">
        <v>846</v>
      </c>
    </row>
    <row r="18" spans="1:45">
      <c r="A18" s="18" t="s">
        <v>56</v>
      </c>
      <c r="B18" s="70">
        <v>5</v>
      </c>
      <c r="C18" s="18">
        <v>5</v>
      </c>
      <c r="D18" s="18">
        <f>25+1</f>
        <v>26</v>
      </c>
      <c r="E18" s="18">
        <v>26</v>
      </c>
      <c r="F18" s="18">
        <v>33</v>
      </c>
      <c r="G18" s="18">
        <v>18</v>
      </c>
      <c r="H18" s="18">
        <v>17</v>
      </c>
      <c r="I18" s="18">
        <v>25</v>
      </c>
      <c r="J18" s="18">
        <v>33</v>
      </c>
      <c r="K18" s="18">
        <v>38</v>
      </c>
      <c r="L18" s="18">
        <v>44</v>
      </c>
      <c r="M18" s="18">
        <v>46</v>
      </c>
      <c r="N18" s="18">
        <v>59</v>
      </c>
      <c r="O18" s="18">
        <v>36</v>
      </c>
      <c r="P18" s="18">
        <v>56</v>
      </c>
      <c r="Q18" s="18">
        <v>68</v>
      </c>
      <c r="R18" s="18">
        <v>59</v>
      </c>
      <c r="S18" s="18">
        <v>71</v>
      </c>
      <c r="T18" s="18">
        <v>95</v>
      </c>
      <c r="U18" s="18">
        <v>92</v>
      </c>
      <c r="V18" s="174">
        <v>103</v>
      </c>
      <c r="W18" s="174">
        <v>91</v>
      </c>
      <c r="X18" s="70">
        <v>220</v>
      </c>
      <c r="Y18" s="18">
        <f>205+15</f>
        <v>220</v>
      </c>
      <c r="Z18" s="18">
        <f>250+31</f>
        <v>281</v>
      </c>
      <c r="AA18" s="18">
        <v>381</v>
      </c>
      <c r="AB18" s="18">
        <v>447</v>
      </c>
      <c r="AC18" s="18">
        <v>467</v>
      </c>
      <c r="AD18" s="18">
        <v>553</v>
      </c>
      <c r="AE18" s="18">
        <v>471</v>
      </c>
      <c r="AF18" s="18">
        <v>385</v>
      </c>
      <c r="AG18" s="18">
        <v>390</v>
      </c>
      <c r="AH18" s="18">
        <v>426</v>
      </c>
      <c r="AI18" s="18">
        <v>475</v>
      </c>
      <c r="AJ18" s="18">
        <v>523</v>
      </c>
      <c r="AK18" s="18">
        <v>467</v>
      </c>
      <c r="AL18" s="18">
        <v>383</v>
      </c>
      <c r="AM18" s="18">
        <v>336</v>
      </c>
      <c r="AN18" s="18">
        <v>281</v>
      </c>
      <c r="AO18" s="18">
        <v>335</v>
      </c>
      <c r="AP18" s="18">
        <v>382</v>
      </c>
      <c r="AQ18">
        <v>486</v>
      </c>
      <c r="AR18">
        <v>447</v>
      </c>
      <c r="AS18">
        <v>595</v>
      </c>
    </row>
    <row r="19" spans="1:45">
      <c r="A19" s="18" t="s">
        <v>57</v>
      </c>
      <c r="B19" s="70">
        <v>12</v>
      </c>
      <c r="C19" s="18">
        <f>16+4</f>
        <v>20</v>
      </c>
      <c r="D19" s="18">
        <f>14+20</f>
        <v>34</v>
      </c>
      <c r="E19" s="18">
        <v>29</v>
      </c>
      <c r="F19" s="18">
        <v>34</v>
      </c>
      <c r="G19" s="18">
        <v>34</v>
      </c>
      <c r="H19" s="18">
        <v>53</v>
      </c>
      <c r="I19" s="18">
        <v>38</v>
      </c>
      <c r="J19" s="18">
        <v>51</v>
      </c>
      <c r="K19" s="18">
        <v>44</v>
      </c>
      <c r="L19" s="18">
        <v>105</v>
      </c>
      <c r="M19" s="18">
        <v>71</v>
      </c>
      <c r="N19" s="18">
        <v>84</v>
      </c>
      <c r="O19" s="18">
        <v>96</v>
      </c>
      <c r="P19" s="18">
        <v>94</v>
      </c>
      <c r="Q19" s="18">
        <v>115</v>
      </c>
      <c r="R19" s="18">
        <v>127</v>
      </c>
      <c r="S19" s="18">
        <v>146</v>
      </c>
      <c r="T19" s="18">
        <v>171</v>
      </c>
      <c r="U19" s="18">
        <v>178</v>
      </c>
      <c r="V19" s="174">
        <v>217</v>
      </c>
      <c r="W19" s="174">
        <v>243</v>
      </c>
      <c r="X19" s="70">
        <v>239</v>
      </c>
      <c r="Y19" s="18">
        <f>132+89</f>
        <v>221</v>
      </c>
      <c r="Z19" s="18">
        <f>99+86</f>
        <v>185</v>
      </c>
      <c r="AA19" s="18">
        <v>224</v>
      </c>
      <c r="AB19" s="18">
        <v>223</v>
      </c>
      <c r="AC19" s="18">
        <v>247</v>
      </c>
      <c r="AD19" s="18">
        <v>465</v>
      </c>
      <c r="AE19" s="18">
        <v>487</v>
      </c>
      <c r="AF19" s="18">
        <v>500</v>
      </c>
      <c r="AG19" s="18">
        <v>523</v>
      </c>
      <c r="AH19" s="18">
        <v>565</v>
      </c>
      <c r="AI19" s="18">
        <v>781</v>
      </c>
      <c r="AJ19" s="18">
        <v>666</v>
      </c>
      <c r="AK19" s="18">
        <v>728</v>
      </c>
      <c r="AL19" s="18">
        <v>567</v>
      </c>
      <c r="AM19" s="18">
        <v>671</v>
      </c>
      <c r="AN19" s="18">
        <v>587</v>
      </c>
      <c r="AO19" s="18">
        <v>668</v>
      </c>
      <c r="AP19" s="18">
        <v>599</v>
      </c>
      <c r="AQ19">
        <v>627</v>
      </c>
      <c r="AR19">
        <v>661</v>
      </c>
      <c r="AS19">
        <v>642</v>
      </c>
    </row>
    <row r="20" spans="1:45">
      <c r="A20" s="18" t="s">
        <v>58</v>
      </c>
      <c r="B20" s="70">
        <v>936</v>
      </c>
      <c r="C20" s="18">
        <f>811+251</f>
        <v>1062</v>
      </c>
      <c r="D20" s="18">
        <f>933+193</f>
        <v>1126</v>
      </c>
      <c r="E20" s="18">
        <v>1239</v>
      </c>
      <c r="F20" s="18">
        <v>1444</v>
      </c>
      <c r="G20" s="18">
        <v>1584</v>
      </c>
      <c r="H20" s="18">
        <v>1800</v>
      </c>
      <c r="I20" s="18">
        <v>1933</v>
      </c>
      <c r="J20" s="18">
        <v>2143</v>
      </c>
      <c r="K20" s="18">
        <v>2286</v>
      </c>
      <c r="L20" s="18">
        <v>2709</v>
      </c>
      <c r="M20" s="18">
        <v>3303</v>
      </c>
      <c r="N20" s="18">
        <v>3781</v>
      </c>
      <c r="O20" s="18">
        <v>4242</v>
      </c>
      <c r="P20" s="18">
        <v>4231</v>
      </c>
      <c r="Q20" s="18">
        <v>4625</v>
      </c>
      <c r="R20" s="18">
        <v>4657</v>
      </c>
      <c r="S20" s="18">
        <v>5129</v>
      </c>
      <c r="T20" s="18">
        <v>5901</v>
      </c>
      <c r="U20" s="18">
        <v>6276</v>
      </c>
      <c r="V20" s="174">
        <v>7095</v>
      </c>
      <c r="W20" s="174">
        <v>7379</v>
      </c>
      <c r="X20" s="70">
        <v>2285</v>
      </c>
      <c r="Y20" s="18">
        <f>1351+475</f>
        <v>1826</v>
      </c>
      <c r="Z20" s="18">
        <f>1566+462</f>
        <v>2028</v>
      </c>
      <c r="AA20" s="18">
        <v>2545</v>
      </c>
      <c r="AB20" s="18">
        <v>2874</v>
      </c>
      <c r="AC20" s="18">
        <v>3311</v>
      </c>
      <c r="AD20" s="18">
        <v>3241</v>
      </c>
      <c r="AE20" s="18">
        <v>3132</v>
      </c>
      <c r="AF20" s="18">
        <v>3201</v>
      </c>
      <c r="AG20" s="18">
        <v>3294</v>
      </c>
      <c r="AH20" s="18">
        <v>3592</v>
      </c>
      <c r="AI20" s="18">
        <v>5004</v>
      </c>
      <c r="AJ20" s="18">
        <v>5882</v>
      </c>
      <c r="AK20" s="18">
        <v>5763</v>
      </c>
      <c r="AL20" s="18">
        <v>5195</v>
      </c>
      <c r="AM20" s="18">
        <v>4809</v>
      </c>
      <c r="AN20" s="18">
        <v>5193</v>
      </c>
      <c r="AO20" s="18">
        <v>5977</v>
      </c>
      <c r="AP20" s="18">
        <v>6053</v>
      </c>
      <c r="AQ20" s="159">
        <v>6870</v>
      </c>
      <c r="AR20">
        <v>6799</v>
      </c>
      <c r="AS20">
        <v>7414</v>
      </c>
    </row>
    <row r="21" spans="1:45">
      <c r="A21" s="18" t="s">
        <v>59</v>
      </c>
      <c r="B21" s="70">
        <v>44</v>
      </c>
      <c r="C21" s="18">
        <f>34+9</f>
        <v>43</v>
      </c>
      <c r="D21" s="18">
        <f>50+9</f>
        <v>59</v>
      </c>
      <c r="E21" s="18">
        <v>77</v>
      </c>
      <c r="F21" s="18">
        <v>108</v>
      </c>
      <c r="G21" s="18">
        <v>142</v>
      </c>
      <c r="H21" s="18">
        <v>153</v>
      </c>
      <c r="I21" s="18">
        <v>145</v>
      </c>
      <c r="J21" s="18">
        <v>171</v>
      </c>
      <c r="K21" s="18">
        <v>219</v>
      </c>
      <c r="L21" s="18">
        <v>220</v>
      </c>
      <c r="M21" s="18">
        <v>400</v>
      </c>
      <c r="N21" s="18">
        <v>426</v>
      </c>
      <c r="O21" s="18">
        <v>267</v>
      </c>
      <c r="P21" s="18">
        <v>309</v>
      </c>
      <c r="Q21" s="18">
        <v>374</v>
      </c>
      <c r="R21" s="18">
        <v>364</v>
      </c>
      <c r="S21" s="18">
        <v>385</v>
      </c>
      <c r="T21" s="18">
        <v>486</v>
      </c>
      <c r="U21" s="18">
        <v>632</v>
      </c>
      <c r="V21" s="174">
        <v>755</v>
      </c>
      <c r="W21" s="174">
        <v>784</v>
      </c>
      <c r="X21" s="70">
        <v>384</v>
      </c>
      <c r="Y21" s="18">
        <f>473+36</f>
        <v>509</v>
      </c>
      <c r="Z21" s="18">
        <f>542+65</f>
        <v>607</v>
      </c>
      <c r="AA21" s="18">
        <v>637</v>
      </c>
      <c r="AB21" s="18">
        <v>620</v>
      </c>
      <c r="AC21" s="18">
        <v>717</v>
      </c>
      <c r="AD21" s="18">
        <v>742</v>
      </c>
      <c r="AE21" s="18">
        <v>680</v>
      </c>
      <c r="AF21" s="18">
        <v>856</v>
      </c>
      <c r="AG21" s="18">
        <v>794</v>
      </c>
      <c r="AH21" s="18">
        <v>955</v>
      </c>
      <c r="AI21" s="18">
        <v>1270</v>
      </c>
      <c r="AJ21" s="18">
        <v>1306</v>
      </c>
      <c r="AK21" s="18">
        <v>1264</v>
      </c>
      <c r="AL21" s="18">
        <v>1287</v>
      </c>
      <c r="AM21" s="18">
        <v>877</v>
      </c>
      <c r="AN21" s="18">
        <v>1289</v>
      </c>
      <c r="AO21" s="18">
        <v>1320</v>
      </c>
      <c r="AP21" s="18">
        <v>1522</v>
      </c>
      <c r="AQ21" s="159">
        <v>1432</v>
      </c>
      <c r="AR21">
        <v>1483</v>
      </c>
      <c r="AS21">
        <v>1406</v>
      </c>
    </row>
    <row r="22" spans="1:45">
      <c r="A22" s="20" t="s">
        <v>60</v>
      </c>
      <c r="B22" s="71">
        <v>6</v>
      </c>
      <c r="C22" s="20">
        <v>6</v>
      </c>
      <c r="D22" s="20">
        <f>5+0</f>
        <v>5</v>
      </c>
      <c r="E22" s="20">
        <v>12</v>
      </c>
      <c r="F22" s="20">
        <v>12</v>
      </c>
      <c r="G22" s="20">
        <v>13</v>
      </c>
      <c r="H22" s="20">
        <v>12</v>
      </c>
      <c r="I22" s="20">
        <v>16</v>
      </c>
      <c r="J22" s="20">
        <v>10</v>
      </c>
      <c r="K22" s="20">
        <v>15</v>
      </c>
      <c r="L22" s="20">
        <v>12</v>
      </c>
      <c r="M22" s="20">
        <v>27</v>
      </c>
      <c r="N22" s="20">
        <v>22</v>
      </c>
      <c r="O22" s="20">
        <v>21</v>
      </c>
      <c r="P22" s="20">
        <v>26</v>
      </c>
      <c r="Q22" s="20">
        <v>37</v>
      </c>
      <c r="R22" s="20">
        <v>53</v>
      </c>
      <c r="S22" s="20">
        <v>91</v>
      </c>
      <c r="T22" s="20">
        <v>169</v>
      </c>
      <c r="U22" s="20">
        <v>48</v>
      </c>
      <c r="V22" s="175">
        <v>40</v>
      </c>
      <c r="W22" s="175">
        <v>66</v>
      </c>
      <c r="X22" s="71">
        <v>127</v>
      </c>
      <c r="Y22" s="20">
        <f>122+6</f>
        <v>128</v>
      </c>
      <c r="Z22" s="20">
        <f>114+3</f>
        <v>117</v>
      </c>
      <c r="AA22" s="20">
        <v>133</v>
      </c>
      <c r="AB22" s="20">
        <v>132</v>
      </c>
      <c r="AC22" s="20">
        <v>126</v>
      </c>
      <c r="AD22" s="20">
        <v>195</v>
      </c>
      <c r="AE22" s="20">
        <v>193</v>
      </c>
      <c r="AF22" s="20">
        <v>190</v>
      </c>
      <c r="AG22" s="20">
        <v>161</v>
      </c>
      <c r="AH22" s="20">
        <v>234</v>
      </c>
      <c r="AI22" s="20">
        <v>248</v>
      </c>
      <c r="AJ22" s="20">
        <v>313</v>
      </c>
      <c r="AK22" s="20">
        <v>316</v>
      </c>
      <c r="AL22" s="20">
        <v>438</v>
      </c>
      <c r="AM22" s="20">
        <v>313</v>
      </c>
      <c r="AN22" s="20">
        <v>339</v>
      </c>
      <c r="AO22" s="20">
        <v>308</v>
      </c>
      <c r="AP22" s="20">
        <v>311</v>
      </c>
      <c r="AQ22">
        <v>337</v>
      </c>
      <c r="AR22" s="162">
        <v>305</v>
      </c>
      <c r="AS22" s="141">
        <v>277</v>
      </c>
    </row>
    <row r="23" spans="1:45">
      <c r="A23" s="22" t="s">
        <v>61</v>
      </c>
      <c r="B23" s="52">
        <f t="shared" ref="B23:AO23" si="14">SUM(B25:B37)</f>
        <v>2618</v>
      </c>
      <c r="C23" s="22">
        <f t="shared" si="14"/>
        <v>0</v>
      </c>
      <c r="D23" s="22">
        <f t="shared" si="14"/>
        <v>0</v>
      </c>
      <c r="E23" s="22">
        <f t="shared" si="14"/>
        <v>2682</v>
      </c>
      <c r="F23" s="22">
        <f t="shared" si="14"/>
        <v>3036</v>
      </c>
      <c r="G23" s="22">
        <f t="shared" si="14"/>
        <v>3569</v>
      </c>
      <c r="H23" s="22">
        <f t="shared" si="14"/>
        <v>3738</v>
      </c>
      <c r="I23" s="22">
        <f t="shared" si="14"/>
        <v>4305</v>
      </c>
      <c r="J23" s="22">
        <f t="shared" si="14"/>
        <v>4465</v>
      </c>
      <c r="K23" s="22">
        <f t="shared" si="14"/>
        <v>4721</v>
      </c>
      <c r="L23" s="22">
        <f t="shared" si="14"/>
        <v>5873</v>
      </c>
      <c r="M23" s="22">
        <f t="shared" si="14"/>
        <v>7137</v>
      </c>
      <c r="N23" s="22">
        <f t="shared" si="14"/>
        <v>8029</v>
      </c>
      <c r="O23" s="22">
        <f t="shared" si="14"/>
        <v>8925</v>
      </c>
      <c r="P23" s="22">
        <f t="shared" si="14"/>
        <v>9230</v>
      </c>
      <c r="Q23" s="22">
        <f t="shared" si="14"/>
        <v>10333</v>
      </c>
      <c r="R23" s="22">
        <f t="shared" si="14"/>
        <v>10962</v>
      </c>
      <c r="S23" s="22">
        <f t="shared" si="14"/>
        <v>11636</v>
      </c>
      <c r="T23" s="22">
        <f t="shared" ref="T23:U23" si="15">SUM(T25:T37)</f>
        <v>12549</v>
      </c>
      <c r="U23" s="22">
        <f t="shared" si="15"/>
        <v>12412</v>
      </c>
      <c r="V23" s="22">
        <f t="shared" ref="V23:W23" si="16">SUM(V25:V37)</f>
        <v>14076</v>
      </c>
      <c r="W23" s="22">
        <f t="shared" si="16"/>
        <v>14982</v>
      </c>
      <c r="X23" s="52">
        <f t="shared" si="14"/>
        <v>5699</v>
      </c>
      <c r="Y23" s="22">
        <f t="shared" si="14"/>
        <v>0</v>
      </c>
      <c r="Z23" s="22">
        <f t="shared" si="14"/>
        <v>0</v>
      </c>
      <c r="AA23" s="22">
        <f t="shared" si="14"/>
        <v>8278</v>
      </c>
      <c r="AB23" s="22">
        <f t="shared" si="14"/>
        <v>9072</v>
      </c>
      <c r="AC23" s="22">
        <f t="shared" si="14"/>
        <v>9221</v>
      </c>
      <c r="AD23" s="22">
        <f t="shared" si="14"/>
        <v>9298</v>
      </c>
      <c r="AE23" s="22">
        <f t="shared" si="14"/>
        <v>9093</v>
      </c>
      <c r="AF23" s="22">
        <f t="shared" si="14"/>
        <v>8869</v>
      </c>
      <c r="AG23" s="22">
        <f t="shared" si="14"/>
        <v>9892</v>
      </c>
      <c r="AH23" s="22">
        <f t="shared" si="14"/>
        <v>10777</v>
      </c>
      <c r="AI23" s="22">
        <f t="shared" si="14"/>
        <v>12911</v>
      </c>
      <c r="AJ23" s="22">
        <f t="shared" si="14"/>
        <v>13816</v>
      </c>
      <c r="AK23" s="22">
        <f t="shared" si="14"/>
        <v>14896</v>
      </c>
      <c r="AL23" s="22">
        <f t="shared" si="14"/>
        <v>13116</v>
      </c>
      <c r="AM23" s="22">
        <f t="shared" si="14"/>
        <v>14347</v>
      </c>
      <c r="AN23" s="22">
        <f t="shared" si="14"/>
        <v>13774</v>
      </c>
      <c r="AO23" s="22">
        <f t="shared" si="14"/>
        <v>15042</v>
      </c>
      <c r="AP23" s="22">
        <f t="shared" ref="AP23:AQ23" si="17">SUM(AP25:AP37)</f>
        <v>15572</v>
      </c>
      <c r="AQ23" s="22">
        <f t="shared" si="17"/>
        <v>15691</v>
      </c>
      <c r="AR23" s="22">
        <f t="shared" ref="AR23:AS23" si="18">SUM(AR25:AR37)</f>
        <v>16299</v>
      </c>
      <c r="AS23" s="22">
        <f t="shared" si="18"/>
        <v>16726</v>
      </c>
    </row>
    <row r="24" spans="1:45">
      <c r="A24" s="17" t="s">
        <v>44</v>
      </c>
      <c r="B24" s="49">
        <f t="shared" ref="B24:AO24" si="19">(B23/B4)*100</f>
        <v>39.315212494368524</v>
      </c>
      <c r="C24" s="17">
        <f t="shared" si="19"/>
        <v>0</v>
      </c>
      <c r="D24" s="17">
        <f t="shared" si="19"/>
        <v>0</v>
      </c>
      <c r="E24" s="17">
        <f t="shared" si="19"/>
        <v>29.635359116022098</v>
      </c>
      <c r="F24" s="17">
        <f t="shared" si="19"/>
        <v>29.937875949117444</v>
      </c>
      <c r="G24" s="17">
        <f t="shared" si="19"/>
        <v>31.536626314394272</v>
      </c>
      <c r="H24" s="17">
        <f t="shared" si="19"/>
        <v>30.621774391742441</v>
      </c>
      <c r="I24" s="17">
        <f t="shared" si="19"/>
        <v>31.501536660324891</v>
      </c>
      <c r="J24" s="17">
        <f t="shared" si="19"/>
        <v>30.64516129032258</v>
      </c>
      <c r="K24" s="17">
        <f t="shared" si="19"/>
        <v>30.669784967192882</v>
      </c>
      <c r="L24" s="17">
        <f t="shared" si="19"/>
        <v>32.653174691426671</v>
      </c>
      <c r="M24" s="17">
        <f t="shared" si="19"/>
        <v>31.662304245596911</v>
      </c>
      <c r="N24" s="17">
        <f t="shared" si="19"/>
        <v>30.331305957462884</v>
      </c>
      <c r="O24" s="17">
        <f t="shared" si="19"/>
        <v>31.670274298286078</v>
      </c>
      <c r="P24" s="17">
        <f t="shared" si="19"/>
        <v>32.939581028514333</v>
      </c>
      <c r="Q24" s="17">
        <f t="shared" si="19"/>
        <v>33.401215412464438</v>
      </c>
      <c r="R24" s="17">
        <f t="shared" si="19"/>
        <v>33.751039132978235</v>
      </c>
      <c r="S24" s="17">
        <f t="shared" si="19"/>
        <v>33.54570876697322</v>
      </c>
      <c r="T24" s="17">
        <f t="shared" ref="T24:U24" si="20">(T23/T4)*100</f>
        <v>33.102083882880507</v>
      </c>
      <c r="U24" s="17">
        <f t="shared" si="20"/>
        <v>31.402115063502507</v>
      </c>
      <c r="V24" s="17">
        <f t="shared" ref="V24:W24" si="21">(V23/V4)*100</f>
        <v>31.581072894931683</v>
      </c>
      <c r="W24" s="17">
        <f t="shared" si="21"/>
        <v>32.189588122811166</v>
      </c>
      <c r="X24" s="49">
        <f t="shared" si="19"/>
        <v>20.177022481855193</v>
      </c>
      <c r="Y24" s="17">
        <f t="shared" si="19"/>
        <v>0</v>
      </c>
      <c r="Z24" s="17">
        <f t="shared" si="19"/>
        <v>0</v>
      </c>
      <c r="AA24" s="17">
        <f t="shared" si="19"/>
        <v>20.918302883279001</v>
      </c>
      <c r="AB24" s="17">
        <f t="shared" si="19"/>
        <v>20.604133545310017</v>
      </c>
      <c r="AC24" s="17">
        <f t="shared" si="19"/>
        <v>19.86984722132437</v>
      </c>
      <c r="AD24" s="17">
        <f t="shared" si="19"/>
        <v>19.111239003535314</v>
      </c>
      <c r="AE24" s="17">
        <f t="shared" si="19"/>
        <v>19.017442590036389</v>
      </c>
      <c r="AF24" s="17">
        <f t="shared" si="19"/>
        <v>17.961076571011969</v>
      </c>
      <c r="AG24" s="17">
        <f t="shared" si="19"/>
        <v>18.885431184253232</v>
      </c>
      <c r="AH24" s="17">
        <f t="shared" si="19"/>
        <v>19.251518399428367</v>
      </c>
      <c r="AI24" s="17">
        <f t="shared" si="19"/>
        <v>18.051535869580416</v>
      </c>
      <c r="AJ24" s="17">
        <f t="shared" si="19"/>
        <v>18.460962866954393</v>
      </c>
      <c r="AK24" s="17">
        <f t="shared" si="19"/>
        <v>20.353897656623626</v>
      </c>
      <c r="AL24" s="17">
        <f t="shared" si="19"/>
        <v>18.993005777835702</v>
      </c>
      <c r="AM24" s="17">
        <f t="shared" si="19"/>
        <v>21.025866490803839</v>
      </c>
      <c r="AN24" s="17">
        <f t="shared" si="19"/>
        <v>18.926049080766166</v>
      </c>
      <c r="AO24" s="17">
        <f t="shared" si="19"/>
        <v>18.908386967015286</v>
      </c>
      <c r="AP24" s="17">
        <f t="shared" ref="AP24:AQ24" si="22">(AP23/AP4)*100</f>
        <v>19.147628064825518</v>
      </c>
      <c r="AQ24" s="17">
        <f t="shared" si="22"/>
        <v>18.493723849372383</v>
      </c>
      <c r="AR24" s="17">
        <f t="shared" ref="AR24:AS24" si="23">(AR23/AR4)*100</f>
        <v>18.344194212783201</v>
      </c>
      <c r="AS24" s="17">
        <f t="shared" si="23"/>
        <v>17.757346696110073</v>
      </c>
    </row>
    <row r="25" spans="1:45">
      <c r="A25" s="18" t="s">
        <v>62</v>
      </c>
      <c r="B25" s="70">
        <v>5</v>
      </c>
      <c r="C25" s="18"/>
      <c r="D25" s="18"/>
      <c r="E25" s="18">
        <v>9</v>
      </c>
      <c r="F25" s="18">
        <v>1</v>
      </c>
      <c r="G25" s="18">
        <v>4</v>
      </c>
      <c r="H25" s="18">
        <v>5</v>
      </c>
      <c r="I25" s="18">
        <v>7</v>
      </c>
      <c r="J25" s="18">
        <v>10</v>
      </c>
      <c r="K25" s="18">
        <v>7</v>
      </c>
      <c r="L25" s="18">
        <v>8</v>
      </c>
      <c r="M25" s="18">
        <v>7</v>
      </c>
      <c r="N25" s="18">
        <v>6</v>
      </c>
      <c r="O25" s="18">
        <v>13</v>
      </c>
      <c r="P25" s="18">
        <v>8</v>
      </c>
      <c r="Q25" s="18">
        <v>14</v>
      </c>
      <c r="R25" s="18">
        <v>25</v>
      </c>
      <c r="S25" s="18">
        <v>14</v>
      </c>
      <c r="T25" s="18">
        <v>16</v>
      </c>
      <c r="U25" s="18">
        <v>24</v>
      </c>
      <c r="V25" s="18">
        <v>29</v>
      </c>
      <c r="W25" s="18">
        <v>20</v>
      </c>
      <c r="X25" s="70">
        <v>18</v>
      </c>
      <c r="Y25" s="18"/>
      <c r="Z25" s="18"/>
      <c r="AA25" s="18">
        <v>28</v>
      </c>
      <c r="AB25" s="18">
        <v>46</v>
      </c>
      <c r="AC25" s="18">
        <v>53</v>
      </c>
      <c r="AD25" s="18">
        <v>65</v>
      </c>
      <c r="AE25" s="18">
        <v>75</v>
      </c>
      <c r="AF25" s="18">
        <v>60</v>
      </c>
      <c r="AG25" s="18">
        <v>30</v>
      </c>
      <c r="AH25" s="18">
        <v>37</v>
      </c>
      <c r="AI25" s="18">
        <v>43</v>
      </c>
      <c r="AJ25" s="18">
        <v>75</v>
      </c>
      <c r="AK25" s="18">
        <v>61</v>
      </c>
      <c r="AL25" s="18">
        <v>44</v>
      </c>
      <c r="AM25" s="18">
        <v>64</v>
      </c>
      <c r="AN25" s="18">
        <v>53</v>
      </c>
      <c r="AO25" s="18">
        <v>47</v>
      </c>
      <c r="AP25" s="18">
        <v>53</v>
      </c>
      <c r="AQ25">
        <v>43</v>
      </c>
      <c r="AR25" s="166">
        <v>38</v>
      </c>
      <c r="AS25" s="174">
        <v>41</v>
      </c>
    </row>
    <row r="26" spans="1:45">
      <c r="A26" s="18" t="s">
        <v>63</v>
      </c>
      <c r="B26" s="70">
        <v>431</v>
      </c>
      <c r="C26" s="18"/>
      <c r="D26" s="18"/>
      <c r="E26" s="18">
        <v>196</v>
      </c>
      <c r="F26" s="18">
        <v>289</v>
      </c>
      <c r="G26" s="18">
        <v>442</v>
      </c>
      <c r="H26" s="18">
        <v>343</v>
      </c>
      <c r="I26" s="18">
        <v>581</v>
      </c>
      <c r="J26" s="18">
        <v>546</v>
      </c>
      <c r="K26" s="18">
        <v>556</v>
      </c>
      <c r="L26" s="18">
        <v>655</v>
      </c>
      <c r="M26" s="18">
        <v>766</v>
      </c>
      <c r="N26" s="18">
        <v>877</v>
      </c>
      <c r="O26" s="18">
        <v>1127</v>
      </c>
      <c r="P26" s="18">
        <v>763</v>
      </c>
      <c r="Q26" s="18">
        <v>1505</v>
      </c>
      <c r="R26" s="18">
        <v>1603</v>
      </c>
      <c r="S26" s="18">
        <v>1688</v>
      </c>
      <c r="T26" s="18">
        <v>2061</v>
      </c>
      <c r="U26" s="18">
        <v>1199</v>
      </c>
      <c r="V26" s="18">
        <v>2434</v>
      </c>
      <c r="W26" s="18">
        <v>2368</v>
      </c>
      <c r="X26" s="70">
        <v>741</v>
      </c>
      <c r="Y26" s="18"/>
      <c r="Z26" s="18"/>
      <c r="AA26" s="18">
        <v>870</v>
      </c>
      <c r="AB26" s="18">
        <v>953</v>
      </c>
      <c r="AC26" s="18">
        <v>995</v>
      </c>
      <c r="AD26" s="18">
        <v>959</v>
      </c>
      <c r="AE26" s="18">
        <v>877</v>
      </c>
      <c r="AF26" s="18">
        <v>934</v>
      </c>
      <c r="AG26" s="18">
        <v>1077</v>
      </c>
      <c r="AH26" s="18">
        <v>1372</v>
      </c>
      <c r="AI26" s="18">
        <v>1479</v>
      </c>
      <c r="AJ26" s="18">
        <v>1871</v>
      </c>
      <c r="AK26" s="18">
        <v>3043</v>
      </c>
      <c r="AL26" s="18">
        <v>1358</v>
      </c>
      <c r="AM26" s="18">
        <v>3412</v>
      </c>
      <c r="AN26" s="18">
        <v>2479</v>
      </c>
      <c r="AO26" s="18">
        <v>2768</v>
      </c>
      <c r="AP26" s="18">
        <v>2581</v>
      </c>
      <c r="AQ26" s="159">
        <v>1351</v>
      </c>
      <c r="AR26" s="166">
        <v>2220</v>
      </c>
      <c r="AS26" s="174">
        <v>2071</v>
      </c>
    </row>
    <row r="27" spans="1:45">
      <c r="A27" s="18" t="s">
        <v>64</v>
      </c>
      <c r="B27" s="70">
        <v>1684</v>
      </c>
      <c r="C27" s="18"/>
      <c r="D27" s="18"/>
      <c r="E27" s="18">
        <v>1789</v>
      </c>
      <c r="F27" s="18">
        <v>1934</v>
      </c>
      <c r="G27" s="18">
        <v>2198</v>
      </c>
      <c r="H27" s="18">
        <v>2402</v>
      </c>
      <c r="I27" s="18">
        <v>2606</v>
      </c>
      <c r="J27" s="18">
        <v>2782</v>
      </c>
      <c r="K27" s="18">
        <v>2998</v>
      </c>
      <c r="L27" s="18">
        <v>3754</v>
      </c>
      <c r="M27" s="18">
        <v>4750</v>
      </c>
      <c r="N27" s="18">
        <v>5366</v>
      </c>
      <c r="O27" s="18">
        <v>5697</v>
      </c>
      <c r="P27" s="18">
        <v>6263</v>
      </c>
      <c r="Q27" s="18">
        <v>6613</v>
      </c>
      <c r="R27" s="18">
        <v>7003</v>
      </c>
      <c r="S27" s="18">
        <v>7389</v>
      </c>
      <c r="T27" s="18">
        <v>7712</v>
      </c>
      <c r="U27" s="18">
        <v>8328</v>
      </c>
      <c r="V27" s="18">
        <v>8465</v>
      </c>
      <c r="W27" s="18">
        <v>9302</v>
      </c>
      <c r="X27" s="70">
        <v>3400</v>
      </c>
      <c r="Y27" s="18"/>
      <c r="Z27" s="18"/>
      <c r="AA27" s="18">
        <v>4749</v>
      </c>
      <c r="AB27" s="18">
        <v>5235</v>
      </c>
      <c r="AC27" s="18">
        <v>5305</v>
      </c>
      <c r="AD27" s="18">
        <v>5122</v>
      </c>
      <c r="AE27" s="18">
        <v>4853</v>
      </c>
      <c r="AF27" s="18">
        <v>4946</v>
      </c>
      <c r="AG27" s="18">
        <v>5534</v>
      </c>
      <c r="AH27" s="18">
        <v>6363</v>
      </c>
      <c r="AI27" s="18">
        <v>7844</v>
      </c>
      <c r="AJ27" s="18">
        <v>8221</v>
      </c>
      <c r="AK27" s="18">
        <v>8109</v>
      </c>
      <c r="AL27" s="18">
        <v>7909</v>
      </c>
      <c r="AM27" s="18">
        <v>7436</v>
      </c>
      <c r="AN27" s="18">
        <v>7817</v>
      </c>
      <c r="AO27" s="18">
        <v>8688</v>
      </c>
      <c r="AP27" s="18">
        <v>9321</v>
      </c>
      <c r="AQ27" s="159">
        <v>10536</v>
      </c>
      <c r="AR27" s="166">
        <v>10319</v>
      </c>
      <c r="AS27" s="174">
        <v>10741</v>
      </c>
    </row>
    <row r="28" spans="1:45">
      <c r="A28" s="18" t="s">
        <v>65</v>
      </c>
      <c r="B28" s="70">
        <v>115</v>
      </c>
      <c r="C28" s="18"/>
      <c r="D28" s="18"/>
      <c r="E28" s="18">
        <v>141</v>
      </c>
      <c r="F28" s="18">
        <v>191</v>
      </c>
      <c r="G28" s="18">
        <v>244</v>
      </c>
      <c r="H28" s="18">
        <v>271</v>
      </c>
      <c r="I28" s="18">
        <v>295</v>
      </c>
      <c r="J28" s="18">
        <v>332</v>
      </c>
      <c r="K28" s="18">
        <v>316</v>
      </c>
      <c r="L28" s="18">
        <v>359</v>
      </c>
      <c r="M28" s="18">
        <v>407</v>
      </c>
      <c r="N28" s="18">
        <v>420</v>
      </c>
      <c r="O28" s="18">
        <v>598</v>
      </c>
      <c r="P28" s="18">
        <v>547</v>
      </c>
      <c r="Q28" s="18">
        <v>597</v>
      </c>
      <c r="R28" s="18">
        <v>627</v>
      </c>
      <c r="S28" s="18">
        <v>707</v>
      </c>
      <c r="T28" s="18">
        <v>751</v>
      </c>
      <c r="U28" s="18">
        <v>687</v>
      </c>
      <c r="V28" s="18">
        <v>785</v>
      </c>
      <c r="W28" s="18">
        <v>826</v>
      </c>
      <c r="X28" s="70">
        <v>195</v>
      </c>
      <c r="Y28" s="18"/>
      <c r="Z28" s="18"/>
      <c r="AA28" s="18">
        <v>526</v>
      </c>
      <c r="AB28" s="18">
        <v>579</v>
      </c>
      <c r="AC28" s="18">
        <v>592</v>
      </c>
      <c r="AD28" s="18">
        <v>615</v>
      </c>
      <c r="AE28" s="18">
        <v>596</v>
      </c>
      <c r="AF28" s="18">
        <v>738</v>
      </c>
      <c r="AG28" s="18">
        <v>829</v>
      </c>
      <c r="AH28" s="18">
        <v>807</v>
      </c>
      <c r="AI28" s="18">
        <v>940</v>
      </c>
      <c r="AJ28" s="18">
        <v>911</v>
      </c>
      <c r="AK28" s="18">
        <v>904</v>
      </c>
      <c r="AL28" s="18">
        <v>924</v>
      </c>
      <c r="AM28" s="18">
        <v>696</v>
      </c>
      <c r="AN28" s="18">
        <v>665</v>
      </c>
      <c r="AO28" s="18">
        <v>723</v>
      </c>
      <c r="AP28" s="18">
        <v>742</v>
      </c>
      <c r="AQ28">
        <v>858</v>
      </c>
      <c r="AR28" s="166">
        <v>866</v>
      </c>
      <c r="AS28" s="174">
        <v>981</v>
      </c>
    </row>
    <row r="29" spans="1:45">
      <c r="A29" s="18" t="s">
        <v>66</v>
      </c>
      <c r="B29" s="70">
        <v>1</v>
      </c>
      <c r="C29" s="18"/>
      <c r="D29" s="18"/>
      <c r="E29" s="18">
        <v>12</v>
      </c>
      <c r="F29" s="18">
        <v>19</v>
      </c>
      <c r="G29" s="18">
        <v>16</v>
      </c>
      <c r="H29" s="18">
        <v>19</v>
      </c>
      <c r="I29" s="18">
        <v>31</v>
      </c>
      <c r="J29" s="18">
        <v>24</v>
      </c>
      <c r="K29" s="18">
        <v>24</v>
      </c>
      <c r="L29" s="18">
        <v>28</v>
      </c>
      <c r="M29" s="18">
        <v>44</v>
      </c>
      <c r="N29" s="18">
        <v>36</v>
      </c>
      <c r="O29" s="18">
        <v>61</v>
      </c>
      <c r="P29" s="18">
        <v>38</v>
      </c>
      <c r="Q29" s="18">
        <v>54</v>
      </c>
      <c r="R29" s="18">
        <v>50</v>
      </c>
      <c r="S29" s="18">
        <v>49</v>
      </c>
      <c r="T29" s="18">
        <v>73</v>
      </c>
      <c r="U29" s="18">
        <v>110</v>
      </c>
      <c r="V29" s="18">
        <v>118</v>
      </c>
      <c r="W29" s="18">
        <v>124</v>
      </c>
      <c r="X29" s="70">
        <v>0</v>
      </c>
      <c r="Y29" s="18"/>
      <c r="Z29" s="18"/>
      <c r="AA29" s="18">
        <v>63</v>
      </c>
      <c r="AB29" s="18">
        <v>80</v>
      </c>
      <c r="AC29" s="18">
        <v>103</v>
      </c>
      <c r="AD29" s="18">
        <v>147</v>
      </c>
      <c r="AE29" s="18">
        <v>155</v>
      </c>
      <c r="AF29" s="18">
        <v>181</v>
      </c>
      <c r="AG29" s="18">
        <v>206</v>
      </c>
      <c r="AH29" s="18">
        <v>193</v>
      </c>
      <c r="AI29" s="18">
        <v>211</v>
      </c>
      <c r="AJ29" s="18">
        <v>182</v>
      </c>
      <c r="AK29" s="18">
        <v>173</v>
      </c>
      <c r="AL29" s="18">
        <v>170</v>
      </c>
      <c r="AM29" s="18">
        <v>413</v>
      </c>
      <c r="AN29" s="18">
        <v>418</v>
      </c>
      <c r="AO29" s="18">
        <v>355</v>
      </c>
      <c r="AP29" s="18">
        <v>361</v>
      </c>
      <c r="AQ29">
        <v>354</v>
      </c>
      <c r="AR29" s="166">
        <v>319</v>
      </c>
      <c r="AS29" s="174">
        <v>287</v>
      </c>
    </row>
    <row r="30" spans="1:45">
      <c r="A30" s="18" t="s">
        <v>67</v>
      </c>
      <c r="B30" s="70">
        <v>8</v>
      </c>
      <c r="C30" s="18"/>
      <c r="D30" s="18"/>
      <c r="E30" s="18">
        <v>17</v>
      </c>
      <c r="F30" s="18">
        <v>21</v>
      </c>
      <c r="G30" s="18">
        <v>16</v>
      </c>
      <c r="H30" s="18">
        <v>25</v>
      </c>
      <c r="I30" s="18">
        <v>17</v>
      </c>
      <c r="J30" s="18">
        <v>16</v>
      </c>
      <c r="K30" s="18">
        <v>18</v>
      </c>
      <c r="L30" s="18">
        <v>8</v>
      </c>
      <c r="M30" s="18">
        <v>29</v>
      </c>
      <c r="N30" s="18">
        <v>20</v>
      </c>
      <c r="O30" s="18">
        <v>24</v>
      </c>
      <c r="P30" s="18">
        <v>36</v>
      </c>
      <c r="Q30" s="18">
        <v>24</v>
      </c>
      <c r="R30" s="18">
        <v>47</v>
      </c>
      <c r="S30" s="18">
        <v>61</v>
      </c>
      <c r="T30" s="18">
        <v>46</v>
      </c>
      <c r="U30" s="18">
        <v>67</v>
      </c>
      <c r="V30" s="18">
        <v>73</v>
      </c>
      <c r="W30" s="18">
        <v>78</v>
      </c>
      <c r="X30" s="70">
        <v>44</v>
      </c>
      <c r="Y30" s="18"/>
      <c r="Z30" s="18"/>
      <c r="AA30" s="18">
        <v>76</v>
      </c>
      <c r="AB30" s="18">
        <v>90</v>
      </c>
      <c r="AC30" s="18">
        <v>80</v>
      </c>
      <c r="AD30" s="18">
        <v>82</v>
      </c>
      <c r="AE30" s="18">
        <v>149</v>
      </c>
      <c r="AF30" s="18">
        <v>137</v>
      </c>
      <c r="AG30" s="18">
        <v>107</v>
      </c>
      <c r="AH30" s="18">
        <v>65</v>
      </c>
      <c r="AI30" s="18">
        <v>113</v>
      </c>
      <c r="AJ30" s="18">
        <v>102</v>
      </c>
      <c r="AK30" s="18">
        <v>166</v>
      </c>
      <c r="AL30" s="18">
        <v>153</v>
      </c>
      <c r="AM30" s="18">
        <v>116</v>
      </c>
      <c r="AN30" s="18">
        <v>96</v>
      </c>
      <c r="AO30" s="18">
        <v>138</v>
      </c>
      <c r="AP30" s="18">
        <v>119</v>
      </c>
      <c r="AQ30">
        <v>116</v>
      </c>
      <c r="AR30" s="166">
        <v>142</v>
      </c>
      <c r="AS30" s="174">
        <v>143</v>
      </c>
    </row>
    <row r="31" spans="1:45">
      <c r="A31" s="18" t="s">
        <v>68</v>
      </c>
      <c r="B31" s="70">
        <v>7</v>
      </c>
      <c r="C31" s="18"/>
      <c r="D31" s="18"/>
      <c r="E31" s="18">
        <v>6</v>
      </c>
      <c r="F31" s="18">
        <v>1</v>
      </c>
      <c r="G31" s="18">
        <v>6</v>
      </c>
      <c r="H31" s="18">
        <v>5</v>
      </c>
      <c r="I31" s="18">
        <v>4</v>
      </c>
      <c r="J31" s="18">
        <v>4</v>
      </c>
      <c r="K31" s="18">
        <v>2</v>
      </c>
      <c r="L31" s="18">
        <v>6</v>
      </c>
      <c r="M31" s="18">
        <v>11</v>
      </c>
      <c r="N31" s="18">
        <v>13</v>
      </c>
      <c r="O31" s="18">
        <v>9</v>
      </c>
      <c r="P31" s="18">
        <v>6</v>
      </c>
      <c r="Q31" s="18">
        <v>14</v>
      </c>
      <c r="R31" s="18">
        <v>8</v>
      </c>
      <c r="S31" s="18">
        <v>14</v>
      </c>
      <c r="T31" s="18">
        <v>7</v>
      </c>
      <c r="U31" s="18">
        <v>24</v>
      </c>
      <c r="V31" s="18">
        <v>34</v>
      </c>
      <c r="W31" s="18">
        <v>28</v>
      </c>
      <c r="X31" s="70">
        <v>47</v>
      </c>
      <c r="Y31" s="18"/>
      <c r="Z31" s="18"/>
      <c r="AA31" s="18">
        <v>63</v>
      </c>
      <c r="AB31" s="18">
        <v>74</v>
      </c>
      <c r="AC31" s="18">
        <v>51</v>
      </c>
      <c r="AD31" s="18">
        <v>92</v>
      </c>
      <c r="AE31" s="18">
        <v>52</v>
      </c>
      <c r="AF31" s="18">
        <v>63</v>
      </c>
      <c r="AG31" s="18">
        <v>55</v>
      </c>
      <c r="AH31" s="18">
        <v>52</v>
      </c>
      <c r="AI31" s="18">
        <v>56</v>
      </c>
      <c r="AJ31" s="18">
        <v>59</v>
      </c>
      <c r="AK31" s="18">
        <v>60</v>
      </c>
      <c r="AL31" s="18">
        <v>50</v>
      </c>
      <c r="AM31" s="18">
        <v>63</v>
      </c>
      <c r="AN31" s="18">
        <v>49</v>
      </c>
      <c r="AO31" s="18">
        <v>75</v>
      </c>
      <c r="AP31" s="18">
        <v>35</v>
      </c>
      <c r="AQ31">
        <v>31</v>
      </c>
      <c r="AR31" s="166">
        <v>31</v>
      </c>
      <c r="AS31" s="174">
        <v>49</v>
      </c>
    </row>
    <row r="32" spans="1:45">
      <c r="A32" s="18" t="s">
        <v>69</v>
      </c>
      <c r="B32" s="70">
        <v>9</v>
      </c>
      <c r="C32" s="18"/>
      <c r="D32" s="18"/>
      <c r="E32" s="18">
        <v>23</v>
      </c>
      <c r="F32" s="18">
        <v>19</v>
      </c>
      <c r="G32" s="18">
        <v>25</v>
      </c>
      <c r="H32" s="18">
        <v>25</v>
      </c>
      <c r="I32" s="18">
        <v>33</v>
      </c>
      <c r="J32" s="18">
        <v>31</v>
      </c>
      <c r="K32" s="18">
        <v>44</v>
      </c>
      <c r="L32" s="18">
        <v>74</v>
      </c>
      <c r="M32" s="18">
        <v>89</v>
      </c>
      <c r="N32" s="18">
        <v>90</v>
      </c>
      <c r="O32" s="18">
        <v>89</v>
      </c>
      <c r="P32" s="18">
        <v>112</v>
      </c>
      <c r="Q32" s="18">
        <v>122</v>
      </c>
      <c r="R32" s="18">
        <v>133</v>
      </c>
      <c r="S32" s="18">
        <v>163</v>
      </c>
      <c r="T32" s="18">
        <v>191</v>
      </c>
      <c r="U32" s="18">
        <v>193</v>
      </c>
      <c r="V32" s="18">
        <v>180</v>
      </c>
      <c r="W32" s="18">
        <v>205</v>
      </c>
      <c r="X32" s="70">
        <v>17</v>
      </c>
      <c r="Y32" s="18"/>
      <c r="Z32" s="18"/>
      <c r="AA32" s="18">
        <v>44</v>
      </c>
      <c r="AB32" s="18">
        <v>81</v>
      </c>
      <c r="AC32" s="18">
        <v>112</v>
      </c>
      <c r="AD32" s="18">
        <v>110</v>
      </c>
      <c r="AE32" s="18">
        <v>94</v>
      </c>
      <c r="AF32" s="18">
        <v>73</v>
      </c>
      <c r="AG32" s="18">
        <v>112</v>
      </c>
      <c r="AH32" s="18">
        <v>111</v>
      </c>
      <c r="AI32" s="18">
        <v>145</v>
      </c>
      <c r="AJ32" s="18">
        <v>189</v>
      </c>
      <c r="AK32" s="18">
        <v>229</v>
      </c>
      <c r="AL32" s="18">
        <v>289</v>
      </c>
      <c r="AM32" s="18">
        <v>170</v>
      </c>
      <c r="AN32" s="18">
        <v>181</v>
      </c>
      <c r="AO32" s="18">
        <v>146</v>
      </c>
      <c r="AP32" s="18">
        <v>197</v>
      </c>
      <c r="AQ32">
        <v>185</v>
      </c>
      <c r="AR32" s="166">
        <v>178</v>
      </c>
      <c r="AS32" s="174">
        <v>122</v>
      </c>
    </row>
    <row r="33" spans="1:45">
      <c r="A33" s="18" t="s">
        <v>70</v>
      </c>
      <c r="B33" s="70">
        <v>277</v>
      </c>
      <c r="C33" s="18"/>
      <c r="D33" s="18"/>
      <c r="E33" s="18">
        <v>314</v>
      </c>
      <c r="F33" s="18">
        <v>338</v>
      </c>
      <c r="G33" s="18">
        <v>364</v>
      </c>
      <c r="H33" s="18">
        <v>371</v>
      </c>
      <c r="I33" s="18">
        <v>371</v>
      </c>
      <c r="J33" s="18">
        <v>437</v>
      </c>
      <c r="K33" s="18">
        <v>425</v>
      </c>
      <c r="L33" s="18">
        <v>579</v>
      </c>
      <c r="M33" s="18">
        <v>558</v>
      </c>
      <c r="N33" s="18">
        <v>672</v>
      </c>
      <c r="O33" s="18">
        <v>770</v>
      </c>
      <c r="P33" s="18">
        <v>851</v>
      </c>
      <c r="Q33" s="18">
        <v>829</v>
      </c>
      <c r="R33" s="18">
        <v>888</v>
      </c>
      <c r="S33" s="18">
        <v>876</v>
      </c>
      <c r="T33" s="18">
        <v>882</v>
      </c>
      <c r="U33" s="18">
        <v>938</v>
      </c>
      <c r="V33" s="18">
        <v>1010</v>
      </c>
      <c r="W33" s="18">
        <v>945</v>
      </c>
      <c r="X33" s="70">
        <v>178</v>
      </c>
      <c r="Y33" s="18"/>
      <c r="Z33" s="18"/>
      <c r="AA33" s="18">
        <v>214</v>
      </c>
      <c r="AB33" s="18">
        <v>237</v>
      </c>
      <c r="AC33" s="18">
        <v>156</v>
      </c>
      <c r="AD33" s="18">
        <v>277</v>
      </c>
      <c r="AE33" s="18">
        <v>292</v>
      </c>
      <c r="AF33" s="18">
        <v>216</v>
      </c>
      <c r="AG33" s="18">
        <v>203</v>
      </c>
      <c r="AH33" s="18">
        <v>201</v>
      </c>
      <c r="AI33" s="18">
        <v>250</v>
      </c>
      <c r="AJ33" s="18">
        <v>287</v>
      </c>
      <c r="AK33" s="18">
        <v>366</v>
      </c>
      <c r="AL33" s="18">
        <v>412</v>
      </c>
      <c r="AM33" s="18">
        <v>299</v>
      </c>
      <c r="AN33" s="18">
        <v>356</v>
      </c>
      <c r="AO33" s="18">
        <v>356</v>
      </c>
      <c r="AP33" s="18">
        <v>307</v>
      </c>
      <c r="AQ33">
        <v>334</v>
      </c>
      <c r="AR33" s="166">
        <v>290</v>
      </c>
      <c r="AS33" s="174">
        <v>275</v>
      </c>
    </row>
    <row r="34" spans="1:45">
      <c r="A34" s="18" t="s">
        <v>71</v>
      </c>
      <c r="B34" s="70">
        <v>25</v>
      </c>
      <c r="C34" s="18"/>
      <c r="D34" s="18"/>
      <c r="E34" s="18">
        <v>43</v>
      </c>
      <c r="F34" s="18">
        <v>44</v>
      </c>
      <c r="G34" s="18">
        <v>56</v>
      </c>
      <c r="H34" s="18">
        <v>53</v>
      </c>
      <c r="I34" s="18">
        <v>77</v>
      </c>
      <c r="J34" s="18">
        <v>77</v>
      </c>
      <c r="K34" s="18">
        <v>88</v>
      </c>
      <c r="L34" s="18">
        <v>110</v>
      </c>
      <c r="M34" s="18">
        <v>148</v>
      </c>
      <c r="N34" s="18">
        <v>169</v>
      </c>
      <c r="O34" s="18">
        <v>169</v>
      </c>
      <c r="P34" s="18">
        <v>202</v>
      </c>
      <c r="Q34" s="18">
        <v>196</v>
      </c>
      <c r="R34" s="18">
        <v>184</v>
      </c>
      <c r="S34" s="18">
        <v>231</v>
      </c>
      <c r="T34" s="18">
        <v>216</v>
      </c>
      <c r="U34" s="18">
        <v>263</v>
      </c>
      <c r="V34" s="18">
        <v>337</v>
      </c>
      <c r="W34" s="18">
        <v>363</v>
      </c>
      <c r="X34" s="70">
        <v>398</v>
      </c>
      <c r="Y34" s="18"/>
      <c r="Z34" s="18"/>
      <c r="AA34" s="18">
        <v>631</v>
      </c>
      <c r="AB34" s="18">
        <v>578</v>
      </c>
      <c r="AC34" s="18">
        <v>558</v>
      </c>
      <c r="AD34" s="18">
        <v>563</v>
      </c>
      <c r="AE34" s="18">
        <v>551</v>
      </c>
      <c r="AF34" s="18">
        <v>511</v>
      </c>
      <c r="AG34" s="18">
        <v>567</v>
      </c>
      <c r="AH34" s="18">
        <v>563</v>
      </c>
      <c r="AI34" s="18">
        <v>601</v>
      </c>
      <c r="AJ34" s="18">
        <v>709</v>
      </c>
      <c r="AK34" s="18">
        <v>634</v>
      </c>
      <c r="AL34" s="18">
        <v>522</v>
      </c>
      <c r="AM34" s="18">
        <v>493</v>
      </c>
      <c r="AN34" s="18">
        <v>490</v>
      </c>
      <c r="AO34" s="18">
        <v>526</v>
      </c>
      <c r="AP34" s="18">
        <v>542</v>
      </c>
      <c r="AQ34">
        <v>581</v>
      </c>
      <c r="AR34" s="166">
        <v>569</v>
      </c>
      <c r="AS34" s="174">
        <v>572</v>
      </c>
    </row>
    <row r="35" spans="1:45">
      <c r="A35" s="18" t="s">
        <v>72</v>
      </c>
      <c r="B35" s="70">
        <v>12</v>
      </c>
      <c r="C35" s="18"/>
      <c r="D35" s="18"/>
      <c r="E35" s="18">
        <v>23</v>
      </c>
      <c r="F35" s="18">
        <v>36</v>
      </c>
      <c r="G35" s="18">
        <v>60</v>
      </c>
      <c r="H35" s="18">
        <v>41</v>
      </c>
      <c r="I35" s="18">
        <v>88</v>
      </c>
      <c r="J35" s="18">
        <v>55</v>
      </c>
      <c r="K35" s="18">
        <v>51</v>
      </c>
      <c r="L35" s="18">
        <v>61</v>
      </c>
      <c r="M35" s="18">
        <v>76</v>
      </c>
      <c r="N35" s="18">
        <v>78</v>
      </c>
      <c r="O35" s="18">
        <v>76</v>
      </c>
      <c r="P35" s="18">
        <v>118</v>
      </c>
      <c r="Q35" s="18">
        <v>89</v>
      </c>
      <c r="R35" s="18">
        <v>115</v>
      </c>
      <c r="S35" s="18">
        <v>128</v>
      </c>
      <c r="T35" s="18">
        <v>224</v>
      </c>
      <c r="U35" s="18">
        <v>170</v>
      </c>
      <c r="V35" s="18">
        <v>213</v>
      </c>
      <c r="W35" s="18">
        <v>218</v>
      </c>
      <c r="X35" s="70">
        <v>194</v>
      </c>
      <c r="Y35" s="18"/>
      <c r="Z35" s="18"/>
      <c r="AA35" s="18">
        <v>354</v>
      </c>
      <c r="AB35" s="18">
        <v>368</v>
      </c>
      <c r="AC35" s="18">
        <v>369</v>
      </c>
      <c r="AD35" s="18">
        <v>341</v>
      </c>
      <c r="AE35" s="18">
        <v>321</v>
      </c>
      <c r="AF35" s="18">
        <v>312</v>
      </c>
      <c r="AG35" s="18">
        <v>320</v>
      </c>
      <c r="AH35" s="18">
        <v>287</v>
      </c>
      <c r="AI35" s="18">
        <v>359</v>
      </c>
      <c r="AJ35" s="18">
        <v>456</v>
      </c>
      <c r="AK35" s="18">
        <v>417</v>
      </c>
      <c r="AL35" s="18">
        <v>493</v>
      </c>
      <c r="AM35" s="18">
        <v>385</v>
      </c>
      <c r="AN35" s="18">
        <v>278</v>
      </c>
      <c r="AO35" s="18">
        <v>308</v>
      </c>
      <c r="AP35" s="18">
        <v>344</v>
      </c>
      <c r="AQ35">
        <v>359</v>
      </c>
      <c r="AR35" s="166">
        <v>372</v>
      </c>
      <c r="AS35" s="174">
        <v>429</v>
      </c>
    </row>
    <row r="36" spans="1:45">
      <c r="A36" s="18" t="s">
        <v>73</v>
      </c>
      <c r="B36" s="70">
        <v>44</v>
      </c>
      <c r="C36" s="18"/>
      <c r="D36" s="18"/>
      <c r="E36" s="18">
        <v>104</v>
      </c>
      <c r="F36" s="18">
        <v>141</v>
      </c>
      <c r="G36" s="18">
        <v>136</v>
      </c>
      <c r="H36" s="18">
        <v>174</v>
      </c>
      <c r="I36" s="18">
        <v>187</v>
      </c>
      <c r="J36" s="18">
        <v>147</v>
      </c>
      <c r="K36" s="18">
        <v>184</v>
      </c>
      <c r="L36" s="18">
        <v>225</v>
      </c>
      <c r="M36" s="18">
        <v>244</v>
      </c>
      <c r="N36" s="18">
        <v>273</v>
      </c>
      <c r="O36" s="18">
        <v>287</v>
      </c>
      <c r="P36" s="18">
        <v>277</v>
      </c>
      <c r="Q36" s="18">
        <v>264</v>
      </c>
      <c r="R36" s="18">
        <v>273</v>
      </c>
      <c r="S36" s="18">
        <v>303</v>
      </c>
      <c r="T36" s="18">
        <v>366</v>
      </c>
      <c r="U36" s="18">
        <v>394</v>
      </c>
      <c r="V36" s="18">
        <v>385</v>
      </c>
      <c r="W36" s="18">
        <v>487</v>
      </c>
      <c r="X36" s="70">
        <v>467</v>
      </c>
      <c r="Y36" s="18"/>
      <c r="Z36" s="18"/>
      <c r="AA36" s="18">
        <v>610</v>
      </c>
      <c r="AB36" s="18">
        <v>696</v>
      </c>
      <c r="AC36" s="18">
        <v>766</v>
      </c>
      <c r="AD36" s="18">
        <v>874</v>
      </c>
      <c r="AE36" s="18">
        <v>998</v>
      </c>
      <c r="AF36" s="18">
        <v>645</v>
      </c>
      <c r="AG36" s="18">
        <v>811</v>
      </c>
      <c r="AH36" s="18">
        <v>676</v>
      </c>
      <c r="AI36" s="18">
        <v>813</v>
      </c>
      <c r="AJ36" s="18">
        <v>700</v>
      </c>
      <c r="AK36" s="18">
        <v>681</v>
      </c>
      <c r="AL36" s="18">
        <v>745</v>
      </c>
      <c r="AM36" s="18">
        <v>757</v>
      </c>
      <c r="AN36" s="18">
        <v>864</v>
      </c>
      <c r="AO36" s="18">
        <v>866</v>
      </c>
      <c r="AP36" s="18">
        <v>936</v>
      </c>
      <c r="AQ36">
        <v>874</v>
      </c>
      <c r="AR36" s="166">
        <v>894</v>
      </c>
      <c r="AS36" s="174">
        <v>951</v>
      </c>
    </row>
    <row r="37" spans="1:45">
      <c r="A37" s="20" t="s">
        <v>74</v>
      </c>
      <c r="B37" s="71">
        <v>0</v>
      </c>
      <c r="C37" s="20"/>
      <c r="D37" s="20"/>
      <c r="E37" s="20">
        <v>5</v>
      </c>
      <c r="F37" s="20">
        <v>2</v>
      </c>
      <c r="G37" s="20">
        <v>2</v>
      </c>
      <c r="H37" s="20">
        <v>4</v>
      </c>
      <c r="I37" s="20">
        <v>8</v>
      </c>
      <c r="J37" s="20">
        <v>4</v>
      </c>
      <c r="K37" s="20">
        <v>8</v>
      </c>
      <c r="L37" s="20">
        <v>6</v>
      </c>
      <c r="M37" s="20">
        <v>8</v>
      </c>
      <c r="N37" s="20">
        <v>9</v>
      </c>
      <c r="O37" s="20">
        <v>5</v>
      </c>
      <c r="P37" s="20">
        <v>9</v>
      </c>
      <c r="Q37" s="20">
        <v>12</v>
      </c>
      <c r="R37" s="20">
        <v>6</v>
      </c>
      <c r="S37" s="20">
        <v>13</v>
      </c>
      <c r="T37" s="20">
        <v>4</v>
      </c>
      <c r="U37" s="20">
        <v>15</v>
      </c>
      <c r="V37" s="20">
        <v>13</v>
      </c>
      <c r="W37" s="20">
        <v>18</v>
      </c>
      <c r="X37" s="71">
        <v>0</v>
      </c>
      <c r="Y37" s="20"/>
      <c r="Z37" s="20"/>
      <c r="AA37" s="20">
        <v>50</v>
      </c>
      <c r="AB37" s="20">
        <v>55</v>
      </c>
      <c r="AC37" s="20">
        <v>81</v>
      </c>
      <c r="AD37" s="20">
        <v>51</v>
      </c>
      <c r="AE37" s="20">
        <v>80</v>
      </c>
      <c r="AF37" s="20">
        <v>53</v>
      </c>
      <c r="AG37" s="20">
        <v>41</v>
      </c>
      <c r="AH37" s="20">
        <v>50</v>
      </c>
      <c r="AI37" s="20">
        <v>57</v>
      </c>
      <c r="AJ37" s="20">
        <v>54</v>
      </c>
      <c r="AK37" s="20">
        <v>53</v>
      </c>
      <c r="AL37" s="20">
        <v>47</v>
      </c>
      <c r="AM37" s="20">
        <v>43</v>
      </c>
      <c r="AN37" s="20">
        <v>28</v>
      </c>
      <c r="AO37" s="20">
        <v>46</v>
      </c>
      <c r="AP37" s="20">
        <v>34</v>
      </c>
      <c r="AQ37">
        <v>69</v>
      </c>
      <c r="AR37" s="167">
        <v>61</v>
      </c>
      <c r="AS37" s="27">
        <v>64</v>
      </c>
    </row>
    <row r="38" spans="1:45">
      <c r="A38" s="15" t="s">
        <v>75</v>
      </c>
      <c r="B38" s="48">
        <f t="shared" ref="B38:AO38" si="24">SUM(B40:B51)</f>
        <v>795</v>
      </c>
      <c r="C38" s="15">
        <f t="shared" si="24"/>
        <v>0</v>
      </c>
      <c r="D38" s="15">
        <f t="shared" si="24"/>
        <v>0</v>
      </c>
      <c r="E38" s="15">
        <f t="shared" si="24"/>
        <v>1257</v>
      </c>
      <c r="F38" s="15">
        <f t="shared" si="24"/>
        <v>1302</v>
      </c>
      <c r="G38" s="15">
        <f t="shared" si="24"/>
        <v>1505</v>
      </c>
      <c r="H38" s="15">
        <f t="shared" si="24"/>
        <v>1521</v>
      </c>
      <c r="I38" s="15">
        <f t="shared" si="24"/>
        <v>1737</v>
      </c>
      <c r="J38" s="15">
        <f t="shared" si="24"/>
        <v>1887</v>
      </c>
      <c r="K38" s="15">
        <f t="shared" si="24"/>
        <v>1970</v>
      </c>
      <c r="L38" s="15">
        <f t="shared" si="24"/>
        <v>2125</v>
      </c>
      <c r="M38" s="15">
        <f t="shared" si="24"/>
        <v>2811</v>
      </c>
      <c r="N38" s="15">
        <f t="shared" si="24"/>
        <v>3048</v>
      </c>
      <c r="O38" s="15">
        <f t="shared" si="24"/>
        <v>3462</v>
      </c>
      <c r="P38" s="15">
        <f t="shared" si="24"/>
        <v>3456</v>
      </c>
      <c r="Q38" s="15">
        <f t="shared" si="24"/>
        <v>4106</v>
      </c>
      <c r="R38" s="15">
        <f t="shared" si="24"/>
        <v>4278</v>
      </c>
      <c r="S38" s="15">
        <f t="shared" si="24"/>
        <v>4611</v>
      </c>
      <c r="T38" s="15">
        <f t="shared" ref="T38:U38" si="25">SUM(T40:T51)</f>
        <v>4902</v>
      </c>
      <c r="U38" s="15">
        <f t="shared" si="25"/>
        <v>5270</v>
      </c>
      <c r="V38" s="15">
        <f t="shared" ref="V38:W38" si="26">SUM(V40:V51)</f>
        <v>5592</v>
      </c>
      <c r="W38" s="15">
        <f t="shared" si="26"/>
        <v>5749</v>
      </c>
      <c r="X38" s="48">
        <f t="shared" si="24"/>
        <v>7440</v>
      </c>
      <c r="Y38" s="15">
        <f t="shared" si="24"/>
        <v>0</v>
      </c>
      <c r="Z38" s="15">
        <f t="shared" si="24"/>
        <v>0</v>
      </c>
      <c r="AA38" s="15">
        <f t="shared" si="24"/>
        <v>9834</v>
      </c>
      <c r="AB38" s="15">
        <f t="shared" si="24"/>
        <v>10596</v>
      </c>
      <c r="AC38" s="15">
        <f t="shared" si="24"/>
        <v>11304</v>
      </c>
      <c r="AD38" s="15">
        <f t="shared" si="24"/>
        <v>11831</v>
      </c>
      <c r="AE38" s="15">
        <f t="shared" si="24"/>
        <v>11961</v>
      </c>
      <c r="AF38" s="15">
        <f t="shared" si="24"/>
        <v>12261</v>
      </c>
      <c r="AG38" s="15">
        <f t="shared" si="24"/>
        <v>12715</v>
      </c>
      <c r="AH38" s="15">
        <f t="shared" si="24"/>
        <v>13765</v>
      </c>
      <c r="AI38" s="15">
        <f t="shared" si="24"/>
        <v>17966</v>
      </c>
      <c r="AJ38" s="15">
        <f t="shared" si="24"/>
        <v>18832</v>
      </c>
      <c r="AK38" s="15">
        <f t="shared" si="24"/>
        <v>17881</v>
      </c>
      <c r="AL38" s="15">
        <f t="shared" si="24"/>
        <v>16626</v>
      </c>
      <c r="AM38" s="15">
        <f t="shared" si="24"/>
        <v>15875</v>
      </c>
      <c r="AN38" s="15">
        <f t="shared" si="24"/>
        <v>17471</v>
      </c>
      <c r="AO38" s="15">
        <f t="shared" si="24"/>
        <v>18383</v>
      </c>
      <c r="AP38" s="15">
        <f t="shared" ref="AP38:AQ38" si="27">SUM(AP40:AP51)</f>
        <v>18290</v>
      </c>
      <c r="AQ38" s="15">
        <f t="shared" si="27"/>
        <v>19389</v>
      </c>
      <c r="AR38" s="15">
        <f t="shared" ref="AR38:AS38" si="28">SUM(AR40:AR51)</f>
        <v>20326</v>
      </c>
      <c r="AS38" s="15">
        <f t="shared" si="28"/>
        <v>21003</v>
      </c>
    </row>
    <row r="39" spans="1:45">
      <c r="A39" s="17" t="s">
        <v>44</v>
      </c>
      <c r="B39" s="49">
        <f t="shared" ref="B39:AO39" si="29">(B38/B4)*100</f>
        <v>11.938729538969815</v>
      </c>
      <c r="C39" s="17">
        <f t="shared" si="29"/>
        <v>0</v>
      </c>
      <c r="D39" s="17">
        <f t="shared" si="29"/>
        <v>0</v>
      </c>
      <c r="E39" s="17">
        <f t="shared" si="29"/>
        <v>13.889502762430938</v>
      </c>
      <c r="F39" s="17">
        <f t="shared" si="29"/>
        <v>12.838970515728231</v>
      </c>
      <c r="G39" s="17">
        <f t="shared" si="29"/>
        <v>13.298577361491562</v>
      </c>
      <c r="H39" s="17">
        <f t="shared" si="29"/>
        <v>12.460063897763577</v>
      </c>
      <c r="I39" s="17">
        <f t="shared" si="29"/>
        <v>12.710376115908092</v>
      </c>
      <c r="J39" s="17">
        <f t="shared" si="29"/>
        <v>12.951269732326697</v>
      </c>
      <c r="K39" s="17">
        <f t="shared" si="29"/>
        <v>12.798025076333397</v>
      </c>
      <c r="L39" s="17">
        <f t="shared" si="29"/>
        <v>11.814744801512287</v>
      </c>
      <c r="M39" s="17">
        <f t="shared" si="29"/>
        <v>12.470609112284283</v>
      </c>
      <c r="N39" s="17">
        <f t="shared" si="29"/>
        <v>11.514487552415851</v>
      </c>
      <c r="O39" s="17">
        <f t="shared" si="29"/>
        <v>12.28487278662929</v>
      </c>
      <c r="P39" s="17">
        <f t="shared" si="29"/>
        <v>12.333606937653903</v>
      </c>
      <c r="Q39" s="17">
        <f t="shared" si="29"/>
        <v>13.272562710111197</v>
      </c>
      <c r="R39" s="17">
        <f t="shared" si="29"/>
        <v>13.171587795190739</v>
      </c>
      <c r="S39" s="17">
        <f t="shared" si="29"/>
        <v>13.293164586156198</v>
      </c>
      <c r="T39" s="17">
        <f t="shared" ref="T39:U39" si="30">(T38/T4)*100</f>
        <v>12.930625164864152</v>
      </c>
      <c r="U39" s="17">
        <f t="shared" si="30"/>
        <v>13.332996002631178</v>
      </c>
      <c r="V39" s="17">
        <f t="shared" ref="V39:W39" si="31">(V38/V4)*100</f>
        <v>12.546274483408496</v>
      </c>
      <c r="W39" s="17">
        <f t="shared" si="31"/>
        <v>12.352018563478934</v>
      </c>
      <c r="X39" s="49">
        <f t="shared" si="29"/>
        <v>26.340945300053107</v>
      </c>
      <c r="Y39" s="17">
        <f t="shared" si="29"/>
        <v>0</v>
      </c>
      <c r="Z39" s="17">
        <f t="shared" si="29"/>
        <v>0</v>
      </c>
      <c r="AA39" s="17">
        <f t="shared" si="29"/>
        <v>24.850276703813208</v>
      </c>
      <c r="AB39" s="17">
        <f t="shared" si="29"/>
        <v>24.065409947762888</v>
      </c>
      <c r="AC39" s="17">
        <f t="shared" si="29"/>
        <v>24.358394207770377</v>
      </c>
      <c r="AD39" s="17">
        <f t="shared" si="29"/>
        <v>24.317602565156623</v>
      </c>
      <c r="AE39" s="17">
        <f t="shared" si="29"/>
        <v>25.015685782406827</v>
      </c>
      <c r="AF39" s="17">
        <f t="shared" si="29"/>
        <v>24.830393487109905</v>
      </c>
      <c r="AG39" s="17">
        <f t="shared" si="29"/>
        <v>24.274995704385347</v>
      </c>
      <c r="AH39" s="17">
        <f t="shared" si="29"/>
        <v>24.589138978206503</v>
      </c>
      <c r="AI39" s="17">
        <f t="shared" si="29"/>
        <v>25.119192427610699</v>
      </c>
      <c r="AJ39" s="17">
        <f t="shared" si="29"/>
        <v>25.163350659415546</v>
      </c>
      <c r="AK39" s="17">
        <f t="shared" si="29"/>
        <v>24.432602309216371</v>
      </c>
      <c r="AL39" s="17">
        <f t="shared" si="29"/>
        <v>24.075763499717624</v>
      </c>
      <c r="AM39" s="17">
        <f t="shared" si="29"/>
        <v>23.265186487872793</v>
      </c>
      <c r="AN39" s="17">
        <f t="shared" si="29"/>
        <v>24.005880898073595</v>
      </c>
      <c r="AO39" s="17">
        <f t="shared" si="29"/>
        <v>23.108155671761864</v>
      </c>
      <c r="AP39" s="17">
        <f t="shared" ref="AP39:AQ39" si="32">(AP38/AP4)*100</f>
        <v>22.489732680815482</v>
      </c>
      <c r="AQ39" s="17">
        <f t="shared" si="32"/>
        <v>22.852260003535861</v>
      </c>
      <c r="AR39" s="17">
        <f t="shared" ref="AR39:AS39" si="33">(AR38/AR4)*100</f>
        <v>22.876501108597537</v>
      </c>
      <c r="AS39" s="17">
        <f t="shared" si="33"/>
        <v>22.298072023101749</v>
      </c>
    </row>
    <row r="40" spans="1:45">
      <c r="A40" s="18" t="s">
        <v>76</v>
      </c>
      <c r="B40" s="70">
        <v>257</v>
      </c>
      <c r="C40" s="18"/>
      <c r="D40" s="18"/>
      <c r="E40" s="18">
        <v>424</v>
      </c>
      <c r="F40" s="18">
        <v>412</v>
      </c>
      <c r="G40" s="18">
        <v>473</v>
      </c>
      <c r="H40" s="18">
        <v>509</v>
      </c>
      <c r="I40" s="18">
        <v>599</v>
      </c>
      <c r="J40" s="18">
        <v>694</v>
      </c>
      <c r="K40" s="18">
        <v>640</v>
      </c>
      <c r="L40" s="18">
        <v>679</v>
      </c>
      <c r="M40" s="18">
        <v>993</v>
      </c>
      <c r="N40" s="18">
        <v>1126</v>
      </c>
      <c r="O40" s="18">
        <v>1286</v>
      </c>
      <c r="P40" s="18">
        <v>1375</v>
      </c>
      <c r="Q40" s="18">
        <v>1674</v>
      </c>
      <c r="R40" s="18">
        <v>1684</v>
      </c>
      <c r="S40" s="18">
        <v>1823</v>
      </c>
      <c r="T40" s="18">
        <v>1971</v>
      </c>
      <c r="U40" s="18">
        <v>2108</v>
      </c>
      <c r="V40" s="18">
        <v>2179</v>
      </c>
      <c r="W40" s="18">
        <v>2209</v>
      </c>
      <c r="X40" s="70">
        <v>1688</v>
      </c>
      <c r="Y40" s="18"/>
      <c r="Z40" s="18"/>
      <c r="AA40" s="18">
        <v>2239</v>
      </c>
      <c r="AB40" s="18">
        <v>2426</v>
      </c>
      <c r="AC40" s="18">
        <v>2660</v>
      </c>
      <c r="AD40" s="18">
        <v>2635</v>
      </c>
      <c r="AE40" s="18">
        <v>2747</v>
      </c>
      <c r="AF40" s="18">
        <v>2715</v>
      </c>
      <c r="AG40" s="18">
        <v>3133</v>
      </c>
      <c r="AH40" s="18">
        <v>3781</v>
      </c>
      <c r="AI40" s="18">
        <v>5056</v>
      </c>
      <c r="AJ40" s="18">
        <v>5503</v>
      </c>
      <c r="AK40" s="18">
        <v>4971</v>
      </c>
      <c r="AL40" s="18">
        <v>4718</v>
      </c>
      <c r="AM40" s="18">
        <v>4521</v>
      </c>
      <c r="AN40" s="18">
        <v>5391</v>
      </c>
      <c r="AO40" s="18">
        <v>5970</v>
      </c>
      <c r="AP40" s="18">
        <v>5746</v>
      </c>
      <c r="AQ40" s="159">
        <v>5792</v>
      </c>
      <c r="AR40">
        <v>6137</v>
      </c>
      <c r="AS40">
        <v>6407</v>
      </c>
    </row>
    <row r="41" spans="1:45">
      <c r="A41" s="18" t="s">
        <v>77</v>
      </c>
      <c r="B41" s="70">
        <v>62</v>
      </c>
      <c r="C41" s="18"/>
      <c r="D41" s="18"/>
      <c r="E41" s="18">
        <v>93</v>
      </c>
      <c r="F41" s="18">
        <v>97</v>
      </c>
      <c r="G41" s="18">
        <v>143</v>
      </c>
      <c r="H41" s="18">
        <v>110</v>
      </c>
      <c r="I41" s="18">
        <v>109</v>
      </c>
      <c r="J41" s="18">
        <v>133</v>
      </c>
      <c r="K41" s="18">
        <v>152</v>
      </c>
      <c r="L41" s="18">
        <v>162</v>
      </c>
      <c r="M41" s="18">
        <v>193</v>
      </c>
      <c r="N41" s="18">
        <v>214</v>
      </c>
      <c r="O41" s="18">
        <v>265</v>
      </c>
      <c r="P41" s="18">
        <v>211</v>
      </c>
      <c r="Q41" s="18">
        <v>261</v>
      </c>
      <c r="R41" s="18">
        <v>287</v>
      </c>
      <c r="S41" s="18">
        <v>312</v>
      </c>
      <c r="T41" s="18">
        <v>315</v>
      </c>
      <c r="U41" s="18">
        <v>349</v>
      </c>
      <c r="V41" s="18">
        <v>375</v>
      </c>
      <c r="W41" s="18">
        <v>426</v>
      </c>
      <c r="X41" s="70">
        <v>748</v>
      </c>
      <c r="Y41" s="18"/>
      <c r="Z41" s="18"/>
      <c r="AA41" s="18">
        <v>843</v>
      </c>
      <c r="AB41" s="18">
        <v>880</v>
      </c>
      <c r="AC41" s="18">
        <v>871</v>
      </c>
      <c r="AD41" s="18">
        <v>964</v>
      </c>
      <c r="AE41" s="18">
        <v>971</v>
      </c>
      <c r="AF41" s="18">
        <v>1073</v>
      </c>
      <c r="AG41" s="18">
        <v>1109</v>
      </c>
      <c r="AH41" s="18">
        <v>1216</v>
      </c>
      <c r="AI41" s="18">
        <v>1607</v>
      </c>
      <c r="AJ41" s="18">
        <v>1718</v>
      </c>
      <c r="AK41" s="18">
        <v>1665</v>
      </c>
      <c r="AL41" s="18">
        <v>1640</v>
      </c>
      <c r="AM41" s="18">
        <v>1620</v>
      </c>
      <c r="AN41" s="18">
        <v>1691</v>
      </c>
      <c r="AO41" s="18">
        <v>1680</v>
      </c>
      <c r="AP41" s="18">
        <v>1974</v>
      </c>
      <c r="AQ41" s="159">
        <v>2095</v>
      </c>
      <c r="AR41">
        <v>2051</v>
      </c>
      <c r="AS41">
        <v>2106</v>
      </c>
    </row>
    <row r="42" spans="1:45">
      <c r="A42" s="18" t="s">
        <v>78</v>
      </c>
      <c r="B42" s="70">
        <v>18</v>
      </c>
      <c r="C42" s="18"/>
      <c r="D42" s="18"/>
      <c r="E42" s="18">
        <v>39</v>
      </c>
      <c r="F42" s="18">
        <v>47</v>
      </c>
      <c r="G42" s="18">
        <v>51</v>
      </c>
      <c r="H42" s="18">
        <v>42</v>
      </c>
      <c r="I42" s="18">
        <v>49</v>
      </c>
      <c r="J42" s="18">
        <v>49</v>
      </c>
      <c r="K42" s="18">
        <v>45</v>
      </c>
      <c r="L42" s="18">
        <v>83</v>
      </c>
      <c r="M42" s="18">
        <v>82</v>
      </c>
      <c r="N42" s="18">
        <v>57</v>
      </c>
      <c r="O42" s="18">
        <v>76</v>
      </c>
      <c r="P42" s="18">
        <v>71</v>
      </c>
      <c r="Q42" s="18">
        <v>66</v>
      </c>
      <c r="R42" s="18">
        <v>70</v>
      </c>
      <c r="S42" s="18">
        <v>116</v>
      </c>
      <c r="T42" s="18">
        <v>192</v>
      </c>
      <c r="U42" s="18">
        <v>287</v>
      </c>
      <c r="V42" s="18">
        <v>443</v>
      </c>
      <c r="W42" s="18">
        <v>553</v>
      </c>
      <c r="X42" s="70">
        <v>426</v>
      </c>
      <c r="Y42" s="18"/>
      <c r="Z42" s="18"/>
      <c r="AA42" s="18">
        <v>669</v>
      </c>
      <c r="AB42" s="18">
        <v>605</v>
      </c>
      <c r="AC42" s="18">
        <v>625</v>
      </c>
      <c r="AD42" s="18">
        <v>606</v>
      </c>
      <c r="AE42" s="18">
        <v>532</v>
      </c>
      <c r="AF42" s="18">
        <v>613</v>
      </c>
      <c r="AG42" s="18">
        <v>701</v>
      </c>
      <c r="AH42" s="18">
        <v>815</v>
      </c>
      <c r="AI42" s="18">
        <v>763</v>
      </c>
      <c r="AJ42" s="18">
        <v>741</v>
      </c>
      <c r="AK42" s="18">
        <v>860</v>
      </c>
      <c r="AL42" s="18">
        <v>752</v>
      </c>
      <c r="AM42" s="18">
        <v>595</v>
      </c>
      <c r="AN42" s="18">
        <v>691</v>
      </c>
      <c r="AO42" s="18">
        <v>753</v>
      </c>
      <c r="AP42" s="18">
        <v>663</v>
      </c>
      <c r="AQ42">
        <v>765</v>
      </c>
      <c r="AR42">
        <v>764</v>
      </c>
      <c r="AS42">
        <v>772</v>
      </c>
    </row>
    <row r="43" spans="1:45">
      <c r="A43" s="18" t="s">
        <v>79</v>
      </c>
      <c r="B43" s="70">
        <v>19</v>
      </c>
      <c r="C43" s="18"/>
      <c r="D43" s="18"/>
      <c r="E43" s="18">
        <v>57</v>
      </c>
      <c r="F43" s="18">
        <v>52</v>
      </c>
      <c r="G43" s="18">
        <v>40</v>
      </c>
      <c r="H43" s="18">
        <v>55</v>
      </c>
      <c r="I43" s="18">
        <v>64</v>
      </c>
      <c r="J43" s="18">
        <v>76</v>
      </c>
      <c r="K43" s="18">
        <v>96</v>
      </c>
      <c r="L43" s="18">
        <v>99</v>
      </c>
      <c r="M43" s="18">
        <v>122</v>
      </c>
      <c r="N43" s="18">
        <v>108</v>
      </c>
      <c r="O43" s="18">
        <v>119</v>
      </c>
      <c r="P43" s="18">
        <v>116</v>
      </c>
      <c r="Q43" s="18">
        <v>140</v>
      </c>
      <c r="R43" s="18">
        <v>180</v>
      </c>
      <c r="S43" s="18">
        <v>185</v>
      </c>
      <c r="T43" s="18">
        <v>194</v>
      </c>
      <c r="U43" s="18">
        <v>243</v>
      </c>
      <c r="V43" s="18">
        <v>261</v>
      </c>
      <c r="W43" s="18">
        <v>255</v>
      </c>
      <c r="X43" s="70">
        <v>321</v>
      </c>
      <c r="Y43" s="18"/>
      <c r="Z43" s="18"/>
      <c r="AA43" s="18">
        <v>504</v>
      </c>
      <c r="AB43" s="18">
        <v>466</v>
      </c>
      <c r="AC43" s="18">
        <v>719</v>
      </c>
      <c r="AD43" s="18">
        <v>684</v>
      </c>
      <c r="AE43" s="18">
        <v>692</v>
      </c>
      <c r="AF43" s="18">
        <v>634</v>
      </c>
      <c r="AG43" s="18">
        <v>561</v>
      </c>
      <c r="AH43" s="18">
        <v>590</v>
      </c>
      <c r="AI43" s="18">
        <v>750</v>
      </c>
      <c r="AJ43" s="18">
        <v>827</v>
      </c>
      <c r="AK43" s="18">
        <v>748</v>
      </c>
      <c r="AL43" s="18">
        <v>745</v>
      </c>
      <c r="AM43" s="18">
        <v>653</v>
      </c>
      <c r="AN43" s="18">
        <v>688</v>
      </c>
      <c r="AO43" s="18">
        <v>650</v>
      </c>
      <c r="AP43" s="18">
        <v>651</v>
      </c>
      <c r="AQ43">
        <v>856</v>
      </c>
      <c r="AR43">
        <v>773</v>
      </c>
      <c r="AS43">
        <v>666</v>
      </c>
    </row>
    <row r="44" spans="1:45">
      <c r="A44" s="18" t="s">
        <v>80</v>
      </c>
      <c r="B44" s="70">
        <v>152</v>
      </c>
      <c r="C44" s="18"/>
      <c r="D44" s="18"/>
      <c r="E44" s="18">
        <v>224</v>
      </c>
      <c r="F44" s="18">
        <v>227</v>
      </c>
      <c r="G44" s="18">
        <v>243</v>
      </c>
      <c r="H44" s="18">
        <v>280</v>
      </c>
      <c r="I44" s="18">
        <v>293</v>
      </c>
      <c r="J44" s="18">
        <v>290</v>
      </c>
      <c r="K44" s="18">
        <v>324</v>
      </c>
      <c r="L44" s="18">
        <v>334</v>
      </c>
      <c r="M44" s="18">
        <v>487</v>
      </c>
      <c r="N44" s="18">
        <v>463</v>
      </c>
      <c r="O44" s="18">
        <v>458</v>
      </c>
      <c r="P44" s="18">
        <v>497</v>
      </c>
      <c r="Q44" s="18">
        <v>441</v>
      </c>
      <c r="R44" s="18">
        <v>499</v>
      </c>
      <c r="S44" s="18">
        <v>491</v>
      </c>
      <c r="T44" s="18">
        <v>506</v>
      </c>
      <c r="U44" s="18">
        <v>514</v>
      </c>
      <c r="V44" s="18">
        <v>532</v>
      </c>
      <c r="W44" s="18">
        <v>589</v>
      </c>
      <c r="X44" s="70">
        <v>1418</v>
      </c>
      <c r="Y44" s="18"/>
      <c r="Z44" s="18"/>
      <c r="AA44" s="18">
        <v>1842</v>
      </c>
      <c r="AB44" s="18">
        <v>2040</v>
      </c>
      <c r="AC44" s="18">
        <v>2079</v>
      </c>
      <c r="AD44" s="18">
        <v>2111</v>
      </c>
      <c r="AE44" s="18">
        <v>2037</v>
      </c>
      <c r="AF44" s="18">
        <v>2166</v>
      </c>
      <c r="AG44" s="18">
        <v>2010</v>
      </c>
      <c r="AH44" s="18">
        <v>2097</v>
      </c>
      <c r="AI44" s="18">
        <v>3147</v>
      </c>
      <c r="AJ44" s="18">
        <v>3121</v>
      </c>
      <c r="AK44" s="18">
        <v>2689</v>
      </c>
      <c r="AL44" s="18">
        <v>2349</v>
      </c>
      <c r="AM44" s="18">
        <v>2552</v>
      </c>
      <c r="AN44" s="18">
        <v>2619</v>
      </c>
      <c r="AO44" s="18">
        <v>2657</v>
      </c>
      <c r="AP44" s="18">
        <v>2581</v>
      </c>
      <c r="AQ44" s="159">
        <v>2932</v>
      </c>
      <c r="AR44">
        <v>2981</v>
      </c>
      <c r="AS44">
        <v>3250</v>
      </c>
    </row>
    <row r="45" spans="1:45">
      <c r="A45" s="18" t="s">
        <v>81</v>
      </c>
      <c r="B45" s="70">
        <v>20</v>
      </c>
      <c r="C45" s="18"/>
      <c r="D45" s="18"/>
      <c r="E45" s="18">
        <v>25</v>
      </c>
      <c r="F45" s="18">
        <v>36</v>
      </c>
      <c r="G45" s="18">
        <v>47</v>
      </c>
      <c r="H45" s="18">
        <v>47</v>
      </c>
      <c r="I45" s="18">
        <v>59</v>
      </c>
      <c r="J45" s="18">
        <v>60</v>
      </c>
      <c r="K45" s="18">
        <v>47</v>
      </c>
      <c r="L45" s="18">
        <v>77</v>
      </c>
      <c r="M45" s="18">
        <v>91</v>
      </c>
      <c r="N45" s="18">
        <v>143</v>
      </c>
      <c r="O45" s="18">
        <v>255</v>
      </c>
      <c r="P45" s="18">
        <v>146</v>
      </c>
      <c r="Q45" s="18">
        <v>420</v>
      </c>
      <c r="R45" s="18">
        <v>426</v>
      </c>
      <c r="S45" s="18">
        <v>477</v>
      </c>
      <c r="T45" s="18">
        <v>493</v>
      </c>
      <c r="U45" s="18">
        <v>355</v>
      </c>
      <c r="V45" s="18">
        <v>175</v>
      </c>
      <c r="W45" s="18">
        <v>176</v>
      </c>
      <c r="X45" s="70">
        <v>258</v>
      </c>
      <c r="Y45" s="18"/>
      <c r="Z45" s="18"/>
      <c r="AA45" s="18">
        <v>399</v>
      </c>
      <c r="AB45" s="18">
        <v>411</v>
      </c>
      <c r="AC45" s="18">
        <v>445</v>
      </c>
      <c r="AD45" s="18">
        <v>505</v>
      </c>
      <c r="AE45" s="18">
        <v>514</v>
      </c>
      <c r="AF45" s="18">
        <v>500</v>
      </c>
      <c r="AG45" s="18">
        <v>527</v>
      </c>
      <c r="AH45" s="18">
        <v>628</v>
      </c>
      <c r="AI45" s="18">
        <v>780</v>
      </c>
      <c r="AJ45" s="18">
        <v>931</v>
      </c>
      <c r="AK45" s="18">
        <v>932</v>
      </c>
      <c r="AL45" s="18">
        <v>871</v>
      </c>
      <c r="AM45" s="18">
        <v>869</v>
      </c>
      <c r="AN45" s="18">
        <v>939</v>
      </c>
      <c r="AO45" s="18">
        <v>911</v>
      </c>
      <c r="AP45" s="18">
        <v>1064</v>
      </c>
      <c r="AQ45" s="159">
        <v>1150</v>
      </c>
      <c r="AR45">
        <v>1054</v>
      </c>
      <c r="AS45">
        <v>945</v>
      </c>
    </row>
    <row r="46" spans="1:45">
      <c r="A46" s="18" t="s">
        <v>82</v>
      </c>
      <c r="B46" s="70">
        <v>82</v>
      </c>
      <c r="C46" s="18"/>
      <c r="D46" s="18"/>
      <c r="E46" s="18">
        <v>178</v>
      </c>
      <c r="F46" s="18">
        <v>185</v>
      </c>
      <c r="G46" s="18">
        <v>249</v>
      </c>
      <c r="H46" s="18">
        <v>218</v>
      </c>
      <c r="I46" s="18">
        <v>257</v>
      </c>
      <c r="J46" s="18">
        <v>283</v>
      </c>
      <c r="K46" s="18">
        <v>275</v>
      </c>
      <c r="L46" s="18">
        <v>304</v>
      </c>
      <c r="M46" s="18">
        <v>414</v>
      </c>
      <c r="N46" s="18">
        <v>439</v>
      </c>
      <c r="O46" s="18">
        <v>492</v>
      </c>
      <c r="P46" s="18">
        <v>516</v>
      </c>
      <c r="Q46" s="18">
        <v>558</v>
      </c>
      <c r="R46" s="18">
        <v>587</v>
      </c>
      <c r="S46" s="18">
        <v>578</v>
      </c>
      <c r="T46" s="18">
        <v>592</v>
      </c>
      <c r="U46" s="18">
        <v>680</v>
      </c>
      <c r="V46" s="18">
        <v>719</v>
      </c>
      <c r="W46" s="18">
        <v>655</v>
      </c>
      <c r="X46" s="70">
        <v>717</v>
      </c>
      <c r="Y46" s="18"/>
      <c r="Z46" s="18"/>
      <c r="AA46" s="18">
        <v>800</v>
      </c>
      <c r="AB46" s="18">
        <v>767</v>
      </c>
      <c r="AC46" s="18">
        <v>875</v>
      </c>
      <c r="AD46" s="18">
        <v>1055</v>
      </c>
      <c r="AE46" s="18">
        <v>986</v>
      </c>
      <c r="AF46" s="18">
        <v>940</v>
      </c>
      <c r="AG46" s="18">
        <v>1014</v>
      </c>
      <c r="AH46" s="18">
        <v>1151</v>
      </c>
      <c r="AI46" s="18">
        <v>1882</v>
      </c>
      <c r="AJ46" s="18">
        <v>1892</v>
      </c>
      <c r="AK46" s="18">
        <v>1754</v>
      </c>
      <c r="AL46" s="18">
        <v>1641</v>
      </c>
      <c r="AM46" s="18">
        <v>1596</v>
      </c>
      <c r="AN46" s="18">
        <v>1769</v>
      </c>
      <c r="AO46" s="18">
        <v>1950</v>
      </c>
      <c r="AP46" s="18">
        <v>1515</v>
      </c>
      <c r="AQ46" s="159">
        <v>1753</v>
      </c>
      <c r="AR46">
        <v>1963</v>
      </c>
      <c r="AS46">
        <v>2044</v>
      </c>
    </row>
    <row r="47" spans="1:45">
      <c r="A47" s="18" t="s">
        <v>83</v>
      </c>
      <c r="B47" s="70">
        <v>13</v>
      </c>
      <c r="C47" s="18"/>
      <c r="D47" s="18"/>
      <c r="E47" s="18">
        <v>17</v>
      </c>
      <c r="F47" s="18">
        <v>14</v>
      </c>
      <c r="G47" s="18">
        <v>21</v>
      </c>
      <c r="H47" s="18">
        <v>32</v>
      </c>
      <c r="I47" s="18">
        <v>27</v>
      </c>
      <c r="J47" s="18">
        <v>36</v>
      </c>
      <c r="K47" s="18">
        <v>48</v>
      </c>
      <c r="L47" s="18">
        <v>74</v>
      </c>
      <c r="M47" s="18">
        <v>63</v>
      </c>
      <c r="N47" s="18">
        <v>74</v>
      </c>
      <c r="O47" s="18">
        <v>75</v>
      </c>
      <c r="P47" s="18">
        <v>81</v>
      </c>
      <c r="Q47" s="18">
        <v>51</v>
      </c>
      <c r="R47" s="18">
        <v>74</v>
      </c>
      <c r="S47" s="18">
        <v>84</v>
      </c>
      <c r="T47" s="18">
        <v>97</v>
      </c>
      <c r="U47" s="18">
        <v>119</v>
      </c>
      <c r="V47" s="18">
        <v>106</v>
      </c>
      <c r="W47" s="18">
        <v>113</v>
      </c>
      <c r="X47" s="70">
        <v>15</v>
      </c>
      <c r="Y47" s="18"/>
      <c r="Z47" s="18"/>
      <c r="AA47" s="18">
        <v>156</v>
      </c>
      <c r="AB47" s="18">
        <v>154</v>
      </c>
      <c r="AC47" s="18">
        <v>196</v>
      </c>
      <c r="AD47" s="18">
        <v>174</v>
      </c>
      <c r="AE47" s="18">
        <v>215</v>
      </c>
      <c r="AF47" s="18">
        <v>189</v>
      </c>
      <c r="AG47" s="18">
        <v>220</v>
      </c>
      <c r="AH47" s="18">
        <v>231</v>
      </c>
      <c r="AI47" s="18">
        <v>270</v>
      </c>
      <c r="AJ47" s="18">
        <v>401</v>
      </c>
      <c r="AK47" s="18">
        <v>382</v>
      </c>
      <c r="AL47" s="18">
        <v>248</v>
      </c>
      <c r="AM47" s="18">
        <v>161</v>
      </c>
      <c r="AN47" s="18">
        <v>177</v>
      </c>
      <c r="AO47" s="18">
        <v>158</v>
      </c>
      <c r="AP47" s="18">
        <v>151</v>
      </c>
      <c r="AQ47">
        <v>214</v>
      </c>
      <c r="AR47">
        <v>345</v>
      </c>
      <c r="AS47">
        <v>295</v>
      </c>
    </row>
    <row r="48" spans="1:45">
      <c r="A48" s="18" t="s">
        <v>84</v>
      </c>
      <c r="B48" s="70">
        <v>2</v>
      </c>
      <c r="C48" s="18"/>
      <c r="D48" s="18"/>
      <c r="E48" s="18">
        <v>7</v>
      </c>
      <c r="F48" s="18">
        <v>3</v>
      </c>
      <c r="G48" s="18">
        <v>6</v>
      </c>
      <c r="H48" s="18">
        <v>8</v>
      </c>
      <c r="I48" s="18">
        <v>4</v>
      </c>
      <c r="J48" s="18">
        <v>2</v>
      </c>
      <c r="K48" s="18">
        <v>4</v>
      </c>
      <c r="L48" s="18">
        <v>4</v>
      </c>
      <c r="M48" s="18">
        <v>6</v>
      </c>
      <c r="N48" s="18">
        <v>4</v>
      </c>
      <c r="O48" s="18">
        <v>17</v>
      </c>
      <c r="P48" s="18">
        <v>9</v>
      </c>
      <c r="Q48" s="18">
        <v>7</v>
      </c>
      <c r="R48" s="18">
        <v>17</v>
      </c>
      <c r="S48" s="18">
        <v>17</v>
      </c>
      <c r="T48" s="18">
        <v>15</v>
      </c>
      <c r="U48" s="18">
        <v>14</v>
      </c>
      <c r="V48" s="18">
        <v>15</v>
      </c>
      <c r="W48" s="18">
        <v>33</v>
      </c>
      <c r="X48" s="70">
        <v>50</v>
      </c>
      <c r="Y48" s="18"/>
      <c r="Z48" s="18"/>
      <c r="AA48" s="18">
        <v>65</v>
      </c>
      <c r="AB48" s="18">
        <v>64</v>
      </c>
      <c r="AC48" s="18">
        <v>103</v>
      </c>
      <c r="AD48" s="18">
        <v>62</v>
      </c>
      <c r="AE48" s="18">
        <v>94</v>
      </c>
      <c r="AF48" s="18">
        <v>113</v>
      </c>
      <c r="AG48" s="18">
        <v>103</v>
      </c>
      <c r="AH48" s="18">
        <v>112</v>
      </c>
      <c r="AI48" s="18">
        <v>79</v>
      </c>
      <c r="AJ48" s="18">
        <v>107</v>
      </c>
      <c r="AK48" s="18">
        <v>133</v>
      </c>
      <c r="AL48" s="18">
        <v>122</v>
      </c>
      <c r="AM48" s="18">
        <v>172</v>
      </c>
      <c r="AN48" s="18">
        <v>167</v>
      </c>
      <c r="AO48" s="18">
        <v>154</v>
      </c>
      <c r="AP48" s="18">
        <v>160</v>
      </c>
      <c r="AQ48">
        <v>174</v>
      </c>
      <c r="AR48">
        <v>180</v>
      </c>
      <c r="AS48">
        <v>221</v>
      </c>
    </row>
    <row r="49" spans="1:45">
      <c r="A49" s="18" t="s">
        <v>85</v>
      </c>
      <c r="B49" s="70">
        <v>98</v>
      </c>
      <c r="C49" s="18"/>
      <c r="D49" s="18"/>
      <c r="E49" s="18">
        <v>112</v>
      </c>
      <c r="F49" s="18">
        <v>166</v>
      </c>
      <c r="G49" s="18">
        <v>151</v>
      </c>
      <c r="H49" s="18">
        <v>143</v>
      </c>
      <c r="I49" s="18">
        <v>174</v>
      </c>
      <c r="J49" s="18">
        <v>172</v>
      </c>
      <c r="K49" s="18">
        <v>213</v>
      </c>
      <c r="L49" s="18">
        <v>179</v>
      </c>
      <c r="M49" s="18">
        <v>201</v>
      </c>
      <c r="N49" s="18">
        <v>228</v>
      </c>
      <c r="O49" s="18">
        <v>243</v>
      </c>
      <c r="P49" s="18">
        <v>270</v>
      </c>
      <c r="Q49" s="18">
        <v>306</v>
      </c>
      <c r="R49" s="18">
        <v>270</v>
      </c>
      <c r="S49" s="18">
        <v>336</v>
      </c>
      <c r="T49" s="18">
        <v>329</v>
      </c>
      <c r="U49" s="18">
        <v>355</v>
      </c>
      <c r="V49" s="18">
        <v>511</v>
      </c>
      <c r="W49" s="18">
        <v>474</v>
      </c>
      <c r="X49" s="70">
        <v>1169</v>
      </c>
      <c r="Y49" s="18"/>
      <c r="Z49" s="18"/>
      <c r="AA49" s="18">
        <v>1436</v>
      </c>
      <c r="AB49" s="18">
        <v>1854</v>
      </c>
      <c r="AC49" s="18">
        <v>1859</v>
      </c>
      <c r="AD49" s="18">
        <v>2166</v>
      </c>
      <c r="AE49" s="18">
        <v>2207</v>
      </c>
      <c r="AF49" s="18">
        <v>2510</v>
      </c>
      <c r="AG49" s="18">
        <v>2451</v>
      </c>
      <c r="AH49" s="18">
        <v>2307</v>
      </c>
      <c r="AI49" s="18">
        <v>2651</v>
      </c>
      <c r="AJ49" s="18">
        <v>2584</v>
      </c>
      <c r="AK49" s="18">
        <v>2809</v>
      </c>
      <c r="AL49" s="18">
        <v>2621</v>
      </c>
      <c r="AM49" s="18">
        <v>2300</v>
      </c>
      <c r="AN49" s="18">
        <v>2595</v>
      </c>
      <c r="AO49" s="18">
        <v>2757</v>
      </c>
      <c r="AP49" s="18">
        <v>2864</v>
      </c>
      <c r="AQ49" s="159">
        <v>2633</v>
      </c>
      <c r="AR49">
        <v>2991</v>
      </c>
      <c r="AS49">
        <v>3138</v>
      </c>
    </row>
    <row r="50" spans="1:45">
      <c r="A50" s="18" t="s">
        <v>86</v>
      </c>
      <c r="B50" s="70">
        <v>5</v>
      </c>
      <c r="C50" s="18"/>
      <c r="D50" s="18"/>
      <c r="E50" s="18">
        <v>1</v>
      </c>
      <c r="F50" s="18">
        <v>0</v>
      </c>
      <c r="G50" s="18">
        <v>5</v>
      </c>
      <c r="H50" s="18">
        <v>4</v>
      </c>
      <c r="I50" s="18">
        <v>0</v>
      </c>
      <c r="J50" s="18">
        <v>4</v>
      </c>
      <c r="K50" s="18">
        <v>5</v>
      </c>
      <c r="L50" s="18">
        <v>1</v>
      </c>
      <c r="M50" s="18">
        <v>9</v>
      </c>
      <c r="N50" s="18">
        <v>7</v>
      </c>
      <c r="O50" s="18">
        <v>12</v>
      </c>
      <c r="P50" s="18">
        <v>5</v>
      </c>
      <c r="Q50" s="18">
        <v>8</v>
      </c>
      <c r="R50" s="18">
        <v>13</v>
      </c>
      <c r="S50" s="18">
        <v>6</v>
      </c>
      <c r="T50" s="18">
        <v>12</v>
      </c>
      <c r="U50" s="18">
        <v>16</v>
      </c>
      <c r="V50" s="18">
        <v>26</v>
      </c>
      <c r="W50" s="18">
        <v>27</v>
      </c>
      <c r="X50" s="70">
        <v>62</v>
      </c>
      <c r="Y50" s="18"/>
      <c r="Z50" s="18"/>
      <c r="AA50" s="18">
        <v>102</v>
      </c>
      <c r="AB50" s="18">
        <v>147</v>
      </c>
      <c r="AC50" s="18">
        <v>157</v>
      </c>
      <c r="AD50" s="18">
        <v>138</v>
      </c>
      <c r="AE50" s="18">
        <v>191</v>
      </c>
      <c r="AF50" s="18">
        <v>132</v>
      </c>
      <c r="AG50" s="18">
        <v>124</v>
      </c>
      <c r="AH50" s="18">
        <v>73</v>
      </c>
      <c r="AI50" s="18">
        <v>114</v>
      </c>
      <c r="AJ50" s="18">
        <v>123</v>
      </c>
      <c r="AK50" s="18">
        <v>106</v>
      </c>
      <c r="AL50" s="18">
        <v>126</v>
      </c>
      <c r="AM50" s="18">
        <v>118</v>
      </c>
      <c r="AN50" s="18">
        <v>105</v>
      </c>
      <c r="AO50" s="18">
        <v>85</v>
      </c>
      <c r="AP50" s="18">
        <v>84</v>
      </c>
      <c r="AQ50">
        <v>99</v>
      </c>
      <c r="AR50">
        <v>113</v>
      </c>
      <c r="AS50">
        <v>105</v>
      </c>
    </row>
    <row r="51" spans="1:45">
      <c r="A51" s="20" t="s">
        <v>87</v>
      </c>
      <c r="B51" s="71">
        <v>67</v>
      </c>
      <c r="C51" s="20"/>
      <c r="D51" s="20"/>
      <c r="E51" s="20">
        <v>80</v>
      </c>
      <c r="F51" s="20">
        <v>63</v>
      </c>
      <c r="G51" s="20">
        <v>76</v>
      </c>
      <c r="H51" s="20">
        <v>73</v>
      </c>
      <c r="I51" s="20">
        <v>102</v>
      </c>
      <c r="J51" s="20">
        <v>88</v>
      </c>
      <c r="K51" s="20">
        <v>121</v>
      </c>
      <c r="L51" s="20">
        <v>129</v>
      </c>
      <c r="M51" s="20">
        <v>150</v>
      </c>
      <c r="N51" s="20">
        <v>185</v>
      </c>
      <c r="O51" s="20">
        <v>164</v>
      </c>
      <c r="P51" s="20">
        <v>159</v>
      </c>
      <c r="Q51" s="20">
        <v>174</v>
      </c>
      <c r="R51" s="20">
        <v>171</v>
      </c>
      <c r="S51" s="20">
        <v>186</v>
      </c>
      <c r="T51" s="20">
        <v>186</v>
      </c>
      <c r="U51" s="20">
        <v>230</v>
      </c>
      <c r="V51" s="20">
        <v>250</v>
      </c>
      <c r="W51" s="20">
        <v>239</v>
      </c>
      <c r="X51" s="71">
        <v>568</v>
      </c>
      <c r="Y51" s="20"/>
      <c r="Z51" s="20"/>
      <c r="AA51" s="20">
        <v>779</v>
      </c>
      <c r="AB51" s="20">
        <v>782</v>
      </c>
      <c r="AC51" s="20">
        <v>715</v>
      </c>
      <c r="AD51" s="20">
        <v>731</v>
      </c>
      <c r="AE51" s="20">
        <v>775</v>
      </c>
      <c r="AF51" s="20">
        <v>676</v>
      </c>
      <c r="AG51" s="20">
        <v>762</v>
      </c>
      <c r="AH51" s="20">
        <v>764</v>
      </c>
      <c r="AI51" s="20">
        <v>867</v>
      </c>
      <c r="AJ51" s="20">
        <v>884</v>
      </c>
      <c r="AK51" s="20">
        <v>832</v>
      </c>
      <c r="AL51" s="20">
        <v>793</v>
      </c>
      <c r="AM51" s="20">
        <v>718</v>
      </c>
      <c r="AN51" s="20">
        <v>639</v>
      </c>
      <c r="AO51" s="20">
        <v>658</v>
      </c>
      <c r="AP51" s="20">
        <v>837</v>
      </c>
      <c r="AQ51">
        <v>926</v>
      </c>
      <c r="AR51" s="162">
        <v>974</v>
      </c>
      <c r="AS51" s="141">
        <v>1054</v>
      </c>
    </row>
    <row r="52" spans="1:45">
      <c r="A52" s="15" t="s">
        <v>88</v>
      </c>
      <c r="B52" s="48">
        <f t="shared" ref="B52:AO52" si="34">SUM(B54:B62)</f>
        <v>1284</v>
      </c>
      <c r="C52" s="15">
        <f t="shared" si="34"/>
        <v>0</v>
      </c>
      <c r="D52" s="15">
        <f t="shared" si="34"/>
        <v>0</v>
      </c>
      <c r="E52" s="15">
        <f t="shared" si="34"/>
        <v>2324</v>
      </c>
      <c r="F52" s="15">
        <f t="shared" si="34"/>
        <v>2437</v>
      </c>
      <c r="G52" s="15">
        <f t="shared" si="34"/>
        <v>2671</v>
      </c>
      <c r="H52" s="15">
        <f t="shared" si="34"/>
        <v>2861</v>
      </c>
      <c r="I52" s="15">
        <f t="shared" si="34"/>
        <v>3125</v>
      </c>
      <c r="J52" s="15">
        <f t="shared" si="34"/>
        <v>3322</v>
      </c>
      <c r="K52" s="15">
        <f t="shared" si="34"/>
        <v>3419</v>
      </c>
      <c r="L52" s="15">
        <f t="shared" si="34"/>
        <v>3717</v>
      </c>
      <c r="M52" s="15">
        <f t="shared" si="34"/>
        <v>4839</v>
      </c>
      <c r="N52" s="15">
        <f t="shared" si="34"/>
        <v>6554</v>
      </c>
      <c r="O52" s="15">
        <f t="shared" si="34"/>
        <v>6447</v>
      </c>
      <c r="P52" s="15">
        <f t="shared" si="34"/>
        <v>5768</v>
      </c>
      <c r="Q52" s="15">
        <f t="shared" si="34"/>
        <v>6000</v>
      </c>
      <c r="R52" s="15">
        <f t="shared" si="34"/>
        <v>6345</v>
      </c>
      <c r="S52" s="15">
        <f t="shared" si="34"/>
        <v>6672</v>
      </c>
      <c r="T52" s="15">
        <f t="shared" ref="T52:U52" si="35">SUM(T54:T62)</f>
        <v>7127</v>
      </c>
      <c r="U52" s="15">
        <f t="shared" si="35"/>
        <v>7473</v>
      </c>
      <c r="V52" s="15">
        <f t="shared" ref="V52:W52" si="36">SUM(V54:V62)</f>
        <v>8526</v>
      </c>
      <c r="W52" s="15">
        <f t="shared" si="36"/>
        <v>8842</v>
      </c>
      <c r="X52" s="48">
        <f t="shared" si="34"/>
        <v>7050</v>
      </c>
      <c r="Y52" s="15">
        <f t="shared" si="34"/>
        <v>0</v>
      </c>
      <c r="Z52" s="15">
        <f t="shared" si="34"/>
        <v>0</v>
      </c>
      <c r="AA52" s="15">
        <f t="shared" si="34"/>
        <v>11216</v>
      </c>
      <c r="AB52" s="15">
        <f t="shared" si="34"/>
        <v>12943</v>
      </c>
      <c r="AC52" s="15">
        <f t="shared" si="34"/>
        <v>13394</v>
      </c>
      <c r="AD52" s="15">
        <f t="shared" si="34"/>
        <v>14002</v>
      </c>
      <c r="AE52" s="15">
        <f t="shared" si="34"/>
        <v>13759</v>
      </c>
      <c r="AF52" s="15">
        <f t="shared" si="34"/>
        <v>14597</v>
      </c>
      <c r="AG52" s="15">
        <f t="shared" si="34"/>
        <v>15544</v>
      </c>
      <c r="AH52" s="15">
        <f t="shared" si="34"/>
        <v>16465</v>
      </c>
      <c r="AI52" s="15">
        <f t="shared" si="34"/>
        <v>21142</v>
      </c>
      <c r="AJ52" s="15">
        <f t="shared" si="34"/>
        <v>21030</v>
      </c>
      <c r="AK52" s="15">
        <f t="shared" si="34"/>
        <v>19426</v>
      </c>
      <c r="AL52" s="15">
        <f t="shared" si="34"/>
        <v>19705</v>
      </c>
      <c r="AM52" s="15">
        <f t="shared" si="34"/>
        <v>20201</v>
      </c>
      <c r="AN52" s="15">
        <f t="shared" si="34"/>
        <v>22353</v>
      </c>
      <c r="AO52" s="15">
        <f t="shared" si="34"/>
        <v>24783</v>
      </c>
      <c r="AP52" s="15">
        <f t="shared" ref="AP52:AQ52" si="37">SUM(AP54:AP62)</f>
        <v>26148</v>
      </c>
      <c r="AQ52" s="15">
        <f t="shared" si="37"/>
        <v>26446</v>
      </c>
      <c r="AR52" s="15">
        <f t="shared" ref="AR52:AS52" si="38">SUM(AR54:AR62)</f>
        <v>28919</v>
      </c>
      <c r="AS52" s="15">
        <f t="shared" si="38"/>
        <v>31256</v>
      </c>
    </row>
    <row r="53" spans="1:45">
      <c r="A53" s="17" t="s">
        <v>44</v>
      </c>
      <c r="B53" s="49">
        <f t="shared" ref="B53:AO53" si="39">(B52/B4)*100</f>
        <v>19.282174500675779</v>
      </c>
      <c r="C53" s="17">
        <f t="shared" si="39"/>
        <v>0</v>
      </c>
      <c r="D53" s="17">
        <f t="shared" si="39"/>
        <v>0</v>
      </c>
      <c r="E53" s="17">
        <f t="shared" si="39"/>
        <v>25.679558011049725</v>
      </c>
      <c r="F53" s="17">
        <f t="shared" si="39"/>
        <v>24.031160635045854</v>
      </c>
      <c r="G53" s="17">
        <f t="shared" si="39"/>
        <v>23.601661217637183</v>
      </c>
      <c r="H53" s="17">
        <f t="shared" si="39"/>
        <v>23.437371999672319</v>
      </c>
      <c r="I53" s="17">
        <f t="shared" si="39"/>
        <v>22.866969120444899</v>
      </c>
      <c r="J53" s="17">
        <f t="shared" si="39"/>
        <v>22.800274536719286</v>
      </c>
      <c r="K53" s="17">
        <f t="shared" si="39"/>
        <v>22.211394789839538</v>
      </c>
      <c r="L53" s="17">
        <f t="shared" si="39"/>
        <v>20.666073612809964</v>
      </c>
      <c r="M53" s="17">
        <f t="shared" si="39"/>
        <v>21.467548023601438</v>
      </c>
      <c r="N53" s="17">
        <f t="shared" si="39"/>
        <v>24.759170412904687</v>
      </c>
      <c r="O53" s="17">
        <f t="shared" si="39"/>
        <v>22.877115787232533</v>
      </c>
      <c r="P53" s="17">
        <f t="shared" si="39"/>
        <v>20.584561578815887</v>
      </c>
      <c r="Q53" s="17">
        <f t="shared" si="39"/>
        <v>19.394879751745538</v>
      </c>
      <c r="R53" s="17">
        <f t="shared" si="39"/>
        <v>19.535699990763263</v>
      </c>
      <c r="S53" s="17">
        <f t="shared" si="39"/>
        <v>19.234871854008706</v>
      </c>
      <c r="T53" s="17">
        <f t="shared" ref="T53:U53" si="40">(T52/T4)*100</f>
        <v>18.799788973885516</v>
      </c>
      <c r="U53" s="17">
        <f t="shared" si="40"/>
        <v>18.906542528968274</v>
      </c>
      <c r="V53" s="17">
        <f t="shared" ref="V53:W53" si="41">(V52/V4)*100</f>
        <v>19.129030086827758</v>
      </c>
      <c r="W53" s="17">
        <f t="shared" si="41"/>
        <v>18.997486195561095</v>
      </c>
      <c r="X53" s="49">
        <f t="shared" si="39"/>
        <v>24.960169941582581</v>
      </c>
      <c r="Y53" s="17">
        <f t="shared" si="39"/>
        <v>0</v>
      </c>
      <c r="Z53" s="17">
        <f t="shared" si="39"/>
        <v>0</v>
      </c>
      <c r="AA53" s="17">
        <f t="shared" si="39"/>
        <v>28.342556793773532</v>
      </c>
      <c r="AB53" s="17">
        <f t="shared" si="39"/>
        <v>29.395866454689983</v>
      </c>
      <c r="AC53" s="17">
        <f t="shared" si="39"/>
        <v>28.862025125519857</v>
      </c>
      <c r="AD53" s="17">
        <f t="shared" si="39"/>
        <v>28.779906273123405</v>
      </c>
      <c r="AE53" s="17">
        <f t="shared" si="39"/>
        <v>28.776090684736687</v>
      </c>
      <c r="AF53" s="17">
        <f t="shared" si="39"/>
        <v>29.561149476498105</v>
      </c>
      <c r="AG53" s="17">
        <f t="shared" si="39"/>
        <v>29.676015196930067</v>
      </c>
      <c r="AH53" s="17">
        <f t="shared" si="39"/>
        <v>29.412290103608431</v>
      </c>
      <c r="AI53" s="17">
        <f t="shared" si="39"/>
        <v>29.559722047453267</v>
      </c>
      <c r="AJ53" s="17">
        <f t="shared" si="39"/>
        <v>28.100322024612833</v>
      </c>
      <c r="AK53" s="17">
        <f t="shared" si="39"/>
        <v>26.543690646990502</v>
      </c>
      <c r="AL53" s="17">
        <f t="shared" si="39"/>
        <v>28.534399119567894</v>
      </c>
      <c r="AM53" s="17">
        <f t="shared" si="39"/>
        <v>29.605041401040523</v>
      </c>
      <c r="AN53" s="17">
        <f t="shared" si="39"/>
        <v>30.713952018467118</v>
      </c>
      <c r="AO53" s="17">
        <f t="shared" si="39"/>
        <v>31.153207964601769</v>
      </c>
      <c r="AP53" s="17">
        <f t="shared" ref="AP53:AQ53" si="42">(AP52/AP4)*100</f>
        <v>32.152079285837246</v>
      </c>
      <c r="AQ53" s="17">
        <f t="shared" si="42"/>
        <v>31.169780187400555</v>
      </c>
      <c r="AR53" s="17">
        <f t="shared" ref="AR53:AS53" si="43">(AR52/AR4)*100</f>
        <v>32.547748477788659</v>
      </c>
      <c r="AS53" s="17">
        <f t="shared" si="43"/>
        <v>33.183285204688296</v>
      </c>
    </row>
    <row r="54" spans="1:45">
      <c r="A54" s="18" t="s">
        <v>89</v>
      </c>
      <c r="B54" s="70">
        <v>69</v>
      </c>
      <c r="C54" s="18"/>
      <c r="D54" s="18"/>
      <c r="E54" s="18">
        <v>96</v>
      </c>
      <c r="F54" s="18">
        <v>108</v>
      </c>
      <c r="G54" s="18">
        <v>171</v>
      </c>
      <c r="H54" s="18">
        <v>133</v>
      </c>
      <c r="I54" s="18">
        <v>136</v>
      </c>
      <c r="J54" s="18">
        <v>169</v>
      </c>
      <c r="K54" s="18">
        <v>172</v>
      </c>
      <c r="L54" s="18">
        <v>186</v>
      </c>
      <c r="M54" s="18">
        <v>194</v>
      </c>
      <c r="N54" s="18">
        <v>253</v>
      </c>
      <c r="O54" s="18">
        <v>286</v>
      </c>
      <c r="P54" s="18">
        <v>251</v>
      </c>
      <c r="Q54" s="18">
        <v>304</v>
      </c>
      <c r="R54" s="18">
        <v>289</v>
      </c>
      <c r="S54" s="18">
        <v>383</v>
      </c>
      <c r="T54" s="18">
        <v>359</v>
      </c>
      <c r="U54" s="18">
        <v>344</v>
      </c>
      <c r="V54" s="18">
        <v>364</v>
      </c>
      <c r="W54" s="18">
        <v>379</v>
      </c>
      <c r="X54" s="70">
        <v>557</v>
      </c>
      <c r="Y54" s="18"/>
      <c r="Z54" s="18"/>
      <c r="AA54" s="18">
        <v>775</v>
      </c>
      <c r="AB54" s="18">
        <v>821</v>
      </c>
      <c r="AC54" s="18">
        <v>865</v>
      </c>
      <c r="AD54" s="18">
        <v>810</v>
      </c>
      <c r="AE54" s="18">
        <v>877</v>
      </c>
      <c r="AF54" s="18">
        <v>896</v>
      </c>
      <c r="AG54" s="18">
        <v>912</v>
      </c>
      <c r="AH54" s="18">
        <v>885</v>
      </c>
      <c r="AI54" s="18">
        <v>1249</v>
      </c>
      <c r="AJ54" s="18">
        <v>1186</v>
      </c>
      <c r="AK54" s="18">
        <v>1192</v>
      </c>
      <c r="AL54" s="18">
        <v>1067</v>
      </c>
      <c r="AM54" s="18">
        <v>1041</v>
      </c>
      <c r="AN54" s="18">
        <v>1232</v>
      </c>
      <c r="AO54" s="18">
        <v>1678</v>
      </c>
      <c r="AP54" s="18">
        <v>1571</v>
      </c>
      <c r="AQ54" s="159">
        <v>1482</v>
      </c>
      <c r="AR54">
        <v>1483</v>
      </c>
      <c r="AS54">
        <v>1495</v>
      </c>
    </row>
    <row r="55" spans="1:45">
      <c r="A55" s="18" t="s">
        <v>90</v>
      </c>
      <c r="B55" s="70">
        <v>2</v>
      </c>
      <c r="C55" s="18"/>
      <c r="D55" s="18"/>
      <c r="E55" s="18">
        <v>0</v>
      </c>
      <c r="F55" s="18">
        <v>2</v>
      </c>
      <c r="G55" s="18">
        <v>1</v>
      </c>
      <c r="H55" s="18">
        <v>1</v>
      </c>
      <c r="I55" s="18">
        <v>3</v>
      </c>
      <c r="J55" s="18">
        <v>7</v>
      </c>
      <c r="K55" s="18">
        <v>4</v>
      </c>
      <c r="L55" s="18">
        <v>2</v>
      </c>
      <c r="M55" s="18">
        <v>11</v>
      </c>
      <c r="N55" s="18">
        <v>12</v>
      </c>
      <c r="O55" s="18">
        <v>16</v>
      </c>
      <c r="P55" s="18">
        <v>15</v>
      </c>
      <c r="Q55" s="18">
        <v>13</v>
      </c>
      <c r="R55" s="18">
        <v>26</v>
      </c>
      <c r="S55" s="18">
        <v>8</v>
      </c>
      <c r="T55" s="18">
        <v>22</v>
      </c>
      <c r="U55" s="18">
        <v>24</v>
      </c>
      <c r="V55" s="18">
        <v>23</v>
      </c>
      <c r="W55" s="18">
        <v>25</v>
      </c>
      <c r="X55" s="70">
        <v>5</v>
      </c>
      <c r="Y55" s="18"/>
      <c r="Z55" s="18"/>
      <c r="AA55" s="18">
        <v>13</v>
      </c>
      <c r="AB55" s="18">
        <v>20</v>
      </c>
      <c r="AC55" s="18">
        <v>33</v>
      </c>
      <c r="AD55" s="18">
        <v>25</v>
      </c>
      <c r="AE55" s="18">
        <v>16</v>
      </c>
      <c r="AF55" s="18">
        <v>22</v>
      </c>
      <c r="AG55" s="18">
        <v>63</v>
      </c>
      <c r="AH55" s="18">
        <v>53</v>
      </c>
      <c r="AI55" s="18">
        <v>61</v>
      </c>
      <c r="AJ55" s="18">
        <v>60</v>
      </c>
      <c r="AK55" s="18">
        <v>60</v>
      </c>
      <c r="AL55" s="18">
        <v>47</v>
      </c>
      <c r="AM55" s="18">
        <v>37</v>
      </c>
      <c r="AN55" s="18">
        <v>47</v>
      </c>
      <c r="AO55" s="18">
        <v>52</v>
      </c>
      <c r="AP55" s="18">
        <v>37</v>
      </c>
      <c r="AQ55">
        <v>62</v>
      </c>
      <c r="AR55">
        <v>26</v>
      </c>
      <c r="AS55">
        <v>40</v>
      </c>
    </row>
    <row r="56" spans="1:45">
      <c r="A56" s="18" t="s">
        <v>91</v>
      </c>
      <c r="B56" s="70">
        <v>208</v>
      </c>
      <c r="C56" s="18"/>
      <c r="D56" s="18"/>
      <c r="E56" s="18">
        <v>357</v>
      </c>
      <c r="F56" s="18">
        <v>359</v>
      </c>
      <c r="G56" s="18">
        <v>387</v>
      </c>
      <c r="H56" s="18">
        <v>407</v>
      </c>
      <c r="I56" s="18">
        <v>454</v>
      </c>
      <c r="J56" s="18">
        <v>535</v>
      </c>
      <c r="K56" s="18">
        <v>520</v>
      </c>
      <c r="L56" s="18">
        <v>560</v>
      </c>
      <c r="M56" s="18">
        <v>691</v>
      </c>
      <c r="N56" s="18">
        <v>830</v>
      </c>
      <c r="O56" s="18">
        <v>856</v>
      </c>
      <c r="P56" s="18">
        <v>933</v>
      </c>
      <c r="Q56" s="18">
        <v>915</v>
      </c>
      <c r="R56" s="18">
        <v>933</v>
      </c>
      <c r="S56" s="18">
        <v>927</v>
      </c>
      <c r="T56" s="18">
        <v>1045</v>
      </c>
      <c r="U56" s="18">
        <v>1172</v>
      </c>
      <c r="V56" s="18">
        <v>1575</v>
      </c>
      <c r="W56" s="18">
        <v>1420</v>
      </c>
      <c r="X56" s="70">
        <v>1844</v>
      </c>
      <c r="Y56" s="18"/>
      <c r="Z56" s="18"/>
      <c r="AA56" s="18">
        <v>2850</v>
      </c>
      <c r="AB56" s="18">
        <v>2729</v>
      </c>
      <c r="AC56" s="18">
        <v>2947</v>
      </c>
      <c r="AD56" s="18">
        <v>3004</v>
      </c>
      <c r="AE56" s="18">
        <v>3248</v>
      </c>
      <c r="AF56" s="18">
        <v>3820</v>
      </c>
      <c r="AG56" s="18">
        <v>3915</v>
      </c>
      <c r="AH56" s="18">
        <v>4007</v>
      </c>
      <c r="AI56" s="18">
        <v>4489</v>
      </c>
      <c r="AJ56" s="18">
        <v>4494</v>
      </c>
      <c r="AK56" s="18">
        <v>3894</v>
      </c>
      <c r="AL56" s="18">
        <v>3869</v>
      </c>
      <c r="AM56" s="18">
        <v>3897</v>
      </c>
      <c r="AN56" s="18">
        <v>4299</v>
      </c>
      <c r="AO56" s="18">
        <v>4715</v>
      </c>
      <c r="AP56" s="18">
        <v>5218</v>
      </c>
      <c r="AQ56" s="159">
        <v>5505</v>
      </c>
      <c r="AR56">
        <v>6068</v>
      </c>
      <c r="AS56">
        <v>7113</v>
      </c>
    </row>
    <row r="57" spans="1:45">
      <c r="A57" s="18" t="s">
        <v>92</v>
      </c>
      <c r="B57" s="70">
        <v>14</v>
      </c>
      <c r="C57" s="18"/>
      <c r="D57" s="18"/>
      <c r="E57" s="18">
        <v>20</v>
      </c>
      <c r="F57" s="18">
        <v>12</v>
      </c>
      <c r="G57" s="18">
        <v>14</v>
      </c>
      <c r="H57" s="18">
        <v>14</v>
      </c>
      <c r="I57" s="18">
        <v>13</v>
      </c>
      <c r="J57" s="18">
        <v>21</v>
      </c>
      <c r="K57" s="18">
        <v>30</v>
      </c>
      <c r="L57" s="18">
        <v>27</v>
      </c>
      <c r="M57" s="18">
        <v>38</v>
      </c>
      <c r="N57" s="18">
        <v>82</v>
      </c>
      <c r="O57" s="18">
        <v>43</v>
      </c>
      <c r="P57" s="18">
        <v>45</v>
      </c>
      <c r="Q57" s="18">
        <v>31</v>
      </c>
      <c r="R57" s="18">
        <v>71</v>
      </c>
      <c r="S57" s="18">
        <v>67</v>
      </c>
      <c r="T57" s="18">
        <v>64</v>
      </c>
      <c r="U57" s="18">
        <v>54</v>
      </c>
      <c r="V57" s="18">
        <v>49</v>
      </c>
      <c r="W57" s="18">
        <v>62</v>
      </c>
      <c r="X57" s="70">
        <v>123</v>
      </c>
      <c r="Y57" s="18"/>
      <c r="Z57" s="18"/>
      <c r="AA57" s="18">
        <v>78</v>
      </c>
      <c r="AB57" s="18">
        <v>124</v>
      </c>
      <c r="AC57" s="18">
        <v>160</v>
      </c>
      <c r="AD57" s="18">
        <v>130</v>
      </c>
      <c r="AE57" s="18">
        <v>126</v>
      </c>
      <c r="AF57" s="18">
        <v>153</v>
      </c>
      <c r="AG57" s="18">
        <v>212</v>
      </c>
      <c r="AH57" s="18">
        <v>264</v>
      </c>
      <c r="AI57" s="18">
        <v>427</v>
      </c>
      <c r="AJ57" s="18">
        <v>442</v>
      </c>
      <c r="AK57" s="18">
        <v>330</v>
      </c>
      <c r="AL57" s="18">
        <v>361</v>
      </c>
      <c r="AM57" s="18">
        <v>403</v>
      </c>
      <c r="AN57" s="18">
        <v>442</v>
      </c>
      <c r="AO57" s="18">
        <v>467</v>
      </c>
      <c r="AP57" s="18">
        <v>428</v>
      </c>
      <c r="AQ57">
        <v>465</v>
      </c>
      <c r="AR57">
        <v>513</v>
      </c>
      <c r="AS57">
        <v>564</v>
      </c>
    </row>
    <row r="58" spans="1:45">
      <c r="A58" s="18" t="s">
        <v>93</v>
      </c>
      <c r="B58" s="70">
        <v>179</v>
      </c>
      <c r="C58" s="18"/>
      <c r="D58" s="18"/>
      <c r="E58" s="18">
        <v>195</v>
      </c>
      <c r="F58" s="18">
        <v>202</v>
      </c>
      <c r="G58" s="18">
        <v>226</v>
      </c>
      <c r="H58" s="18">
        <v>194</v>
      </c>
      <c r="I58" s="18">
        <v>254</v>
      </c>
      <c r="J58" s="18">
        <v>266</v>
      </c>
      <c r="K58" s="18">
        <v>299</v>
      </c>
      <c r="L58" s="18">
        <v>373</v>
      </c>
      <c r="M58" s="18">
        <v>520</v>
      </c>
      <c r="N58" s="18">
        <v>580</v>
      </c>
      <c r="O58" s="18">
        <v>627</v>
      </c>
      <c r="P58" s="18">
        <v>685</v>
      </c>
      <c r="Q58" s="18">
        <v>650</v>
      </c>
      <c r="R58" s="18">
        <v>749</v>
      </c>
      <c r="S58" s="18">
        <v>846</v>
      </c>
      <c r="T58" s="18">
        <v>871</v>
      </c>
      <c r="U58" s="18">
        <v>886</v>
      </c>
      <c r="V58" s="18">
        <v>1115</v>
      </c>
      <c r="W58" s="18">
        <v>1025</v>
      </c>
      <c r="X58" s="70">
        <v>590</v>
      </c>
      <c r="Y58" s="18"/>
      <c r="Z58" s="18"/>
      <c r="AA58" s="18">
        <v>1189</v>
      </c>
      <c r="AB58" s="18">
        <v>1177</v>
      </c>
      <c r="AC58" s="18">
        <v>1085</v>
      </c>
      <c r="AD58" s="18">
        <v>1080</v>
      </c>
      <c r="AE58" s="18">
        <v>1129</v>
      </c>
      <c r="AF58" s="18">
        <v>1198</v>
      </c>
      <c r="AG58" s="18">
        <v>1301</v>
      </c>
      <c r="AH58" s="18">
        <v>1507</v>
      </c>
      <c r="AI58" s="18">
        <v>1762</v>
      </c>
      <c r="AJ58" s="18">
        <v>1786</v>
      </c>
      <c r="AK58" s="18">
        <v>1649</v>
      </c>
      <c r="AL58" s="18">
        <v>1721</v>
      </c>
      <c r="AM58" s="18">
        <v>1622</v>
      </c>
      <c r="AN58" s="18">
        <v>1939</v>
      </c>
      <c r="AO58" s="18">
        <v>2080</v>
      </c>
      <c r="AP58" s="18">
        <v>2403</v>
      </c>
      <c r="AQ58" s="159">
        <v>2177</v>
      </c>
      <c r="AR58">
        <v>2291</v>
      </c>
      <c r="AS58">
        <v>2228</v>
      </c>
    </row>
    <row r="59" spans="1:45">
      <c r="A59" s="18" t="s">
        <v>94</v>
      </c>
      <c r="B59" s="70">
        <v>683</v>
      </c>
      <c r="C59" s="18"/>
      <c r="D59" s="18"/>
      <c r="E59" s="18">
        <v>1458</v>
      </c>
      <c r="F59" s="18">
        <v>1570</v>
      </c>
      <c r="G59" s="18">
        <v>1639</v>
      </c>
      <c r="H59" s="18">
        <v>1826</v>
      </c>
      <c r="I59" s="18">
        <v>1987</v>
      </c>
      <c r="J59" s="18">
        <v>1986</v>
      </c>
      <c r="K59" s="18">
        <v>2037</v>
      </c>
      <c r="L59" s="18">
        <v>2193</v>
      </c>
      <c r="M59" s="18">
        <v>2987</v>
      </c>
      <c r="N59" s="18">
        <v>4331</v>
      </c>
      <c r="O59" s="18">
        <v>4076</v>
      </c>
      <c r="P59" s="18">
        <v>3292</v>
      </c>
      <c r="Q59" s="18">
        <v>3441</v>
      </c>
      <c r="R59" s="18">
        <v>3595</v>
      </c>
      <c r="S59" s="18">
        <v>3750</v>
      </c>
      <c r="T59" s="18">
        <v>3977</v>
      </c>
      <c r="U59" s="18">
        <v>4070</v>
      </c>
      <c r="V59" s="18">
        <v>4374</v>
      </c>
      <c r="W59" s="18">
        <v>4694</v>
      </c>
      <c r="X59" s="70">
        <v>2550</v>
      </c>
      <c r="Y59" s="18"/>
      <c r="Z59" s="18"/>
      <c r="AA59" s="18">
        <v>4668</v>
      </c>
      <c r="AB59" s="18">
        <v>5587</v>
      </c>
      <c r="AC59" s="18">
        <v>5829</v>
      </c>
      <c r="AD59" s="18">
        <v>6074</v>
      </c>
      <c r="AE59" s="18">
        <v>5916</v>
      </c>
      <c r="AF59" s="18">
        <v>5939</v>
      </c>
      <c r="AG59" s="18">
        <v>6317</v>
      </c>
      <c r="AH59" s="18">
        <v>6804</v>
      </c>
      <c r="AI59" s="18">
        <v>9169</v>
      </c>
      <c r="AJ59" s="18">
        <v>9136</v>
      </c>
      <c r="AK59" s="18">
        <v>8821</v>
      </c>
      <c r="AL59" s="18">
        <v>9023</v>
      </c>
      <c r="AM59" s="18">
        <v>9552</v>
      </c>
      <c r="AN59" s="18">
        <v>10555</v>
      </c>
      <c r="AO59" s="18">
        <v>11573</v>
      </c>
      <c r="AP59" s="18">
        <v>11848</v>
      </c>
      <c r="AQ59" s="159">
        <v>12185</v>
      </c>
      <c r="AR59">
        <v>13396</v>
      </c>
      <c r="AS59">
        <v>14289</v>
      </c>
    </row>
    <row r="60" spans="1:45">
      <c r="A60" s="18" t="s">
        <v>95</v>
      </c>
      <c r="B60" s="70">
        <v>110</v>
      </c>
      <c r="C60" s="18"/>
      <c r="D60" s="18"/>
      <c r="E60" s="18">
        <v>173</v>
      </c>
      <c r="F60" s="18">
        <v>149</v>
      </c>
      <c r="G60" s="18">
        <v>203</v>
      </c>
      <c r="H60" s="18">
        <v>253</v>
      </c>
      <c r="I60" s="18">
        <v>225</v>
      </c>
      <c r="J60" s="18">
        <v>292</v>
      </c>
      <c r="K60" s="18">
        <v>304</v>
      </c>
      <c r="L60" s="18">
        <v>315</v>
      </c>
      <c r="M60" s="18">
        <v>329</v>
      </c>
      <c r="N60" s="18">
        <v>400</v>
      </c>
      <c r="O60" s="18">
        <v>451</v>
      </c>
      <c r="P60" s="18">
        <v>439</v>
      </c>
      <c r="Q60" s="18">
        <v>532</v>
      </c>
      <c r="R60" s="18">
        <v>571</v>
      </c>
      <c r="S60" s="18">
        <v>587</v>
      </c>
      <c r="T60" s="18">
        <v>677</v>
      </c>
      <c r="U60" s="18">
        <v>787</v>
      </c>
      <c r="V60" s="18">
        <v>853</v>
      </c>
      <c r="W60" s="18">
        <v>1047</v>
      </c>
      <c r="X60" s="70">
        <v>1213</v>
      </c>
      <c r="Y60" s="18"/>
      <c r="Z60" s="18"/>
      <c r="AA60" s="18">
        <v>1343</v>
      </c>
      <c r="AB60" s="18">
        <v>2146</v>
      </c>
      <c r="AC60" s="18">
        <v>2156</v>
      </c>
      <c r="AD60" s="18">
        <v>2538</v>
      </c>
      <c r="AE60" s="18">
        <v>2082</v>
      </c>
      <c r="AF60" s="18">
        <v>2210</v>
      </c>
      <c r="AG60" s="18">
        <v>2425</v>
      </c>
      <c r="AH60" s="18">
        <v>2571</v>
      </c>
      <c r="AI60" s="18">
        <v>3479</v>
      </c>
      <c r="AJ60" s="18">
        <v>3401</v>
      </c>
      <c r="AK60" s="18">
        <v>2987</v>
      </c>
      <c r="AL60" s="18">
        <v>3171</v>
      </c>
      <c r="AM60" s="18">
        <v>3170</v>
      </c>
      <c r="AN60" s="18">
        <v>3306</v>
      </c>
      <c r="AO60" s="18">
        <v>3674</v>
      </c>
      <c r="AP60" s="18">
        <v>4091</v>
      </c>
      <c r="AQ60" s="159">
        <v>4029</v>
      </c>
      <c r="AR60">
        <v>4552</v>
      </c>
      <c r="AS60">
        <v>4934</v>
      </c>
    </row>
    <row r="61" spans="1:45">
      <c r="A61" s="18" t="s">
        <v>96</v>
      </c>
      <c r="B61" s="70">
        <v>16</v>
      </c>
      <c r="C61" s="18"/>
      <c r="D61" s="18"/>
      <c r="E61" s="18">
        <v>15</v>
      </c>
      <c r="F61" s="18">
        <v>23</v>
      </c>
      <c r="G61" s="18">
        <v>26</v>
      </c>
      <c r="H61" s="18">
        <v>29</v>
      </c>
      <c r="I61" s="18">
        <v>36</v>
      </c>
      <c r="J61" s="18">
        <v>36</v>
      </c>
      <c r="K61" s="18">
        <v>37</v>
      </c>
      <c r="L61" s="18">
        <v>40</v>
      </c>
      <c r="M61" s="18">
        <v>47</v>
      </c>
      <c r="N61" s="18">
        <v>44</v>
      </c>
      <c r="O61" s="18">
        <v>55</v>
      </c>
      <c r="P61" s="18">
        <v>45</v>
      </c>
      <c r="Q61" s="18">
        <v>57</v>
      </c>
      <c r="R61" s="18">
        <v>48</v>
      </c>
      <c r="S61" s="18">
        <v>52</v>
      </c>
      <c r="T61" s="18">
        <v>57</v>
      </c>
      <c r="U61" s="18">
        <v>69</v>
      </c>
      <c r="V61" s="18">
        <v>83</v>
      </c>
      <c r="W61" s="18">
        <v>105</v>
      </c>
      <c r="X61" s="70">
        <v>130</v>
      </c>
      <c r="Y61" s="18"/>
      <c r="Z61" s="18"/>
      <c r="AA61" s="18">
        <v>228</v>
      </c>
      <c r="AB61" s="18">
        <v>260</v>
      </c>
      <c r="AC61" s="18">
        <v>239</v>
      </c>
      <c r="AD61" s="18">
        <v>270</v>
      </c>
      <c r="AE61" s="18">
        <v>261</v>
      </c>
      <c r="AF61" s="18">
        <v>259</v>
      </c>
      <c r="AG61" s="18">
        <v>303</v>
      </c>
      <c r="AH61" s="18">
        <v>260</v>
      </c>
      <c r="AI61" s="18">
        <v>396</v>
      </c>
      <c r="AJ61" s="18">
        <v>404</v>
      </c>
      <c r="AK61" s="18">
        <v>372</v>
      </c>
      <c r="AL61" s="18">
        <v>344</v>
      </c>
      <c r="AM61" s="18">
        <v>371</v>
      </c>
      <c r="AN61" s="18">
        <v>399</v>
      </c>
      <c r="AO61" s="18">
        <v>422</v>
      </c>
      <c r="AP61" s="18">
        <v>444</v>
      </c>
      <c r="AQ61">
        <v>437</v>
      </c>
      <c r="AR61">
        <v>517</v>
      </c>
      <c r="AS61">
        <v>495</v>
      </c>
    </row>
    <row r="62" spans="1:45">
      <c r="A62" s="20" t="s">
        <v>97</v>
      </c>
      <c r="B62" s="71">
        <v>3</v>
      </c>
      <c r="C62" s="20"/>
      <c r="D62" s="20"/>
      <c r="E62" s="20">
        <v>10</v>
      </c>
      <c r="F62" s="20">
        <v>12</v>
      </c>
      <c r="G62" s="20">
        <v>4</v>
      </c>
      <c r="H62" s="20">
        <v>4</v>
      </c>
      <c r="I62" s="20">
        <v>17</v>
      </c>
      <c r="J62" s="20">
        <v>10</v>
      </c>
      <c r="K62" s="20">
        <v>16</v>
      </c>
      <c r="L62" s="20">
        <v>21</v>
      </c>
      <c r="M62" s="20">
        <v>22</v>
      </c>
      <c r="N62" s="20">
        <v>22</v>
      </c>
      <c r="O62" s="20">
        <v>37</v>
      </c>
      <c r="P62" s="20">
        <v>63</v>
      </c>
      <c r="Q62" s="20">
        <v>57</v>
      </c>
      <c r="R62" s="20">
        <v>63</v>
      </c>
      <c r="S62" s="20">
        <v>52</v>
      </c>
      <c r="T62" s="20">
        <v>55</v>
      </c>
      <c r="U62" s="20">
        <v>67</v>
      </c>
      <c r="V62" s="20">
        <v>90</v>
      </c>
      <c r="W62" s="20">
        <v>85</v>
      </c>
      <c r="X62" s="71">
        <v>38</v>
      </c>
      <c r="Y62" s="20"/>
      <c r="Z62" s="20"/>
      <c r="AA62" s="20">
        <v>72</v>
      </c>
      <c r="AB62" s="20">
        <v>79</v>
      </c>
      <c r="AC62" s="20">
        <v>80</v>
      </c>
      <c r="AD62" s="20">
        <v>71</v>
      </c>
      <c r="AE62" s="20">
        <v>104</v>
      </c>
      <c r="AF62" s="20">
        <v>100</v>
      </c>
      <c r="AG62" s="20">
        <v>96</v>
      </c>
      <c r="AH62" s="20">
        <v>114</v>
      </c>
      <c r="AI62" s="20">
        <v>110</v>
      </c>
      <c r="AJ62" s="20">
        <v>121</v>
      </c>
      <c r="AK62" s="20">
        <v>121</v>
      </c>
      <c r="AL62" s="20">
        <v>102</v>
      </c>
      <c r="AM62" s="20">
        <v>108</v>
      </c>
      <c r="AN62" s="20">
        <v>134</v>
      </c>
      <c r="AO62" s="20">
        <v>122</v>
      </c>
      <c r="AP62" s="20">
        <v>108</v>
      </c>
      <c r="AQ62">
        <v>104</v>
      </c>
      <c r="AR62" s="162">
        <v>73</v>
      </c>
      <c r="AS62" s="141">
        <v>98</v>
      </c>
    </row>
    <row r="63" spans="1:45">
      <c r="A63" s="26" t="s">
        <v>98</v>
      </c>
      <c r="B63" s="53">
        <v>122</v>
      </c>
      <c r="C63" s="26"/>
      <c r="D63" s="26"/>
      <c r="E63" s="26">
        <v>124</v>
      </c>
      <c r="F63" s="26">
        <v>141</v>
      </c>
      <c r="G63" s="26">
        <v>141</v>
      </c>
      <c r="H63" s="26">
        <v>152</v>
      </c>
      <c r="I63" s="26">
        <v>177</v>
      </c>
      <c r="J63" s="26">
        <v>198</v>
      </c>
      <c r="K63" s="26">
        <v>191</v>
      </c>
      <c r="L63" s="26">
        <v>208</v>
      </c>
      <c r="M63" s="26">
        <v>258</v>
      </c>
      <c r="N63" s="26">
        <v>290</v>
      </c>
      <c r="O63" s="26">
        <v>315</v>
      </c>
      <c r="P63" s="26">
        <v>314</v>
      </c>
      <c r="Q63" s="26">
        <v>334</v>
      </c>
      <c r="R63" s="26">
        <v>331</v>
      </c>
      <c r="S63" s="26">
        <v>397</v>
      </c>
      <c r="T63" s="26">
        <v>333</v>
      </c>
      <c r="U63" s="26">
        <v>409</v>
      </c>
      <c r="V63" s="26">
        <v>505</v>
      </c>
      <c r="W63" s="26">
        <v>537</v>
      </c>
      <c r="X63" s="53">
        <v>699</v>
      </c>
      <c r="Y63" s="26"/>
      <c r="Z63" s="26"/>
      <c r="AA63" s="26">
        <v>1050</v>
      </c>
      <c r="AB63" s="26">
        <v>1206</v>
      </c>
      <c r="AC63" s="26">
        <v>1282</v>
      </c>
      <c r="AD63" s="26">
        <v>1357</v>
      </c>
      <c r="AE63" s="26">
        <v>1459</v>
      </c>
      <c r="AF63" s="26">
        <v>1409</v>
      </c>
      <c r="AG63" s="26">
        <v>1394</v>
      </c>
      <c r="AH63" s="26">
        <v>1525</v>
      </c>
      <c r="AI63" s="26">
        <v>1508</v>
      </c>
      <c r="AJ63" s="26">
        <v>1555</v>
      </c>
      <c r="AK63" s="26">
        <v>1485</v>
      </c>
      <c r="AL63" s="26">
        <v>1364</v>
      </c>
      <c r="AM63" s="26">
        <v>1375</v>
      </c>
      <c r="AN63" s="26">
        <v>1254</v>
      </c>
      <c r="AO63" s="26">
        <v>1300</v>
      </c>
      <c r="AP63" s="26">
        <v>1340</v>
      </c>
      <c r="AQ63" s="26">
        <v>1305</v>
      </c>
      <c r="AR63" s="162">
        <v>1316</v>
      </c>
      <c r="AS63" s="176">
        <v>1692</v>
      </c>
    </row>
    <row r="64" spans="1:45">
      <c r="A64" s="50"/>
      <c r="B64" s="31"/>
      <c r="C64" s="31"/>
      <c r="D64" s="31"/>
      <c r="E64" s="31"/>
      <c r="F64" s="31"/>
      <c r="G64" s="31"/>
      <c r="H64" s="31"/>
      <c r="I64" s="31"/>
      <c r="J64" s="31"/>
      <c r="K64" s="31"/>
      <c r="L64" s="50"/>
      <c r="M64" s="50"/>
      <c r="N64" s="50"/>
      <c r="O64" s="50"/>
      <c r="P64" s="50"/>
      <c r="Q64" s="50"/>
      <c r="R64" s="50"/>
      <c r="S64" s="50"/>
      <c r="T64" s="50"/>
      <c r="U64" s="50"/>
      <c r="V64" s="50"/>
      <c r="W64" s="50"/>
      <c r="X64" s="31"/>
      <c r="Y64" s="31"/>
      <c r="Z64" s="31"/>
      <c r="AA64" s="31"/>
      <c r="AB64" s="31"/>
      <c r="AC64" s="31"/>
      <c r="AD64" s="31"/>
      <c r="AE64" s="31"/>
      <c r="AF64" s="31"/>
      <c r="AG64" s="31"/>
      <c r="AH64" s="50"/>
      <c r="AI64" s="50"/>
      <c r="AJ64" s="50"/>
      <c r="AK64" s="50"/>
      <c r="AL64" s="50"/>
      <c r="AM64" s="50"/>
      <c r="AN64" s="50"/>
      <c r="AO64" s="50"/>
      <c r="AP64" s="50"/>
    </row>
    <row r="65" spans="1:42">
      <c r="A65" s="50"/>
      <c r="B65" s="31" t="s">
        <v>155</v>
      </c>
      <c r="C65" s="31"/>
      <c r="D65" s="31"/>
      <c r="E65" s="31" t="s">
        <v>155</v>
      </c>
      <c r="F65" s="31" t="s">
        <v>155</v>
      </c>
      <c r="G65" s="31" t="s">
        <v>155</v>
      </c>
      <c r="H65" s="31" t="s">
        <v>155</v>
      </c>
      <c r="I65" s="31" t="s">
        <v>155</v>
      </c>
      <c r="J65" s="31" t="s">
        <v>155</v>
      </c>
      <c r="K65" s="31" t="s">
        <v>155</v>
      </c>
      <c r="L65" s="50" t="s">
        <v>155</v>
      </c>
      <c r="M65" s="50" t="s">
        <v>100</v>
      </c>
      <c r="N65" s="50"/>
      <c r="O65" s="50"/>
      <c r="P65" s="50"/>
      <c r="Q65" s="50"/>
      <c r="R65" s="50"/>
      <c r="S65" s="29" t="s">
        <v>100</v>
      </c>
      <c r="T65" s="29"/>
      <c r="U65" s="29"/>
      <c r="V65" s="29" t="s">
        <v>100</v>
      </c>
      <c r="W65" s="29"/>
      <c r="X65" s="31" t="s">
        <v>155</v>
      </c>
      <c r="Y65" s="31"/>
      <c r="Z65" s="31"/>
      <c r="AA65" s="31" t="s">
        <v>155</v>
      </c>
      <c r="AB65" s="31" t="s">
        <v>155</v>
      </c>
      <c r="AC65" s="31" t="s">
        <v>155</v>
      </c>
      <c r="AD65" s="31" t="s">
        <v>155</v>
      </c>
      <c r="AE65" s="31" t="s">
        <v>155</v>
      </c>
      <c r="AF65" s="31" t="s">
        <v>155</v>
      </c>
      <c r="AG65" s="31" t="s">
        <v>155</v>
      </c>
      <c r="AH65" s="50" t="s">
        <v>155</v>
      </c>
      <c r="AI65" s="50" t="s">
        <v>100</v>
      </c>
      <c r="AJ65" s="50"/>
      <c r="AK65" s="50"/>
      <c r="AL65" s="50"/>
      <c r="AM65" s="50"/>
      <c r="AN65" s="50"/>
      <c r="AO65" s="29" t="s">
        <v>100</v>
      </c>
      <c r="AP65" s="29"/>
    </row>
    <row r="66" spans="1:42">
      <c r="A66" s="50"/>
      <c r="B66" s="31" t="s">
        <v>156</v>
      </c>
      <c r="C66" s="31"/>
      <c r="D66" s="31"/>
      <c r="E66" s="31" t="s">
        <v>156</v>
      </c>
      <c r="F66" s="31" t="s">
        <v>156</v>
      </c>
      <c r="G66" s="31" t="s">
        <v>156</v>
      </c>
      <c r="H66" s="31" t="s">
        <v>156</v>
      </c>
      <c r="I66" s="31" t="s">
        <v>156</v>
      </c>
      <c r="J66" s="31" t="s">
        <v>156</v>
      </c>
      <c r="K66" s="31" t="s">
        <v>156</v>
      </c>
      <c r="L66" s="50" t="s">
        <v>156</v>
      </c>
      <c r="M66" s="50" t="s">
        <v>104</v>
      </c>
      <c r="N66" s="50"/>
      <c r="O66" s="50"/>
      <c r="P66" s="50"/>
      <c r="Q66" s="50"/>
      <c r="R66" s="50"/>
      <c r="S66" s="6" t="s">
        <v>104</v>
      </c>
      <c r="T66" s="6"/>
      <c r="U66" s="6"/>
      <c r="V66" s="6" t="s">
        <v>104</v>
      </c>
      <c r="W66" s="6"/>
      <c r="X66" s="31" t="s">
        <v>156</v>
      </c>
      <c r="Y66" s="31"/>
      <c r="Z66" s="31"/>
      <c r="AA66" s="31" t="s">
        <v>156</v>
      </c>
      <c r="AB66" s="31" t="s">
        <v>156</v>
      </c>
      <c r="AC66" s="31" t="s">
        <v>156</v>
      </c>
      <c r="AD66" s="31" t="s">
        <v>156</v>
      </c>
      <c r="AE66" s="31" t="s">
        <v>156</v>
      </c>
      <c r="AF66" s="31" t="s">
        <v>156</v>
      </c>
      <c r="AG66" s="31" t="s">
        <v>156</v>
      </c>
      <c r="AH66" s="50" t="s">
        <v>156</v>
      </c>
      <c r="AI66" s="50" t="s">
        <v>104</v>
      </c>
      <c r="AJ66" s="50"/>
      <c r="AK66" s="50"/>
      <c r="AL66" s="50"/>
      <c r="AM66" s="50"/>
      <c r="AN66" s="50"/>
      <c r="AO66" s="6" t="s">
        <v>104</v>
      </c>
      <c r="AP66" s="6"/>
    </row>
    <row r="67" spans="1:42">
      <c r="A67" s="50"/>
      <c r="B67" s="31" t="s">
        <v>157</v>
      </c>
      <c r="C67" s="31"/>
      <c r="D67" s="31"/>
      <c r="E67" s="31" t="s">
        <v>157</v>
      </c>
      <c r="F67" s="31" t="s">
        <v>157</v>
      </c>
      <c r="G67" s="31" t="s">
        <v>157</v>
      </c>
      <c r="H67" s="31" t="s">
        <v>157</v>
      </c>
      <c r="I67" s="31" t="s">
        <v>157</v>
      </c>
      <c r="J67" s="31" t="s">
        <v>157</v>
      </c>
      <c r="K67" s="31" t="s">
        <v>157</v>
      </c>
      <c r="L67" s="50" t="s">
        <v>157</v>
      </c>
      <c r="M67" s="50" t="s">
        <v>108</v>
      </c>
      <c r="N67" s="50"/>
      <c r="O67" s="50"/>
      <c r="P67" s="50"/>
      <c r="Q67" s="50"/>
      <c r="R67" s="50"/>
      <c r="S67" s="6" t="s">
        <v>108</v>
      </c>
      <c r="T67" s="6"/>
      <c r="U67" s="6"/>
      <c r="V67" s="6" t="s">
        <v>108</v>
      </c>
      <c r="W67" s="6"/>
      <c r="X67" s="31" t="s">
        <v>157</v>
      </c>
      <c r="Y67" s="31"/>
      <c r="Z67" s="31"/>
      <c r="AA67" s="31" t="s">
        <v>157</v>
      </c>
      <c r="AB67" s="31" t="s">
        <v>157</v>
      </c>
      <c r="AC67" s="31" t="s">
        <v>157</v>
      </c>
      <c r="AD67" s="31" t="s">
        <v>157</v>
      </c>
      <c r="AE67" s="31" t="s">
        <v>157</v>
      </c>
      <c r="AF67" s="31" t="s">
        <v>157</v>
      </c>
      <c r="AG67" s="31" t="s">
        <v>157</v>
      </c>
      <c r="AH67" s="50" t="s">
        <v>157</v>
      </c>
      <c r="AI67" s="50" t="s">
        <v>108</v>
      </c>
      <c r="AJ67" s="50"/>
      <c r="AK67" s="50"/>
      <c r="AL67" s="50"/>
      <c r="AM67" s="50"/>
      <c r="AN67" s="50"/>
      <c r="AO67" s="6" t="s">
        <v>108</v>
      </c>
      <c r="AP67" s="6"/>
    </row>
    <row r="68" spans="1:42">
      <c r="A68" s="50"/>
      <c r="B68" s="31" t="s">
        <v>158</v>
      </c>
      <c r="C68" s="31"/>
      <c r="D68" s="31"/>
      <c r="E68" s="31" t="s">
        <v>158</v>
      </c>
      <c r="F68" s="31" t="s">
        <v>158</v>
      </c>
      <c r="G68" s="31" t="s">
        <v>158</v>
      </c>
      <c r="H68" s="31" t="s">
        <v>158</v>
      </c>
      <c r="I68" s="31" t="s">
        <v>158</v>
      </c>
      <c r="J68" s="31" t="s">
        <v>158</v>
      </c>
      <c r="K68" s="31" t="s">
        <v>158</v>
      </c>
      <c r="L68" s="50" t="s">
        <v>158</v>
      </c>
      <c r="M68" s="50" t="s">
        <v>112</v>
      </c>
      <c r="N68" s="50"/>
      <c r="O68" s="50"/>
      <c r="P68" s="50"/>
      <c r="Q68" s="50"/>
      <c r="R68" s="50"/>
      <c r="S68" s="6" t="s">
        <v>112</v>
      </c>
      <c r="T68" s="6"/>
      <c r="U68" s="6"/>
      <c r="V68" s="6" t="s">
        <v>112</v>
      </c>
      <c r="W68" s="6"/>
      <c r="X68" s="31" t="s">
        <v>158</v>
      </c>
      <c r="Y68" s="31"/>
      <c r="Z68" s="31"/>
      <c r="AA68" s="31" t="s">
        <v>158</v>
      </c>
      <c r="AB68" s="31" t="s">
        <v>158</v>
      </c>
      <c r="AC68" s="31" t="s">
        <v>158</v>
      </c>
      <c r="AD68" s="31" t="s">
        <v>158</v>
      </c>
      <c r="AE68" s="31" t="s">
        <v>158</v>
      </c>
      <c r="AF68" s="31" t="s">
        <v>158</v>
      </c>
      <c r="AG68" s="31" t="s">
        <v>158</v>
      </c>
      <c r="AH68" s="50" t="s">
        <v>158</v>
      </c>
      <c r="AI68" s="50" t="s">
        <v>112</v>
      </c>
      <c r="AJ68" s="50"/>
      <c r="AK68" s="50"/>
      <c r="AL68" s="50"/>
      <c r="AM68" s="50"/>
      <c r="AN68" s="50"/>
      <c r="AO68" s="6" t="s">
        <v>112</v>
      </c>
      <c r="AP68" s="6"/>
    </row>
    <row r="69" spans="1:42">
      <c r="A69" s="50"/>
      <c r="B69" s="31" t="s">
        <v>159</v>
      </c>
      <c r="C69" s="31"/>
      <c r="D69" s="31"/>
      <c r="E69" s="31" t="s">
        <v>159</v>
      </c>
      <c r="F69" s="31" t="s">
        <v>159</v>
      </c>
      <c r="G69" s="31" t="s">
        <v>159</v>
      </c>
      <c r="H69" s="31" t="s">
        <v>159</v>
      </c>
      <c r="I69" s="31" t="s">
        <v>159</v>
      </c>
      <c r="J69" s="31" t="s">
        <v>159</v>
      </c>
      <c r="K69" s="31" t="s">
        <v>159</v>
      </c>
      <c r="L69" s="50" t="s">
        <v>159</v>
      </c>
      <c r="M69" s="50" t="s">
        <v>115</v>
      </c>
      <c r="N69" s="50"/>
      <c r="O69" s="50"/>
      <c r="P69" s="50"/>
      <c r="Q69" s="50"/>
      <c r="R69" s="50"/>
      <c r="S69" s="6" t="s">
        <v>115</v>
      </c>
      <c r="T69" s="6"/>
      <c r="U69" s="6"/>
      <c r="V69" s="6" t="s">
        <v>115</v>
      </c>
      <c r="W69" s="6"/>
      <c r="X69" s="31" t="s">
        <v>159</v>
      </c>
      <c r="Y69" s="31"/>
      <c r="Z69" s="31"/>
      <c r="AA69" s="31" t="s">
        <v>159</v>
      </c>
      <c r="AB69" s="31" t="s">
        <v>159</v>
      </c>
      <c r="AC69" s="31" t="s">
        <v>159</v>
      </c>
      <c r="AD69" s="31" t="s">
        <v>159</v>
      </c>
      <c r="AE69" s="31" t="s">
        <v>159</v>
      </c>
      <c r="AF69" s="31" t="s">
        <v>159</v>
      </c>
      <c r="AG69" s="31" t="s">
        <v>159</v>
      </c>
      <c r="AH69" s="50" t="s">
        <v>159</v>
      </c>
      <c r="AI69" s="50" t="s">
        <v>115</v>
      </c>
      <c r="AJ69" s="50"/>
      <c r="AK69" s="50"/>
      <c r="AL69" s="50"/>
      <c r="AM69" s="50"/>
      <c r="AN69" s="50"/>
      <c r="AO69" s="6" t="s">
        <v>115</v>
      </c>
      <c r="AP69" s="6"/>
    </row>
    <row r="70" spans="1:42">
      <c r="A70" s="50"/>
      <c r="B70" s="31" t="s">
        <v>160</v>
      </c>
      <c r="C70" s="31"/>
      <c r="D70" s="31"/>
      <c r="E70" s="31" t="s">
        <v>160</v>
      </c>
      <c r="F70" s="31" t="s">
        <v>160</v>
      </c>
      <c r="G70" s="31" t="s">
        <v>160</v>
      </c>
      <c r="H70" s="31" t="s">
        <v>160</v>
      </c>
      <c r="I70" s="31" t="s">
        <v>160</v>
      </c>
      <c r="J70" s="31" t="s">
        <v>160</v>
      </c>
      <c r="K70" s="31" t="s">
        <v>160</v>
      </c>
      <c r="L70" s="50" t="s">
        <v>160</v>
      </c>
      <c r="M70" s="50" t="s">
        <v>117</v>
      </c>
      <c r="N70" s="50"/>
      <c r="O70" s="50"/>
      <c r="P70" s="50"/>
      <c r="Q70" s="50"/>
      <c r="R70" s="50"/>
      <c r="S70" s="6" t="s">
        <v>117</v>
      </c>
      <c r="T70" s="6"/>
      <c r="U70" s="6"/>
      <c r="V70" s="6" t="s">
        <v>117</v>
      </c>
      <c r="W70" s="6"/>
      <c r="X70" s="31" t="s">
        <v>160</v>
      </c>
      <c r="Y70" s="31"/>
      <c r="Z70" s="31"/>
      <c r="AA70" s="31" t="s">
        <v>160</v>
      </c>
      <c r="AB70" s="31" t="s">
        <v>160</v>
      </c>
      <c r="AC70" s="31" t="s">
        <v>160</v>
      </c>
      <c r="AD70" s="31" t="s">
        <v>160</v>
      </c>
      <c r="AE70" s="31" t="s">
        <v>160</v>
      </c>
      <c r="AF70" s="31" t="s">
        <v>160</v>
      </c>
      <c r="AG70" s="31" t="s">
        <v>160</v>
      </c>
      <c r="AH70" s="50" t="s">
        <v>160</v>
      </c>
      <c r="AI70" s="50" t="s">
        <v>117</v>
      </c>
      <c r="AJ70" s="50"/>
      <c r="AK70" s="50"/>
      <c r="AL70" s="50"/>
      <c r="AM70" s="50"/>
      <c r="AN70" s="50"/>
      <c r="AO70" s="6" t="s">
        <v>117</v>
      </c>
      <c r="AP70" s="6"/>
    </row>
    <row r="71" spans="1:42">
      <c r="A71" s="50"/>
      <c r="B71" s="31" t="s">
        <v>161</v>
      </c>
      <c r="C71" s="31"/>
      <c r="D71" s="31"/>
      <c r="E71" s="31" t="s">
        <v>161</v>
      </c>
      <c r="F71" s="31" t="s">
        <v>161</v>
      </c>
      <c r="G71" s="31" t="s">
        <v>161</v>
      </c>
      <c r="H71" s="31" t="s">
        <v>161</v>
      </c>
      <c r="I71" s="31" t="s">
        <v>161</v>
      </c>
      <c r="J71" s="31" t="s">
        <v>161</v>
      </c>
      <c r="K71" s="31" t="s">
        <v>161</v>
      </c>
      <c r="L71" s="50" t="s">
        <v>161</v>
      </c>
      <c r="M71" s="50" t="s">
        <v>120</v>
      </c>
      <c r="N71" s="50"/>
      <c r="O71" s="50"/>
      <c r="P71" s="50"/>
      <c r="Q71" s="50"/>
      <c r="R71" s="50"/>
      <c r="S71" s="6" t="s">
        <v>121</v>
      </c>
      <c r="T71" s="6"/>
      <c r="U71" s="6"/>
      <c r="V71" s="6" t="s">
        <v>121</v>
      </c>
      <c r="W71" s="6"/>
      <c r="X71" s="31" t="s">
        <v>161</v>
      </c>
      <c r="Y71" s="31"/>
      <c r="Z71" s="31"/>
      <c r="AA71" s="31" t="s">
        <v>161</v>
      </c>
      <c r="AB71" s="31" t="s">
        <v>161</v>
      </c>
      <c r="AC71" s="31" t="s">
        <v>161</v>
      </c>
      <c r="AD71" s="31" t="s">
        <v>161</v>
      </c>
      <c r="AE71" s="31" t="s">
        <v>161</v>
      </c>
      <c r="AF71" s="31" t="s">
        <v>161</v>
      </c>
      <c r="AG71" s="31" t="s">
        <v>161</v>
      </c>
      <c r="AH71" s="50" t="s">
        <v>161</v>
      </c>
      <c r="AI71" s="50" t="s">
        <v>120</v>
      </c>
      <c r="AJ71" s="50"/>
      <c r="AK71" s="50"/>
      <c r="AL71" s="50"/>
      <c r="AM71" s="50"/>
      <c r="AN71" s="50"/>
      <c r="AO71" s="6" t="s">
        <v>121</v>
      </c>
      <c r="AP71" s="6"/>
    </row>
    <row r="72" spans="1:42">
      <c r="A72" s="50"/>
      <c r="B72" s="31" t="s">
        <v>19</v>
      </c>
      <c r="C72" s="31"/>
      <c r="D72" s="31"/>
      <c r="E72" s="31" t="s">
        <v>24</v>
      </c>
      <c r="F72" s="31" t="s">
        <v>25</v>
      </c>
      <c r="G72" s="31" t="s">
        <v>26</v>
      </c>
      <c r="H72" s="31" t="s">
        <v>27</v>
      </c>
      <c r="I72" s="31" t="s">
        <v>28</v>
      </c>
      <c r="J72" s="31" t="s">
        <v>29</v>
      </c>
      <c r="K72" s="31" t="s">
        <v>30</v>
      </c>
      <c r="L72" s="50" t="s">
        <v>32</v>
      </c>
      <c r="M72" s="50" t="s">
        <v>124</v>
      </c>
      <c r="N72" s="50"/>
      <c r="O72" s="50"/>
      <c r="P72" s="50"/>
      <c r="Q72" s="50"/>
      <c r="R72" s="50"/>
      <c r="S72" s="6" t="s">
        <v>125</v>
      </c>
      <c r="T72" s="6"/>
      <c r="U72" s="6"/>
      <c r="V72" s="6" t="s">
        <v>125</v>
      </c>
      <c r="W72" s="6"/>
      <c r="X72" s="31" t="s">
        <v>19</v>
      </c>
      <c r="Y72" s="31"/>
      <c r="Z72" s="31"/>
      <c r="AA72" s="31" t="s">
        <v>24</v>
      </c>
      <c r="AB72" s="31" t="s">
        <v>25</v>
      </c>
      <c r="AC72" s="31" t="s">
        <v>26</v>
      </c>
      <c r="AD72" s="31" t="s">
        <v>27</v>
      </c>
      <c r="AE72" s="31" t="s">
        <v>28</v>
      </c>
      <c r="AF72" s="31" t="s">
        <v>29</v>
      </c>
      <c r="AG72" s="31" t="s">
        <v>30</v>
      </c>
      <c r="AH72" s="50" t="s">
        <v>32</v>
      </c>
      <c r="AI72" s="50" t="s">
        <v>124</v>
      </c>
      <c r="AJ72" s="50"/>
      <c r="AK72" s="50"/>
      <c r="AL72" s="50"/>
      <c r="AM72" s="50"/>
      <c r="AN72" s="50"/>
      <c r="AO72" s="6" t="s">
        <v>125</v>
      </c>
      <c r="AP72" s="6"/>
    </row>
    <row r="73" spans="1:42">
      <c r="A73" s="50"/>
      <c r="B73" s="31"/>
      <c r="C73" s="31"/>
      <c r="D73" s="31"/>
      <c r="E73" s="31"/>
      <c r="F73" s="31"/>
      <c r="G73" s="31"/>
      <c r="H73" s="31"/>
      <c r="I73" s="31"/>
      <c r="J73" s="31"/>
      <c r="K73" s="31"/>
      <c r="L73" s="31"/>
      <c r="M73" s="31" t="s">
        <v>127</v>
      </c>
      <c r="N73" s="31"/>
      <c r="O73" s="31"/>
      <c r="P73" s="31"/>
      <c r="Q73" s="31"/>
      <c r="R73" s="31"/>
      <c r="S73" s="6" t="s">
        <v>128</v>
      </c>
      <c r="T73" s="6"/>
      <c r="U73" s="6"/>
      <c r="V73" s="6" t="s">
        <v>128</v>
      </c>
      <c r="W73" s="6"/>
      <c r="X73" s="31"/>
      <c r="Y73" s="31"/>
      <c r="Z73" s="31"/>
      <c r="AA73" s="31"/>
      <c r="AB73" s="31"/>
      <c r="AC73" s="31"/>
      <c r="AD73" s="31"/>
      <c r="AE73" s="31"/>
      <c r="AF73" s="31"/>
      <c r="AG73" s="31"/>
      <c r="AH73" s="31"/>
      <c r="AI73" s="50" t="s">
        <v>127</v>
      </c>
      <c r="AJ73" s="50"/>
      <c r="AK73" s="50"/>
      <c r="AL73" s="50"/>
      <c r="AM73" s="50"/>
      <c r="AN73" s="50"/>
      <c r="AO73" s="6" t="s">
        <v>128</v>
      </c>
      <c r="AP73" s="6"/>
    </row>
    <row r="74" spans="1:42">
      <c r="A74" s="50"/>
      <c r="B74" s="31"/>
      <c r="C74" s="31"/>
      <c r="D74" s="31"/>
      <c r="E74" s="31"/>
      <c r="F74" s="31"/>
      <c r="G74" s="31"/>
      <c r="H74" s="31"/>
      <c r="I74" s="31"/>
      <c r="J74" s="31"/>
      <c r="K74" s="31"/>
      <c r="L74" s="31"/>
      <c r="M74" s="31" t="s">
        <v>130</v>
      </c>
      <c r="N74" s="31"/>
      <c r="O74" s="31"/>
      <c r="P74" s="31"/>
      <c r="Q74" s="31"/>
      <c r="R74" s="31"/>
      <c r="S74" s="6" t="s">
        <v>131</v>
      </c>
      <c r="T74" s="6"/>
      <c r="U74" s="6"/>
      <c r="V74" s="6" t="s">
        <v>233</v>
      </c>
      <c r="W74" s="6"/>
      <c r="X74" s="31"/>
      <c r="Y74" s="31"/>
      <c r="Z74" s="31"/>
      <c r="AA74" s="31"/>
      <c r="AB74" s="31"/>
      <c r="AC74" s="31"/>
      <c r="AD74" s="31"/>
      <c r="AE74" s="31"/>
      <c r="AF74" s="31"/>
      <c r="AG74" s="31"/>
      <c r="AH74" s="31"/>
      <c r="AI74" s="50" t="s">
        <v>130</v>
      </c>
      <c r="AJ74" s="50"/>
      <c r="AK74" s="50"/>
      <c r="AL74" s="50"/>
      <c r="AM74" s="50"/>
      <c r="AN74" s="50"/>
      <c r="AO74" s="6" t="s">
        <v>131</v>
      </c>
      <c r="AP74" s="6"/>
    </row>
    <row r="75" spans="1:42">
      <c r="A75" s="50"/>
      <c r="B75" s="31"/>
      <c r="C75" s="31"/>
      <c r="D75" s="31"/>
      <c r="E75" s="31"/>
      <c r="F75" s="31"/>
      <c r="G75" s="31"/>
      <c r="H75" s="31"/>
      <c r="I75" s="31"/>
      <c r="J75" s="31"/>
      <c r="K75" s="31"/>
      <c r="L75" s="31"/>
      <c r="M75" s="31" t="s">
        <v>134</v>
      </c>
      <c r="N75" s="31"/>
      <c r="O75" s="31"/>
      <c r="P75" s="31"/>
      <c r="Q75" s="31"/>
      <c r="R75" s="31"/>
      <c r="S75" s="6" t="s">
        <v>134</v>
      </c>
      <c r="T75" s="6"/>
      <c r="U75" s="6"/>
      <c r="V75" s="6" t="s">
        <v>134</v>
      </c>
      <c r="W75" s="6"/>
      <c r="X75" s="31"/>
      <c r="Y75" s="31"/>
      <c r="Z75" s="31"/>
      <c r="AA75" s="31"/>
      <c r="AB75" s="31"/>
      <c r="AC75" s="31"/>
      <c r="AD75" s="31"/>
      <c r="AE75" s="31"/>
      <c r="AF75" s="31"/>
      <c r="AG75" s="31"/>
      <c r="AH75" s="50"/>
      <c r="AI75" s="50" t="s">
        <v>134</v>
      </c>
      <c r="AJ75" s="50"/>
      <c r="AK75" s="50"/>
      <c r="AL75" s="50"/>
      <c r="AM75" s="50"/>
      <c r="AN75" s="50"/>
      <c r="AO75" s="6" t="s">
        <v>134</v>
      </c>
      <c r="AP75" s="6"/>
    </row>
    <row r="76" spans="1:42">
      <c r="A76" s="50"/>
      <c r="B76" s="31"/>
      <c r="C76" s="31"/>
      <c r="D76" s="31"/>
      <c r="E76" s="31"/>
      <c r="F76" s="31"/>
      <c r="G76" s="31"/>
      <c r="H76" s="31"/>
      <c r="I76" s="31"/>
      <c r="J76" s="31"/>
      <c r="K76" s="31"/>
      <c r="L76" s="31"/>
      <c r="M76" s="31"/>
      <c r="N76" s="31"/>
      <c r="O76" s="31"/>
      <c r="P76" s="31"/>
      <c r="Q76" s="31"/>
      <c r="R76" s="31"/>
      <c r="S76" s="6"/>
      <c r="T76" s="6"/>
      <c r="U76" s="6"/>
      <c r="V76" s="6"/>
      <c r="W76" s="6"/>
      <c r="X76" s="31"/>
      <c r="Y76" s="31"/>
      <c r="Z76" s="31"/>
      <c r="AA76" s="31"/>
      <c r="AB76" s="31"/>
      <c r="AC76" s="31"/>
      <c r="AD76" s="31"/>
      <c r="AE76" s="31"/>
      <c r="AF76" s="31"/>
      <c r="AG76" s="31"/>
      <c r="AH76" s="50"/>
      <c r="AI76" s="50"/>
      <c r="AJ76" s="50"/>
      <c r="AK76" s="50"/>
      <c r="AL76" s="50"/>
      <c r="AM76" s="50"/>
      <c r="AN76" s="50"/>
      <c r="AO76" s="6"/>
      <c r="AP76" s="6"/>
    </row>
    <row r="77" spans="1:42">
      <c r="A77" s="50"/>
      <c r="B77" s="31"/>
      <c r="C77" s="31"/>
      <c r="D77" s="31"/>
      <c r="E77" s="31"/>
      <c r="F77" s="31"/>
      <c r="G77" s="31"/>
      <c r="H77" s="31"/>
      <c r="I77" s="31"/>
      <c r="J77" s="31"/>
      <c r="K77" s="31"/>
      <c r="L77" s="31"/>
      <c r="M77" s="31"/>
      <c r="N77" s="31"/>
      <c r="O77" s="31"/>
      <c r="P77" s="31"/>
      <c r="Q77" s="31"/>
      <c r="R77" s="13" t="s">
        <v>138</v>
      </c>
      <c r="S77" s="13" t="s">
        <v>138</v>
      </c>
      <c r="T77" s="13"/>
      <c r="U77" s="13"/>
      <c r="V77" s="13"/>
      <c r="W77" s="13"/>
      <c r="X77" s="31"/>
      <c r="Y77" s="31"/>
      <c r="Z77" s="31"/>
      <c r="AA77" s="31"/>
      <c r="AB77" s="31"/>
      <c r="AC77" s="31"/>
      <c r="AD77" s="31"/>
      <c r="AE77" s="31"/>
      <c r="AF77" s="31"/>
      <c r="AG77" s="31"/>
      <c r="AH77" s="50"/>
      <c r="AI77" s="50"/>
      <c r="AJ77" s="50"/>
      <c r="AK77" s="50"/>
      <c r="AL77" s="50"/>
      <c r="AM77" s="50"/>
      <c r="AN77" s="13" t="s">
        <v>138</v>
      </c>
      <c r="AO77" s="13" t="s">
        <v>138</v>
      </c>
      <c r="AP77" s="13"/>
    </row>
    <row r="78" spans="1:42">
      <c r="A78" s="50"/>
      <c r="B78" s="31"/>
      <c r="C78" s="31"/>
      <c r="D78" s="31"/>
      <c r="E78" s="31"/>
      <c r="F78" s="31"/>
      <c r="G78" s="31"/>
      <c r="H78" s="31"/>
      <c r="I78" s="31"/>
      <c r="J78" s="31"/>
      <c r="K78" s="31"/>
      <c r="L78" s="31"/>
      <c r="M78" s="31"/>
      <c r="N78" s="31"/>
      <c r="O78" s="31"/>
      <c r="P78" s="31"/>
      <c r="Q78" s="31"/>
      <c r="R78" s="13" t="s">
        <v>140</v>
      </c>
      <c r="S78" s="13" t="s">
        <v>140</v>
      </c>
      <c r="T78" s="13"/>
      <c r="U78" s="13"/>
      <c r="V78" s="13"/>
      <c r="W78" s="13"/>
      <c r="X78" s="31"/>
      <c r="Y78" s="31"/>
      <c r="Z78" s="31"/>
      <c r="AA78" s="31"/>
      <c r="AB78" s="31"/>
      <c r="AC78" s="31"/>
      <c r="AD78" s="31"/>
      <c r="AE78" s="31"/>
      <c r="AF78" s="31"/>
      <c r="AG78" s="31"/>
      <c r="AH78" s="50"/>
      <c r="AI78" s="50"/>
      <c r="AJ78" s="50"/>
      <c r="AK78" s="50"/>
      <c r="AL78" s="50"/>
      <c r="AM78" s="50"/>
      <c r="AN78" s="13" t="s">
        <v>140</v>
      </c>
      <c r="AO78" s="13" t="s">
        <v>140</v>
      </c>
      <c r="AP78" s="13"/>
    </row>
    <row r="79" spans="1:42">
      <c r="A79" s="30"/>
      <c r="B79" s="43"/>
      <c r="C79" s="43"/>
      <c r="D79" s="43"/>
      <c r="E79" s="43"/>
      <c r="F79" s="43"/>
      <c r="G79" s="43"/>
      <c r="H79" s="43"/>
      <c r="I79" s="31"/>
      <c r="J79" s="31"/>
      <c r="K79" s="31"/>
      <c r="L79" s="31"/>
      <c r="M79" s="31"/>
      <c r="N79" s="31"/>
      <c r="O79" s="31"/>
      <c r="P79" s="31"/>
      <c r="Q79" s="31"/>
      <c r="R79" s="13" t="s">
        <v>141</v>
      </c>
      <c r="S79" s="13" t="s">
        <v>141</v>
      </c>
      <c r="T79" s="13"/>
      <c r="U79" s="13"/>
      <c r="V79" s="13"/>
      <c r="W79" s="13"/>
      <c r="X79" s="43"/>
      <c r="Y79" s="43"/>
      <c r="Z79" s="43"/>
      <c r="AA79" s="43"/>
      <c r="AB79" s="43"/>
      <c r="AC79" s="43"/>
      <c r="AD79" s="43"/>
      <c r="AE79" s="31"/>
      <c r="AF79" s="43"/>
      <c r="AG79" s="43"/>
      <c r="AH79" s="30"/>
      <c r="AI79" s="30"/>
      <c r="AJ79" s="30"/>
      <c r="AK79" s="30"/>
      <c r="AL79" s="30"/>
      <c r="AM79" s="30"/>
      <c r="AN79" s="13" t="s">
        <v>141</v>
      </c>
      <c r="AO79" s="13" t="s">
        <v>141</v>
      </c>
      <c r="AP79" s="13"/>
    </row>
    <row r="80" spans="1:42">
      <c r="A80" s="30"/>
      <c r="B80" s="43"/>
      <c r="C80" s="43"/>
      <c r="D80" s="43"/>
      <c r="E80" s="43"/>
      <c r="F80" s="43"/>
      <c r="G80" s="43"/>
      <c r="H80" s="43"/>
      <c r="I80" s="31"/>
      <c r="J80" s="31"/>
      <c r="K80" s="31"/>
      <c r="L80" s="31"/>
      <c r="M80" s="31"/>
      <c r="N80" s="31"/>
      <c r="O80" s="31"/>
      <c r="P80" s="31"/>
      <c r="Q80" s="31"/>
      <c r="R80" s="13" t="s">
        <v>142</v>
      </c>
      <c r="S80" s="13" t="s">
        <v>142</v>
      </c>
      <c r="T80" s="13"/>
      <c r="U80" s="13"/>
      <c r="V80" s="13"/>
      <c r="W80" s="13"/>
      <c r="X80" s="43"/>
      <c r="Y80" s="43"/>
      <c r="Z80" s="43"/>
      <c r="AA80" s="43"/>
      <c r="AB80" s="43"/>
      <c r="AC80" s="43"/>
      <c r="AD80" s="43"/>
      <c r="AE80" s="31"/>
      <c r="AF80" s="43"/>
      <c r="AG80" s="43"/>
      <c r="AH80" s="30"/>
      <c r="AI80" s="30"/>
      <c r="AJ80" s="30"/>
      <c r="AK80" s="30"/>
      <c r="AL80" s="30"/>
      <c r="AM80" s="30"/>
      <c r="AN80" s="13" t="s">
        <v>142</v>
      </c>
      <c r="AO80" s="13" t="s">
        <v>142</v>
      </c>
      <c r="AP80" s="13"/>
    </row>
    <row r="81" spans="1:42">
      <c r="A81" s="30"/>
      <c r="B81" s="43"/>
      <c r="C81" s="43"/>
      <c r="D81" s="43"/>
      <c r="E81" s="43"/>
      <c r="F81" s="43"/>
      <c r="G81" s="43"/>
      <c r="H81" s="43"/>
      <c r="I81" s="31"/>
      <c r="J81" s="31"/>
      <c r="K81" s="31"/>
      <c r="L81" s="31"/>
      <c r="M81" s="31"/>
      <c r="N81" s="31"/>
      <c r="O81" s="31"/>
      <c r="P81" s="31"/>
      <c r="Q81" s="31"/>
      <c r="R81" s="13" t="s">
        <v>143</v>
      </c>
      <c r="S81" s="13" t="s">
        <v>143</v>
      </c>
      <c r="T81" s="13"/>
      <c r="U81" s="13"/>
      <c r="V81" s="13"/>
      <c r="W81" s="13"/>
      <c r="X81" s="43"/>
      <c r="Y81" s="43"/>
      <c r="Z81" s="43"/>
      <c r="AA81" s="43"/>
      <c r="AB81" s="43"/>
      <c r="AC81" s="43"/>
      <c r="AD81" s="43"/>
      <c r="AE81" s="31"/>
      <c r="AF81" s="43"/>
      <c r="AG81" s="43"/>
      <c r="AH81" s="30"/>
      <c r="AI81" s="30"/>
      <c r="AJ81" s="30"/>
      <c r="AK81" s="30"/>
      <c r="AL81" s="30"/>
      <c r="AM81" s="30"/>
      <c r="AN81" s="13" t="s">
        <v>143</v>
      </c>
      <c r="AO81" s="13" t="s">
        <v>143</v>
      </c>
      <c r="AP81" s="13"/>
    </row>
    <row r="82" spans="1:42">
      <c r="A82" s="30"/>
      <c r="B82" s="43"/>
      <c r="C82" s="43"/>
      <c r="D82" s="43"/>
      <c r="E82" s="43"/>
      <c r="F82" s="43"/>
      <c r="G82" s="43"/>
      <c r="H82" s="43"/>
      <c r="I82" s="31"/>
      <c r="J82" s="31"/>
      <c r="K82" s="31"/>
      <c r="L82" s="31"/>
      <c r="M82" s="31"/>
      <c r="N82" s="31"/>
      <c r="O82" s="31"/>
      <c r="P82" s="31"/>
      <c r="Q82" s="31"/>
      <c r="R82" s="13" t="s">
        <v>144</v>
      </c>
      <c r="S82" s="13" t="s">
        <v>144</v>
      </c>
      <c r="T82" s="13"/>
      <c r="U82" s="13"/>
      <c r="V82" s="13"/>
      <c r="W82" s="13"/>
      <c r="X82" s="43"/>
      <c r="Y82" s="43"/>
      <c r="Z82" s="43"/>
      <c r="AA82" s="43"/>
      <c r="AB82" s="43"/>
      <c r="AC82" s="43"/>
      <c r="AD82" s="43"/>
      <c r="AE82" s="31"/>
      <c r="AF82" s="43"/>
      <c r="AG82" s="43"/>
      <c r="AH82" s="30"/>
      <c r="AI82" s="30"/>
      <c r="AJ82" s="30"/>
      <c r="AK82" s="30"/>
      <c r="AL82" s="30"/>
      <c r="AM82" s="30"/>
      <c r="AN82" s="13" t="s">
        <v>144</v>
      </c>
      <c r="AO82" s="13" t="s">
        <v>144</v>
      </c>
      <c r="AP82" s="13"/>
    </row>
    <row r="83" spans="1:42">
      <c r="A83" s="30"/>
      <c r="B83" s="43"/>
      <c r="C83" s="43"/>
      <c r="D83" s="43"/>
      <c r="E83" s="43"/>
      <c r="F83" s="43"/>
      <c r="G83" s="43"/>
      <c r="H83" s="43"/>
      <c r="I83" s="31"/>
      <c r="J83" s="31"/>
      <c r="K83" s="31"/>
      <c r="L83" s="31"/>
      <c r="M83" s="31"/>
      <c r="N83" s="31"/>
      <c r="O83" s="31"/>
      <c r="P83" s="31"/>
      <c r="Q83" s="31"/>
      <c r="R83" s="13" t="s">
        <v>145</v>
      </c>
      <c r="S83" s="13" t="s">
        <v>145</v>
      </c>
      <c r="T83" s="13"/>
      <c r="U83" s="13"/>
      <c r="V83" s="13"/>
      <c r="W83" s="13"/>
      <c r="X83" s="43"/>
      <c r="Y83" s="43"/>
      <c r="Z83" s="43"/>
      <c r="AA83" s="43"/>
      <c r="AB83" s="43"/>
      <c r="AC83" s="43"/>
      <c r="AD83" s="43"/>
      <c r="AE83" s="31"/>
      <c r="AF83" s="43"/>
      <c r="AG83" s="43"/>
      <c r="AH83" s="30"/>
      <c r="AI83" s="30"/>
      <c r="AJ83" s="30"/>
      <c r="AK83" s="30"/>
      <c r="AL83" s="30"/>
      <c r="AM83" s="30"/>
      <c r="AN83" s="13" t="s">
        <v>145</v>
      </c>
      <c r="AO83" s="13" t="s">
        <v>145</v>
      </c>
      <c r="AP83" s="13"/>
    </row>
    <row r="84" spans="1:42">
      <c r="A84" s="30"/>
      <c r="B84" s="43"/>
      <c r="C84" s="43"/>
      <c r="D84" s="43"/>
      <c r="E84" s="43"/>
      <c r="F84" s="43"/>
      <c r="G84" s="43"/>
      <c r="H84" s="43"/>
      <c r="I84" s="31"/>
      <c r="J84" s="31"/>
      <c r="K84" s="31"/>
      <c r="L84" s="31"/>
      <c r="M84" s="31"/>
      <c r="N84" s="31"/>
      <c r="O84" s="31"/>
      <c r="P84" s="31"/>
      <c r="Q84" s="31"/>
      <c r="R84" s="13" t="s">
        <v>146</v>
      </c>
      <c r="S84" s="13" t="s">
        <v>146</v>
      </c>
      <c r="T84" s="13"/>
      <c r="U84" s="13"/>
      <c r="V84" s="13"/>
      <c r="W84" s="13"/>
      <c r="X84" s="43"/>
      <c r="Y84" s="43"/>
      <c r="Z84" s="43"/>
      <c r="AA84" s="43"/>
      <c r="AB84" s="43"/>
      <c r="AC84" s="43"/>
      <c r="AD84" s="43"/>
      <c r="AE84" s="31"/>
      <c r="AF84" s="43"/>
      <c r="AG84" s="43"/>
      <c r="AH84" s="30"/>
      <c r="AI84" s="30"/>
      <c r="AJ84" s="30"/>
      <c r="AK84" s="30"/>
      <c r="AL84" s="30"/>
      <c r="AM84" s="30"/>
      <c r="AN84" s="13" t="s">
        <v>146</v>
      </c>
      <c r="AO84" s="13" t="s">
        <v>146</v>
      </c>
      <c r="AP84" s="13"/>
    </row>
    <row r="85" spans="1:42">
      <c r="A85" s="30"/>
      <c r="B85" s="43"/>
      <c r="C85" s="43"/>
      <c r="D85" s="43"/>
      <c r="E85" s="43"/>
      <c r="F85" s="43"/>
      <c r="G85" s="43"/>
      <c r="H85" s="43"/>
      <c r="I85" s="31"/>
      <c r="J85" s="31"/>
      <c r="K85" s="31"/>
      <c r="L85" s="31"/>
      <c r="M85" s="31"/>
      <c r="N85" s="31"/>
      <c r="O85" s="31"/>
      <c r="P85" s="31"/>
      <c r="Q85" s="31"/>
      <c r="R85" s="13" t="s">
        <v>147</v>
      </c>
      <c r="S85" s="13" t="s">
        <v>147</v>
      </c>
      <c r="T85" s="13"/>
      <c r="U85" s="13"/>
      <c r="V85" s="13"/>
      <c r="W85" s="13"/>
      <c r="X85" s="43"/>
      <c r="Y85" s="43"/>
      <c r="Z85" s="43"/>
      <c r="AA85" s="43"/>
      <c r="AB85" s="43"/>
      <c r="AC85" s="43"/>
      <c r="AD85" s="43"/>
      <c r="AE85" s="31"/>
      <c r="AF85" s="43"/>
      <c r="AG85" s="43"/>
      <c r="AH85" s="30"/>
      <c r="AI85" s="30"/>
      <c r="AJ85" s="30"/>
      <c r="AK85" s="30"/>
      <c r="AL85" s="30"/>
      <c r="AM85" s="30"/>
      <c r="AN85" s="13" t="s">
        <v>147</v>
      </c>
      <c r="AO85" s="13" t="s">
        <v>147</v>
      </c>
      <c r="AP85" s="13"/>
    </row>
    <row r="86" spans="1:42">
      <c r="A86" s="30"/>
      <c r="B86" s="43"/>
      <c r="C86" s="43"/>
      <c r="D86" s="43"/>
      <c r="E86" s="43"/>
      <c r="F86" s="43"/>
      <c r="G86" s="43"/>
      <c r="H86" s="43"/>
      <c r="I86" s="31"/>
      <c r="J86" s="31"/>
      <c r="K86" s="31"/>
      <c r="L86" s="31"/>
      <c r="M86" s="31"/>
      <c r="N86" s="31"/>
      <c r="O86" s="31"/>
      <c r="P86" s="31"/>
      <c r="Q86" s="31"/>
      <c r="R86" s="13" t="s">
        <v>148</v>
      </c>
      <c r="S86" s="13" t="s">
        <v>148</v>
      </c>
      <c r="T86" s="13"/>
      <c r="U86" s="13"/>
      <c r="V86" s="13"/>
      <c r="W86" s="13"/>
      <c r="X86" s="43"/>
      <c r="Y86" s="43"/>
      <c r="Z86" s="43"/>
      <c r="AA86" s="43"/>
      <c r="AB86" s="43"/>
      <c r="AC86" s="43"/>
      <c r="AD86" s="43"/>
      <c r="AE86" s="31"/>
      <c r="AF86" s="43"/>
      <c r="AG86" s="43"/>
      <c r="AH86" s="30"/>
      <c r="AI86" s="30"/>
      <c r="AJ86" s="30"/>
      <c r="AK86" s="30"/>
      <c r="AL86" s="30"/>
      <c r="AM86" s="30"/>
      <c r="AN86" s="13" t="s">
        <v>148</v>
      </c>
      <c r="AO86" s="13" t="s">
        <v>148</v>
      </c>
      <c r="AP86" s="13"/>
    </row>
    <row r="87" spans="1:42">
      <c r="A87" s="30"/>
      <c r="B87" s="43"/>
      <c r="C87" s="43"/>
      <c r="D87" s="43"/>
      <c r="E87" s="43"/>
      <c r="F87" s="43"/>
      <c r="G87" s="43"/>
      <c r="H87" s="43"/>
      <c r="I87" s="31"/>
      <c r="J87" s="31"/>
      <c r="K87" s="31"/>
      <c r="L87" s="31"/>
      <c r="M87" s="31"/>
      <c r="N87" s="31"/>
      <c r="O87" s="31"/>
      <c r="P87" s="31"/>
      <c r="Q87" s="31"/>
      <c r="R87" s="13" t="s">
        <v>149</v>
      </c>
      <c r="S87" s="13" t="s">
        <v>149</v>
      </c>
      <c r="T87" s="13"/>
      <c r="U87" s="13"/>
      <c r="V87" s="13"/>
      <c r="W87" s="13"/>
      <c r="X87" s="43"/>
      <c r="Y87" s="43"/>
      <c r="Z87" s="43"/>
      <c r="AA87" s="43"/>
      <c r="AB87" s="43"/>
      <c r="AC87" s="43"/>
      <c r="AD87" s="43"/>
      <c r="AE87" s="31"/>
      <c r="AF87" s="43"/>
      <c r="AG87" s="43"/>
      <c r="AH87" s="30"/>
      <c r="AI87" s="30"/>
      <c r="AJ87" s="30"/>
      <c r="AK87" s="30"/>
      <c r="AL87" s="30"/>
      <c r="AM87" s="30"/>
      <c r="AN87" s="13" t="s">
        <v>149</v>
      </c>
      <c r="AO87" s="13" t="s">
        <v>149</v>
      </c>
      <c r="AP87" s="13"/>
    </row>
    <row r="88" spans="1:42">
      <c r="A88" s="30"/>
      <c r="B88" s="43"/>
      <c r="C88" s="43"/>
      <c r="D88" s="43"/>
      <c r="E88" s="43"/>
      <c r="F88" s="43"/>
      <c r="G88" s="43"/>
      <c r="H88" s="43"/>
      <c r="I88" s="31"/>
      <c r="J88" s="31"/>
      <c r="K88" s="31"/>
      <c r="L88" s="31"/>
      <c r="M88" s="31"/>
      <c r="N88" s="31"/>
      <c r="O88" s="31"/>
      <c r="P88" s="31"/>
      <c r="Q88" s="31"/>
      <c r="R88" s="13" t="s">
        <v>150</v>
      </c>
      <c r="S88" s="13" t="s">
        <v>150</v>
      </c>
      <c r="T88" s="13"/>
      <c r="U88" s="13"/>
      <c r="V88" s="13"/>
      <c r="W88" s="13"/>
      <c r="X88" s="43"/>
      <c r="Y88" s="43"/>
      <c r="Z88" s="43"/>
      <c r="AA88" s="43"/>
      <c r="AB88" s="43"/>
      <c r="AC88" s="43"/>
      <c r="AD88" s="43"/>
      <c r="AE88" s="31"/>
      <c r="AF88" s="43"/>
      <c r="AG88" s="43"/>
      <c r="AH88" s="30"/>
      <c r="AI88" s="30"/>
      <c r="AJ88" s="30"/>
      <c r="AK88" s="30"/>
      <c r="AL88" s="30"/>
      <c r="AM88" s="30"/>
      <c r="AN88" s="13" t="s">
        <v>150</v>
      </c>
      <c r="AO88" s="13" t="s">
        <v>150</v>
      </c>
      <c r="AP88" s="13"/>
    </row>
    <row r="89" spans="1:42">
      <c r="A89" s="30"/>
      <c r="B89" s="43"/>
      <c r="C89" s="43"/>
      <c r="D89" s="43"/>
      <c r="E89" s="43"/>
      <c r="F89" s="43"/>
      <c r="G89" s="43"/>
      <c r="H89" s="43"/>
      <c r="I89" s="31"/>
      <c r="J89" s="31"/>
      <c r="K89" s="31"/>
      <c r="L89" s="31"/>
      <c r="M89" s="31"/>
      <c r="N89" s="31"/>
      <c r="O89" s="31"/>
      <c r="P89" s="31"/>
      <c r="Q89" s="31"/>
      <c r="R89" s="13" t="s">
        <v>151</v>
      </c>
      <c r="S89" s="13" t="s">
        <v>151</v>
      </c>
      <c r="T89" s="13"/>
      <c r="U89" s="13"/>
      <c r="V89" s="13"/>
      <c r="W89" s="13"/>
      <c r="X89" s="43"/>
      <c r="Y89" s="43"/>
      <c r="Z89" s="43"/>
      <c r="AA89" s="43"/>
      <c r="AB89" s="43"/>
      <c r="AC89" s="43"/>
      <c r="AD89" s="43"/>
      <c r="AE89" s="31"/>
      <c r="AF89" s="43"/>
      <c r="AG89" s="43"/>
      <c r="AH89" s="30"/>
      <c r="AI89" s="30"/>
      <c r="AJ89" s="30"/>
      <c r="AK89" s="30"/>
      <c r="AL89" s="30"/>
      <c r="AM89" s="30"/>
      <c r="AN89" s="13" t="s">
        <v>151</v>
      </c>
      <c r="AO89" s="13" t="s">
        <v>151</v>
      </c>
      <c r="AP89" s="13"/>
    </row>
    <row r="90" spans="1:42">
      <c r="A90" s="30"/>
      <c r="B90" s="43"/>
      <c r="C90" s="43"/>
      <c r="D90" s="43"/>
      <c r="E90" s="43"/>
      <c r="F90" s="43"/>
      <c r="G90" s="43"/>
      <c r="H90" s="43"/>
      <c r="I90" s="31"/>
      <c r="J90" s="31"/>
      <c r="K90" s="31"/>
      <c r="L90" s="31"/>
      <c r="M90" s="31"/>
      <c r="N90" s="31"/>
      <c r="O90" s="31"/>
      <c r="P90" s="31"/>
      <c r="Q90" s="31"/>
      <c r="R90" s="13" t="s">
        <v>152</v>
      </c>
      <c r="S90" s="13" t="s">
        <v>152</v>
      </c>
      <c r="T90" s="13"/>
      <c r="U90" s="13"/>
      <c r="V90" s="13"/>
      <c r="W90" s="13"/>
      <c r="X90" s="43"/>
      <c r="Y90" s="43"/>
      <c r="Z90" s="43"/>
      <c r="AA90" s="43"/>
      <c r="AB90" s="43"/>
      <c r="AC90" s="43"/>
      <c r="AD90" s="43"/>
      <c r="AE90" s="31"/>
      <c r="AF90" s="43"/>
      <c r="AG90" s="43"/>
      <c r="AH90" s="30"/>
      <c r="AI90" s="30"/>
      <c r="AJ90" s="30"/>
      <c r="AK90" s="30"/>
      <c r="AL90" s="30"/>
      <c r="AM90" s="30"/>
      <c r="AN90" s="13" t="s">
        <v>152</v>
      </c>
      <c r="AO90" s="13" t="s">
        <v>152</v>
      </c>
      <c r="AP90" s="13"/>
    </row>
    <row r="91" spans="1:42">
      <c r="A91" s="30"/>
      <c r="B91" s="43"/>
      <c r="C91" s="43"/>
      <c r="D91" s="43"/>
      <c r="E91" s="43"/>
      <c r="F91" s="43"/>
      <c r="G91" s="43"/>
      <c r="H91" s="43"/>
      <c r="I91" s="31"/>
      <c r="J91" s="31"/>
      <c r="K91" s="31"/>
      <c r="L91" s="31"/>
      <c r="M91" s="31"/>
      <c r="N91" s="31"/>
      <c r="O91" s="31"/>
      <c r="P91" s="31"/>
      <c r="Q91" s="31"/>
      <c r="R91" s="34" t="s">
        <v>153</v>
      </c>
      <c r="S91" s="34" t="s">
        <v>153</v>
      </c>
      <c r="T91" s="34"/>
      <c r="U91" s="34"/>
      <c r="V91" s="34"/>
      <c r="W91" s="34"/>
      <c r="X91" s="43"/>
      <c r="Y91" s="43"/>
      <c r="Z91" s="43"/>
      <c r="AA91" s="43"/>
      <c r="AB91" s="43"/>
      <c r="AC91" s="43"/>
      <c r="AD91" s="43"/>
      <c r="AE91" s="31"/>
      <c r="AF91" s="80"/>
      <c r="AG91" s="80"/>
      <c r="AH91" s="30"/>
      <c r="AI91" s="30"/>
      <c r="AJ91" s="30"/>
      <c r="AK91" s="30"/>
      <c r="AL91" s="30"/>
      <c r="AM91" s="30"/>
      <c r="AN91" s="34" t="s">
        <v>153</v>
      </c>
      <c r="AO91" s="34" t="s">
        <v>153</v>
      </c>
      <c r="AP91" s="34"/>
    </row>
  </sheetData>
  <hyperlinks>
    <hyperlink ref="S75" r:id="rId1" display="www.nces.ed.gov"/>
    <hyperlink ref="AO75" r:id="rId2" display="www.nces.ed.gov"/>
    <hyperlink ref="V75" r:id="rId3" display="www.nces.ed.gov"/>
  </hyperlinks>
  <pageMargins left="0.7" right="0.7" top="0.75" bottom="0.75" header="0.3" footer="0.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61"/>
  <sheetViews>
    <sheetView zoomScale="70" zoomScaleNormal="70" workbookViewId="0">
      <pane xSplit="1" topLeftCell="AM1" activePane="topRight" state="frozen"/>
      <selection pane="topRight" activeCell="AT27" sqref="AT27"/>
    </sheetView>
  </sheetViews>
  <sheetFormatPr defaultRowHeight="12.75"/>
  <cols>
    <col min="1" max="1" width="17.42578125" style="137" bestFit="1" customWidth="1"/>
    <col min="2" max="2" width="9.140625" style="141"/>
  </cols>
  <sheetData>
    <row r="1" spans="1:45">
      <c r="A1" s="142"/>
      <c r="B1" s="81" t="s">
        <v>2</v>
      </c>
      <c r="C1" s="81" t="s">
        <v>3</v>
      </c>
      <c r="D1" s="81" t="s">
        <v>4</v>
      </c>
      <c r="E1" s="81" t="s">
        <v>5</v>
      </c>
      <c r="F1" s="81" t="s">
        <v>6</v>
      </c>
      <c r="G1" s="81" t="s">
        <v>7</v>
      </c>
      <c r="H1" s="81" t="s">
        <v>8</v>
      </c>
      <c r="I1" s="81" t="s">
        <v>9</v>
      </c>
      <c r="J1" s="81" t="s">
        <v>10</v>
      </c>
      <c r="K1" s="81" t="s">
        <v>11</v>
      </c>
      <c r="L1" s="81" t="s">
        <v>12</v>
      </c>
      <c r="M1" s="81" t="s">
        <v>13</v>
      </c>
      <c r="N1" s="81" t="s">
        <v>14</v>
      </c>
      <c r="O1" s="81" t="s">
        <v>15</v>
      </c>
      <c r="P1" s="81" t="s">
        <v>16</v>
      </c>
      <c r="Q1" s="81" t="s">
        <v>17</v>
      </c>
      <c r="R1" s="81" t="s">
        <v>18</v>
      </c>
      <c r="S1" s="81" t="s">
        <v>19</v>
      </c>
      <c r="T1" s="81" t="s">
        <v>20</v>
      </c>
      <c r="U1" s="81" t="s">
        <v>21</v>
      </c>
      <c r="V1" s="81" t="s">
        <v>22</v>
      </c>
      <c r="W1" s="81" t="s">
        <v>23</v>
      </c>
      <c r="X1" s="81" t="s">
        <v>24</v>
      </c>
      <c r="Y1" s="81" t="s">
        <v>25</v>
      </c>
      <c r="Z1" s="81" t="s">
        <v>26</v>
      </c>
      <c r="AA1" s="81" t="s">
        <v>27</v>
      </c>
      <c r="AB1" s="81" t="s">
        <v>28</v>
      </c>
      <c r="AC1" s="81" t="s">
        <v>29</v>
      </c>
      <c r="AD1" s="81" t="s">
        <v>30</v>
      </c>
      <c r="AE1" s="81" t="s">
        <v>31</v>
      </c>
      <c r="AF1" s="81" t="s">
        <v>32</v>
      </c>
      <c r="AG1" s="81" t="s">
        <v>33</v>
      </c>
      <c r="AH1" s="81" t="s">
        <v>34</v>
      </c>
      <c r="AI1" s="81" t="s">
        <v>35</v>
      </c>
      <c r="AJ1" s="81" t="s">
        <v>36</v>
      </c>
      <c r="AK1" s="81" t="s">
        <v>37</v>
      </c>
      <c r="AL1" s="81" t="s">
        <v>38</v>
      </c>
      <c r="AM1" s="81" t="s">
        <v>39</v>
      </c>
      <c r="AN1" s="81" t="s">
        <v>40</v>
      </c>
      <c r="AO1" s="81" t="s">
        <v>41</v>
      </c>
      <c r="AP1" s="81" t="s">
        <v>216</v>
      </c>
      <c r="AQ1" s="81" t="s">
        <v>217</v>
      </c>
      <c r="AR1" s="81" t="s">
        <v>232</v>
      </c>
      <c r="AS1" s="81" t="s">
        <v>235</v>
      </c>
    </row>
    <row r="2" spans="1:45">
      <c r="A2" s="134" t="s">
        <v>42</v>
      </c>
      <c r="B2" s="131">
        <f>(Gender!AT4/'Total Master''s'!C4)*100</f>
        <v>39.85621847848099</v>
      </c>
      <c r="C2" s="131">
        <f>(Gender!AU4/'Total Master''s'!D4)*100</f>
        <v>40.233760689345722</v>
      </c>
      <c r="D2" s="131">
        <f>(Gender!AV4/'Total Master''s'!E4)*100</f>
        <v>40.733454378578983</v>
      </c>
      <c r="E2" s="131">
        <f>(Gender!AW4/'Total Master''s'!F4)*100</f>
        <v>41.510951520557448</v>
      </c>
      <c r="F2" s="131">
        <f>(Gender!AX4/'Total Master''s'!G4)*100</f>
        <v>43.164295207709387</v>
      </c>
      <c r="G2" s="131">
        <f>(Gender!AY4/'Total Master''s'!H4)*100</f>
        <v>44.900059696576712</v>
      </c>
      <c r="H2" s="131">
        <f>(Gender!AZ4/'Total Master''s'!I4)*100</f>
        <v>46.47772263693993</v>
      </c>
      <c r="I2" s="131">
        <f>(Gender!BA4/'Total Master''s'!J4)*100</f>
        <v>47.236751396171044</v>
      </c>
      <c r="J2" s="131">
        <f>(Gender!BB4/'Total Master''s'!K4)*100</f>
        <v>48.407249693423324</v>
      </c>
      <c r="K2" s="131">
        <f>(Gender!BC4/'Total Master''s'!L4)*100</f>
        <v>49.20180692788945</v>
      </c>
      <c r="L2" s="131">
        <f>(Gender!BD4/'Total Master''s'!M4)*100</f>
        <v>49.58626772416951</v>
      </c>
      <c r="M2" s="131">
        <f>(Gender!BE4/'Total Master''s'!N4)*100</f>
        <v>50.429933551098493</v>
      </c>
      <c r="N2" s="131">
        <f>(Gender!BF4/'Total Master''s'!O4)*100</f>
        <v>50.899817084137901</v>
      </c>
      <c r="O2" s="131">
        <f>(Gender!BG4/'Total Master''s'!P4)*100</f>
        <v>50.298046849293243</v>
      </c>
      <c r="P2" s="131">
        <f>(Gender!BH4/'Total Master''s'!Q4)*100</f>
        <v>49.722344956787609</v>
      </c>
      <c r="Q2" s="131">
        <f>(Gender!BI4/'Total Master''s'!R4)*100</f>
        <v>50.127901468498337</v>
      </c>
      <c r="R2" s="131">
        <f>(Gender!BJ4/'Total Master''s'!S4)*100</f>
        <v>50.485528129307099</v>
      </c>
      <c r="S2" s="131">
        <f>(Gender!BK4/'Total Master''s'!T4)*100</f>
        <v>51.378732295133744</v>
      </c>
      <c r="T2" s="131">
        <f>(Gender!BL4/'Total Master''s'!U4)*100</f>
        <v>51.707267867049978</v>
      </c>
      <c r="U2" s="131">
        <f>(Gender!BM4/'Total Master''s'!V4)*100</f>
        <v>52.123552123552116</v>
      </c>
      <c r="V2" s="131">
        <f>(Gender!BN4/'Total Master''s'!W4)*100</f>
        <v>52.804746327136328</v>
      </c>
      <c r="W2" s="131">
        <f>(Gender!BO4/'Total Master''s'!X4)*100</f>
        <v>53.738334444338633</v>
      </c>
      <c r="X2" s="131">
        <f>(Gender!BP4/'Total Master''s'!Y4)*100</f>
        <v>54.279921056074073</v>
      </c>
      <c r="Y2" s="131">
        <f>(Gender!BQ4/'Total Master''s'!Z4)*100</f>
        <v>54.365091217142691</v>
      </c>
      <c r="Z2" s="131">
        <f>(Gender!BR4/'Total Master''s'!AA4)*100</f>
        <v>54.663711423053499</v>
      </c>
      <c r="AA2" s="131">
        <f>(Gender!BS4/'Total Master''s'!AB4)*100</f>
        <v>55.224611099618038</v>
      </c>
      <c r="AB2" s="131">
        <f>(Gender!BT4/'Total Master''s'!AC4)*100</f>
        <v>56.058395602062703</v>
      </c>
      <c r="AC2" s="131">
        <f>(Gender!BU4/'Total Master''s'!AD4)*100</f>
        <v>57.005686072352105</v>
      </c>
      <c r="AD2" s="131">
        <f>(Gender!BV4/'Total Master''s'!AE4)*100</f>
        <v>57.138440222798749</v>
      </c>
      <c r="AE2" s="131">
        <f>(Gender!BW4/'Total Master''s'!AF4)*100</f>
        <v>57.692290209233931</v>
      </c>
      <c r="AF2" s="131">
        <f>(Gender!BX4/'Total Master''s'!AG4)*100</f>
        <v>58.037527130154729</v>
      </c>
      <c r="AG2" s="131">
        <f>(Gender!BY4/'Total Master''s'!AH4)*100</f>
        <v>58.514203502420614</v>
      </c>
      <c r="AH2" s="131">
        <f>(Gender!BZ4/'Total Master''s'!AI4)*100</f>
        <v>58.698907736280326</v>
      </c>
      <c r="AI2" s="131">
        <f>(Gender!CA4/'Total Master''s'!AJ4)*100</f>
        <v>58.767208413933091</v>
      </c>
      <c r="AJ2" s="131">
        <f>(Gender!CB4/'Total Master''s'!AK4)*100</f>
        <v>58.961136130940019</v>
      </c>
      <c r="AK2" s="131">
        <f>(Gender!CC4/'Total Master''s'!AL4)*100</f>
        <v>59.348645534946698</v>
      </c>
      <c r="AL2" s="131">
        <f>(Gender!CD4/'Total Master''s'!AM4)*100</f>
        <v>59.701835465794382</v>
      </c>
      <c r="AM2" s="131">
        <f>(Gender!CE4/'Total Master''s'!AN4)*100</f>
        <v>60.604326446766244</v>
      </c>
      <c r="AN2" s="131">
        <f>(Gender!CF4/'Total Master''s'!AO4)*100</f>
        <v>60.492786523562536</v>
      </c>
      <c r="AO2" s="131">
        <f>(Gender!CG4/'Total Master''s'!AP4)*100</f>
        <v>60.302855175280122</v>
      </c>
      <c r="AP2" s="131">
        <f>(Gender!CH4/'Total Master''s'!AQ4)*100</f>
        <v>60.256865882298328</v>
      </c>
      <c r="AQ2" s="131">
        <f>(Gender!CI4/'Total Master''s'!AR4)*100</f>
        <v>59.767813672712975</v>
      </c>
      <c r="AR2" s="131">
        <f>(Gender!CJ4/'Total Master''s'!AS4)*100</f>
        <v>59.818438240247559</v>
      </c>
      <c r="AS2" s="131">
        <f>(Gender!CK4/'Total Master''s'!AT4)*100</f>
        <v>59.713673478968019</v>
      </c>
    </row>
    <row r="3" spans="1:45">
      <c r="A3" s="135" t="s">
        <v>43</v>
      </c>
      <c r="B3" s="132">
        <f>(Gender!AT5/'Total Master''s'!C5)*100</f>
        <v>42.864661998260786</v>
      </c>
      <c r="C3" s="132">
        <f>(Gender!AU5/'Total Master''s'!D5)*100</f>
        <v>44.010579660400978</v>
      </c>
      <c r="D3" s="132">
        <f>(Gender!AV5/'Total Master''s'!E5)*100</f>
        <v>43.947927736450588</v>
      </c>
      <c r="E3" s="132">
        <f>(Gender!AW5/'Total Master''s'!F5)*100</f>
        <v>45.400831687619416</v>
      </c>
      <c r="F3" s="132">
        <f>(Gender!AX5/'Total Master''s'!G5)*100</f>
        <v>47.484519559991256</v>
      </c>
      <c r="G3" s="132">
        <f>(Gender!AY5/'Total Master''s'!H5)*100</f>
        <v>49.60754787382897</v>
      </c>
      <c r="H3" s="132">
        <f>(Gender!AZ5/'Total Master''s'!I5)*100</f>
        <v>51.704885105568977</v>
      </c>
      <c r="I3" s="132">
        <f>(Gender!BA5/'Total Master''s'!J5)*100</f>
        <v>52.422528997201866</v>
      </c>
      <c r="J3" s="132">
        <f>(Gender!BB5/'Total Master''s'!K5)*100</f>
        <v>54.014310272731493</v>
      </c>
      <c r="K3" s="132">
        <f>(Gender!BC5/'Total Master''s'!L5)*100</f>
        <v>54.263996809706228</v>
      </c>
      <c r="L3" s="132">
        <f>(Gender!BD5/'Total Master''s'!M5)*100</f>
        <v>54.459903310329558</v>
      </c>
      <c r="M3" s="132">
        <f>(Gender!BE5/'Total Master''s'!N5)*100</f>
        <v>55.289433692116397</v>
      </c>
      <c r="N3" s="132">
        <f>(Gender!BF5/'Total Master''s'!O5)*100</f>
        <v>55.435793550688629</v>
      </c>
      <c r="O3" s="132">
        <f>(Gender!BG5/'Total Master''s'!P5)*100</f>
        <v>54.439731123148206</v>
      </c>
      <c r="P3" s="132">
        <f>(Gender!BH5/'Total Master''s'!Q5)*100</f>
        <v>53.007951594334827</v>
      </c>
      <c r="Q3" s="132">
        <f>(Gender!BI5/'Total Master''s'!R5)*100</f>
        <v>53.580905306971907</v>
      </c>
      <c r="R3" s="132">
        <f>(Gender!BJ5/'Total Master''s'!S5)*100</f>
        <v>53.40133877718192</v>
      </c>
      <c r="S3" s="132">
        <f>(Gender!BK5/'Total Master''s'!T5)*100</f>
        <v>54.429722005715774</v>
      </c>
      <c r="T3" s="132">
        <f>(Gender!BL5/'Total Master''s'!U5)*100</f>
        <v>53.981206726013852</v>
      </c>
      <c r="U3" s="132">
        <f>(Gender!BM5/'Total Master''s'!V5)*100</f>
        <v>54.029690530501718</v>
      </c>
      <c r="V3" s="132">
        <f>(Gender!BN5/'Total Master''s'!W5)*100</f>
        <v>54.895015857582706</v>
      </c>
      <c r="W3" s="132">
        <f>(Gender!BO5/'Total Master''s'!X5)*100</f>
        <v>55.415726339896167</v>
      </c>
      <c r="X3" s="132">
        <f>(Gender!BP5/'Total Master''s'!Y5)*100</f>
        <v>55.248723283525628</v>
      </c>
      <c r="Y3" s="132">
        <f>(Gender!BQ5/'Total Master''s'!Z5)*100</f>
        <v>54.982271070905895</v>
      </c>
      <c r="Z3" s="132">
        <f>(Gender!BR5/'Total Master''s'!AA5)*100</f>
        <v>55.105574796112165</v>
      </c>
      <c r="AA3" s="132">
        <f>(Gender!BS5/'Total Master''s'!AB5)*100</f>
        <v>55.585177286057053</v>
      </c>
      <c r="AB3" s="132">
        <f>(Gender!BT5/'Total Master''s'!AC5)*100</f>
        <v>56.731500502644352</v>
      </c>
      <c r="AC3" s="132">
        <f>(Gender!BU5/'Total Master''s'!AD5)*100</f>
        <v>57.533392624115834</v>
      </c>
      <c r="AD3" s="132">
        <f>(Gender!BV5/'Total Master''s'!AE5)*100</f>
        <v>57.976505638808604</v>
      </c>
      <c r="AE3" s="132">
        <f>(Gender!BW5/'Total Master''s'!AF5)*100</f>
        <v>58.550759392486007</v>
      </c>
      <c r="AF3" s="132">
        <f>(Gender!BX5/'Total Master''s'!AG5)*100</f>
        <v>58.367559615030963</v>
      </c>
      <c r="AG3" s="132">
        <f>(Gender!BY5/'Total Master''s'!AH5)*100</f>
        <v>58.868127050357529</v>
      </c>
      <c r="AH3" s="132">
        <f>(Gender!BZ5/'Total Master''s'!AI5)*100</f>
        <v>59.063429613280874</v>
      </c>
      <c r="AI3" s="132">
        <f>(Gender!CA5/'Total Master''s'!AJ5)*100</f>
        <v>58.817379345187135</v>
      </c>
      <c r="AJ3" s="132">
        <f>(Gender!CB5/'Total Master''s'!AK5)*100</f>
        <v>58.807133108207687</v>
      </c>
      <c r="AK3" s="132">
        <f>(Gender!CC5/'Total Master''s'!AL5)*100</f>
        <v>59.651213306026186</v>
      </c>
      <c r="AL3" s="132">
        <f>(Gender!CD5/'Total Master''s'!AM5)*100</f>
        <v>60.467021211565495</v>
      </c>
      <c r="AM3" s="132">
        <f>(Gender!CE5/'Total Master''s'!AN5)*100</f>
        <v>60.771427547228427</v>
      </c>
      <c r="AN3" s="132">
        <f>(Gender!CF5/'Total Master''s'!AO5)*100</f>
        <v>60.242699776702423</v>
      </c>
      <c r="AO3" s="132">
        <f>(Gender!CG5/'Total Master''s'!AP5)*100</f>
        <v>59.807506183460589</v>
      </c>
      <c r="AP3" s="132">
        <f>(Gender!CH5/'Total Master''s'!AQ5)*100</f>
        <v>59.879787729638856</v>
      </c>
      <c r="AQ3" s="132">
        <f>(Gender!CI5/'Total Master''s'!AR5)*100</f>
        <v>59.859453940871418</v>
      </c>
      <c r="AR3" s="132">
        <f>(Gender!CJ5/'Total Master''s'!AS5)*100</f>
        <v>59.692889568131626</v>
      </c>
      <c r="AS3" s="132">
        <f>(Gender!CK5/'Total Master''s'!AT5)*100</f>
        <v>59.658652193900551</v>
      </c>
    </row>
    <row r="4" spans="1:45">
      <c r="A4" s="12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row>
    <row r="5" spans="1:45">
      <c r="A5" s="136" t="s">
        <v>45</v>
      </c>
      <c r="B5" s="133">
        <f>(Gender!AT7/'Total Master''s'!C7)*100</f>
        <v>46.075085324232084</v>
      </c>
      <c r="C5" s="133">
        <f>(Gender!AU7/'Total Master''s'!D7)*100</f>
        <v>48.301444748145258</v>
      </c>
      <c r="D5" s="133">
        <f>(Gender!AV7/'Total Master''s'!E7)*100</f>
        <v>43.698252069917203</v>
      </c>
      <c r="E5" s="133">
        <f>(Gender!AW7/'Total Master''s'!F7)*100</f>
        <v>45.647614053487153</v>
      </c>
      <c r="F5" s="133">
        <f>(Gender!AX7/'Total Master''s'!G7)*100</f>
        <v>50.469263256687</v>
      </c>
      <c r="G5" s="133">
        <f>(Gender!AY7/'Total Master''s'!H7)*100</f>
        <v>53.571428571428569</v>
      </c>
      <c r="H5" s="133">
        <f>(Gender!AZ7/'Total Master''s'!I7)*100</f>
        <v>54.251144538914318</v>
      </c>
      <c r="I5" s="133">
        <f>(Gender!BA7/'Total Master''s'!J7)*100</f>
        <v>54.750738231717911</v>
      </c>
      <c r="J5" s="133">
        <f>(Gender!BB7/'Total Master''s'!K7)*100</f>
        <v>55.513927349731226</v>
      </c>
      <c r="K5" s="133">
        <f>(Gender!BC7/'Total Master''s'!L7)*100</f>
        <v>55.598006644518271</v>
      </c>
      <c r="L5" s="133">
        <f>(Gender!BD7/'Total Master''s'!M7)*100</f>
        <v>55.219829925818708</v>
      </c>
      <c r="M5" s="133">
        <f>(Gender!BE7/'Total Master''s'!N7)*100</f>
        <v>58.243217605767406</v>
      </c>
      <c r="N5" s="133">
        <f>(Gender!BF7/'Total Master''s'!O7)*100</f>
        <v>53.937898416615262</v>
      </c>
      <c r="O5" s="133">
        <f>(Gender!BG7/'Total Master''s'!P7)*100</f>
        <v>56.235733554679392</v>
      </c>
      <c r="P5" s="133">
        <f>(Gender!BH7/'Total Master''s'!Q7)*100</f>
        <v>52.231163130943671</v>
      </c>
      <c r="Q5" s="133">
        <f>(Gender!BI7/'Total Master''s'!R7)*100</f>
        <v>51.784080512351323</v>
      </c>
      <c r="R5" s="133">
        <f>(Gender!BJ7/'Total Master''s'!S7)*100</f>
        <v>54.19921875</v>
      </c>
      <c r="S5" s="133">
        <f>(Gender!BK7/'Total Master''s'!T7)*100</f>
        <v>58.413583375570198</v>
      </c>
      <c r="T5" s="133">
        <f>(Gender!BL7/'Total Master''s'!U7)*100</f>
        <v>54.354025005483663</v>
      </c>
      <c r="U5" s="133">
        <f>(Gender!BM7/'Total Master''s'!V7)*100</f>
        <v>57.098984171982046</v>
      </c>
      <c r="V5" s="133">
        <f>(Gender!BN7/'Total Master''s'!W7)*100</f>
        <v>58.292682926829265</v>
      </c>
      <c r="W5" s="133">
        <f>(Gender!BO7/'Total Master''s'!X7)*100</f>
        <v>60.577295621852002</v>
      </c>
      <c r="X5" s="133">
        <f>(Gender!BP7/'Total Master''s'!Y7)*100</f>
        <v>59.16305916305916</v>
      </c>
      <c r="Y5" s="133">
        <f>(Gender!BQ7/'Total Master''s'!Z7)*100</f>
        <v>59.013484740951029</v>
      </c>
      <c r="Z5" s="133">
        <f>(Gender!BR7/'Total Master''s'!AA7)*100</f>
        <v>58.441783793163282</v>
      </c>
      <c r="AA5" s="133">
        <f>(Gender!BS7/'Total Master''s'!AB7)*100</f>
        <v>58.047802105966909</v>
      </c>
      <c r="AB5" s="133">
        <f>(Gender!BT7/'Total Master''s'!AC7)*100</f>
        <v>62.830217827900512</v>
      </c>
      <c r="AC5" s="133">
        <f>(Gender!BU7/'Total Master''s'!AD7)*100</f>
        <v>59.628242845680667</v>
      </c>
      <c r="AD5" s="133">
        <f>(Gender!BV7/'Total Master''s'!AE7)*100</f>
        <v>60.794555238999678</v>
      </c>
      <c r="AE5" s="133">
        <f>(Gender!BW7/'Total Master''s'!AF7)*100</f>
        <v>62.225586676760024</v>
      </c>
      <c r="AF5" s="133">
        <f>(Gender!BX7/'Total Master''s'!AG7)*100</f>
        <v>59.08240867722229</v>
      </c>
      <c r="AG5" s="133">
        <f>(Gender!BY7/'Total Master''s'!AH7)*100</f>
        <v>61.071516343081832</v>
      </c>
      <c r="AH5" s="133">
        <f>(Gender!BZ7/'Total Master''s'!AI7)*100</f>
        <v>61.950748430709801</v>
      </c>
      <c r="AI5" s="133">
        <f>(Gender!CA7/'Total Master''s'!AJ7)*100</f>
        <v>61.746238597322588</v>
      </c>
      <c r="AJ5" s="133">
        <f>(Gender!CB7/'Total Master''s'!AK7)*100</f>
        <v>61.894248813334805</v>
      </c>
      <c r="AK5" s="133">
        <f>(Gender!CC7/'Total Master''s'!AL7)*100</f>
        <v>63.75462823976784</v>
      </c>
      <c r="AL5" s="133">
        <f>(Gender!CD7/'Total Master''s'!AM7)*100</f>
        <v>63.953375424963575</v>
      </c>
      <c r="AM5" s="133">
        <f>(Gender!CE7/'Total Master''s'!AN7)*100</f>
        <v>64.692015988521064</v>
      </c>
      <c r="AN5" s="133">
        <f>(Gender!CF7/'Total Master''s'!AO7)*100</f>
        <v>62.294001318391565</v>
      </c>
      <c r="AO5" s="133">
        <f>(Gender!CG7/'Total Master''s'!AP7)*100</f>
        <v>62.611053960534932</v>
      </c>
      <c r="AP5" s="133">
        <f>(Gender!CH7/'Total Master''s'!AQ7)*100</f>
        <v>60.686039278414647</v>
      </c>
      <c r="AQ5" s="133">
        <f>(Gender!CI7/'Total Master''s'!AR7)*100</f>
        <v>62.633752581190159</v>
      </c>
      <c r="AR5" s="133">
        <f>(Gender!CJ7/'Total Master''s'!AS7)*100</f>
        <v>61.03315207858271</v>
      </c>
      <c r="AS5" s="133">
        <f>(Gender!CK7/'Total Master''s'!AT7)*100</f>
        <v>60.377035132819188</v>
      </c>
    </row>
    <row r="6" spans="1:45">
      <c r="A6" s="128" t="s">
        <v>46</v>
      </c>
      <c r="B6" s="138">
        <f>(Gender!AT8/'Total Master''s'!C8)*100</f>
        <v>45.038826574633305</v>
      </c>
      <c r="C6" s="138">
        <f>(Gender!AU8/'Total Master''s'!D8)*100</f>
        <v>42.953586497890292</v>
      </c>
      <c r="D6" s="138">
        <f>(Gender!AV8/'Total Master''s'!E8)*100</f>
        <v>45.454545454545453</v>
      </c>
      <c r="E6" s="138">
        <f>(Gender!AW8/'Total Master''s'!F8)*100</f>
        <v>47.207345065034431</v>
      </c>
      <c r="F6" s="138">
        <f>(Gender!AX8/'Total Master''s'!G8)*100</f>
        <v>46.677471636953001</v>
      </c>
      <c r="G6" s="138">
        <f>(Gender!AY8/'Total Master''s'!H8)*100</f>
        <v>46.164772727272727</v>
      </c>
      <c r="H6" s="138">
        <f>(Gender!AZ8/'Total Master''s'!I8)*100</f>
        <v>46.463414634146346</v>
      </c>
      <c r="I6" s="138">
        <f>(Gender!BA8/'Total Master''s'!J8)*100</f>
        <v>51.388888888888886</v>
      </c>
      <c r="J6" s="138">
        <f>(Gender!BB8/'Total Master''s'!K8)*100</f>
        <v>52.539503386004519</v>
      </c>
      <c r="K6" s="138">
        <f>(Gender!BC8/'Total Master''s'!L8)*100</f>
        <v>53.095238095238095</v>
      </c>
      <c r="L6" s="138">
        <f>(Gender!BD8/'Total Master''s'!M8)*100</f>
        <v>53.591790193842648</v>
      </c>
      <c r="M6" s="138">
        <f>(Gender!BE8/'Total Master''s'!N8)*100</f>
        <v>56.577480490523968</v>
      </c>
      <c r="N6" s="138">
        <f>(Gender!BF8/'Total Master''s'!O8)*100</f>
        <v>58.090614886731395</v>
      </c>
      <c r="O6" s="138">
        <f>(Gender!BG8/'Total Master''s'!P8)*100</f>
        <v>56.804065499717673</v>
      </c>
      <c r="P6" s="138">
        <f>(Gender!BH8/'Total Master''s'!Q8)*100</f>
        <v>54.082840236686394</v>
      </c>
      <c r="Q6" s="138">
        <f>(Gender!BI8/'Total Master''s'!R8)*100</f>
        <v>57.770075101097632</v>
      </c>
      <c r="R6" s="138">
        <f>(Gender!BJ8/'Total Master''s'!S8)*100</f>
        <v>55.332940483205661</v>
      </c>
      <c r="S6" s="138">
        <f>(Gender!BK8/'Total Master''s'!T8)*100</f>
        <v>59.745087626128523</v>
      </c>
      <c r="T6" s="138">
        <f>(Gender!BL8/'Total Master''s'!U8)*100</f>
        <v>62.485681557846505</v>
      </c>
      <c r="U6" s="138">
        <f>(Gender!BM8/'Total Master''s'!V8)*100</f>
        <v>57.967795669072743</v>
      </c>
      <c r="V6" s="138">
        <f>(Gender!BN8/'Total Master''s'!W8)*100</f>
        <v>60.705882352941174</v>
      </c>
      <c r="W6" s="138">
        <f>(Gender!BO8/'Total Master''s'!X8)*100</f>
        <v>61.127956337174048</v>
      </c>
      <c r="X6" s="138">
        <f>(Gender!BP8/'Total Master''s'!Y8)*100</f>
        <v>59.131905298759868</v>
      </c>
      <c r="Y6" s="138">
        <f>(Gender!BQ8/'Total Master''s'!Z8)*100</f>
        <v>61.38344226579521</v>
      </c>
      <c r="Z6" s="138">
        <f>(Gender!BR8/'Total Master''s'!AA8)*100</f>
        <v>59.749373433583962</v>
      </c>
      <c r="AA6" s="138">
        <f>(Gender!BS8/'Total Master''s'!AB8)*100</f>
        <v>63.6452719255267</v>
      </c>
      <c r="AB6" s="138">
        <f>(Gender!BT8/'Total Master''s'!AC8)*100</f>
        <v>59.452610238215918</v>
      </c>
      <c r="AC6" s="138">
        <f>(Gender!BU8/'Total Master''s'!AD8)*100</f>
        <v>63.11959981809914</v>
      </c>
      <c r="AD6" s="138">
        <f>(Gender!BV8/'Total Master''s'!AE8)*100</f>
        <v>62.677670793214126</v>
      </c>
      <c r="AE6" s="138">
        <f>(Gender!BW8/'Total Master''s'!AF8)*100</f>
        <v>66.446499339498018</v>
      </c>
      <c r="AF6" s="138">
        <f>(Gender!BX8/'Total Master''s'!AG8)*100</f>
        <v>63.735801430374416</v>
      </c>
      <c r="AG6" s="138">
        <f>(Gender!BY8/'Total Master''s'!AH8)*100</f>
        <v>65.857962064402301</v>
      </c>
      <c r="AH6" s="138">
        <f>(Gender!BZ8/'Total Master''s'!AI8)*100</f>
        <v>65.708502024291491</v>
      </c>
      <c r="AI6" s="138">
        <f>(Gender!CA8/'Total Master''s'!AJ8)*100</f>
        <v>64.715513712648388</v>
      </c>
      <c r="AJ6" s="138">
        <f>(Gender!CB8/'Total Master''s'!AK8)*100</f>
        <v>62.225644974971118</v>
      </c>
      <c r="AK6" s="138">
        <f>(Gender!CC8/'Total Master''s'!AL8)*100</f>
        <v>63.311118905647149</v>
      </c>
      <c r="AL6" s="138">
        <f>(Gender!CD8/'Total Master''s'!AM8)*100</f>
        <v>61.672586373910235</v>
      </c>
      <c r="AM6" s="138">
        <f>(Gender!CE8/'Total Master''s'!AN8)*100</f>
        <v>63.217684986183606</v>
      </c>
      <c r="AN6" s="138">
        <f>(Gender!CF8/'Total Master''s'!AO8)*100</f>
        <v>64.377315474494154</v>
      </c>
      <c r="AO6" s="138">
        <f>(Gender!CG8/'Total Master''s'!AP8)*100</f>
        <v>65.4478007419184</v>
      </c>
      <c r="AP6" s="138">
        <f>(Gender!CH8/'Total Master''s'!AQ8)*100</f>
        <v>64.008725157537569</v>
      </c>
      <c r="AQ6" s="138">
        <f>(Gender!CI8/'Total Master''s'!AR8)*100</f>
        <v>65.783434174838305</v>
      </c>
      <c r="AR6" s="138">
        <f>(Gender!CJ8/'Total Master''s'!AS8)*100</f>
        <v>65.676691729323309</v>
      </c>
      <c r="AS6" s="138">
        <f>(Gender!CK8/'Total Master''s'!AT8)*100</f>
        <v>65.129186602870817</v>
      </c>
    </row>
    <row r="7" spans="1:45">
      <c r="A7" s="128" t="s">
        <v>47</v>
      </c>
      <c r="B7" s="138">
        <f>(Gender!AT9/'Total Master''s'!C9)*100</f>
        <v>36.538461538461533</v>
      </c>
      <c r="C7" s="138">
        <f>(Gender!AU9/'Total Master''s'!D9)*100</f>
        <v>43.432203389830512</v>
      </c>
      <c r="D7" s="138">
        <f>(Gender!AV9/'Total Master''s'!E9)*100</f>
        <v>36.986301369863014</v>
      </c>
      <c r="E7" s="138">
        <f>(Gender!AW9/'Total Master''s'!F9)*100</f>
        <v>39.714867617107942</v>
      </c>
      <c r="F7" s="138">
        <f>(Gender!AX9/'Total Master''s'!G9)*100</f>
        <v>40.732758620689658</v>
      </c>
      <c r="G7" s="138">
        <f>(Gender!AY9/'Total Master''s'!H9)*100</f>
        <v>42.680412371134018</v>
      </c>
      <c r="H7" s="138">
        <f>(Gender!AZ9/'Total Master''s'!I9)*100</f>
        <v>42.919389978213509</v>
      </c>
      <c r="I7" s="138">
        <f>(Gender!BA9/'Total Master''s'!J9)*100</f>
        <v>45.58011049723757</v>
      </c>
      <c r="J7" s="138">
        <f>(Gender!BB9/'Total Master''s'!K9)*100</f>
        <v>47.272727272727273</v>
      </c>
      <c r="K7" s="138">
        <f>(Gender!BC9/'Total Master''s'!L9)*100</f>
        <v>49.006622516556291</v>
      </c>
      <c r="L7" s="138">
        <f>(Gender!BD9/'Total Master''s'!M9)*100</f>
        <v>49.572649572649574</v>
      </c>
      <c r="M7" s="138">
        <f>(Gender!BE9/'Total Master''s'!N9)*100</f>
        <v>48.008849557522126</v>
      </c>
      <c r="N7" s="138">
        <f>(Gender!BF9/'Total Master''s'!O9)*100</f>
        <v>51.968503937007867</v>
      </c>
      <c r="O7" s="138">
        <f>(Gender!BG9/'Total Master''s'!P9)*100</f>
        <v>50.505050505050505</v>
      </c>
      <c r="P7" s="138">
        <f>(Gender!BH9/'Total Master''s'!Q9)*100</f>
        <v>50</v>
      </c>
      <c r="Q7" s="138">
        <f>(Gender!BI9/'Total Master''s'!R9)*100</f>
        <v>48.913043478260867</v>
      </c>
      <c r="R7" s="138">
        <f>(Gender!BJ9/'Total Master''s'!S9)*100</f>
        <v>48.063380281690144</v>
      </c>
      <c r="S7" s="138">
        <f>(Gender!BK9/'Total Master''s'!T9)*100</f>
        <v>53.924914675767923</v>
      </c>
      <c r="T7" s="138">
        <f>(Gender!BL9/'Total Master''s'!U9)*100</f>
        <v>49.768875192604007</v>
      </c>
      <c r="U7" s="138">
        <f>(Gender!BM9/'Total Master''s'!V9)*100</f>
        <v>50.217076700434149</v>
      </c>
      <c r="V7" s="138">
        <f>(Gender!BN9/'Total Master''s'!W9)*100</f>
        <v>55.752212389380531</v>
      </c>
      <c r="W7" s="138">
        <f>(Gender!BO9/'Total Master''s'!X9)*100</f>
        <v>58.838071693448704</v>
      </c>
      <c r="X7" s="138">
        <f>(Gender!BP9/'Total Master''s'!Y9)*100</f>
        <v>57.526254375729295</v>
      </c>
      <c r="Y7" s="138">
        <f>(Gender!BQ9/'Total Master''s'!Z9)*100</f>
        <v>56.918238993710688</v>
      </c>
      <c r="Z7" s="138">
        <f>(Gender!BR9/'Total Master''s'!AA9)*100</f>
        <v>56.439790575916227</v>
      </c>
      <c r="AA7" s="138">
        <f>(Gender!BS9/'Total Master''s'!AB9)*100</f>
        <v>53.992740471869325</v>
      </c>
      <c r="AB7" s="138">
        <f>(Gender!BT9/'Total Master''s'!AC9)*100</f>
        <v>56.720000000000006</v>
      </c>
      <c r="AC7" s="138">
        <f>(Gender!BU9/'Total Master''s'!AD9)*100</f>
        <v>55.48986486486487</v>
      </c>
      <c r="AD7" s="138">
        <f>(Gender!BV9/'Total Master''s'!AE9)*100</f>
        <v>59.416261292564279</v>
      </c>
      <c r="AE7" s="138">
        <f>(Gender!BW9/'Total Master''s'!AF9)*100</f>
        <v>60.119442601194429</v>
      </c>
      <c r="AF7" s="138">
        <f>(Gender!BX9/'Total Master''s'!AG9)*100</f>
        <v>59.655172413793103</v>
      </c>
      <c r="AG7" s="138">
        <f>(Gender!BY9/'Total Master''s'!AH9)*100</f>
        <v>63.150777552400271</v>
      </c>
      <c r="AH7" s="138">
        <f>(Gender!BZ9/'Total Master''s'!AI9)*100</f>
        <v>63.976759199483539</v>
      </c>
      <c r="AI7" s="138">
        <f>(Gender!CA9/'Total Master''s'!AJ9)*100</f>
        <v>62.677254679523543</v>
      </c>
      <c r="AJ7" s="138">
        <f>(Gender!CB9/'Total Master''s'!AK9)*100</f>
        <v>62.422680412371136</v>
      </c>
      <c r="AK7" s="138">
        <f>(Gender!CC9/'Total Master''s'!AL9)*100</f>
        <v>63.810930576070902</v>
      </c>
      <c r="AL7" s="138">
        <f>(Gender!CD9/'Total Master''s'!AM9)*100</f>
        <v>65.326395458845781</v>
      </c>
      <c r="AM7" s="138">
        <f>(Gender!CE9/'Total Master''s'!AN9)*100</f>
        <v>62.216404886561961</v>
      </c>
      <c r="AN7" s="138">
        <f>(Gender!CF9/'Total Master''s'!AO9)*100</f>
        <v>64.862505456132695</v>
      </c>
      <c r="AO7" s="138">
        <f>(Gender!CG9/'Total Master''s'!AP9)*100</f>
        <v>64.339781328847764</v>
      </c>
      <c r="AP7" s="138">
        <f>(Gender!CH9/'Total Master''s'!AQ9)*100</f>
        <v>64.727722772277232</v>
      </c>
      <c r="AQ7" s="138">
        <f>(Gender!CI9/'Total Master''s'!AR9)*100</f>
        <v>62.329020332717192</v>
      </c>
      <c r="AR7" s="138">
        <f>(Gender!CJ9/'Total Master''s'!AS9)*100</f>
        <v>61.865671641791039</v>
      </c>
      <c r="AS7" s="138">
        <f>(Gender!CK9/'Total Master''s'!AT9)*100</f>
        <v>60.77006901561932</v>
      </c>
    </row>
    <row r="8" spans="1:45">
      <c r="A8" s="128" t="s">
        <v>48</v>
      </c>
      <c r="B8" s="138">
        <f>(Gender!AT10/'Total Master''s'!C10)*100</f>
        <v>41.206378553270163</v>
      </c>
      <c r="C8" s="138">
        <f>(Gender!AU10/'Total Master''s'!D10)*100</f>
        <v>41.605839416058394</v>
      </c>
      <c r="D8" s="138">
        <f>(Gender!AV10/'Total Master''s'!E10)*100</f>
        <v>41.489912053802378</v>
      </c>
      <c r="E8" s="138">
        <f>(Gender!AW10/'Total Master''s'!F10)*100</f>
        <v>42.978369384359397</v>
      </c>
      <c r="F8" s="138">
        <f>(Gender!AX10/'Total Master''s'!G10)*100</f>
        <v>44.869831546707509</v>
      </c>
      <c r="G8" s="138">
        <f>(Gender!AY10/'Total Master''s'!H10)*100</f>
        <v>44.750620005511159</v>
      </c>
      <c r="H8" s="138">
        <f>(Gender!AZ10/'Total Master''s'!I10)*100</f>
        <v>48.170657590859363</v>
      </c>
      <c r="I8" s="138">
        <f>(Gender!BA10/'Total Master''s'!J10)*100</f>
        <v>47.053309900410078</v>
      </c>
      <c r="J8" s="138">
        <f>(Gender!BB10/'Total Master''s'!K10)*100</f>
        <v>50.233592880978861</v>
      </c>
      <c r="K8" s="138">
        <f>(Gender!BC10/'Total Master''s'!L10)*100</f>
        <v>50.789613142554323</v>
      </c>
      <c r="L8" s="138">
        <f>(Gender!BD10/'Total Master''s'!M10)*100</f>
        <v>46.993613688396188</v>
      </c>
      <c r="M8" s="138">
        <f>(Gender!BE10/'Total Master''s'!N10)*100</f>
        <v>52.466727856815055</v>
      </c>
      <c r="N8" s="138">
        <f>(Gender!BF10/'Total Master''s'!O10)*100</f>
        <v>51.586582048957382</v>
      </c>
      <c r="O8" s="138">
        <f>(Gender!BG10/'Total Master''s'!P10)*100</f>
        <v>48.270478020658182</v>
      </c>
      <c r="P8" s="138">
        <f>(Gender!BH10/'Total Master''s'!Q10)*100</f>
        <v>48.614576493762314</v>
      </c>
      <c r="Q8" s="138">
        <f>(Gender!BI10/'Total Master''s'!R10)*100</f>
        <v>49.912780555878591</v>
      </c>
      <c r="R8" s="138">
        <f>(Gender!BJ10/'Total Master''s'!S10)*100</f>
        <v>50.581650570676032</v>
      </c>
      <c r="S8" s="138">
        <f>(Gender!BK10/'Total Master''s'!T10)*100</f>
        <v>50.398053958425471</v>
      </c>
      <c r="T8" s="138">
        <f>(Gender!BL10/'Total Master''s'!U10)*100</f>
        <v>49.053724053724054</v>
      </c>
      <c r="U8" s="138">
        <f>(Gender!BM10/'Total Master''s'!V10)*100</f>
        <v>48.420436817472698</v>
      </c>
      <c r="V8" s="138">
        <f>(Gender!BN10/'Total Master''s'!W10)*100</f>
        <v>51.046102573597487</v>
      </c>
      <c r="W8" s="138">
        <f>(Gender!BO10/'Total Master''s'!X10)*100</f>
        <v>53.147410358565736</v>
      </c>
      <c r="X8" s="138">
        <f>(Gender!BP10/'Total Master''s'!Y10)*100</f>
        <v>52.75623735670937</v>
      </c>
      <c r="Y8" s="138">
        <f>(Gender!BQ10/'Total Master''s'!Z10)*100</f>
        <v>52.01977938379612</v>
      </c>
      <c r="Z8" s="138">
        <f>(Gender!BR10/'Total Master''s'!AA10)*100</f>
        <v>52.831531018782016</v>
      </c>
      <c r="AA8" s="138">
        <f>(Gender!BS10/'Total Master''s'!AB10)*100</f>
        <v>51.301291151220177</v>
      </c>
      <c r="AB8" s="138">
        <f>(Gender!BT10/'Total Master''s'!AC10)*100</f>
        <v>54.147074190177634</v>
      </c>
      <c r="AC8" s="138">
        <f>(Gender!BU10/'Total Master''s'!AD10)*100</f>
        <v>54.210785520807683</v>
      </c>
      <c r="AD8" s="138">
        <f>(Gender!BV10/'Total Master''s'!AE10)*100</f>
        <v>56.299094561371952</v>
      </c>
      <c r="AE8" s="138">
        <f>(Gender!BW10/'Total Master''s'!AF10)*100</f>
        <v>56.384035528545553</v>
      </c>
      <c r="AF8" s="138">
        <f>(Gender!BX10/'Total Master''s'!AG10)*100</f>
        <v>56.834813697558793</v>
      </c>
      <c r="AG8" s="138">
        <f>(Gender!BY10/'Total Master''s'!AH10)*100</f>
        <v>57.145056975669853</v>
      </c>
      <c r="AH8" s="138">
        <f>(Gender!BZ10/'Total Master''s'!AI10)*100</f>
        <v>57.435695279392931</v>
      </c>
      <c r="AI8" s="138">
        <f>(Gender!CA10/'Total Master''s'!AJ10)*100</f>
        <v>57.654326765573082</v>
      </c>
      <c r="AJ8" s="138">
        <f>(Gender!CB10/'Total Master''s'!AK10)*100</f>
        <v>57.76914778856527</v>
      </c>
      <c r="AK8" s="138">
        <f>(Gender!CC10/'Total Master''s'!AL10)*100</f>
        <v>58.769884234196724</v>
      </c>
      <c r="AL8" s="138">
        <f>(Gender!CD10/'Total Master''s'!AM10)*100</f>
        <v>60.50081111434632</v>
      </c>
      <c r="AM8" s="138">
        <f>(Gender!CE10/'Total Master''s'!AN10)*100</f>
        <v>60.039885817072694</v>
      </c>
      <c r="AN8" s="138">
        <f>(Gender!CF10/'Total Master''s'!AO10)*100</f>
        <v>59.732932104570246</v>
      </c>
      <c r="AO8" s="138">
        <f>(Gender!CG10/'Total Master''s'!AP10)*100</f>
        <v>58.984388765549568</v>
      </c>
      <c r="AP8" s="138">
        <f>(Gender!CH10/'Total Master''s'!AQ10)*100</f>
        <v>59.403700702323071</v>
      </c>
      <c r="AQ8" s="138">
        <f>(Gender!CI10/'Total Master''s'!AR10)*100</f>
        <v>57.914122017251145</v>
      </c>
      <c r="AR8" s="138">
        <f>(Gender!CJ10/'Total Master''s'!AS10)*100</f>
        <v>57.55671275513258</v>
      </c>
      <c r="AS8" s="138">
        <f>(Gender!CK10/'Total Master''s'!AT10)*100</f>
        <v>57.788944723618087</v>
      </c>
    </row>
    <row r="9" spans="1:45">
      <c r="A9" s="128" t="s">
        <v>49</v>
      </c>
      <c r="B9" s="138">
        <f>(Gender!AT11/'Total Master''s'!C11)*100</f>
        <v>47.437461866992066</v>
      </c>
      <c r="C9" s="138">
        <f>(Gender!AU11/'Total Master''s'!D11)*100</f>
        <v>47.764809513323058</v>
      </c>
      <c r="D9" s="138">
        <f>(Gender!AV11/'Total Master''s'!E11)*100</f>
        <v>47.037263286499694</v>
      </c>
      <c r="E9" s="138">
        <f>(Gender!AW11/'Total Master''s'!F11)*100</f>
        <v>53.034254912189184</v>
      </c>
      <c r="F9" s="138">
        <f>(Gender!AX11/'Total Master''s'!G11)*100</f>
        <v>55.037395512538502</v>
      </c>
      <c r="G9" s="138">
        <f>(Gender!AY11/'Total Master''s'!H11)*100</f>
        <v>57.649456521739125</v>
      </c>
      <c r="H9" s="138">
        <f>(Gender!AZ11/'Total Master''s'!I11)*100</f>
        <v>59.586190009794315</v>
      </c>
      <c r="I9" s="138">
        <f>(Gender!BA11/'Total Master''s'!J11)*100</f>
        <v>59.504433377869546</v>
      </c>
      <c r="J9" s="138">
        <f>(Gender!BB11/'Total Master''s'!K11)*100</f>
        <v>59.145775301764161</v>
      </c>
      <c r="K9" s="138">
        <f>(Gender!BC11/'Total Master''s'!L11)*100</f>
        <v>59.301836534417497</v>
      </c>
      <c r="L9" s="138">
        <f>(Gender!BD11/'Total Master''s'!M11)*100</f>
        <v>59.956011730205283</v>
      </c>
      <c r="M9" s="138">
        <f>(Gender!BE11/'Total Master''s'!N11)*100</f>
        <v>57.982538197692548</v>
      </c>
      <c r="N9" s="138">
        <f>(Gender!BF11/'Total Master''s'!O11)*100</f>
        <v>57.171253822629978</v>
      </c>
      <c r="O9" s="138">
        <f>(Gender!BG11/'Total Master''s'!P11)*100</f>
        <v>58.456829896907216</v>
      </c>
      <c r="P9" s="138">
        <f>(Gender!BH11/'Total Master''s'!Q11)*100</f>
        <v>56.288758149149309</v>
      </c>
      <c r="Q9" s="138">
        <f>(Gender!BI11/'Total Master''s'!R11)*100</f>
        <v>58.03414711983406</v>
      </c>
      <c r="R9" s="138">
        <f>(Gender!BJ11/'Total Master''s'!S11)*100</f>
        <v>56.779799967207737</v>
      </c>
      <c r="S9" s="138">
        <f>(Gender!BK11/'Total Master''s'!T11)*100</f>
        <v>56.387119603680112</v>
      </c>
      <c r="T9" s="138">
        <f>(Gender!BL11/'Total Master''s'!U11)*100</f>
        <v>56.331803501614822</v>
      </c>
      <c r="U9" s="138">
        <f>(Gender!BM11/'Total Master''s'!V11)*100</f>
        <v>56.02557796360059</v>
      </c>
      <c r="V9" s="138">
        <f>(Gender!BN11/'Total Master''s'!W11)*100</f>
        <v>56.682744670919561</v>
      </c>
      <c r="W9" s="138">
        <f>(Gender!BO11/'Total Master''s'!X11)*100</f>
        <v>54.99543100822418</v>
      </c>
      <c r="X9" s="138">
        <f>(Gender!BP11/'Total Master''s'!Y11)*100</f>
        <v>56.266021076616347</v>
      </c>
      <c r="Y9" s="138">
        <f>(Gender!BQ11/'Total Master''s'!Z11)*100</f>
        <v>56.609700929881882</v>
      </c>
      <c r="Z9" s="138">
        <f>(Gender!BR11/'Total Master''s'!AA11)*100</f>
        <v>56.761950516454483</v>
      </c>
      <c r="AA9" s="138">
        <f>(Gender!BS11/'Total Master''s'!AB11)*100</f>
        <v>58.306339657565943</v>
      </c>
      <c r="AB9" s="138">
        <f>(Gender!BT11/'Total Master''s'!AC11)*100</f>
        <v>59.664502164502167</v>
      </c>
      <c r="AC9" s="138">
        <f>(Gender!BU11/'Total Master''s'!AD11)*100</f>
        <v>60.462953394647101</v>
      </c>
      <c r="AD9" s="138">
        <f>(Gender!BV11/'Total Master''s'!AE11)*100</f>
        <v>60.247399493955577</v>
      </c>
      <c r="AE9" s="138">
        <f>(Gender!BW11/'Total Master''s'!AF11)*100</f>
        <v>58.898545248441337</v>
      </c>
      <c r="AF9" s="138">
        <f>(Gender!BX11/'Total Master''s'!AG11)*100</f>
        <v>59.865513928914503</v>
      </c>
      <c r="AG9" s="138">
        <f>(Gender!BY11/'Total Master''s'!AH11)*100</f>
        <v>60.180280643062915</v>
      </c>
      <c r="AH9" s="138">
        <f>(Gender!BZ11/'Total Master''s'!AI11)*100</f>
        <v>57.691669432459349</v>
      </c>
      <c r="AI9" s="138">
        <f>(Gender!CA11/'Total Master''s'!AJ11)*100</f>
        <v>58.556615512235588</v>
      </c>
      <c r="AJ9" s="138">
        <f>(Gender!CB11/'Total Master''s'!AK11)*100</f>
        <v>58.856114111618886</v>
      </c>
      <c r="AK9" s="138">
        <f>(Gender!CC11/'Total Master''s'!AL11)*100</f>
        <v>60.986957516589122</v>
      </c>
      <c r="AL9" s="138">
        <f>(Gender!CD11/'Total Master''s'!AM11)*100</f>
        <v>60.920736589271421</v>
      </c>
      <c r="AM9" s="138">
        <f>(Gender!CE11/'Total Master''s'!AN11)*100</f>
        <v>60.282078301045637</v>
      </c>
      <c r="AN9" s="138">
        <f>(Gender!CF11/'Total Master''s'!AO11)*100</f>
        <v>60.021049466245678</v>
      </c>
      <c r="AO9" s="138">
        <f>(Gender!CG11/'Total Master''s'!AP11)*100</f>
        <v>58.957611303652357</v>
      </c>
      <c r="AP9" s="138">
        <f>(Gender!CH11/'Total Master''s'!AQ11)*100</f>
        <v>60.635298540191719</v>
      </c>
      <c r="AQ9" s="138">
        <f>(Gender!CI11/'Total Master''s'!AR11)*100</f>
        <v>59.947445255474449</v>
      </c>
      <c r="AR9" s="138">
        <f>(Gender!CJ11/'Total Master''s'!AS11)*100</f>
        <v>59.329067957807368</v>
      </c>
      <c r="AS9" s="138">
        <f>(Gender!CK11/'Total Master''s'!AT11)*100</f>
        <v>59.251630621352561</v>
      </c>
    </row>
    <row r="10" spans="1:45">
      <c r="A10" s="128" t="s">
        <v>50</v>
      </c>
      <c r="B10" s="138">
        <f>(Gender!AT12/'Total Master''s'!C12)*100</f>
        <v>45.859375</v>
      </c>
      <c r="C10" s="138">
        <f>(Gender!AU12/'Total Master''s'!D12)*100</f>
        <v>48.318264014466543</v>
      </c>
      <c r="D10" s="138">
        <f>(Gender!AV12/'Total Master''s'!E12)*100</f>
        <v>48.014018691588781</v>
      </c>
      <c r="E10" s="138">
        <f>(Gender!AW12/'Total Master''s'!F12)*100</f>
        <v>48.982398239823979</v>
      </c>
      <c r="F10" s="138">
        <f>(Gender!AX12/'Total Master''s'!G12)*100</f>
        <v>52.753486173481448</v>
      </c>
      <c r="G10" s="138">
        <f>(Gender!AY12/'Total Master''s'!H12)*100</f>
        <v>54.018153641797653</v>
      </c>
      <c r="H10" s="138">
        <f>(Gender!AZ12/'Total Master''s'!I12)*100</f>
        <v>55.689973344269021</v>
      </c>
      <c r="I10" s="138">
        <f>(Gender!BA12/'Total Master''s'!J12)*100</f>
        <v>57.714285714285715</v>
      </c>
      <c r="J10" s="138">
        <f>(Gender!BB12/'Total Master''s'!K12)*100</f>
        <v>57.455787781350487</v>
      </c>
      <c r="K10" s="138">
        <f>(Gender!BC12/'Total Master''s'!L12)*100</f>
        <v>60.607271274470634</v>
      </c>
      <c r="L10" s="138">
        <f>(Gender!BD12/'Total Master''s'!M12)*100</f>
        <v>63.26295585412668</v>
      </c>
      <c r="M10" s="138">
        <f>(Gender!BE12/'Total Master''s'!N12)*100</f>
        <v>63.30234617087207</v>
      </c>
      <c r="N10" s="138">
        <f>(Gender!BF12/'Total Master''s'!O12)*100</f>
        <v>61.57173756308579</v>
      </c>
      <c r="O10" s="138">
        <f>(Gender!BG12/'Total Master''s'!P12)*100</f>
        <v>59.978395895220096</v>
      </c>
      <c r="P10" s="138">
        <f>(Gender!BH12/'Total Master''s'!Q12)*100</f>
        <v>59.475138121546969</v>
      </c>
      <c r="Q10" s="138">
        <f>(Gender!BI12/'Total Master''s'!R12)*100</f>
        <v>60.86575021936239</v>
      </c>
      <c r="R10" s="138">
        <f>(Gender!BJ12/'Total Master''s'!S12)*100</f>
        <v>59.717823207601498</v>
      </c>
      <c r="S10" s="138">
        <f>(Gender!BK12/'Total Master''s'!T12)*100</f>
        <v>60.749385749385752</v>
      </c>
      <c r="T10" s="138">
        <f>(Gender!BL12/'Total Master''s'!U12)*100</f>
        <v>62.316231623162324</v>
      </c>
      <c r="U10" s="138">
        <f>(Gender!BM12/'Total Master''s'!V12)*100</f>
        <v>61.558292752792894</v>
      </c>
      <c r="V10" s="138">
        <f>(Gender!BN12/'Total Master''s'!W12)*100</f>
        <v>63.162184189079049</v>
      </c>
      <c r="W10" s="138">
        <f>(Gender!BO12/'Total Master''s'!X12)*100</f>
        <v>61.693548387096776</v>
      </c>
      <c r="X10" s="138">
        <f>(Gender!BP12/'Total Master''s'!Y12)*100</f>
        <v>60.975609756097562</v>
      </c>
      <c r="Y10" s="138">
        <f>(Gender!BQ12/'Total Master''s'!Z12)*100</f>
        <v>58.545887961859357</v>
      </c>
      <c r="Z10" s="138">
        <f>(Gender!BR12/'Total Master''s'!AA12)*100</f>
        <v>62.313803376365442</v>
      </c>
      <c r="AA10" s="138">
        <f>(Gender!BS12/'Total Master''s'!AB12)*100</f>
        <v>62.550367385636406</v>
      </c>
      <c r="AB10" s="138">
        <f>(Gender!BT12/'Total Master''s'!AC12)*100</f>
        <v>64.411306476741601</v>
      </c>
      <c r="AC10" s="138">
        <f>(Gender!BU12/'Total Master''s'!AD12)*100</f>
        <v>63.276960245991653</v>
      </c>
      <c r="AD10" s="138">
        <f>(Gender!BV12/'Total Master''s'!AE12)*100</f>
        <v>63.775403310287025</v>
      </c>
      <c r="AE10" s="138">
        <f>(Gender!BW12/'Total Master''s'!AF12)*100</f>
        <v>64.19474116680361</v>
      </c>
      <c r="AF10" s="138">
        <f>(Gender!BX12/'Total Master''s'!AG12)*100</f>
        <v>63.524504692387907</v>
      </c>
      <c r="AG10" s="138">
        <f>(Gender!BY12/'Total Master''s'!AH12)*100</f>
        <v>63.54771784232365</v>
      </c>
      <c r="AH10" s="138">
        <f>(Gender!BZ12/'Total Master''s'!AI12)*100</f>
        <v>63.186813186813183</v>
      </c>
      <c r="AI10" s="138">
        <f>(Gender!CA12/'Total Master''s'!AJ12)*100</f>
        <v>63.351749539594849</v>
      </c>
      <c r="AJ10" s="138">
        <f>(Gender!CB12/'Total Master''s'!AK12)*100</f>
        <v>62.778675282714062</v>
      </c>
      <c r="AK10" s="138">
        <f>(Gender!CC12/'Total Master''s'!AL12)*100</f>
        <v>63.071297989031081</v>
      </c>
      <c r="AL10" s="138">
        <f>(Gender!CD12/'Total Master''s'!AM12)*100</f>
        <v>63.051044083526683</v>
      </c>
      <c r="AM10" s="138">
        <f>(Gender!CE12/'Total Master''s'!AN12)*100</f>
        <v>64.804698169898927</v>
      </c>
      <c r="AN10" s="138">
        <f>(Gender!CF12/'Total Master''s'!AO12)*100</f>
        <v>64.170523068293377</v>
      </c>
      <c r="AO10" s="138">
        <f>(Gender!CG12/'Total Master''s'!AP12)*100</f>
        <v>65.206391478029289</v>
      </c>
      <c r="AP10" s="138">
        <f>(Gender!CH12/'Total Master''s'!AQ12)*100</f>
        <v>64.916467780429599</v>
      </c>
      <c r="AQ10" s="138">
        <f>(Gender!CI12/'Total Master''s'!AR12)*100</f>
        <v>63.544739429695184</v>
      </c>
      <c r="AR10" s="138">
        <f>(Gender!CJ12/'Total Master''s'!AS12)*100</f>
        <v>63.632380326432248</v>
      </c>
      <c r="AS10" s="138">
        <f>(Gender!CK12/'Total Master''s'!AT12)*100</f>
        <v>62.304934626739772</v>
      </c>
    </row>
    <row r="11" spans="1:45">
      <c r="A11" s="128" t="s">
        <v>51</v>
      </c>
      <c r="B11" s="138">
        <f>(Gender!AT13/'Total Master''s'!C13)*100</f>
        <v>44.84769928710304</v>
      </c>
      <c r="C11" s="138">
        <f>(Gender!AU13/'Total Master''s'!D13)*100</f>
        <v>47.113371223451992</v>
      </c>
      <c r="D11" s="138">
        <f>(Gender!AV13/'Total Master''s'!E13)*100</f>
        <v>46.661259799945931</v>
      </c>
      <c r="E11" s="138">
        <f>(Gender!AW13/'Total Master''s'!F13)*100</f>
        <v>48.406279733587063</v>
      </c>
      <c r="F11" s="138">
        <f>(Gender!AX13/'Total Master''s'!G13)*100</f>
        <v>48.925619834710744</v>
      </c>
      <c r="G11" s="138">
        <f>(Gender!AY13/'Total Master''s'!H13)*100</f>
        <v>53.629218677762367</v>
      </c>
      <c r="H11" s="138">
        <f>(Gender!AZ13/'Total Master''s'!I13)*100</f>
        <v>54.067757547822083</v>
      </c>
      <c r="I11" s="138">
        <f>(Gender!BA13/'Total Master''s'!J13)*100</f>
        <v>56.821251688428632</v>
      </c>
      <c r="J11" s="138">
        <f>(Gender!BB13/'Total Master''s'!K13)*100</f>
        <v>56.460296096904436</v>
      </c>
      <c r="K11" s="138">
        <f>(Gender!BC13/'Total Master''s'!L13)*100</f>
        <v>59.684184554650876</v>
      </c>
      <c r="L11" s="138">
        <f>(Gender!BD13/'Total Master''s'!M13)*100</f>
        <v>60.023866348448685</v>
      </c>
      <c r="M11" s="138">
        <f>(Gender!BE13/'Total Master''s'!N13)*100</f>
        <v>57.375796178343954</v>
      </c>
      <c r="N11" s="138">
        <f>(Gender!BF13/'Total Master''s'!O13)*100</f>
        <v>57.561608300907906</v>
      </c>
      <c r="O11" s="138">
        <f>(Gender!BG13/'Total Master''s'!P13)*100</f>
        <v>59.335996005991007</v>
      </c>
      <c r="P11" s="138">
        <f>(Gender!BH13/'Total Master''s'!Q13)*100</f>
        <v>57.033443962215976</v>
      </c>
      <c r="Q11" s="138">
        <f>(Gender!BI13/'Total Master''s'!R13)*100</f>
        <v>56.195121951219519</v>
      </c>
      <c r="R11" s="138">
        <f>(Gender!BJ13/'Total Master''s'!S13)*100</f>
        <v>54.80652226819177</v>
      </c>
      <c r="S11" s="138">
        <f>(Gender!BK13/'Total Master''s'!T13)*100</f>
        <v>53.549848942598189</v>
      </c>
      <c r="T11" s="138">
        <f>(Gender!BL13/'Total Master''s'!U13)*100</f>
        <v>52.651611266176104</v>
      </c>
      <c r="U11" s="138">
        <f>(Gender!BM13/'Total Master''s'!V13)*100</f>
        <v>52.993003368748383</v>
      </c>
      <c r="V11" s="138">
        <f>(Gender!BN13/'Total Master''s'!W13)*100</f>
        <v>53.593789130979218</v>
      </c>
      <c r="W11" s="138">
        <f>(Gender!BO13/'Total Master''s'!X13)*100</f>
        <v>57.414634146341456</v>
      </c>
      <c r="X11" s="138">
        <f>(Gender!BP13/'Total Master''s'!Y13)*100</f>
        <v>57.190082644628106</v>
      </c>
      <c r="Y11" s="138">
        <f>(Gender!BQ13/'Total Master''s'!Z13)*100</f>
        <v>56.637730256193095</v>
      </c>
      <c r="Z11" s="138">
        <f>(Gender!BR13/'Total Master''s'!AA13)*100</f>
        <v>55.73487031700288</v>
      </c>
      <c r="AA11" s="138">
        <f>(Gender!BS13/'Total Master''s'!AB13)*100</f>
        <v>57.164234942012712</v>
      </c>
      <c r="AB11" s="138">
        <f>(Gender!BT13/'Total Master''s'!AC13)*100</f>
        <v>57.544463568559955</v>
      </c>
      <c r="AC11" s="138">
        <f>(Gender!BU13/'Total Master''s'!AD13)*100</f>
        <v>58.204895738893924</v>
      </c>
      <c r="AD11" s="138">
        <f>(Gender!BV13/'Total Master''s'!AE13)*100</f>
        <v>58.776876982728233</v>
      </c>
      <c r="AE11" s="138">
        <f>(Gender!BW13/'Total Master''s'!AF13)*100</f>
        <v>58.450584844888965</v>
      </c>
      <c r="AF11" s="138">
        <f>(Gender!BX13/'Total Master''s'!AG13)*100</f>
        <v>59.656579394763689</v>
      </c>
      <c r="AG11" s="138">
        <f>(Gender!BY13/'Total Master''s'!AH13)*100</f>
        <v>61.023890784982939</v>
      </c>
      <c r="AH11" s="138">
        <f>(Gender!BZ13/'Total Master''s'!AI13)*100</f>
        <v>60.751494449188726</v>
      </c>
      <c r="AI11" s="138">
        <f>(Gender!CA13/'Total Master''s'!AJ13)*100</f>
        <v>61.844142439360049</v>
      </c>
      <c r="AJ11" s="138">
        <f>(Gender!CB13/'Total Master''s'!AK13)*100</f>
        <v>61.989398191456189</v>
      </c>
      <c r="AK11" s="138">
        <f>(Gender!CC13/'Total Master''s'!AL13)*100</f>
        <v>62.11812627291242</v>
      </c>
      <c r="AL11" s="138">
        <f>(Gender!CD13/'Total Master''s'!AM13)*100</f>
        <v>61.534898085237799</v>
      </c>
      <c r="AM11" s="138">
        <f>(Gender!CE13/'Total Master''s'!AN13)*100</f>
        <v>62.115232833464873</v>
      </c>
      <c r="AN11" s="138">
        <f>(Gender!CF13/'Total Master''s'!AO13)*100</f>
        <v>62.98222073129822</v>
      </c>
      <c r="AO11" s="138">
        <f>(Gender!CG13/'Total Master''s'!AP13)*100</f>
        <v>62.222222222222221</v>
      </c>
      <c r="AP11" s="138">
        <f>(Gender!CH13/'Total Master''s'!AQ13)*100</f>
        <v>62.942327962656229</v>
      </c>
      <c r="AQ11" s="138">
        <f>(Gender!CI13/'Total Master''s'!AR13)*100</f>
        <v>61.051731509191967</v>
      </c>
      <c r="AR11" s="138">
        <f>(Gender!CJ13/'Total Master''s'!AS13)*100</f>
        <v>61.470790378006868</v>
      </c>
      <c r="AS11" s="138">
        <f>(Gender!CK13/'Total Master''s'!AT13)*100</f>
        <v>63.479872881355938</v>
      </c>
    </row>
    <row r="12" spans="1:45">
      <c r="A12" s="128" t="s">
        <v>52</v>
      </c>
      <c r="B12" s="138">
        <f>(Gender!AT14/'Total Master''s'!C14)*100</f>
        <v>45.978552278820374</v>
      </c>
      <c r="C12" s="138">
        <f>(Gender!AU14/'Total Master''s'!D14)*100</f>
        <v>45.846249225046499</v>
      </c>
      <c r="D12" s="138">
        <f>(Gender!AV14/'Total Master''s'!E14)*100</f>
        <v>45.846994535519123</v>
      </c>
      <c r="E12" s="138">
        <f>(Gender!AW14/'Total Master''s'!F14)*100</f>
        <v>47.875697984947799</v>
      </c>
      <c r="F12" s="138">
        <f>(Gender!AX14/'Total Master''s'!G14)*100</f>
        <v>50.395901257568696</v>
      </c>
      <c r="G12" s="138">
        <f>(Gender!AY14/'Total Master''s'!H14)*100</f>
        <v>51.077288001581344</v>
      </c>
      <c r="H12" s="138">
        <f>(Gender!AZ14/'Total Master''s'!I14)*100</f>
        <v>54.117865774307496</v>
      </c>
      <c r="I12" s="138">
        <f>(Gender!BA14/'Total Master''s'!J14)*100</f>
        <v>55.003665689149564</v>
      </c>
      <c r="J12" s="138">
        <f>(Gender!BB14/'Total Master''s'!K14)*100</f>
        <v>56.000745434215425</v>
      </c>
      <c r="K12" s="138">
        <f>(Gender!BC14/'Total Master''s'!L14)*100</f>
        <v>55.267770204479064</v>
      </c>
      <c r="L12" s="138">
        <f>(Gender!BD14/'Total Master''s'!M14)*100</f>
        <v>54.982346018046293</v>
      </c>
      <c r="M12" s="138">
        <f>(Gender!BE14/'Total Master''s'!N14)*100</f>
        <v>55.714831804281353</v>
      </c>
      <c r="N12" s="138">
        <f>(Gender!BF14/'Total Master''s'!O14)*100</f>
        <v>55.646897631630452</v>
      </c>
      <c r="O12" s="138">
        <f>(Gender!BG14/'Total Master''s'!P14)*100</f>
        <v>53.908409001184367</v>
      </c>
      <c r="P12" s="138">
        <f>(Gender!BH14/'Total Master''s'!Q14)*100</f>
        <v>51.541850220264315</v>
      </c>
      <c r="Q12" s="138">
        <f>(Gender!BI14/'Total Master''s'!R14)*100</f>
        <v>51.658041019743152</v>
      </c>
      <c r="R12" s="138">
        <f>(Gender!BJ14/'Total Master''s'!S14)*100</f>
        <v>51.638065522620899</v>
      </c>
      <c r="S12" s="138">
        <f>(Gender!BK14/'Total Master''s'!T14)*100</f>
        <v>54.180727409073867</v>
      </c>
      <c r="T12" s="138">
        <f>(Gender!BL14/'Total Master''s'!U14)*100</f>
        <v>53.52243233222098</v>
      </c>
      <c r="U12" s="138">
        <f>(Gender!BM14/'Total Master''s'!V14)*100</f>
        <v>52.597075138678775</v>
      </c>
      <c r="V12" s="138">
        <f>(Gender!BN14/'Total Master''s'!W14)*100</f>
        <v>52.651985111662533</v>
      </c>
      <c r="W12" s="138">
        <f>(Gender!BO14/'Total Master''s'!X14)*100</f>
        <v>53.827267475447712</v>
      </c>
      <c r="X12" s="138">
        <f>(Gender!BP14/'Total Master''s'!Y14)*100</f>
        <v>55.416221985058698</v>
      </c>
      <c r="Y12" s="138">
        <f>(Gender!BQ14/'Total Master''s'!Z14)*100</f>
        <v>55.424705587572035</v>
      </c>
      <c r="Z12" s="138">
        <f>(Gender!BR14/'Total Master''s'!AA14)*100</f>
        <v>55.732094842336835</v>
      </c>
      <c r="AA12" s="138">
        <f>(Gender!BS14/'Total Master''s'!AB14)*100</f>
        <v>57.29062395729062</v>
      </c>
      <c r="AB12" s="138">
        <f>(Gender!BT14/'Total Master''s'!AC14)*100</f>
        <v>55.603140613847259</v>
      </c>
      <c r="AC12" s="138">
        <f>(Gender!BU14/'Total Master''s'!AD14)*100</f>
        <v>58.098698153194064</v>
      </c>
      <c r="AD12" s="138">
        <f>(Gender!BV14/'Total Master''s'!AE14)*100</f>
        <v>57.847976307996049</v>
      </c>
      <c r="AE12" s="138">
        <f>(Gender!BW14/'Total Master''s'!AF14)*100</f>
        <v>58.618742943168989</v>
      </c>
      <c r="AF12" s="138">
        <f>(Gender!BX14/'Total Master''s'!AG14)*100</f>
        <v>58.716197248994106</v>
      </c>
      <c r="AG12" s="138">
        <f>(Gender!BY14/'Total Master''s'!AH14)*100</f>
        <v>59.023178807947019</v>
      </c>
      <c r="AH12" s="138">
        <f>(Gender!BZ14/'Total Master''s'!AI14)*100</f>
        <v>59.347769821413166</v>
      </c>
      <c r="AI12" s="138">
        <f>(Gender!CA14/'Total Master''s'!AJ14)*100</f>
        <v>58.50543252882143</v>
      </c>
      <c r="AJ12" s="138">
        <f>(Gender!CB14/'Total Master''s'!AK14)*100</f>
        <v>58.366028156012007</v>
      </c>
      <c r="AK12" s="138">
        <f>(Gender!CC14/'Total Master''s'!AL14)*100</f>
        <v>58.740408721416095</v>
      </c>
      <c r="AL12" s="138">
        <f>(Gender!CD14/'Total Master''s'!AM14)*100</f>
        <v>57.746688495311801</v>
      </c>
      <c r="AM12" s="138">
        <f>(Gender!CE14/'Total Master''s'!AN14)*100</f>
        <v>59.474910014821091</v>
      </c>
      <c r="AN12" s="138">
        <f>(Gender!CF14/'Total Master''s'!AO14)*100</f>
        <v>59.364343200109126</v>
      </c>
      <c r="AO12" s="138">
        <f>(Gender!CG14/'Total Master''s'!AP14)*100</f>
        <v>59.05859117840685</v>
      </c>
      <c r="AP12" s="138">
        <f>(Gender!CH14/'Total Master''s'!AQ14)*100</f>
        <v>59.320740316733442</v>
      </c>
      <c r="AQ12" s="138">
        <f>(Gender!CI14/'Total Master''s'!AR14)*100</f>
        <v>60.188512518409418</v>
      </c>
      <c r="AR12" s="138">
        <f>(Gender!CJ14/'Total Master''s'!AS14)*100</f>
        <v>58.755954048753154</v>
      </c>
      <c r="AS12" s="138">
        <f>(Gender!CK14/'Total Master''s'!AT14)*100</f>
        <v>58.859249620472788</v>
      </c>
    </row>
    <row r="13" spans="1:45">
      <c r="A13" s="128" t="s">
        <v>53</v>
      </c>
      <c r="B13" s="138">
        <f>(Gender!AT15/'Total Master''s'!C15)*100</f>
        <v>44.033496161898114</v>
      </c>
      <c r="C13" s="138">
        <f>(Gender!AU15/'Total Master''s'!D15)*100</f>
        <v>44.565217391304344</v>
      </c>
      <c r="D13" s="138">
        <f>(Gender!AV15/'Total Master''s'!E15)*100</f>
        <v>46.716497597437268</v>
      </c>
      <c r="E13" s="138">
        <f>(Gender!AW15/'Total Master''s'!F15)*100</f>
        <v>47.368421052631575</v>
      </c>
      <c r="F13" s="138">
        <f>(Gender!AX15/'Total Master''s'!G15)*100</f>
        <v>50.628803245436103</v>
      </c>
      <c r="G13" s="138">
        <f>(Gender!AY15/'Total Master''s'!H15)*100</f>
        <v>54.807017543859651</v>
      </c>
      <c r="H13" s="138">
        <f>(Gender!AZ15/'Total Master''s'!I15)*100</f>
        <v>60.109123976962721</v>
      </c>
      <c r="I13" s="138">
        <f>(Gender!BA15/'Total Master''s'!J15)*100</f>
        <v>62.428376534788541</v>
      </c>
      <c r="J13" s="138">
        <f>(Gender!BB15/'Total Master''s'!K15)*100</f>
        <v>62.393405343945417</v>
      </c>
      <c r="K13" s="138">
        <f>(Gender!BC15/'Total Master''s'!L15)*100</f>
        <v>61.234071093226028</v>
      </c>
      <c r="L13" s="138">
        <f>(Gender!BD15/'Total Master''s'!M15)*100</f>
        <v>63.339191564147626</v>
      </c>
      <c r="M13" s="138">
        <f>(Gender!BE15/'Total Master''s'!N15)*100</f>
        <v>61.394005055976884</v>
      </c>
      <c r="N13" s="138">
        <f>(Gender!BF15/'Total Master''s'!O15)*100</f>
        <v>62.114709325009756</v>
      </c>
      <c r="O13" s="138">
        <f>(Gender!BG15/'Total Master''s'!P15)*100</f>
        <v>59.521619135234594</v>
      </c>
      <c r="P13" s="138">
        <f>(Gender!BH15/'Total Master''s'!Q15)*100</f>
        <v>56.692531522793402</v>
      </c>
      <c r="Q13" s="138">
        <f>(Gender!BI15/'Total Master''s'!R15)*100</f>
        <v>54.337296345222377</v>
      </c>
      <c r="R13" s="138">
        <f>(Gender!BJ15/'Total Master''s'!S15)*100</f>
        <v>56.031468531468533</v>
      </c>
      <c r="S13" s="138">
        <f>(Gender!BK15/'Total Master''s'!T15)*100</f>
        <v>52.380952380952387</v>
      </c>
      <c r="T13" s="138">
        <f>(Gender!BL15/'Total Master''s'!U15)*100</f>
        <v>52.641690682036504</v>
      </c>
      <c r="U13" s="138">
        <f>(Gender!BM15/'Total Master''s'!V15)*100</f>
        <v>53.747628083491463</v>
      </c>
      <c r="V13" s="138">
        <f>(Gender!BN15/'Total Master''s'!W15)*100</f>
        <v>59.240506329113927</v>
      </c>
      <c r="W13" s="138">
        <f>(Gender!BO15/'Total Master''s'!X15)*100</f>
        <v>59.538032656312225</v>
      </c>
      <c r="X13" s="138">
        <f>(Gender!BP15/'Total Master''s'!Y15)*100</f>
        <v>58.107577542206513</v>
      </c>
      <c r="Y13" s="138">
        <f>(Gender!BQ15/'Total Master''s'!Z15)*100</f>
        <v>55.651197604790411</v>
      </c>
      <c r="Z13" s="138">
        <f>(Gender!BR15/'Total Master''s'!AA15)*100</f>
        <v>55.627376425855516</v>
      </c>
      <c r="AA13" s="138">
        <f>(Gender!BS15/'Total Master''s'!AB15)*100</f>
        <v>58.336512781381153</v>
      </c>
      <c r="AB13" s="138">
        <f>(Gender!BT15/'Total Master''s'!AC15)*100</f>
        <v>59.040590405904055</v>
      </c>
      <c r="AC13" s="138">
        <f>(Gender!BU15/'Total Master''s'!AD15)*100</f>
        <v>61.972265023112485</v>
      </c>
      <c r="AD13" s="138">
        <f>(Gender!BV15/'Total Master''s'!AE15)*100</f>
        <v>62.819383259911902</v>
      </c>
      <c r="AE13" s="138">
        <f>(Gender!BW15/'Total Master''s'!AF15)*100</f>
        <v>65.400232018561482</v>
      </c>
      <c r="AF13" s="138">
        <f>(Gender!BX15/'Total Master''s'!AG15)*100</f>
        <v>64.817652467054856</v>
      </c>
      <c r="AG13" s="138">
        <f>(Gender!BY15/'Total Master''s'!AH15)*100</f>
        <v>64.101796407185631</v>
      </c>
      <c r="AH13" s="138">
        <f>(Gender!BZ15/'Total Master''s'!AI15)*100</f>
        <v>64.973419964559952</v>
      </c>
      <c r="AI13" s="138">
        <f>(Gender!CA15/'Total Master''s'!AJ15)*100</f>
        <v>63.623061164764415</v>
      </c>
      <c r="AJ13" s="138">
        <f>(Gender!CB15/'Total Master''s'!AK15)*100</f>
        <v>63.576881134133046</v>
      </c>
      <c r="AK13" s="138">
        <f>(Gender!CC15/'Total Master''s'!AL15)*100</f>
        <v>64.147536755223115</v>
      </c>
      <c r="AL13" s="138">
        <f>(Gender!CD15/'Total Master''s'!AM15)*100</f>
        <v>66.431924882629119</v>
      </c>
      <c r="AM13" s="138">
        <f>(Gender!CE15/'Total Master''s'!AN15)*100</f>
        <v>67.839959483413523</v>
      </c>
      <c r="AN13" s="138">
        <f>(Gender!CF15/'Total Master''s'!AO15)*100</f>
        <v>66.31552545773765</v>
      </c>
      <c r="AO13" s="138">
        <f>(Gender!CG15/'Total Master''s'!AP15)*100</f>
        <v>65.3125</v>
      </c>
      <c r="AP13" s="138">
        <f>(Gender!CH15/'Total Master''s'!AQ15)*100</f>
        <v>65.738758029978584</v>
      </c>
      <c r="AQ13" s="138">
        <f>(Gender!CI15/'Total Master''s'!AR15)*100</f>
        <v>65.547476475620186</v>
      </c>
      <c r="AR13" s="138">
        <f>(Gender!CJ15/'Total Master''s'!AS15)*100</f>
        <v>66.708255354543567</v>
      </c>
      <c r="AS13" s="138">
        <f>(Gender!CK15/'Total Master''s'!AT15)*100</f>
        <v>65.674437968359697</v>
      </c>
    </row>
    <row r="14" spans="1:45">
      <c r="A14" s="128" t="s">
        <v>54</v>
      </c>
      <c r="B14" s="138">
        <f>(Gender!AT16/'Total Master''s'!C16)*100</f>
        <v>41.635572139303484</v>
      </c>
      <c r="C14" s="138">
        <f>(Gender!AU16/'Total Master''s'!D16)*100</f>
        <v>45.483589892535583</v>
      </c>
      <c r="D14" s="138">
        <f>(Gender!AV16/'Total Master''s'!E16)*100</f>
        <v>44.026605269889998</v>
      </c>
      <c r="E14" s="138">
        <f>(Gender!AW16/'Total Master''s'!F16)*100</f>
        <v>43.772241992882563</v>
      </c>
      <c r="F14" s="138">
        <f>(Gender!AX16/'Total Master''s'!G16)*100</f>
        <v>45.011037527593814</v>
      </c>
      <c r="G14" s="138">
        <f>(Gender!AY16/'Total Master''s'!H16)*100</f>
        <v>45.959821428571431</v>
      </c>
      <c r="H14" s="138">
        <f>(Gender!AZ16/'Total Master''s'!I16)*100</f>
        <v>48.275166431309259</v>
      </c>
      <c r="I14" s="138">
        <f>(Gender!BA16/'Total Master''s'!J16)*100</f>
        <v>50.750536097212297</v>
      </c>
      <c r="J14" s="138">
        <f>(Gender!BB16/'Total Master''s'!K16)*100</f>
        <v>55.57491289198606</v>
      </c>
      <c r="K14" s="138">
        <f>(Gender!BC16/'Total Master''s'!L16)*100</f>
        <v>55.716091746433079</v>
      </c>
      <c r="L14" s="138">
        <f>(Gender!BD16/'Total Master''s'!M16)*100</f>
        <v>55.921553693830916</v>
      </c>
      <c r="M14" s="138">
        <f>(Gender!BE16/'Total Master''s'!N16)*100</f>
        <v>57.62904140669314</v>
      </c>
      <c r="N14" s="138">
        <f>(Gender!BF16/'Total Master''s'!O16)*100</f>
        <v>58.334828638076445</v>
      </c>
      <c r="O14" s="138">
        <f>(Gender!BG16/'Total Master''s'!P16)*100</f>
        <v>57.529734675205859</v>
      </c>
      <c r="P14" s="138">
        <f>(Gender!BH16/'Total Master''s'!Q16)*100</f>
        <v>55.843913368185213</v>
      </c>
      <c r="Q14" s="138">
        <f>(Gender!BI16/'Total Master''s'!R16)*100</f>
        <v>56.11415611415611</v>
      </c>
      <c r="R14" s="138">
        <f>(Gender!BJ16/'Total Master''s'!S16)*100</f>
        <v>57.087378640776699</v>
      </c>
      <c r="S14" s="138">
        <f>(Gender!BK16/'Total Master''s'!T16)*100</f>
        <v>57.625924621345547</v>
      </c>
      <c r="T14" s="138">
        <f>(Gender!BL16/'Total Master''s'!U16)*100</f>
        <v>57.561468507915123</v>
      </c>
      <c r="U14" s="138">
        <f>(Gender!BM16/'Total Master''s'!V16)*100</f>
        <v>58.446866485013629</v>
      </c>
      <c r="V14" s="138">
        <f>(Gender!BN16/'Total Master''s'!W16)*100</f>
        <v>57.53948462177889</v>
      </c>
      <c r="W14" s="138">
        <f>(Gender!BO16/'Total Master''s'!X16)*100</f>
        <v>56.426839126919973</v>
      </c>
      <c r="X14" s="138">
        <f>(Gender!BP16/'Total Master''s'!Y16)*100</f>
        <v>56.456953642384114</v>
      </c>
      <c r="Y14" s="138">
        <f>(Gender!BQ16/'Total Master''s'!Z16)*100</f>
        <v>57.561188811188813</v>
      </c>
      <c r="Z14" s="138">
        <f>(Gender!BR16/'Total Master''s'!AA16)*100</f>
        <v>54.934029686641004</v>
      </c>
      <c r="AA14" s="138">
        <f>(Gender!BS16/'Total Master''s'!AB16)*100</f>
        <v>56.608344549125164</v>
      </c>
      <c r="AB14" s="138">
        <f>(Gender!BT16/'Total Master''s'!AC16)*100</f>
        <v>56.732749742533471</v>
      </c>
      <c r="AC14" s="138">
        <f>(Gender!BU16/'Total Master''s'!AD16)*100</f>
        <v>56.606771788289947</v>
      </c>
      <c r="AD14" s="138">
        <f>(Gender!BV16/'Total Master''s'!AE16)*100</f>
        <v>55.975384615384613</v>
      </c>
      <c r="AE14" s="138">
        <f>(Gender!BW16/'Total Master''s'!AF16)*100</f>
        <v>57.237358448256529</v>
      </c>
      <c r="AF14" s="138">
        <f>(Gender!BX16/'Total Master''s'!AG16)*100</f>
        <v>57.928601079286011</v>
      </c>
      <c r="AG14" s="138">
        <f>(Gender!BY16/'Total Master''s'!AH16)*100</f>
        <v>56.205541989595496</v>
      </c>
      <c r="AH14" s="138">
        <f>(Gender!BZ16/'Total Master''s'!AI16)*100</f>
        <v>57.513063879705662</v>
      </c>
      <c r="AI14" s="138">
        <f>(Gender!CA16/'Total Master''s'!AJ16)*100</f>
        <v>56.36399487331164</v>
      </c>
      <c r="AJ14" s="138">
        <f>(Gender!CB16/'Total Master''s'!AK16)*100</f>
        <v>56.830168776371302</v>
      </c>
      <c r="AK14" s="138">
        <f>(Gender!CC16/'Total Master''s'!AL16)*100</f>
        <v>57.803017166637773</v>
      </c>
      <c r="AL14" s="138">
        <f>(Gender!CD16/'Total Master''s'!AM16)*100</f>
        <v>58.896898031910581</v>
      </c>
      <c r="AM14" s="138">
        <f>(Gender!CE16/'Total Master''s'!AN16)*100</f>
        <v>59.221422490519302</v>
      </c>
      <c r="AN14" s="138">
        <f>(Gender!CF16/'Total Master''s'!AO16)*100</f>
        <v>58.937054631828978</v>
      </c>
      <c r="AO14" s="138">
        <f>(Gender!CG16/'Total Master''s'!AP16)*100</f>
        <v>59.76331360946746</v>
      </c>
      <c r="AP14" s="138">
        <f>(Gender!CH16/'Total Master''s'!AQ16)*100</f>
        <v>59.242088288651487</v>
      </c>
      <c r="AQ14" s="138">
        <f>(Gender!CI16/'Total Master''s'!AR16)*100</f>
        <v>60.267471958584984</v>
      </c>
      <c r="AR14" s="138">
        <f>(Gender!CJ16/'Total Master''s'!AS16)*100</f>
        <v>59.32263393910786</v>
      </c>
      <c r="AS14" s="138">
        <f>(Gender!CK16/'Total Master''s'!AT16)*100</f>
        <v>59.458990809779777</v>
      </c>
    </row>
    <row r="15" spans="1:45">
      <c r="A15" s="128" t="s">
        <v>55</v>
      </c>
      <c r="B15" s="138">
        <f>(Gender!AT17/'Total Master''s'!C17)*100</f>
        <v>39.522821576763484</v>
      </c>
      <c r="C15" s="138">
        <f>(Gender!AU17/'Total Master''s'!D17)*100</f>
        <v>40.407177363699105</v>
      </c>
      <c r="D15" s="138">
        <f>(Gender!AV17/'Total Master''s'!E17)*100</f>
        <v>40.79925650557621</v>
      </c>
      <c r="E15" s="138">
        <f>(Gender!AW17/'Total Master''s'!F17)*100</f>
        <v>40.543014032946914</v>
      </c>
      <c r="F15" s="138">
        <f>(Gender!AX17/'Total Master''s'!G17)*100</f>
        <v>40.234167110164982</v>
      </c>
      <c r="G15" s="138">
        <f>(Gender!AY17/'Total Master''s'!H17)*100</f>
        <v>43.532467532467535</v>
      </c>
      <c r="H15" s="138">
        <f>(Gender!AZ17/'Total Master''s'!I17)*100</f>
        <v>41.842234198922093</v>
      </c>
      <c r="I15" s="138">
        <f>(Gender!BA17/'Total Master''s'!J17)*100</f>
        <v>43.449131513647643</v>
      </c>
      <c r="J15" s="138">
        <f>(Gender!BB17/'Total Master''s'!K17)*100</f>
        <v>44.710424710424711</v>
      </c>
      <c r="K15" s="138">
        <f>(Gender!BC17/'Total Master''s'!L17)*100</f>
        <v>45.241341696209439</v>
      </c>
      <c r="L15" s="138">
        <f>(Gender!BD17/'Total Master''s'!M17)*100</f>
        <v>46.944045911047347</v>
      </c>
      <c r="M15" s="138">
        <f>(Gender!BE17/'Total Master''s'!N17)*100</f>
        <v>48.546180159635121</v>
      </c>
      <c r="N15" s="138">
        <f>(Gender!BF17/'Total Master''s'!O17)*100</f>
        <v>52.760207015526163</v>
      </c>
      <c r="O15" s="138">
        <f>(Gender!BG17/'Total Master''s'!P17)*100</f>
        <v>52.484113229347194</v>
      </c>
      <c r="P15" s="138">
        <f>(Gender!BH17/'Total Master''s'!Q17)*100</f>
        <v>52.275980532493563</v>
      </c>
      <c r="Q15" s="138">
        <f>(Gender!BI17/'Total Master''s'!R17)*100</f>
        <v>50.630195762939124</v>
      </c>
      <c r="R15" s="138">
        <f>(Gender!BJ17/'Total Master''s'!S17)*100</f>
        <v>51.105263157894733</v>
      </c>
      <c r="S15" s="138">
        <f>(Gender!BK17/'Total Master''s'!T17)*100</f>
        <v>52.884371029224909</v>
      </c>
      <c r="T15" s="138">
        <f>(Gender!BL17/'Total Master''s'!U17)*100</f>
        <v>49.465760077707628</v>
      </c>
      <c r="U15" s="138">
        <f>(Gender!BM17/'Total Master''s'!V17)*100</f>
        <v>48.929961089494164</v>
      </c>
      <c r="V15" s="138">
        <f>(Gender!BN17/'Total Master''s'!W17)*100</f>
        <v>49.505452700989096</v>
      </c>
      <c r="W15" s="138">
        <f>(Gender!BO17/'Total Master''s'!X17)*100</f>
        <v>52.569276298089861</v>
      </c>
      <c r="X15" s="138">
        <f>(Gender!BP17/'Total Master''s'!Y17)*100</f>
        <v>51.394422310756973</v>
      </c>
      <c r="Y15" s="138">
        <f>(Gender!BQ17/'Total Master''s'!Z17)*100</f>
        <v>52.591429212474758</v>
      </c>
      <c r="Z15" s="138">
        <f>(Gender!BR17/'Total Master''s'!AA17)*100</f>
        <v>53.270084779975782</v>
      </c>
      <c r="AA15" s="138">
        <f>(Gender!BS17/'Total Master''s'!AB17)*100</f>
        <v>53.185876623376629</v>
      </c>
      <c r="AB15" s="138">
        <f>(Gender!BT17/'Total Master''s'!AC17)*100</f>
        <v>52.256224066390047</v>
      </c>
      <c r="AC15" s="138">
        <f>(Gender!BU17/'Total Master''s'!AD17)*100</f>
        <v>53.249381605576794</v>
      </c>
      <c r="AD15" s="138">
        <f>(Gender!BV17/'Total Master''s'!AE17)*100</f>
        <v>52.843691148775896</v>
      </c>
      <c r="AE15" s="138">
        <f>(Gender!BW17/'Total Master''s'!AF17)*100</f>
        <v>56.199208168368408</v>
      </c>
      <c r="AF15" s="138">
        <f>(Gender!BX17/'Total Master''s'!AG17)*100</f>
        <v>53.610748273931705</v>
      </c>
      <c r="AG15" s="138">
        <f>(Gender!BY17/'Total Master''s'!AH17)*100</f>
        <v>55.5045871559633</v>
      </c>
      <c r="AH15" s="138">
        <f>(Gender!BZ17/'Total Master''s'!AI17)*100</f>
        <v>54.564593301435401</v>
      </c>
      <c r="AI15" s="138">
        <f>(Gender!CA17/'Total Master''s'!AJ17)*100</f>
        <v>54.176524112829853</v>
      </c>
      <c r="AJ15" s="138">
        <f>(Gender!CB17/'Total Master''s'!AK17)*100</f>
        <v>55.109684323167471</v>
      </c>
      <c r="AK15" s="138">
        <f>(Gender!CC17/'Total Master''s'!AL17)*100</f>
        <v>54.380136387480327</v>
      </c>
      <c r="AL15" s="138">
        <f>(Gender!CD17/'Total Master''s'!AM17)*100</f>
        <v>55.576173687140475</v>
      </c>
      <c r="AM15" s="138">
        <f>(Gender!CE17/'Total Master''s'!AN17)*100</f>
        <v>59.023393984404017</v>
      </c>
      <c r="AN15" s="138">
        <f>(Gender!CF17/'Total Master''s'!AO17)*100</f>
        <v>57.865685372585098</v>
      </c>
      <c r="AO15" s="138">
        <f>(Gender!CG17/'Total Master''s'!AP17)*100</f>
        <v>57.017098357880478</v>
      </c>
      <c r="AP15" s="138">
        <f>(Gender!CH17/'Total Master''s'!AQ17)*100</f>
        <v>56.330923154531696</v>
      </c>
      <c r="AQ15" s="138">
        <f>(Gender!CI17/'Total Master''s'!AR17)*100</f>
        <v>56.246066708621775</v>
      </c>
      <c r="AR15" s="138">
        <f>(Gender!CJ17/'Total Master''s'!AS17)*100</f>
        <v>56.009875019287151</v>
      </c>
      <c r="AS15" s="138">
        <f>(Gender!CK17/'Total Master''s'!AT17)*100</f>
        <v>56.164383561643838</v>
      </c>
    </row>
    <row r="16" spans="1:45">
      <c r="A16" s="128" t="s">
        <v>56</v>
      </c>
      <c r="B16" s="138">
        <f>(Gender!AT18/'Total Master''s'!C18)*100</f>
        <v>41.872561768530559</v>
      </c>
      <c r="C16" s="138">
        <f>(Gender!AU18/'Total Master''s'!D18)*100</f>
        <v>44.139194139194139</v>
      </c>
      <c r="D16" s="138">
        <f>(Gender!AV18/'Total Master''s'!E18)*100</f>
        <v>45.636623748211733</v>
      </c>
      <c r="E16" s="138">
        <f>(Gender!AW18/'Total Master''s'!F18)*100</f>
        <v>46.454494695700724</v>
      </c>
      <c r="F16" s="138">
        <f>(Gender!AX18/'Total Master''s'!G18)*100</f>
        <v>55.495420482930889</v>
      </c>
      <c r="G16" s="138">
        <f>(Gender!AY18/'Total Master''s'!H18)*100</f>
        <v>57.734274711168169</v>
      </c>
      <c r="H16" s="138">
        <f>(Gender!AZ18/'Total Master''s'!I18)*100</f>
        <v>60.048166978860053</v>
      </c>
      <c r="I16" s="138">
        <f>(Gender!BA18/'Total Master''s'!J18)*100</f>
        <v>59.475065616797892</v>
      </c>
      <c r="J16" s="138">
        <f>(Gender!BB18/'Total Master''s'!K18)*100</f>
        <v>59.820174206237709</v>
      </c>
      <c r="K16" s="138">
        <f>(Gender!BC18/'Total Master''s'!L18)*100</f>
        <v>59.867090436290091</v>
      </c>
      <c r="L16" s="138">
        <f>(Gender!BD18/'Total Master''s'!M18)*100</f>
        <v>62.056303549571602</v>
      </c>
      <c r="M16" s="138">
        <f>(Gender!BE18/'Total Master''s'!N18)*100</f>
        <v>61.708542713567837</v>
      </c>
      <c r="N16" s="138">
        <f>(Gender!BF18/'Total Master''s'!O18)*100</f>
        <v>63.845900559762924</v>
      </c>
      <c r="O16" s="138">
        <f>(Gender!BG18/'Total Master''s'!P18)*100</f>
        <v>60.789889415481838</v>
      </c>
      <c r="P16" s="138">
        <f>(Gender!BH18/'Total Master''s'!Q18)*100</f>
        <v>58.096828046744577</v>
      </c>
      <c r="Q16" s="138">
        <f>(Gender!BI18/'Total Master''s'!R18)*100</f>
        <v>59.54323001631321</v>
      </c>
      <c r="R16" s="138">
        <f>(Gender!BJ18/'Total Master''s'!S18)*100</f>
        <v>60.071013557133632</v>
      </c>
      <c r="S16" s="138">
        <f>(Gender!BK18/'Total Master''s'!T18)*100</f>
        <v>63.780972774548793</v>
      </c>
      <c r="T16" s="138">
        <f>(Gender!BL18/'Total Master''s'!U18)*100</f>
        <v>62.461103253182458</v>
      </c>
      <c r="U16" s="138">
        <f>(Gender!BM18/'Total Master''s'!V18)*100</f>
        <v>63.780972774548793</v>
      </c>
      <c r="V16" s="138">
        <f>(Gender!BN18/'Total Master''s'!W18)*100</f>
        <v>60.841170323928942</v>
      </c>
      <c r="W16" s="138">
        <f>(Gender!BO18/'Total Master''s'!X18)*100</f>
        <v>60.965692503176619</v>
      </c>
      <c r="X16" s="138">
        <f>(Gender!BP18/'Total Master''s'!Y18)*100</f>
        <v>61.56993096394784</v>
      </c>
      <c r="Y16" s="138">
        <f>(Gender!BQ18/'Total Master''s'!Z18)*100</f>
        <v>58.091872791519435</v>
      </c>
      <c r="Z16" s="138">
        <f>(Gender!BR18/'Total Master''s'!AA18)*100</f>
        <v>60.040431266846362</v>
      </c>
      <c r="AA16" s="138">
        <f>(Gender!BS18/'Total Master''s'!AB18)*100</f>
        <v>58.784530386740329</v>
      </c>
      <c r="AB16" s="138">
        <f>(Gender!BT18/'Total Master''s'!AC18)*100</f>
        <v>60.951526032315982</v>
      </c>
      <c r="AC16" s="138">
        <f>(Gender!BU18/'Total Master''s'!AD18)*100</f>
        <v>63.248421510994987</v>
      </c>
      <c r="AD16" s="138">
        <f>(Gender!BV18/'Total Master''s'!AE18)*100</f>
        <v>64.073672806067179</v>
      </c>
      <c r="AE16" s="138">
        <f>(Gender!BW18/'Total Master''s'!AF18)*100</f>
        <v>63.851278744895765</v>
      </c>
      <c r="AF16" s="138">
        <f>(Gender!BX18/'Total Master''s'!AG18)*100</f>
        <v>63.534083388484454</v>
      </c>
      <c r="AG16" s="138">
        <f>(Gender!BY18/'Total Master''s'!AH18)*100</f>
        <v>62.641673931996507</v>
      </c>
      <c r="AH16" s="138">
        <f>(Gender!BZ18/'Total Master''s'!AI18)*100</f>
        <v>63.850782190132371</v>
      </c>
      <c r="AI16" s="138">
        <f>(Gender!CA18/'Total Master''s'!AJ18)*100</f>
        <v>63.367437722419929</v>
      </c>
      <c r="AJ16" s="138">
        <f>(Gender!CB18/'Total Master''s'!AK18)*100</f>
        <v>65.498426023085003</v>
      </c>
      <c r="AK16" s="138">
        <f>(Gender!CC18/'Total Master''s'!AL18)*100</f>
        <v>66.626722588376282</v>
      </c>
      <c r="AL16" s="138">
        <f>(Gender!CD18/'Total Master''s'!AM18)*100</f>
        <v>67.494089834515364</v>
      </c>
      <c r="AM16" s="138">
        <f>(Gender!CE18/'Total Master''s'!AN18)*100</f>
        <v>67.233959311424101</v>
      </c>
      <c r="AN16" s="138">
        <f>(Gender!CF18/'Total Master''s'!AO18)*100</f>
        <v>67.355212355212359</v>
      </c>
      <c r="AO16" s="138">
        <f>(Gender!CG18/'Total Master''s'!AP18)*100</f>
        <v>66.181455633100697</v>
      </c>
      <c r="AP16" s="138">
        <f>(Gender!CH18/'Total Master''s'!AQ18)*100</f>
        <v>64.985486211901318</v>
      </c>
      <c r="AQ16" s="138">
        <f>(Gender!CI18/'Total Master''s'!AR18)*100</f>
        <v>63.344161395110277</v>
      </c>
      <c r="AR16" s="138">
        <f>(Gender!CJ18/'Total Master''s'!AS18)*100</f>
        <v>63.446081714668459</v>
      </c>
      <c r="AS16" s="138">
        <f>(Gender!CK18/'Total Master''s'!AT18)*100</f>
        <v>62.66339869281046</v>
      </c>
    </row>
    <row r="17" spans="1:45">
      <c r="A17" s="128" t="s">
        <v>57</v>
      </c>
      <c r="B17" s="138">
        <f>(Gender!AT19/'Total Master''s'!C19)*100</f>
        <v>45.874263261296662</v>
      </c>
      <c r="C17" s="138">
        <f>(Gender!AU19/'Total Master''s'!D19)*100</f>
        <v>45.086526576019779</v>
      </c>
      <c r="D17" s="138">
        <f>(Gender!AV19/'Total Master''s'!E19)*100</f>
        <v>46.483971044467424</v>
      </c>
      <c r="E17" s="138">
        <f>(Gender!AW19/'Total Master''s'!F19)*100</f>
        <v>47.126168224299064</v>
      </c>
      <c r="F17" s="138">
        <f>(Gender!AX19/'Total Master''s'!G19)*100</f>
        <v>47.111014931832933</v>
      </c>
      <c r="G17" s="138">
        <f>(Gender!AY19/'Total Master''s'!H19)*100</f>
        <v>50.603941513032424</v>
      </c>
      <c r="H17" s="138">
        <f>(Gender!AZ19/'Total Master''s'!I19)*100</f>
        <v>53.333333333333336</v>
      </c>
      <c r="I17" s="138">
        <f>(Gender!BA19/'Total Master''s'!J19)*100</f>
        <v>54.283018867924525</v>
      </c>
      <c r="J17" s="138">
        <f>(Gender!BB19/'Total Master''s'!K19)*100</f>
        <v>54.739814441306976</v>
      </c>
      <c r="K17" s="138">
        <f>(Gender!BC19/'Total Master''s'!L19)*100</f>
        <v>54.381387258099586</v>
      </c>
      <c r="L17" s="138">
        <f>(Gender!BD19/'Total Master''s'!M19)*100</f>
        <v>57.013945857260055</v>
      </c>
      <c r="M17" s="138">
        <f>(Gender!BE19/'Total Master''s'!N19)*100</f>
        <v>57.566702241195301</v>
      </c>
      <c r="N17" s="138">
        <f>(Gender!BF19/'Total Master''s'!O19)*100</f>
        <v>59.212920837124663</v>
      </c>
      <c r="O17" s="138">
        <f>(Gender!BG19/'Total Master''s'!P19)*100</f>
        <v>56.572104018912526</v>
      </c>
      <c r="P17" s="138">
        <f>(Gender!BH19/'Total Master''s'!Q19)*100</f>
        <v>55.067920585161964</v>
      </c>
      <c r="Q17" s="138">
        <f>(Gender!BI19/'Total Master''s'!R19)*100</f>
        <v>57.12557464311638</v>
      </c>
      <c r="R17" s="138">
        <f>(Gender!BJ19/'Total Master''s'!S19)*100</f>
        <v>55.838323353293418</v>
      </c>
      <c r="S17" s="138">
        <f>(Gender!BK19/'Total Master''s'!T19)*100</f>
        <v>58.15</v>
      </c>
      <c r="T17" s="138">
        <f>(Gender!BL19/'Total Master''s'!U19)*100</f>
        <v>58.940248027057493</v>
      </c>
      <c r="U17" s="138">
        <f>(Gender!BM19/'Total Master''s'!V19)*100</f>
        <v>59.586776859504134</v>
      </c>
      <c r="V17" s="138">
        <f>(Gender!BN19/'Total Master''s'!W19)*100</f>
        <v>59.888406695598263</v>
      </c>
      <c r="W17" s="138">
        <f>(Gender!BO19/'Total Master''s'!X19)*100</f>
        <v>59.372349448685327</v>
      </c>
      <c r="X17" s="138">
        <f>(Gender!BP19/'Total Master''s'!Y19)*100</f>
        <v>59.664375252729471</v>
      </c>
      <c r="Y17" s="138">
        <f>(Gender!BQ19/'Total Master''s'!Z19)*100</f>
        <v>57.41626794258373</v>
      </c>
      <c r="Z17" s="138">
        <f>(Gender!BR19/'Total Master''s'!AA19)*100</f>
        <v>59.512195121951216</v>
      </c>
      <c r="AA17" s="138">
        <f>(Gender!BS19/'Total Master''s'!AB19)*100</f>
        <v>58.808331987728081</v>
      </c>
      <c r="AB17" s="138">
        <f>(Gender!BT19/'Total Master''s'!AC19)*100</f>
        <v>59.414493681011038</v>
      </c>
      <c r="AC17" s="138">
        <f>(Gender!BU19/'Total Master''s'!AD19)*100</f>
        <v>60.775486494336342</v>
      </c>
      <c r="AD17" s="138">
        <f>(Gender!BV19/'Total Master''s'!AE19)*100</f>
        <v>61.128393665158377</v>
      </c>
      <c r="AE17" s="138">
        <f>(Gender!BW19/'Total Master''s'!AF19)*100</f>
        <v>60.008363534987453</v>
      </c>
      <c r="AF17" s="138">
        <f>(Gender!BX19/'Total Master''s'!AG19)*100</f>
        <v>60.242966751918161</v>
      </c>
      <c r="AG17" s="138">
        <f>(Gender!BY19/'Total Master''s'!AH19)*100</f>
        <v>61.991844804151739</v>
      </c>
      <c r="AH17" s="138">
        <f>(Gender!BZ19/'Total Master''s'!AI19)*100</f>
        <v>62.263204114916569</v>
      </c>
      <c r="AI17" s="138">
        <f>(Gender!CA19/'Total Master''s'!AJ19)*100</f>
        <v>62.524582104228124</v>
      </c>
      <c r="AJ17" s="138">
        <f>(Gender!CB19/'Total Master''s'!AK19)*100</f>
        <v>62.198940269749514</v>
      </c>
      <c r="AK17" s="138">
        <f>(Gender!CC19/'Total Master''s'!AL19)*100</f>
        <v>62.215709261430241</v>
      </c>
      <c r="AL17" s="138">
        <f>(Gender!CD19/'Total Master''s'!AM19)*100</f>
        <v>64.02122250469769</v>
      </c>
      <c r="AM17" s="138">
        <f>(Gender!CE19/'Total Master''s'!AN19)*100</f>
        <v>64.566493190122912</v>
      </c>
      <c r="AN17" s="138">
        <f>(Gender!CF19/'Total Master''s'!AO19)*100</f>
        <v>63.664255971948279</v>
      </c>
      <c r="AO17" s="138">
        <f>(Gender!CG19/'Total Master''s'!AP19)*100</f>
        <v>63.515378548895896</v>
      </c>
      <c r="AP17" s="138">
        <f>(Gender!CH19/'Total Master''s'!AQ19)*100</f>
        <v>63.294770054498514</v>
      </c>
      <c r="AQ17" s="138">
        <f>(Gender!CI19/'Total Master''s'!AR19)*100</f>
        <v>63.537255608613386</v>
      </c>
      <c r="AR17" s="138">
        <f>(Gender!CJ19/'Total Master''s'!AS19)*100</f>
        <v>62.612121720177718</v>
      </c>
      <c r="AS17" s="138">
        <f>(Gender!CK19/'Total Master''s'!AT19)*100</f>
        <v>64.310806289729001</v>
      </c>
    </row>
    <row r="18" spans="1:45">
      <c r="A18" s="128" t="s">
        <v>58</v>
      </c>
      <c r="B18" s="138">
        <f>(Gender!AT20/'Total Master''s'!C20)*100</f>
        <v>40.440570149605371</v>
      </c>
      <c r="C18" s="138">
        <f>(Gender!AU20/'Total Master''s'!D20)*100</f>
        <v>40.664375715922105</v>
      </c>
      <c r="D18" s="138">
        <f>(Gender!AV20/'Total Master''s'!E20)*100</f>
        <v>41.217046206179724</v>
      </c>
      <c r="E18" s="138">
        <f>(Gender!AW20/'Total Master''s'!F20)*100</f>
        <v>41.92457737321196</v>
      </c>
      <c r="F18" s="138">
        <f>(Gender!AX20/'Total Master''s'!G20)*100</f>
        <v>43.793266205160478</v>
      </c>
      <c r="G18" s="138">
        <f>(Gender!AY20/'Total Master''s'!H20)*100</f>
        <v>44.917771498949506</v>
      </c>
      <c r="H18" s="138">
        <f>(Gender!AZ20/'Total Master''s'!I20)*100</f>
        <v>47.205608077689881</v>
      </c>
      <c r="I18" s="138">
        <f>(Gender!BA20/'Total Master''s'!J20)*100</f>
        <v>47.060580714541764</v>
      </c>
      <c r="J18" s="138">
        <f>(Gender!BB20/'Total Master''s'!K20)*100</f>
        <v>49.952307142005488</v>
      </c>
      <c r="K18" s="138">
        <f>(Gender!BC20/'Total Master''s'!L20)*100</f>
        <v>49.347129834934712</v>
      </c>
      <c r="L18" s="138">
        <f>(Gender!BD20/'Total Master''s'!M20)*100</f>
        <v>49.361194029850743</v>
      </c>
      <c r="M18" s="138">
        <f>(Gender!BE20/'Total Master''s'!N20)*100</f>
        <v>50.136190303250402</v>
      </c>
      <c r="N18" s="138">
        <f>(Gender!BF20/'Total Master''s'!O20)*100</f>
        <v>50.546802594995363</v>
      </c>
      <c r="O18" s="138">
        <f>(Gender!BG20/'Total Master''s'!P20)*100</f>
        <v>49.489230769230765</v>
      </c>
      <c r="P18" s="138">
        <f>(Gender!BH20/'Total Master''s'!Q20)*100</f>
        <v>48.579025110782865</v>
      </c>
      <c r="Q18" s="138">
        <f>(Gender!BI20/'Total Master''s'!R20)*100</f>
        <v>49.658832448824867</v>
      </c>
      <c r="R18" s="138">
        <f>(Gender!BJ20/'Total Master''s'!S20)*100</f>
        <v>49.28821602078861</v>
      </c>
      <c r="S18" s="138">
        <f>(Gender!BK20/'Total Master''s'!T20)*100</f>
        <v>50.36122116056864</v>
      </c>
      <c r="T18" s="138">
        <f>(Gender!BL20/'Total Master''s'!U20)*100</f>
        <v>50.133834500825792</v>
      </c>
      <c r="U18" s="138">
        <f>(Gender!BM20/'Total Master''s'!V20)*100</f>
        <v>50.416593835576528</v>
      </c>
      <c r="V18" s="138">
        <f>(Gender!BN20/'Total Master''s'!W20)*100</f>
        <v>51.129601057967818</v>
      </c>
      <c r="W18" s="138">
        <f>(Gender!BO20/'Total Master''s'!X20)*100</f>
        <v>51.128019580717257</v>
      </c>
      <c r="X18" s="138">
        <f>(Gender!BP20/'Total Master''s'!Y20)*100</f>
        <v>50.60003038128513</v>
      </c>
      <c r="Y18" s="138">
        <f>(Gender!BQ20/'Total Master''s'!Z20)*100</f>
        <v>50.634365873509836</v>
      </c>
      <c r="Z18" s="138">
        <f>(Gender!BR20/'Total Master''s'!AA20)*100</f>
        <v>50.599871783130325</v>
      </c>
      <c r="AA18" s="138">
        <f>(Gender!BS20/'Total Master''s'!AB20)*100</f>
        <v>51.169744942832018</v>
      </c>
      <c r="AB18" s="138">
        <f>(Gender!BT20/'Total Master''s'!AC20)*100</f>
        <v>53.072427837789981</v>
      </c>
      <c r="AC18" s="138">
        <f>(Gender!BU20/'Total Master''s'!AD20)*100</f>
        <v>54.048255024740556</v>
      </c>
      <c r="AD18" s="138">
        <f>(Gender!BV20/'Total Master''s'!AE20)*100</f>
        <v>53.994583615436696</v>
      </c>
      <c r="AE18" s="138">
        <f>(Gender!BW20/'Total Master''s'!AF20)*100</f>
        <v>54.84204183524146</v>
      </c>
      <c r="AF18" s="138">
        <f>(Gender!BX20/'Total Master''s'!AG20)*100</f>
        <v>54.814994344805299</v>
      </c>
      <c r="AG18" s="138">
        <f>(Gender!BY20/'Total Master''s'!AH20)*100</f>
        <v>55.267954794021144</v>
      </c>
      <c r="AH18" s="138">
        <f>(Gender!BZ20/'Total Master''s'!AI20)*100</f>
        <v>56.019830028328613</v>
      </c>
      <c r="AI18" s="138">
        <f>(Gender!CA20/'Total Master''s'!AJ20)*100</f>
        <v>55.633294864397001</v>
      </c>
      <c r="AJ18" s="138">
        <f>(Gender!CB20/'Total Master''s'!AK20)*100</f>
        <v>55.089761935735659</v>
      </c>
      <c r="AK18" s="138">
        <f>(Gender!CC20/'Total Master''s'!AL20)*100</f>
        <v>56.18844740823068</v>
      </c>
      <c r="AL18" s="138">
        <f>(Gender!CD20/'Total Master''s'!AM20)*100</f>
        <v>57.756241182604427</v>
      </c>
      <c r="AM18" s="138">
        <f>(Gender!CE20/'Total Master''s'!AN20)*100</f>
        <v>57.853179684165603</v>
      </c>
      <c r="AN18" s="138">
        <f>(Gender!CF20/'Total Master''s'!AO20)*100</f>
        <v>57.705640423031724</v>
      </c>
      <c r="AO18" s="138">
        <f>(Gender!CG20/'Total Master''s'!AP20)*100</f>
        <v>57.826386022836708</v>
      </c>
      <c r="AP18" s="138">
        <f>(Gender!CH20/'Total Master''s'!AQ20)*100</f>
        <v>58.237499685447546</v>
      </c>
      <c r="AQ18" s="138">
        <f>(Gender!CI20/'Total Master''s'!AR20)*100</f>
        <v>57.396703061442942</v>
      </c>
      <c r="AR18" s="138">
        <f>(Gender!CJ20/'Total Master''s'!AS20)*100</f>
        <v>57.953517116560363</v>
      </c>
      <c r="AS18" s="138">
        <f>(Gender!CK20/'Total Master''s'!AT20)*100</f>
        <v>58.210657713498627</v>
      </c>
    </row>
    <row r="19" spans="1:45">
      <c r="A19" s="128" t="s">
        <v>59</v>
      </c>
      <c r="B19" s="138">
        <f>(Gender!AT21/'Total Master''s'!C21)*100</f>
        <v>39.50858034321373</v>
      </c>
      <c r="C19" s="138">
        <f>(Gender!AU21/'Total Master''s'!D21)*100</f>
        <v>41.997479521109007</v>
      </c>
      <c r="D19" s="138">
        <f>(Gender!AV21/'Total Master''s'!E21)*100</f>
        <v>42.416666666666671</v>
      </c>
      <c r="E19" s="138">
        <f>(Gender!AW21/'Total Master''s'!F21)*100</f>
        <v>42.832080200501252</v>
      </c>
      <c r="F19" s="138">
        <f>(Gender!AX21/'Total Master''s'!G21)*100</f>
        <v>43.155937717871254</v>
      </c>
      <c r="G19" s="138">
        <f>(Gender!AY21/'Total Master''s'!H21)*100</f>
        <v>46.020167346063076</v>
      </c>
      <c r="H19" s="138">
        <f>(Gender!AZ21/'Total Master''s'!I21)*100</f>
        <v>49.224072672218014</v>
      </c>
      <c r="I19" s="138">
        <f>(Gender!BA21/'Total Master''s'!J21)*100</f>
        <v>49.214365881032549</v>
      </c>
      <c r="J19" s="138">
        <f>(Gender!BB21/'Total Master''s'!K21)*100</f>
        <v>53.9424942670665</v>
      </c>
      <c r="K19" s="138">
        <f>(Gender!BC21/'Total Master''s'!L21)*100</f>
        <v>53.978370027037471</v>
      </c>
      <c r="L19" s="138">
        <f>(Gender!BD21/'Total Master''s'!M21)*100</f>
        <v>54.2029534267323</v>
      </c>
      <c r="M19" s="138">
        <f>(Gender!BE21/'Total Master''s'!N21)*100</f>
        <v>54.938046647230323</v>
      </c>
      <c r="N19" s="138">
        <f>(Gender!BF21/'Total Master''s'!O21)*100</f>
        <v>55.733819507748407</v>
      </c>
      <c r="O19" s="138">
        <f>(Gender!BG21/'Total Master''s'!P21)*100</f>
        <v>55.024711696869858</v>
      </c>
      <c r="P19" s="138">
        <f>(Gender!BH21/'Total Master''s'!Q21)*100</f>
        <v>54.941531497548091</v>
      </c>
      <c r="Q19" s="138">
        <f>(Gender!BI21/'Total Master''s'!R21)*100</f>
        <v>54.397081413210444</v>
      </c>
      <c r="R19" s="138">
        <f>(Gender!BJ21/'Total Master''s'!S21)*100</f>
        <v>53.474762253108999</v>
      </c>
      <c r="S19" s="138">
        <f>(Gender!BK21/'Total Master''s'!T21)*100</f>
        <v>52.969121140142519</v>
      </c>
      <c r="T19" s="138">
        <f>(Gender!BL21/'Total Master''s'!U21)*100</f>
        <v>54.029062087186261</v>
      </c>
      <c r="U19" s="138">
        <f>(Gender!BM21/'Total Master''s'!V21)*100</f>
        <v>55.064935064935064</v>
      </c>
      <c r="V19" s="138">
        <f>(Gender!BN21/'Total Master''s'!W21)*100</f>
        <v>54.141639893839923</v>
      </c>
      <c r="W19" s="138">
        <f>(Gender!BO21/'Total Master''s'!X21)*100</f>
        <v>54.783268039934285</v>
      </c>
      <c r="X19" s="138">
        <f>(Gender!BP21/'Total Master''s'!Y21)*100</f>
        <v>55.354359035855616</v>
      </c>
      <c r="Y19" s="138">
        <f>(Gender!BQ21/'Total Master''s'!Z21)*100</f>
        <v>56.107238605898125</v>
      </c>
      <c r="Z19" s="138">
        <f>(Gender!BR21/'Total Master''s'!AA21)*100</f>
        <v>55.420841683366731</v>
      </c>
      <c r="AA19" s="138">
        <f>(Gender!BS21/'Total Master''s'!AB21)*100</f>
        <v>56.9026713992154</v>
      </c>
      <c r="AB19" s="138">
        <f>(Gender!BT21/'Total Master''s'!AC21)*100</f>
        <v>56.774014436424217</v>
      </c>
      <c r="AC19" s="138">
        <f>(Gender!BU21/'Total Master''s'!AD21)*100</f>
        <v>58.136400395363466</v>
      </c>
      <c r="AD19" s="138">
        <f>(Gender!BV21/'Total Master''s'!AE21)*100</f>
        <v>58.637402834933695</v>
      </c>
      <c r="AE19" s="138">
        <f>(Gender!BW21/'Total Master''s'!AF21)*100</f>
        <v>58.785942492012779</v>
      </c>
      <c r="AF19" s="138">
        <f>(Gender!BX21/'Total Master''s'!AG21)*100</f>
        <v>58.695847161180367</v>
      </c>
      <c r="AG19" s="138">
        <f>(Gender!BY21/'Total Master''s'!AH21)*100</f>
        <v>59.418422747768474</v>
      </c>
      <c r="AH19" s="138">
        <f>(Gender!BZ21/'Total Master''s'!AI21)*100</f>
        <v>60.127233604640281</v>
      </c>
      <c r="AI19" s="138">
        <f>(Gender!CA21/'Total Master''s'!AJ21)*100</f>
        <v>59.416940716380765</v>
      </c>
      <c r="AJ19" s="138">
        <f>(Gender!CB21/'Total Master''s'!AK21)*100</f>
        <v>59.147974556411121</v>
      </c>
      <c r="AK19" s="138">
        <f>(Gender!CC21/'Total Master''s'!AL21)*100</f>
        <v>60.128768844221106</v>
      </c>
      <c r="AL19" s="138">
        <f>(Gender!CD21/'Total Master''s'!AM21)*100</f>
        <v>60.205755181154018</v>
      </c>
      <c r="AM19" s="138">
        <f>(Gender!CE21/'Total Master''s'!AN21)*100</f>
        <v>60.955685679172987</v>
      </c>
      <c r="AN19" s="138">
        <f>(Gender!CF21/'Total Master''s'!AO21)*100</f>
        <v>59.524285428742751</v>
      </c>
      <c r="AO19" s="138">
        <f>(Gender!CG21/'Total Master''s'!AP21)*100</f>
        <v>57.346596356663468</v>
      </c>
      <c r="AP19" s="138">
        <f>(Gender!CH21/'Total Master''s'!AQ21)*100</f>
        <v>58.404273076281086</v>
      </c>
      <c r="AQ19" s="138">
        <f>(Gender!CI21/'Total Master''s'!AR21)*100</f>
        <v>59.085857853795233</v>
      </c>
      <c r="AR19" s="138">
        <f>(Gender!CJ21/'Total Master''s'!AS21)*100</f>
        <v>59.750883063766501</v>
      </c>
      <c r="AS19" s="138">
        <f>(Gender!CK21/'Total Master''s'!AT21)*100</f>
        <v>58.467210956017915</v>
      </c>
    </row>
    <row r="20" spans="1:45">
      <c r="A20" s="129" t="s">
        <v>60</v>
      </c>
      <c r="B20" s="139">
        <f>(Gender!AT22/'Total Master''s'!C22)*100</f>
        <v>37.82866836301951</v>
      </c>
      <c r="C20" s="139">
        <f>(Gender!AU22/'Total Master''s'!D22)*100</f>
        <v>41.501976284584977</v>
      </c>
      <c r="D20" s="139">
        <f>(Gender!AV22/'Total Master''s'!E22)*100</f>
        <v>42.330877427997322</v>
      </c>
      <c r="E20" s="139">
        <f>(Gender!AW22/'Total Master''s'!F22)*100</f>
        <v>41.804245283018872</v>
      </c>
      <c r="F20" s="139">
        <f>(Gender!AX22/'Total Master''s'!G22)*100</f>
        <v>44.563380281690144</v>
      </c>
      <c r="G20" s="139">
        <f>(Gender!AY22/'Total Master''s'!H22)*100</f>
        <v>47.232097511427121</v>
      </c>
      <c r="H20" s="139">
        <f>(Gender!AZ22/'Total Master''s'!I22)*100</f>
        <v>48.0396575033799</v>
      </c>
      <c r="I20" s="139">
        <f>(Gender!BA22/'Total Master''s'!J22)*100</f>
        <v>51.45900880037054</v>
      </c>
      <c r="J20" s="139">
        <f>(Gender!BB22/'Total Master''s'!K22)*100</f>
        <v>51.952085181898845</v>
      </c>
      <c r="K20" s="139">
        <f>(Gender!BC22/'Total Master''s'!L22)*100</f>
        <v>54.227941176470587</v>
      </c>
      <c r="L20" s="139">
        <f>(Gender!BD22/'Total Master''s'!M22)*100</f>
        <v>52.145823719427774</v>
      </c>
      <c r="M20" s="139">
        <f>(Gender!BE22/'Total Master''s'!N22)*100</f>
        <v>54.186952288218116</v>
      </c>
      <c r="N20" s="139">
        <f>(Gender!BF22/'Total Master''s'!O22)*100</f>
        <v>57.045675413022359</v>
      </c>
      <c r="O20" s="139">
        <f>(Gender!BG22/'Total Master''s'!P22)*100</f>
        <v>56.958250497017893</v>
      </c>
      <c r="P20" s="139">
        <f>(Gender!BH22/'Total Master''s'!Q22)*100</f>
        <v>55.784061696658092</v>
      </c>
      <c r="Q20" s="139">
        <f>(Gender!BI22/'Total Master''s'!R22)*100</f>
        <v>57.616638560989323</v>
      </c>
      <c r="R20" s="139">
        <f>(Gender!BJ22/'Total Master''s'!S22)*100</f>
        <v>57.087912087912088</v>
      </c>
      <c r="S20" s="139">
        <f>(Gender!BK22/'Total Master''s'!T22)*100</f>
        <v>59.394631639063391</v>
      </c>
      <c r="T20" s="139">
        <f>(Gender!BL22/'Total Master''s'!U22)*100</f>
        <v>62.828947368421048</v>
      </c>
      <c r="U20" s="139">
        <f>(Gender!BM22/'Total Master''s'!V22)*100</f>
        <v>57.717327025428744</v>
      </c>
      <c r="V20" s="139">
        <f>(Gender!BN22/'Total Master''s'!W22)*100</f>
        <v>63.678160919540225</v>
      </c>
      <c r="W20" s="139">
        <f>(Gender!BO22/'Total Master''s'!X22)*100</f>
        <v>59.226713532513173</v>
      </c>
      <c r="X20" s="139">
        <f>(Gender!BP22/'Total Master''s'!Y22)*100</f>
        <v>57.688284518828446</v>
      </c>
      <c r="Y20" s="139">
        <f>(Gender!BQ22/'Total Master''s'!Z22)*100</f>
        <v>59.916492693110648</v>
      </c>
      <c r="Z20" s="139">
        <f>(Gender!BR22/'Total Master''s'!AA22)*100</f>
        <v>59.005905511811022</v>
      </c>
      <c r="AA20" s="139">
        <f>(Gender!BS22/'Total Master''s'!AB22)*100</f>
        <v>58.289241622574963</v>
      </c>
      <c r="AB20" s="139">
        <f>(Gender!BT22/'Total Master''s'!AC22)*100</f>
        <v>55.61154374713697</v>
      </c>
      <c r="AC20" s="139">
        <f>(Gender!BU22/'Total Master''s'!AD22)*100</f>
        <v>58.057296329453891</v>
      </c>
      <c r="AD20" s="139">
        <f>(Gender!BV22/'Total Master''s'!AE22)*100</f>
        <v>60.382513661202189</v>
      </c>
      <c r="AE20" s="139">
        <f>(Gender!BW22/'Total Master''s'!AF22)*100</f>
        <v>62.269561655059405</v>
      </c>
      <c r="AF20" s="139">
        <f>(Gender!BX22/'Total Master''s'!AG22)*100</f>
        <v>62.555780933062877</v>
      </c>
      <c r="AG20" s="139">
        <f>(Gender!BY22/'Total Master''s'!AH22)*100</f>
        <v>62.201758057764756</v>
      </c>
      <c r="AH20" s="139">
        <f>(Gender!BZ22/'Total Master''s'!AI22)*100</f>
        <v>62.093541202672611</v>
      </c>
      <c r="AI20" s="139">
        <f>(Gender!CA22/'Total Master''s'!AJ22)*100</f>
        <v>62.242839854780151</v>
      </c>
      <c r="AJ20" s="139">
        <f>(Gender!CB22/'Total Master''s'!AK22)*100</f>
        <v>64.510427712972785</v>
      </c>
      <c r="AK20" s="139">
        <f>(Gender!CC22/'Total Master''s'!AL22)*100</f>
        <v>59.524680073126149</v>
      </c>
      <c r="AL20" s="139">
        <f>(Gender!CD22/'Total Master''s'!AM22)*100</f>
        <v>61.254125412541249</v>
      </c>
      <c r="AM20" s="139">
        <f>(Gender!CE22/'Total Master''s'!AN22)*100</f>
        <v>55.602665051483946</v>
      </c>
      <c r="AN20" s="139">
        <f>(Gender!CF22/'Total Master''s'!AO22)*100</f>
        <v>53.451372850910964</v>
      </c>
      <c r="AO20" s="139">
        <f>(Gender!CG22/'Total Master''s'!AP22)*100</f>
        <v>52.132701421800952</v>
      </c>
      <c r="AP20" s="139">
        <f>(Gender!CH22/'Total Master''s'!AQ22)*100</f>
        <v>49.298834682994276</v>
      </c>
      <c r="AQ20" s="139">
        <f>(Gender!CI22/'Total Master''s'!AR22)*100</f>
        <v>59.805603201829612</v>
      </c>
      <c r="AR20" s="139">
        <f>(Gender!CJ22/'Total Master''s'!AS22)*100</f>
        <v>62.663685723411056</v>
      </c>
      <c r="AS20" s="139">
        <f>(Gender!CK22/'Total Master''s'!AT22)*100</f>
        <v>61.665586519766691</v>
      </c>
    </row>
    <row r="21" spans="1:45" s="141" customFormat="1">
      <c r="A21" s="128" t="s">
        <v>61</v>
      </c>
      <c r="B21" s="138">
        <f>(Gender!AT23/'Total Master''s'!C23)*100</f>
        <v>33.642107517669743</v>
      </c>
      <c r="C21" s="138">
        <f>(Gender!AU23/'Total Master''s'!D23)*100</f>
        <v>33.309700762761594</v>
      </c>
      <c r="D21" s="138">
        <f>(Gender!AV23/'Total Master''s'!E23)*100</f>
        <v>34.151178342480279</v>
      </c>
      <c r="E21" s="138">
        <f>(Gender!AW23/'Total Master''s'!F23)*100</f>
        <v>34.567368803341203</v>
      </c>
      <c r="F21" s="138">
        <f>(Gender!AX23/'Total Master''s'!G23)*100</f>
        <v>36.047258250931044</v>
      </c>
      <c r="G21" s="138">
        <f>(Gender!AY23/'Total Master''s'!H23)*100</f>
        <v>37.344373140069237</v>
      </c>
      <c r="H21" s="138">
        <f>(Gender!AZ23/'Total Master''s'!I23)*100</f>
        <v>39.157211723518522</v>
      </c>
      <c r="I21" s="138">
        <f>(Gender!BA23/'Total Master''s'!J23)*100</f>
        <v>40.951075191225286</v>
      </c>
      <c r="J21" s="138">
        <f>(Gender!BB23/'Total Master''s'!K23)*100</f>
        <v>41.90825359921309</v>
      </c>
      <c r="K21" s="138">
        <f>(Gender!BC23/'Total Master''s'!L23)*100</f>
        <v>42.839434154878226</v>
      </c>
      <c r="L21" s="138">
        <f>(Gender!BD23/'Total Master''s'!M23)*100</f>
        <v>43.588994577620362</v>
      </c>
      <c r="M21" s="138">
        <f>(Gender!BE23/'Total Master''s'!N23)*100</f>
        <v>44.419251023990633</v>
      </c>
      <c r="N21" s="138">
        <f>(Gender!BF23/'Total Master''s'!O23)*100</f>
        <v>45.600222820536629</v>
      </c>
      <c r="O21" s="138">
        <f>(Gender!BG23/'Total Master''s'!P23)*100</f>
        <v>46.007063217646952</v>
      </c>
      <c r="P21" s="138">
        <f>(Gender!BH23/'Total Master''s'!Q23)*100</f>
        <v>46.343218853230475</v>
      </c>
      <c r="Q21" s="138">
        <f>(Gender!BI23/'Total Master''s'!R23)*100</f>
        <v>45.919819603349168</v>
      </c>
      <c r="R21" s="138">
        <f>(Gender!BJ23/'Total Master''s'!S23)*100</f>
        <v>46.807068949729882</v>
      </c>
      <c r="S21" s="138">
        <f>(Gender!BK23/'Total Master''s'!T23)*100</f>
        <v>47.109313519152288</v>
      </c>
      <c r="T21" s="138">
        <f>(Gender!BL23/'Total Master''s'!U23)*100</f>
        <v>47.604131240267058</v>
      </c>
      <c r="U21" s="138">
        <f>(Gender!BM23/'Total Master''s'!V23)*100</f>
        <v>48.797835062276654</v>
      </c>
      <c r="V21" s="138">
        <f>(Gender!BN23/'Total Master''s'!W23)*100</f>
        <v>48.834253873600858</v>
      </c>
      <c r="W21" s="138">
        <f>(Gender!BO23/'Total Master''s'!X23)*100</f>
        <v>50.295081967213115</v>
      </c>
      <c r="X21" s="138">
        <f>(Gender!BP23/'Total Master''s'!Y23)*100</f>
        <v>51.818070331422263</v>
      </c>
      <c r="Y21" s="138">
        <f>(Gender!BQ23/'Total Master''s'!Z23)*100</f>
        <v>52.332803697818861</v>
      </c>
      <c r="Z21" s="138">
        <f>(Gender!BR23/'Total Master''s'!AA23)*100</f>
        <v>52.592227425848328</v>
      </c>
      <c r="AA21" s="138">
        <f>(Gender!BS23/'Total Master''s'!AB23)*100</f>
        <v>53.413806110901554</v>
      </c>
      <c r="AB21" s="138">
        <f>(Gender!BT23/'Total Master''s'!AC23)*100</f>
        <v>54.271583929378608</v>
      </c>
      <c r="AC21" s="138">
        <f>(Gender!BU23/'Total Master''s'!AD23)*100</f>
        <v>54.76839951738971</v>
      </c>
      <c r="AD21" s="138">
        <f>(Gender!BV23/'Total Master''s'!AE23)*100</f>
        <v>54.570876805778489</v>
      </c>
      <c r="AE21" s="138">
        <f>(Gender!BW23/'Total Master''s'!AF23)*100</f>
        <v>55.513335074928158</v>
      </c>
      <c r="AF21" s="138">
        <f>(Gender!BX23/'Total Master''s'!AG23)*100</f>
        <v>55.796579143069614</v>
      </c>
      <c r="AG21" s="138">
        <f>(Gender!BY23/'Total Master''s'!AH23)*100</f>
        <v>56.484069623706802</v>
      </c>
      <c r="AH21" s="138">
        <f>(Gender!BZ23/'Total Master''s'!AI23)*100</f>
        <v>56.99876626047056</v>
      </c>
      <c r="AI21" s="138">
        <f>(Gender!CA23/'Total Master''s'!AJ23)*100</f>
        <v>57.009489455022447</v>
      </c>
      <c r="AJ21" s="138">
        <f>(Gender!CB23/'Total Master''s'!AK23)*100</f>
        <v>57.261247040252563</v>
      </c>
      <c r="AK21" s="138">
        <f>(Gender!CC23/'Total Master''s'!AL23)*100</f>
        <v>57.890903415446246</v>
      </c>
      <c r="AL21" s="138">
        <f>(Gender!CD23/'Total Master''s'!AM23)*100</f>
        <v>58.1746260202613</v>
      </c>
      <c r="AM21" s="138">
        <f>(Gender!CE23/'Total Master''s'!AN23)*100</f>
        <v>59.560786792005679</v>
      </c>
      <c r="AN21" s="138">
        <f>(Gender!CF23/'Total Master''s'!AO23)*100</f>
        <v>59.619137647130572</v>
      </c>
      <c r="AO21" s="138">
        <f>(Gender!CG23/'Total Master''s'!AP23)*100</f>
        <v>59.640975779651427</v>
      </c>
      <c r="AP21" s="138">
        <f>(Gender!CH23/'Total Master''s'!AQ23)*100</f>
        <v>59.679522629361848</v>
      </c>
      <c r="AQ21" s="138">
        <f>(Gender!CI23/'Total Master''s'!AR23)*100</f>
        <v>58.708156968541168</v>
      </c>
      <c r="AR21" s="138">
        <f>(Gender!CJ23/'Total Master''s'!AS23)*100</f>
        <v>59.888653765278399</v>
      </c>
      <c r="AS21" s="138">
        <f>(Gender!CK23/'Total Master''s'!AT23)*100</f>
        <v>59.532528783465111</v>
      </c>
    </row>
    <row r="22" spans="1:45" s="141" customFormat="1">
      <c r="A22" s="12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row>
    <row r="23" spans="1:45">
      <c r="A23" s="128" t="s">
        <v>62</v>
      </c>
      <c r="B23" s="138">
        <f>(Gender!AT25/'Total Master''s'!C25)*100</f>
        <v>40.804597701149426</v>
      </c>
      <c r="C23" s="138">
        <f>(Gender!AU25/'Total Master''s'!D25)*100</f>
        <v>53.246753246753244</v>
      </c>
      <c r="D23" s="138">
        <f>(Gender!AV25/'Total Master''s'!E25)*100</f>
        <v>44.961240310077521</v>
      </c>
      <c r="E23" s="138">
        <f>(Gender!AW25/'Total Master''s'!F25)*100</f>
        <v>39.6</v>
      </c>
      <c r="F23" s="138">
        <f>(Gender!AX25/'Total Master''s'!G25)*100</f>
        <v>39.33649289099526</v>
      </c>
      <c r="G23" s="138">
        <f>(Gender!AY25/'Total Master''s'!H25)*100</f>
        <v>45.267489711934154</v>
      </c>
      <c r="H23" s="138">
        <f>(Gender!AZ25/'Total Master''s'!I25)*100</f>
        <v>47.867298578199055</v>
      </c>
      <c r="I23" s="138">
        <f>(Gender!BA25/'Total Master''s'!J25)*100</f>
        <v>48.205128205128204</v>
      </c>
      <c r="J23" s="138">
        <f>(Gender!BB25/'Total Master''s'!K25)*100</f>
        <v>46.25</v>
      </c>
      <c r="K23" s="138">
        <f>(Gender!BC25/'Total Master''s'!L25)*100</f>
        <v>43.428571428571431</v>
      </c>
      <c r="L23" s="138">
        <f>(Gender!BD25/'Total Master''s'!M25)*100</f>
        <v>54.347826086956516</v>
      </c>
      <c r="M23" s="138">
        <f>(Gender!BE25/'Total Master''s'!N25)*100</f>
        <v>46.315789473684212</v>
      </c>
      <c r="N23" s="138">
        <f>(Gender!BF25/'Total Master''s'!O25)*100</f>
        <v>55.276381909547737</v>
      </c>
      <c r="O23" s="138">
        <f>(Gender!BG25/'Total Master''s'!P25)*100</f>
        <v>50.390625</v>
      </c>
      <c r="P23" s="138">
        <f>(Gender!BH25/'Total Master''s'!Q25)*100</f>
        <v>53.968253968253968</v>
      </c>
      <c r="Q23" s="138">
        <f>(Gender!BI25/'Total Master''s'!R25)*100</f>
        <v>48.571428571428569</v>
      </c>
      <c r="R23" s="138">
        <f>(Gender!BJ25/'Total Master''s'!S25)*100</f>
        <v>52.333333333333329</v>
      </c>
      <c r="S23" s="138">
        <f>(Gender!BK25/'Total Master''s'!T25)*100</f>
        <v>50.312500000000007</v>
      </c>
      <c r="T23" s="138">
        <f>(Gender!BL25/'Total Master''s'!U25)*100</f>
        <v>48.113207547169814</v>
      </c>
      <c r="U23" s="138">
        <f>(Gender!BM25/'Total Master''s'!V25)*100</f>
        <v>49.650349650349654</v>
      </c>
      <c r="V23" s="138">
        <f>(Gender!BN25/'Total Master''s'!W25)*100</f>
        <v>50.308641975308646</v>
      </c>
      <c r="W23" s="138">
        <f>(Gender!BO25/'Total Master''s'!X25)*100</f>
        <v>46.938775510204081</v>
      </c>
      <c r="X23" s="138">
        <f>(Gender!BP25/'Total Master''s'!Y25)*100</f>
        <v>54.768392370572208</v>
      </c>
      <c r="Y23" s="138">
        <f>(Gender!BQ25/'Total Master''s'!Z25)*100</f>
        <v>54.269972451790636</v>
      </c>
      <c r="Z23" s="138">
        <f>(Gender!BR25/'Total Master''s'!AA25)*100</f>
        <v>53.080568720379148</v>
      </c>
      <c r="AA23" s="138">
        <f>(Gender!BS25/'Total Master''s'!AB25)*100</f>
        <v>52.699784017278617</v>
      </c>
      <c r="AB23" s="138">
        <f>(Gender!BT25/'Total Master''s'!AC25)*100</f>
        <v>52.531645569620252</v>
      </c>
      <c r="AC23" s="138">
        <f>(Gender!BU25/'Total Master''s'!AD25)*100</f>
        <v>59.302325581395351</v>
      </c>
      <c r="AD23" s="138">
        <f>(Gender!BV25/'Total Master''s'!AE25)*100</f>
        <v>55.578512396694215</v>
      </c>
      <c r="AE23" s="138">
        <f>(Gender!BW25/'Total Master''s'!AF25)*100</f>
        <v>63.958333333333329</v>
      </c>
      <c r="AF23" s="138">
        <f>(Gender!BX25/'Total Master''s'!AG25)*100</f>
        <v>60.348162475822051</v>
      </c>
      <c r="AG23" s="138">
        <f>(Gender!BY25/'Total Master''s'!AH25)*100</f>
        <v>61.822660098522164</v>
      </c>
      <c r="AH23" s="138">
        <f>(Gender!BZ25/'Total Master''s'!AI25)*100</f>
        <v>59.027777777777779</v>
      </c>
      <c r="AI23" s="138">
        <f>(Gender!CA25/'Total Master''s'!AJ25)*100</f>
        <v>54.940711462450601</v>
      </c>
      <c r="AJ23" s="138">
        <f>(Gender!CB25/'Total Master''s'!AK25)*100</f>
        <v>59.316239316239319</v>
      </c>
      <c r="AK23" s="138">
        <f>(Gender!CC25/'Total Master''s'!AL25)*100</f>
        <v>57.709923664122144</v>
      </c>
      <c r="AL23" s="138">
        <f>(Gender!CD25/'Total Master''s'!AM25)*100</f>
        <v>61.340206185567013</v>
      </c>
      <c r="AM23" s="138">
        <f>(Gender!CE25/'Total Master''s'!AN25)*100</f>
        <v>59.636871508379883</v>
      </c>
      <c r="AN23" s="138">
        <f>(Gender!CF25/'Total Master''s'!AO25)*100</f>
        <v>59.682080924855498</v>
      </c>
      <c r="AO23" s="138">
        <f>(Gender!CG25/'Total Master''s'!AP25)*100</f>
        <v>63.245033112582782</v>
      </c>
      <c r="AP23" s="138">
        <f>(Gender!CH25/'Total Master''s'!AQ25)*100</f>
        <v>66.666666666666657</v>
      </c>
      <c r="AQ23" s="138">
        <f>(Gender!CI25/'Total Master''s'!AR25)*100</f>
        <v>64.502164502164504</v>
      </c>
      <c r="AR23" s="138">
        <f>(Gender!CJ25/'Total Master''s'!AS25)*100</f>
        <v>59.45945945945946</v>
      </c>
      <c r="AS23" s="138">
        <f>(Gender!CK25/'Total Master''s'!AT25)*100</f>
        <v>66.02209944751381</v>
      </c>
    </row>
    <row r="24" spans="1:45">
      <c r="A24" s="136" t="s">
        <v>63</v>
      </c>
      <c r="B24" s="133">
        <f>(Gender!AT26/'Total Master''s'!C26)*100</f>
        <v>44.637168141592923</v>
      </c>
      <c r="C24" s="133">
        <f>(Gender!AU26/'Total Master''s'!D26)*100</f>
        <v>40.855784469096676</v>
      </c>
      <c r="D24" s="133">
        <f>(Gender!AV26/'Total Master''s'!E26)*100</f>
        <v>38.929577464788736</v>
      </c>
      <c r="E24" s="133">
        <f>(Gender!AW26/'Total Master''s'!F26)*100</f>
        <v>39.603399433427761</v>
      </c>
      <c r="F24" s="133">
        <f>(Gender!AX26/'Total Master''s'!G26)*100</f>
        <v>37.357259380097879</v>
      </c>
      <c r="G24" s="133">
        <f>(Gender!AY26/'Total Master''s'!H26)*100</f>
        <v>39.653388515261248</v>
      </c>
      <c r="H24" s="133">
        <f>(Gender!AZ26/'Total Master''s'!I26)*100</f>
        <v>41.888733052828428</v>
      </c>
      <c r="I24" s="133">
        <f>(Gender!BA26/'Total Master''s'!J26)*100</f>
        <v>45.135197596487174</v>
      </c>
      <c r="J24" s="133">
        <f>(Gender!BB26/'Total Master''s'!K26)*100</f>
        <v>45.301440078105934</v>
      </c>
      <c r="K24" s="133">
        <f>(Gender!BC26/'Total Master''s'!L26)*100</f>
        <v>43.502538071065985</v>
      </c>
      <c r="L24" s="133">
        <f>(Gender!BD26/'Total Master''s'!M26)*100</f>
        <v>45.732647814910024</v>
      </c>
      <c r="M24" s="133">
        <f>(Gender!BE26/'Total Master''s'!N26)*100</f>
        <v>46.804597701149426</v>
      </c>
      <c r="N24" s="133">
        <f>(Gender!BF26/'Total Master''s'!O26)*100</f>
        <v>46.041131105398456</v>
      </c>
      <c r="O24" s="133">
        <f>(Gender!BG26/'Total Master''s'!P26)*100</f>
        <v>45.472636815920396</v>
      </c>
      <c r="P24" s="133">
        <f>(Gender!BH26/'Total Master''s'!Q26)*100</f>
        <v>47.527985074626869</v>
      </c>
      <c r="Q24" s="133">
        <f>(Gender!BI26/'Total Master''s'!R26)*100</f>
        <v>46.738908198732368</v>
      </c>
      <c r="R24" s="133">
        <f>(Gender!BJ26/'Total Master''s'!S26)*100</f>
        <v>46.651602300739526</v>
      </c>
      <c r="S24" s="133">
        <f>(Gender!BK26/'Total Master''s'!T26)*100</f>
        <v>47.513468711147951</v>
      </c>
      <c r="T24" s="133">
        <f>(Gender!BL26/'Total Master''s'!U26)*100</f>
        <v>48.511066398390341</v>
      </c>
      <c r="U24" s="133">
        <f>(Gender!BM26/'Total Master''s'!V26)*100</f>
        <v>48.382473382473385</v>
      </c>
      <c r="V24" s="133">
        <f>(Gender!BN26/'Total Master''s'!W26)*100</f>
        <v>48.107377365778291</v>
      </c>
      <c r="W24" s="133">
        <f>(Gender!BO26/'Total Master''s'!X26)*100</f>
        <v>46.623667237067259</v>
      </c>
      <c r="X24" s="133">
        <f>(Gender!BP26/'Total Master''s'!Y26)*100</f>
        <v>49.715295503632433</v>
      </c>
      <c r="Y24" s="133">
        <f>(Gender!BQ26/'Total Master''s'!Z26)*100</f>
        <v>51.071303126097646</v>
      </c>
      <c r="Z24" s="133">
        <f>(Gender!BR26/'Total Master''s'!AA26)*100</f>
        <v>52.195655571182996</v>
      </c>
      <c r="AA24" s="133">
        <f>(Gender!BS26/'Total Master''s'!AB26)*100</f>
        <v>53.477993228685747</v>
      </c>
      <c r="AB24" s="133">
        <f>(Gender!BT26/'Total Master''s'!AC26)*100</f>
        <v>55.2853814793244</v>
      </c>
      <c r="AC24" s="133">
        <f>(Gender!BU26/'Total Master''s'!AD26)*100</f>
        <v>54.603714360449906</v>
      </c>
      <c r="AD24" s="133">
        <f>(Gender!BV26/'Total Master''s'!AE26)*100</f>
        <v>53.592157874371217</v>
      </c>
      <c r="AE24" s="133">
        <f>(Gender!BW26/'Total Master''s'!AF26)*100</f>
        <v>51.915728596509346</v>
      </c>
      <c r="AF24" s="133">
        <f>(Gender!BX26/'Total Master''s'!AG26)*100</f>
        <v>53.146374829001367</v>
      </c>
      <c r="AG24" s="133">
        <f>(Gender!BY26/'Total Master''s'!AH26)*100</f>
        <v>54.360823763879665</v>
      </c>
      <c r="AH24" s="133">
        <f>(Gender!BZ26/'Total Master''s'!AI26)*100</f>
        <v>58.303698435277383</v>
      </c>
      <c r="AI24" s="133">
        <f>(Gender!CA26/'Total Master''s'!AJ26)*100</f>
        <v>56.641306070692664</v>
      </c>
      <c r="AJ24" s="133">
        <f>(Gender!CB26/'Total Master''s'!AK26)*100</f>
        <v>57.998622905669038</v>
      </c>
      <c r="AK24" s="133">
        <f>(Gender!CC26/'Total Master''s'!AL26)*100</f>
        <v>60.054320490896288</v>
      </c>
      <c r="AL24" s="133">
        <f>(Gender!CD26/'Total Master''s'!AM26)*100</f>
        <v>59.287236103040861</v>
      </c>
      <c r="AM24" s="133">
        <f>(Gender!CE26/'Total Master''s'!AN26)*100</f>
        <v>63.38255901692358</v>
      </c>
      <c r="AN24" s="133">
        <f>(Gender!CF26/'Total Master''s'!AO26)*100</f>
        <v>64.853884533143273</v>
      </c>
      <c r="AO24" s="133">
        <f>(Gender!CG26/'Total Master''s'!AP26)*100</f>
        <v>65.219381416334272</v>
      </c>
      <c r="AP24" s="133">
        <f>(Gender!CH26/'Total Master''s'!AQ26)*100</f>
        <v>66.17039586919104</v>
      </c>
      <c r="AQ24" s="133">
        <f>(Gender!CI26/'Total Master''s'!AR26)*100</f>
        <v>63.81070213424065</v>
      </c>
      <c r="AR24" s="133">
        <f>(Gender!CJ26/'Total Master''s'!AS26)*100</f>
        <v>66.838620926833457</v>
      </c>
      <c r="AS24" s="133">
        <f>(Gender!CK26/'Total Master''s'!AT26)*100</f>
        <v>65.364574464462081</v>
      </c>
    </row>
    <row r="25" spans="1:45">
      <c r="A25" s="128" t="s">
        <v>64</v>
      </c>
      <c r="B25" s="138">
        <f>(Gender!AT27/'Total Master''s'!C27)*100</f>
        <v>30.451533364154727</v>
      </c>
      <c r="C25" s="138">
        <f>(Gender!AU27/'Total Master''s'!D27)*100</f>
        <v>30.59676731288809</v>
      </c>
      <c r="D25" s="138">
        <f>(Gender!AV27/'Total Master''s'!E27)*100</f>
        <v>31.120592858746914</v>
      </c>
      <c r="E25" s="138">
        <f>(Gender!AW27/'Total Master''s'!F27)*100</f>
        <v>32.782658100607492</v>
      </c>
      <c r="F25" s="138">
        <f>(Gender!AX27/'Total Master''s'!G27)*100</f>
        <v>34.794643220580454</v>
      </c>
      <c r="G25" s="138">
        <f>(Gender!AY27/'Total Master''s'!H27)*100</f>
        <v>36.402158559994206</v>
      </c>
      <c r="H25" s="138">
        <f>(Gender!AZ27/'Total Master''s'!I27)*100</f>
        <v>38.380692876605679</v>
      </c>
      <c r="I25" s="138">
        <f>(Gender!BA27/'Total Master''s'!J27)*100</f>
        <v>39.996790757381255</v>
      </c>
      <c r="J25" s="138">
        <f>(Gender!BB27/'Total Master''s'!K27)*100</f>
        <v>40.758727255526473</v>
      </c>
      <c r="K25" s="138">
        <f>(Gender!BC27/'Total Master''s'!L27)*100</f>
        <v>41.922892337226045</v>
      </c>
      <c r="L25" s="138">
        <f>(Gender!BD27/'Total Master''s'!M27)*100</f>
        <v>42.267578062321491</v>
      </c>
      <c r="M25" s="138">
        <f>(Gender!BE27/'Total Master''s'!N27)*100</f>
        <v>43.309606216939855</v>
      </c>
      <c r="N25" s="138">
        <f>(Gender!BF27/'Total Master''s'!O27)*100</f>
        <v>44.608228511530399</v>
      </c>
      <c r="O25" s="138">
        <f>(Gender!BG27/'Total Master''s'!P27)*100</f>
        <v>45.492144918243028</v>
      </c>
      <c r="P25" s="138">
        <f>(Gender!BH27/'Total Master''s'!Q27)*100</f>
        <v>45.714105833097243</v>
      </c>
      <c r="Q25" s="138">
        <f>(Gender!BI27/'Total Master''s'!R27)*100</f>
        <v>45.099058135758362</v>
      </c>
      <c r="R25" s="138">
        <f>(Gender!BJ27/'Total Master''s'!S27)*100</f>
        <v>46.293679342240495</v>
      </c>
      <c r="S25" s="138">
        <f>(Gender!BK27/'Total Master''s'!T27)*100</f>
        <v>46.165909236382255</v>
      </c>
      <c r="T25" s="138">
        <f>(Gender!BL27/'Total Master''s'!U27)*100</f>
        <v>46.92439535326605</v>
      </c>
      <c r="U25" s="138">
        <f>(Gender!BM27/'Total Master''s'!V27)*100</f>
        <v>48.290986085904414</v>
      </c>
      <c r="V25" s="138">
        <f>(Gender!BN27/'Total Master''s'!W27)*100</f>
        <v>47.884832845255012</v>
      </c>
      <c r="W25" s="138">
        <f>(Gender!BO27/'Total Master''s'!X27)*100</f>
        <v>50.355908074028875</v>
      </c>
      <c r="X25" s="138">
        <f>(Gender!BP27/'Total Master''s'!Y27)*100</f>
        <v>51.469135454006611</v>
      </c>
      <c r="Y25" s="138">
        <f>(Gender!BQ27/'Total Master''s'!Z27)*100</f>
        <v>51.978621173675968</v>
      </c>
      <c r="Z25" s="138">
        <f>(Gender!BR27/'Total Master''s'!AA27)*100</f>
        <v>52.539526712824227</v>
      </c>
      <c r="AA25" s="138">
        <f>(Gender!BS27/'Total Master''s'!AB27)*100</f>
        <v>53.032969919873892</v>
      </c>
      <c r="AB25" s="138">
        <f>(Gender!BT27/'Total Master''s'!AC27)*100</f>
        <v>53.848981306448231</v>
      </c>
      <c r="AC25" s="138">
        <f>(Gender!BU27/'Total Master''s'!AD27)*100</f>
        <v>54.752464917314413</v>
      </c>
      <c r="AD25" s="138">
        <f>(Gender!BV27/'Total Master''s'!AE27)*100</f>
        <v>54.578141161404716</v>
      </c>
      <c r="AE25" s="138">
        <f>(Gender!BW27/'Total Master''s'!AF27)*100</f>
        <v>55.859484777517565</v>
      </c>
      <c r="AF25" s="138">
        <f>(Gender!BX27/'Total Master''s'!AG27)*100</f>
        <v>56.490498678175207</v>
      </c>
      <c r="AG25" s="138">
        <f>(Gender!BY27/'Total Master''s'!AH27)*100</f>
        <v>56.978642805825871</v>
      </c>
      <c r="AH25" s="138">
        <f>(Gender!BZ27/'Total Master''s'!AI27)*100</f>
        <v>57.225518354682492</v>
      </c>
      <c r="AI25" s="138">
        <f>(Gender!CA27/'Total Master''s'!AJ27)*100</f>
        <v>57.908037475345168</v>
      </c>
      <c r="AJ25" s="138">
        <f>(Gender!CB27/'Total Master''s'!AK27)*100</f>
        <v>57.621607397939997</v>
      </c>
      <c r="AK25" s="138">
        <f>(Gender!CC27/'Total Master''s'!AL27)*100</f>
        <v>57.934898809304379</v>
      </c>
      <c r="AL25" s="138">
        <f>(Gender!CD27/'Total Master''s'!AM27)*100</f>
        <v>58.044941012689854</v>
      </c>
      <c r="AM25" s="138">
        <f>(Gender!CE27/'Total Master''s'!AN27)*100</f>
        <v>58.862263851964016</v>
      </c>
      <c r="AN25" s="138">
        <f>(Gender!CF27/'Total Master''s'!AO27)*100</f>
        <v>58.193979933110363</v>
      </c>
      <c r="AO25" s="138">
        <f>(Gender!CG27/'Total Master''s'!AP27)*100</f>
        <v>58.273116177719388</v>
      </c>
      <c r="AP25" s="138">
        <f>(Gender!CH27/'Total Master''s'!AQ27)*100</f>
        <v>57.435343163745856</v>
      </c>
      <c r="AQ25" s="138">
        <f>(Gender!CI27/'Total Master''s'!AR27)*100</f>
        <v>57.889378513903665</v>
      </c>
      <c r="AR25" s="138">
        <f>(Gender!CJ27/'Total Master''s'!AS27)*100</f>
        <v>57.846827527255819</v>
      </c>
      <c r="AS25" s="138">
        <f>(Gender!CK27/'Total Master''s'!AT27)*100</f>
        <v>57.951151719447644</v>
      </c>
    </row>
    <row r="26" spans="1:45">
      <c r="A26" s="128" t="s">
        <v>65</v>
      </c>
      <c r="B26" s="138">
        <f>(Gender!AT28/'Total Master''s'!C28)*100</f>
        <v>41.201201201201201</v>
      </c>
      <c r="C26" s="138">
        <f>(Gender!AU28/'Total Master''s'!D28)*100</f>
        <v>40.716886026323159</v>
      </c>
      <c r="D26" s="138">
        <f>(Gender!AV28/'Total Master''s'!E28)*100</f>
        <v>41.803506818814363</v>
      </c>
      <c r="E26" s="138">
        <f>(Gender!AW28/'Total Master''s'!F28)*100</f>
        <v>40.238527352864921</v>
      </c>
      <c r="F26" s="138">
        <f>(Gender!AX28/'Total Master''s'!G28)*100</f>
        <v>38.503050211168464</v>
      </c>
      <c r="G26" s="138">
        <f>(Gender!AY28/'Total Master''s'!H28)*100</f>
        <v>43.299492385786806</v>
      </c>
      <c r="H26" s="138">
        <f>(Gender!AZ28/'Total Master''s'!I28)*100</f>
        <v>42.248360971847283</v>
      </c>
      <c r="I26" s="138">
        <f>(Gender!BA28/'Total Master''s'!J28)*100</f>
        <v>44.619883040935669</v>
      </c>
      <c r="J26" s="138">
        <f>(Gender!BB28/'Total Master''s'!K28)*100</f>
        <v>46.030263403698861</v>
      </c>
      <c r="K26" s="138">
        <f>(Gender!BC28/'Total Master''s'!L28)*100</f>
        <v>48.320626416649489</v>
      </c>
      <c r="L26" s="138">
        <f>(Gender!BD28/'Total Master''s'!M28)*100</f>
        <v>49.545729860690493</v>
      </c>
      <c r="M26" s="138">
        <f>(Gender!BE28/'Total Master''s'!N28)*100</f>
        <v>49.220536271045525</v>
      </c>
      <c r="N26" s="138">
        <f>(Gender!BF28/'Total Master''s'!O28)*100</f>
        <v>49.740347708286293</v>
      </c>
      <c r="O26" s="138">
        <f>(Gender!BG28/'Total Master''s'!P28)*100</f>
        <v>49.430740037950663</v>
      </c>
      <c r="P26" s="138">
        <f>(Gender!BH28/'Total Master''s'!Q28)*100</f>
        <v>50.342801175318321</v>
      </c>
      <c r="Q26" s="138">
        <f>(Gender!BI28/'Total Master''s'!R28)*100</f>
        <v>50.268423621278671</v>
      </c>
      <c r="R26" s="138">
        <f>(Gender!BJ28/'Total Master''s'!S28)*100</f>
        <v>50.206461015302409</v>
      </c>
      <c r="S26" s="138">
        <f>(Gender!BK28/'Total Master''s'!T28)*100</f>
        <v>50.048923679060664</v>
      </c>
      <c r="T26" s="138">
        <f>(Gender!BL28/'Total Master''s'!U28)*100</f>
        <v>50.693654764612241</v>
      </c>
      <c r="U26" s="138">
        <f>(Gender!BM28/'Total Master''s'!V28)*100</f>
        <v>51.923917796239614</v>
      </c>
      <c r="V26" s="138">
        <f>(Gender!BN28/'Total Master''s'!W28)*100</f>
        <v>51.794469503824281</v>
      </c>
      <c r="W26" s="138">
        <f>(Gender!BO28/'Total Master''s'!X28)*100</f>
        <v>49.112764739553519</v>
      </c>
      <c r="X26" s="138">
        <f>(Gender!BP28/'Total Master''s'!Y28)*100</f>
        <v>51.582670203359861</v>
      </c>
      <c r="Y26" s="138">
        <f>(Gender!BQ28/'Total Master''s'!Z28)*100</f>
        <v>50.915349710530435</v>
      </c>
      <c r="Z26" s="138">
        <f>(Gender!BR28/'Total Master''s'!AA28)*100</f>
        <v>49.759440151625597</v>
      </c>
      <c r="AA26" s="138">
        <f>(Gender!BS28/'Total Master''s'!AB28)*100</f>
        <v>51.525805090704544</v>
      </c>
      <c r="AB26" s="138">
        <f>(Gender!BT28/'Total Master''s'!AC28)*100</f>
        <v>51.64161681015613</v>
      </c>
      <c r="AC26" s="138">
        <f>(Gender!BU28/'Total Master''s'!AD28)*100</f>
        <v>52.830684355707348</v>
      </c>
      <c r="AD26" s="138">
        <f>(Gender!BV28/'Total Master''s'!AE28)*100</f>
        <v>53.786764705882348</v>
      </c>
      <c r="AE26" s="138">
        <f>(Gender!BW28/'Total Master''s'!AF28)*100</f>
        <v>55.588562940958042</v>
      </c>
      <c r="AF26" s="138">
        <f>(Gender!BX28/'Total Master''s'!AG28)*100</f>
        <v>53.044719314938149</v>
      </c>
      <c r="AG26" s="138">
        <f>(Gender!BY28/'Total Master''s'!AH28)*100</f>
        <v>55.036913550845433</v>
      </c>
      <c r="AH26" s="138">
        <f>(Gender!BZ28/'Total Master''s'!AI28)*100</f>
        <v>53.975481611208409</v>
      </c>
      <c r="AI26" s="138">
        <f>(Gender!CA28/'Total Master''s'!AJ28)*100</f>
        <v>53.977518374405534</v>
      </c>
      <c r="AJ26" s="138">
        <f>(Gender!CB28/'Total Master''s'!AK28)*100</f>
        <v>53.821334946561805</v>
      </c>
      <c r="AK26" s="138">
        <f>(Gender!CC28/'Total Master''s'!AL28)*100</f>
        <v>54.573756981961367</v>
      </c>
      <c r="AL26" s="138">
        <f>(Gender!CD28/'Total Master''s'!AM28)*100</f>
        <v>57.671463277891988</v>
      </c>
      <c r="AM26" s="138">
        <f>(Gender!CE28/'Total Master''s'!AN28)*100</f>
        <v>56.13433858807403</v>
      </c>
      <c r="AN26" s="138">
        <f>(Gender!CF28/'Total Master''s'!AO28)*100</f>
        <v>57.737693863789616</v>
      </c>
      <c r="AO26" s="138">
        <f>(Gender!CG28/'Total Master''s'!AP28)*100</f>
        <v>57.043843937388047</v>
      </c>
      <c r="AP26" s="138">
        <f>(Gender!CH28/'Total Master''s'!AQ28)*100</f>
        <v>57.461314539604722</v>
      </c>
      <c r="AQ26" s="138">
        <f>(Gender!CI28/'Total Master''s'!AR28)*100</f>
        <v>56.692199983526891</v>
      </c>
      <c r="AR26" s="138">
        <f>(Gender!CJ28/'Total Master''s'!AS28)*100</f>
        <v>56.752176257607267</v>
      </c>
      <c r="AS26" s="138">
        <f>(Gender!CK28/'Total Master''s'!AT28)*100</f>
        <v>58.289234657609981</v>
      </c>
    </row>
    <row r="27" spans="1:45">
      <c r="A27" s="128" t="s">
        <v>66</v>
      </c>
      <c r="B27" s="138">
        <f>(Gender!AT29/'Total Master''s'!C29)*100</f>
        <v>49.95083579154376</v>
      </c>
      <c r="C27" s="138">
        <f>(Gender!AU29/'Total Master''s'!D29)*100</f>
        <v>47.192028985507243</v>
      </c>
      <c r="D27" s="138">
        <f>(Gender!AV29/'Total Master''s'!E29)*100</f>
        <v>54.890604890604891</v>
      </c>
      <c r="E27" s="138">
        <f>(Gender!AW29/'Total Master''s'!F29)*100</f>
        <v>49.969897652016861</v>
      </c>
      <c r="F27" s="138">
        <f>(Gender!AX29/'Total Master''s'!G29)*100</f>
        <v>48.77020379479972</v>
      </c>
      <c r="G27" s="138">
        <f>(Gender!AY29/'Total Master''s'!H29)*100</f>
        <v>49.460708782742678</v>
      </c>
      <c r="H27" s="138">
        <f>(Gender!AZ29/'Total Master''s'!I29)*100</f>
        <v>50.132625994694955</v>
      </c>
      <c r="I27" s="138">
        <f>(Gender!BA29/'Total Master''s'!J29)*100</f>
        <v>48.478900883218841</v>
      </c>
      <c r="J27" s="138">
        <f>(Gender!BB29/'Total Master''s'!K29)*100</f>
        <v>53.346080305927345</v>
      </c>
      <c r="K27" s="138">
        <f>(Gender!BC29/'Total Master''s'!L29)*100</f>
        <v>51.85520361990951</v>
      </c>
      <c r="L27" s="138">
        <f>(Gender!BD29/'Total Master''s'!M29)*100</f>
        <v>52.130822596630324</v>
      </c>
      <c r="M27" s="138">
        <f>(Gender!BE29/'Total Master''s'!N29)*100</f>
        <v>53.273809523809526</v>
      </c>
      <c r="N27" s="138">
        <f>(Gender!BF29/'Total Master''s'!O29)*100</f>
        <v>56.178707224334602</v>
      </c>
      <c r="O27" s="138">
        <f>(Gender!BG29/'Total Master''s'!P29)*100</f>
        <v>52.217741935483872</v>
      </c>
      <c r="P27" s="138">
        <f>(Gender!BH29/'Total Master''s'!Q29)*100</f>
        <v>52.876984126984127</v>
      </c>
      <c r="Q27" s="138">
        <f>(Gender!BI29/'Total Master''s'!R29)*100</f>
        <v>54.188210961737326</v>
      </c>
      <c r="R27" s="138">
        <f>(Gender!BJ29/'Total Master''s'!S29)*100</f>
        <v>53.896816684961578</v>
      </c>
      <c r="S27" s="138">
        <f>(Gender!BK29/'Total Master''s'!T29)*100</f>
        <v>53.513513513513509</v>
      </c>
      <c r="T27" s="138">
        <f>(Gender!BL29/'Total Master''s'!U29)*100</f>
        <v>53.56037151702786</v>
      </c>
      <c r="U27" s="138">
        <f>(Gender!BM29/'Total Master''s'!V29)*100</f>
        <v>53.785644051130774</v>
      </c>
      <c r="V27" s="138">
        <f>(Gender!BN29/'Total Master''s'!W29)*100</f>
        <v>54.716981132075468</v>
      </c>
      <c r="W27" s="138">
        <f>(Gender!BO29/'Total Master''s'!X29)*100</f>
        <v>54.511970534069988</v>
      </c>
      <c r="X27" s="138">
        <f>(Gender!BP29/'Total Master''s'!Y29)*100</f>
        <v>54.879065888240198</v>
      </c>
      <c r="Y27" s="138">
        <f>(Gender!BQ29/'Total Master''s'!Z29)*100</f>
        <v>52.928416485900222</v>
      </c>
      <c r="Z27" s="138">
        <f>(Gender!BR29/'Total Master''s'!AA29)*100</f>
        <v>53.396639883126376</v>
      </c>
      <c r="AA27" s="138">
        <f>(Gender!BS29/'Total Master''s'!AB29)*100</f>
        <v>53.94736842105263</v>
      </c>
      <c r="AB27" s="138">
        <f>(Gender!BT29/'Total Master''s'!AC29)*100</f>
        <v>55.794806839772008</v>
      </c>
      <c r="AC27" s="138">
        <f>(Gender!BU29/'Total Master''s'!AD29)*100</f>
        <v>56.242638398115432</v>
      </c>
      <c r="AD27" s="138">
        <f>(Gender!BV29/'Total Master''s'!AE29)*100</f>
        <v>54.480052321778935</v>
      </c>
      <c r="AE27" s="138">
        <f>(Gender!BW29/'Total Master''s'!AF29)*100</f>
        <v>57.650429799426938</v>
      </c>
      <c r="AF27" s="138">
        <f>(Gender!BX29/'Total Master''s'!AG29)*100</f>
        <v>60.150812064965194</v>
      </c>
      <c r="AG27" s="138">
        <f>(Gender!BY29/'Total Master''s'!AH29)*100</f>
        <v>58.215962441314552</v>
      </c>
      <c r="AH27" s="138">
        <f>(Gender!BZ29/'Total Master''s'!AI29)*100</f>
        <v>60.531432274789374</v>
      </c>
      <c r="AI27" s="138">
        <f>(Gender!CA29/'Total Master''s'!AJ29)*100</f>
        <v>59.837962962962962</v>
      </c>
      <c r="AJ27" s="138">
        <f>(Gender!CB29/'Total Master''s'!AK29)*100</f>
        <v>61.842105263157897</v>
      </c>
      <c r="AK27" s="138">
        <f>(Gender!CC29/'Total Master''s'!AL29)*100</f>
        <v>61.283950617283956</v>
      </c>
      <c r="AL27" s="138">
        <f>(Gender!CD29/'Total Master''s'!AM29)*100</f>
        <v>63.887493721747866</v>
      </c>
      <c r="AM27" s="138">
        <f>(Gender!CE29/'Total Master''s'!AN29)*100</f>
        <v>63.527575442247667</v>
      </c>
      <c r="AN27" s="138">
        <f>(Gender!CF29/'Total Master''s'!AO29)*100</f>
        <v>61.255742725880545</v>
      </c>
      <c r="AO27" s="138">
        <f>(Gender!CG29/'Total Master''s'!AP29)*100</f>
        <v>63.572503763171099</v>
      </c>
      <c r="AP27" s="138">
        <f>(Gender!CH29/'Total Master''s'!AQ29)*100</f>
        <v>61.911837543338287</v>
      </c>
      <c r="AQ27" s="138">
        <f>(Gender!CI29/'Total Master''s'!AR29)*100</f>
        <v>62.706110572259945</v>
      </c>
      <c r="AR27" s="138">
        <f>(Gender!CJ29/'Total Master''s'!AS29)*100</f>
        <v>65.39007092198581</v>
      </c>
      <c r="AS27" s="138">
        <f>(Gender!CK29/'Total Master''s'!AT29)*100</f>
        <v>63.852376137512636</v>
      </c>
    </row>
    <row r="28" spans="1:45">
      <c r="A28" s="128" t="s">
        <v>67</v>
      </c>
      <c r="B28" s="138">
        <f>(Gender!AT30/'Total Master''s'!C30)*100</f>
        <v>24.155844155844157</v>
      </c>
      <c r="C28" s="138">
        <f>(Gender!AU30/'Total Master''s'!D30)*100</f>
        <v>25.757575757575758</v>
      </c>
      <c r="D28" s="138">
        <f>(Gender!AV30/'Total Master''s'!E30)*100</f>
        <v>28.796844181459569</v>
      </c>
      <c r="E28" s="138">
        <f>(Gender!AW30/'Total Master''s'!F30)*100</f>
        <v>26.497277676950997</v>
      </c>
      <c r="F28" s="138">
        <f>(Gender!AX30/'Total Master''s'!G30)*100</f>
        <v>24.867724867724867</v>
      </c>
      <c r="G28" s="138">
        <f>(Gender!AY30/'Total Master''s'!H30)*100</f>
        <v>31.05175292153589</v>
      </c>
      <c r="H28" s="138">
        <f>(Gender!AZ30/'Total Master''s'!I30)*100</f>
        <v>28.943089430894307</v>
      </c>
      <c r="I28" s="138">
        <f>(Gender!BA30/'Total Master''s'!J30)*100</f>
        <v>35.053110773899846</v>
      </c>
      <c r="J28" s="138">
        <f>(Gender!BB30/'Total Master''s'!K30)*100</f>
        <v>36.982248520710058</v>
      </c>
      <c r="K28" s="138">
        <f>(Gender!BC30/'Total Master''s'!L30)*100</f>
        <v>35.399673735725941</v>
      </c>
      <c r="L28" s="138">
        <f>(Gender!BD30/'Total Master''s'!M30)*100</f>
        <v>36.363636363636367</v>
      </c>
      <c r="M28" s="138">
        <f>(Gender!BE30/'Total Master''s'!N30)*100</f>
        <v>40.058479532163744</v>
      </c>
      <c r="N28" s="138">
        <f>(Gender!BF30/'Total Master''s'!O30)*100</f>
        <v>40.399385560675881</v>
      </c>
      <c r="O28" s="138">
        <f>(Gender!BG30/'Total Master''s'!P30)*100</f>
        <v>41.074249605055293</v>
      </c>
      <c r="P28" s="138">
        <f>(Gender!BH30/'Total Master''s'!Q30)*100</f>
        <v>38.205980066445186</v>
      </c>
      <c r="Q28" s="138">
        <f>(Gender!BI30/'Total Master''s'!R30)*100</f>
        <v>39.932885906040269</v>
      </c>
      <c r="R28" s="138">
        <f>(Gender!BJ30/'Total Master''s'!S30)*100</f>
        <v>40.838509316770185</v>
      </c>
      <c r="S28" s="138">
        <f>(Gender!BK30/'Total Master''s'!T30)*100</f>
        <v>46.814404432132967</v>
      </c>
      <c r="T28" s="138">
        <f>(Gender!BL30/'Total Master''s'!U30)*100</f>
        <v>45.519203413940254</v>
      </c>
      <c r="U28" s="138">
        <f>(Gender!BM30/'Total Master''s'!V30)*100</f>
        <v>43.342776203966004</v>
      </c>
      <c r="V28" s="138">
        <f>(Gender!BN30/'Total Master''s'!W30)*100</f>
        <v>47.848101265822784</v>
      </c>
      <c r="W28" s="138">
        <f>(Gender!BO30/'Total Master''s'!X30)*100</f>
        <v>52.442159383033413</v>
      </c>
      <c r="X28" s="138">
        <f>(Gender!BP30/'Total Master''s'!Y30)*100</f>
        <v>53.311617806731817</v>
      </c>
      <c r="Y28" s="138">
        <f>(Gender!BQ30/'Total Master''s'!Z30)*100</f>
        <v>53.930348258706474</v>
      </c>
      <c r="Z28" s="138">
        <f>(Gender!BR30/'Total Master''s'!AA30)*100</f>
        <v>53.392330383480825</v>
      </c>
      <c r="AA28" s="138">
        <f>(Gender!BS30/'Total Master''s'!AB30)*100</f>
        <v>50.696378830083567</v>
      </c>
      <c r="AB28" s="138">
        <f>(Gender!BT30/'Total Master''s'!AC30)*100</f>
        <v>51.495920217588399</v>
      </c>
      <c r="AC28" s="138">
        <f>(Gender!BU30/'Total Master''s'!AD30)*100</f>
        <v>58.656575212866599</v>
      </c>
      <c r="AD28" s="138">
        <f>(Gender!BV30/'Total Master''s'!AE30)*100</f>
        <v>50.77972709551657</v>
      </c>
      <c r="AE28" s="138">
        <f>(Gender!BW30/'Total Master''s'!AF30)*100</f>
        <v>51.581722319859402</v>
      </c>
      <c r="AF28" s="138">
        <f>(Gender!BX30/'Total Master''s'!AG30)*100</f>
        <v>51.286601597160612</v>
      </c>
      <c r="AG28" s="138">
        <f>(Gender!BY30/'Total Master''s'!AH30)*100</f>
        <v>51.958955223880601</v>
      </c>
      <c r="AH28" s="138">
        <f>(Gender!BZ30/'Total Master''s'!AI30)*100</f>
        <v>53.988718775181312</v>
      </c>
      <c r="AI28" s="138">
        <f>(Gender!CA30/'Total Master''s'!AJ30)*100</f>
        <v>54.808338937457968</v>
      </c>
      <c r="AJ28" s="138">
        <f>(Gender!CB30/'Total Master''s'!AK30)*100</f>
        <v>52.419354838709673</v>
      </c>
      <c r="AK28" s="138">
        <f>(Gender!CC30/'Total Master''s'!AL30)*100</f>
        <v>54.836722119531736</v>
      </c>
      <c r="AL28" s="138">
        <f>(Gender!CD30/'Total Master''s'!AM30)*100</f>
        <v>54.397590361445779</v>
      </c>
      <c r="AM28" s="138">
        <f>(Gender!CE30/'Total Master''s'!AN30)*100</f>
        <v>54.070851460534499</v>
      </c>
      <c r="AN28" s="138">
        <f>(Gender!CF30/'Total Master''s'!AO30)*100</f>
        <v>52.220812182741113</v>
      </c>
      <c r="AO28" s="138">
        <f>(Gender!CG30/'Total Master''s'!AP30)*100</f>
        <v>53.362664990571965</v>
      </c>
      <c r="AP28" s="138">
        <f>(Gender!CH30/'Total Master''s'!AQ30)*100</f>
        <v>52.976190476190474</v>
      </c>
      <c r="AQ28" s="138">
        <f>(Gender!CI30/'Total Master''s'!AR30)*100</f>
        <v>52.849162011173192</v>
      </c>
      <c r="AR28" s="138">
        <f>(Gender!CJ30/'Total Master''s'!AS30)*100</f>
        <v>53.258206761391477</v>
      </c>
      <c r="AS28" s="138">
        <f>(Gender!CK30/'Total Master''s'!AT30)*100</f>
        <v>54.953635919960952</v>
      </c>
    </row>
    <row r="29" spans="1:45">
      <c r="A29" s="128" t="s">
        <v>68</v>
      </c>
      <c r="B29" s="138">
        <f>(Gender!AT31/'Total Master''s'!C31)*100</f>
        <v>26.109215017064848</v>
      </c>
      <c r="C29" s="138">
        <f>(Gender!AU31/'Total Master''s'!D31)*100</f>
        <v>24.926686217008797</v>
      </c>
      <c r="D29" s="138">
        <f>(Gender!AV31/'Total Master''s'!E31)*100</f>
        <v>27.492447129909365</v>
      </c>
      <c r="E29" s="138">
        <f>(Gender!AW31/'Total Master''s'!F31)*100</f>
        <v>22.406015037593985</v>
      </c>
      <c r="F29" s="138">
        <f>(Gender!AX31/'Total Master''s'!G31)*100</f>
        <v>27.827380952380953</v>
      </c>
      <c r="G29" s="138">
        <f>(Gender!AY31/'Total Master''s'!H31)*100</f>
        <v>29.03752039151713</v>
      </c>
      <c r="H29" s="138">
        <f>(Gender!AZ31/'Total Master''s'!I31)*100</f>
        <v>31.617647058823529</v>
      </c>
      <c r="I29" s="138">
        <f>(Gender!BA31/'Total Master''s'!J31)*100</f>
        <v>32.44047619047619</v>
      </c>
      <c r="J29" s="138">
        <f>(Gender!BB31/'Total Master''s'!K31)*100</f>
        <v>39.212598425196852</v>
      </c>
      <c r="K29" s="138">
        <f>(Gender!BC31/'Total Master''s'!L31)*100</f>
        <v>40.099009900990104</v>
      </c>
      <c r="L29" s="138">
        <f>(Gender!BD31/'Total Master''s'!M31)*100</f>
        <v>42.63322884012539</v>
      </c>
      <c r="M29" s="138">
        <f>(Gender!BE31/'Total Master''s'!N31)*100</f>
        <v>42.451420029895367</v>
      </c>
      <c r="N29" s="138">
        <f>(Gender!BF31/'Total Master''s'!O31)*100</f>
        <v>43.031358885017426</v>
      </c>
      <c r="O29" s="138">
        <f>(Gender!BG31/'Total Master''s'!P31)*100</f>
        <v>44.606413994169095</v>
      </c>
      <c r="P29" s="138">
        <f>(Gender!BH31/'Total Master''s'!Q31)*100</f>
        <v>40.746500777604979</v>
      </c>
      <c r="Q29" s="138">
        <f>(Gender!BI31/'Total Master''s'!R31)*100</f>
        <v>38.659058487874468</v>
      </c>
      <c r="R29" s="138">
        <f>(Gender!BJ31/'Total Master''s'!S31)*100</f>
        <v>43.108108108108105</v>
      </c>
      <c r="S29" s="138">
        <f>(Gender!BK31/'Total Master''s'!T31)*100</f>
        <v>46.928104575163395</v>
      </c>
      <c r="T29" s="138">
        <f>(Gender!BL31/'Total Master''s'!U31)*100</f>
        <v>44.475138121546962</v>
      </c>
      <c r="U29" s="138">
        <f>(Gender!BM31/'Total Master''s'!V31)*100</f>
        <v>42.284866468842729</v>
      </c>
      <c r="V29" s="138">
        <f>(Gender!BN31/'Total Master''s'!W31)*100</f>
        <v>45.557122708039493</v>
      </c>
      <c r="W29" s="138">
        <f>(Gender!BO31/'Total Master''s'!X31)*100</f>
        <v>50.863213811420984</v>
      </c>
      <c r="X29" s="138">
        <f>(Gender!BP31/'Total Master''s'!Y31)*100</f>
        <v>47.397260273972606</v>
      </c>
      <c r="Y29" s="138">
        <f>(Gender!BQ31/'Total Master''s'!Z31)*100</f>
        <v>51.19047619047619</v>
      </c>
      <c r="Z29" s="138">
        <f>(Gender!BR31/'Total Master''s'!AA31)*100</f>
        <v>48.443337484433371</v>
      </c>
      <c r="AA29" s="138">
        <f>(Gender!BS31/'Total Master''s'!AB31)*100</f>
        <v>48.65810968494749</v>
      </c>
      <c r="AB29" s="138">
        <f>(Gender!BT31/'Total Master''s'!AC31)*100</f>
        <v>48.122065727699528</v>
      </c>
      <c r="AC29" s="138">
        <f>(Gender!BU31/'Total Master''s'!AD31)*100</f>
        <v>47.270615563298492</v>
      </c>
      <c r="AD29" s="138">
        <f>(Gender!BV31/'Total Master''s'!AE31)*100</f>
        <v>52.919708029197075</v>
      </c>
      <c r="AE29" s="138">
        <f>(Gender!BW31/'Total Master''s'!AF31)*100</f>
        <v>53.490990990990994</v>
      </c>
      <c r="AF29" s="138">
        <f>(Gender!BX31/'Total Master''s'!AG31)*100</f>
        <v>53.417455310199792</v>
      </c>
      <c r="AG29" s="138">
        <f>(Gender!BY31/'Total Master''s'!AH31)*100</f>
        <v>54.247697031729778</v>
      </c>
      <c r="AH29" s="138">
        <f>(Gender!BZ31/'Total Master''s'!AI31)*100</f>
        <v>52.828282828282823</v>
      </c>
      <c r="AI29" s="138">
        <f>(Gender!CA31/'Total Master''s'!AJ31)*100</f>
        <v>53.932584269662918</v>
      </c>
      <c r="AJ29" s="138">
        <f>(Gender!CB31/'Total Master''s'!AK31)*100</f>
        <v>57.58969641214351</v>
      </c>
      <c r="AK29" s="138">
        <f>(Gender!CC31/'Total Master''s'!AL31)*100</f>
        <v>57.040998217468811</v>
      </c>
      <c r="AL29" s="138">
        <f>(Gender!CD31/'Total Master''s'!AM31)*100</f>
        <v>57.570262919310963</v>
      </c>
      <c r="AM29" s="138">
        <f>(Gender!CE31/'Total Master''s'!AN31)*100</f>
        <v>56.859361518550479</v>
      </c>
      <c r="AN29" s="138">
        <f>(Gender!CF31/'Total Master''s'!AO31)*100</f>
        <v>55.11669658886894</v>
      </c>
      <c r="AO29" s="138">
        <f>(Gender!CG31/'Total Master''s'!AP31)*100</f>
        <v>60.411311053984576</v>
      </c>
      <c r="AP29" s="138">
        <f>(Gender!CH31/'Total Master''s'!AQ31)*100</f>
        <v>58.245614035087726</v>
      </c>
      <c r="AQ29" s="138">
        <f>(Gender!CI31/'Total Master''s'!AR31)*100</f>
        <v>60.449625312239796</v>
      </c>
      <c r="AR29" s="138">
        <f>(Gender!CJ31/'Total Master''s'!AS31)*100</f>
        <v>59.020217729393465</v>
      </c>
      <c r="AS29" s="138">
        <f>(Gender!CK31/'Total Master''s'!AT31)*100</f>
        <v>60.859375000000007</v>
      </c>
    </row>
    <row r="30" spans="1:45">
      <c r="A30" s="128" t="s">
        <v>69</v>
      </c>
      <c r="B30" s="138">
        <f>(Gender!AT32/'Total Master''s'!C32)*100</f>
        <v>38.288288288288285</v>
      </c>
      <c r="C30" s="138">
        <f>(Gender!AU32/'Total Master''s'!D32)*100</f>
        <v>38.461538461538467</v>
      </c>
      <c r="D30" s="138">
        <f>(Gender!AV32/'Total Master''s'!E32)*100</f>
        <v>36.303630363036305</v>
      </c>
      <c r="E30" s="138">
        <f>(Gender!AW32/'Total Master''s'!F32)*100</f>
        <v>41.717791411042946</v>
      </c>
      <c r="F30" s="138">
        <f>(Gender!AX32/'Total Master''s'!G32)*100</f>
        <v>46.420824295010846</v>
      </c>
      <c r="G30" s="138">
        <f>(Gender!AY32/'Total Master''s'!H32)*100</f>
        <v>39.954853273137694</v>
      </c>
      <c r="H30" s="138">
        <f>(Gender!AZ32/'Total Master''s'!I32)*100</f>
        <v>46.908315565031984</v>
      </c>
      <c r="I30" s="138">
        <f>(Gender!BA32/'Total Master''s'!J32)*100</f>
        <v>51.470588235294116</v>
      </c>
      <c r="J30" s="138">
        <f>(Gender!BB32/'Total Master''s'!K32)*100</f>
        <v>51.774530271398746</v>
      </c>
      <c r="K30" s="138">
        <f>(Gender!BC32/'Total Master''s'!L32)*100</f>
        <v>52.582159624413151</v>
      </c>
      <c r="L30" s="138">
        <f>(Gender!BD32/'Total Master''s'!M32)*100</f>
        <v>55.764705882352942</v>
      </c>
      <c r="M30" s="138">
        <f>(Gender!BE32/'Total Master''s'!N32)*100</f>
        <v>52.277657266811282</v>
      </c>
      <c r="N30" s="138">
        <f>(Gender!BF32/'Total Master''s'!O32)*100</f>
        <v>55.319148936170215</v>
      </c>
      <c r="O30" s="138">
        <f>(Gender!BG32/'Total Master''s'!P32)*100</f>
        <v>58.205689277899339</v>
      </c>
      <c r="P30" s="138">
        <f>(Gender!BH32/'Total Master''s'!Q32)*100</f>
        <v>60.840707964601769</v>
      </c>
      <c r="Q30" s="138">
        <f>(Gender!BI32/'Total Master''s'!R32)*100</f>
        <v>54.588235294117652</v>
      </c>
      <c r="R30" s="138">
        <f>(Gender!BJ32/'Total Master''s'!S32)*100</f>
        <v>57.772621809744784</v>
      </c>
      <c r="S30" s="138">
        <f>(Gender!BK32/'Total Master''s'!T32)*100</f>
        <v>52.74463007159904</v>
      </c>
      <c r="T30" s="138">
        <f>(Gender!BL32/'Total Master''s'!U32)*100</f>
        <v>55.52995391705069</v>
      </c>
      <c r="U30" s="138">
        <f>(Gender!BM32/'Total Master''s'!V32)*100</f>
        <v>56.374501992031881</v>
      </c>
      <c r="V30" s="138">
        <f>(Gender!BN32/'Total Master''s'!W32)*100</f>
        <v>57.2744014732965</v>
      </c>
      <c r="W30" s="138">
        <f>(Gender!BO32/'Total Master''s'!X32)*100</f>
        <v>56.606851549755298</v>
      </c>
      <c r="X30" s="138">
        <f>(Gender!BP32/'Total Master''s'!Y32)*100</f>
        <v>57.323943661971832</v>
      </c>
      <c r="Y30" s="138">
        <f>(Gender!BQ32/'Total Master''s'!Z32)*100</f>
        <v>55.147928994082839</v>
      </c>
      <c r="Z30" s="138">
        <f>(Gender!BR32/'Total Master''s'!AA32)*100</f>
        <v>58.242950108459866</v>
      </c>
      <c r="AA30" s="138">
        <f>(Gender!BS32/'Total Master''s'!AB32)*100</f>
        <v>59.085841694537343</v>
      </c>
      <c r="AB30" s="138">
        <f>(Gender!BT32/'Total Master''s'!AC32)*100</f>
        <v>58.82352941176471</v>
      </c>
      <c r="AC30" s="138">
        <f>(Gender!BU32/'Total Master''s'!AD32)*100</f>
        <v>57.673509286412518</v>
      </c>
      <c r="AD30" s="138">
        <f>(Gender!BV32/'Total Master''s'!AE32)*100</f>
        <v>58.03228285933897</v>
      </c>
      <c r="AE30" s="138">
        <f>(Gender!BW32/'Total Master''s'!AF32)*100</f>
        <v>63.138138138138132</v>
      </c>
      <c r="AF30" s="138">
        <f>(Gender!BX32/'Total Master''s'!AG32)*100</f>
        <v>62.491397109428767</v>
      </c>
      <c r="AG30" s="138">
        <f>(Gender!BY32/'Total Master''s'!AH32)*100</f>
        <v>63.348714568226761</v>
      </c>
      <c r="AH30" s="138">
        <f>(Gender!BZ32/'Total Master''s'!AI32)*100</f>
        <v>63.824117255163223</v>
      </c>
      <c r="AI30" s="138">
        <f>(Gender!CA32/'Total Master''s'!AJ32)*100</f>
        <v>62.017026850032742</v>
      </c>
      <c r="AJ30" s="138">
        <f>(Gender!CB32/'Total Master''s'!AK32)*100</f>
        <v>63.084632516703785</v>
      </c>
      <c r="AK30" s="138">
        <f>(Gender!CC32/'Total Master''s'!AL32)*100</f>
        <v>63.809990205680698</v>
      </c>
      <c r="AL30" s="138">
        <f>(Gender!CD32/'Total Master''s'!AM32)*100</f>
        <v>63.52230483271375</v>
      </c>
      <c r="AM30" s="138">
        <f>(Gender!CE32/'Total Master''s'!AN32)*100</f>
        <v>64.303059737736774</v>
      </c>
      <c r="AN30" s="138">
        <f>(Gender!CF32/'Total Master''s'!AO32)*100</f>
        <v>63.200934579439249</v>
      </c>
      <c r="AO30" s="138">
        <f>(Gender!CG32/'Total Master''s'!AP32)*100</f>
        <v>64.191616766467064</v>
      </c>
      <c r="AP30" s="138">
        <f>(Gender!CH32/'Total Master''s'!AQ32)*100</f>
        <v>64.518633540372676</v>
      </c>
      <c r="AQ30" s="138">
        <f>(Gender!CI32/'Total Master''s'!AR32)*100</f>
        <v>64.080882352941188</v>
      </c>
      <c r="AR30" s="138">
        <f>(Gender!CJ32/'Total Master''s'!AS32)*100</f>
        <v>61.175115207373274</v>
      </c>
      <c r="AS30" s="138">
        <f>(Gender!CK32/'Total Master''s'!AT32)*100</f>
        <v>58.771148708815666</v>
      </c>
    </row>
    <row r="31" spans="1:45">
      <c r="A31" s="128" t="s">
        <v>70</v>
      </c>
      <c r="B31" s="138">
        <f>(Gender!AT33/'Total Master''s'!C33)*100</f>
        <v>34.399375975039007</v>
      </c>
      <c r="C31" s="138">
        <f>(Gender!AU33/'Total Master''s'!D33)*100</f>
        <v>33.586050037907505</v>
      </c>
      <c r="D31" s="138">
        <f>(Gender!AV33/'Total Master''s'!E33)*100</f>
        <v>35.079575596816973</v>
      </c>
      <c r="E31" s="138">
        <f>(Gender!AW33/'Total Master''s'!F33)*100</f>
        <v>33.838383838383841</v>
      </c>
      <c r="F31" s="138">
        <f>(Gender!AX33/'Total Master''s'!G33)*100</f>
        <v>39.074074074074069</v>
      </c>
      <c r="G31" s="138">
        <f>(Gender!AY33/'Total Master''s'!H33)*100</f>
        <v>34.004313443565778</v>
      </c>
      <c r="H31" s="138">
        <f>(Gender!AZ33/'Total Master''s'!I33)*100</f>
        <v>42.742433600988264</v>
      </c>
      <c r="I31" s="138">
        <f>(Gender!BA33/'Total Master''s'!J33)*100</f>
        <v>45.507584597432903</v>
      </c>
      <c r="J31" s="138">
        <f>(Gender!BB33/'Total Master''s'!K33)*100</f>
        <v>43.048576214405358</v>
      </c>
      <c r="K31" s="138">
        <f>(Gender!BC33/'Total Master''s'!L33)*100</f>
        <v>46.520989074180562</v>
      </c>
      <c r="L31" s="138">
        <f>(Gender!BD33/'Total Master''s'!M33)*100</f>
        <v>46.582423894313614</v>
      </c>
      <c r="M31" s="138">
        <f>(Gender!BE33/'Total Master''s'!N33)*100</f>
        <v>48.561759729272417</v>
      </c>
      <c r="N31" s="138">
        <f>(Gender!BF33/'Total Master''s'!O33)*100</f>
        <v>50.19629837352776</v>
      </c>
      <c r="O31" s="138">
        <f>(Gender!BG33/'Total Master''s'!P33)*100</f>
        <v>50.794585050029426</v>
      </c>
      <c r="P31" s="138">
        <f>(Gender!BH33/'Total Master''s'!Q33)*100</f>
        <v>49.886621315192741</v>
      </c>
      <c r="Q31" s="138">
        <f>(Gender!BI33/'Total Master''s'!R33)*100</f>
        <v>51.673517322372284</v>
      </c>
      <c r="R31" s="138">
        <f>(Gender!BJ33/'Total Master''s'!S33)*100</f>
        <v>52.964426877470359</v>
      </c>
      <c r="S31" s="138">
        <f>(Gender!BK33/'Total Master''s'!T33)*100</f>
        <v>56.004618937644345</v>
      </c>
      <c r="T31" s="138">
        <f>(Gender!BL33/'Total Master''s'!U33)*100</f>
        <v>55.394883203559509</v>
      </c>
      <c r="U31" s="138">
        <f>(Gender!BM33/'Total Master''s'!V33)*100</f>
        <v>55.192719486081366</v>
      </c>
      <c r="V31" s="138">
        <f>(Gender!BN33/'Total Master''s'!W33)*100</f>
        <v>54.896626768226334</v>
      </c>
      <c r="W31" s="138">
        <f>(Gender!BO33/'Total Master''s'!X33)*100</f>
        <v>56.680584551148229</v>
      </c>
      <c r="X31" s="138">
        <f>(Gender!BP33/'Total Master''s'!Y33)*100</f>
        <v>55.57553956834532</v>
      </c>
      <c r="Y31" s="138">
        <f>(Gender!BQ33/'Total Master''s'!Z33)*100</f>
        <v>54.481792717086833</v>
      </c>
      <c r="Z31" s="138">
        <f>(Gender!BR33/'Total Master''s'!AA33)*100</f>
        <v>54.557069846678019</v>
      </c>
      <c r="AA31" s="138">
        <f>(Gender!BS33/'Total Master''s'!AB33)*100</f>
        <v>55.168170631665305</v>
      </c>
      <c r="AB31" s="138">
        <f>(Gender!BT33/'Total Master''s'!AC33)*100</f>
        <v>56.766188445133771</v>
      </c>
      <c r="AC31" s="138">
        <f>(Gender!BU33/'Total Master''s'!AD33)*100</f>
        <v>56.280834914611013</v>
      </c>
      <c r="AD31" s="138">
        <f>(Gender!BV33/'Total Master''s'!AE33)*100</f>
        <v>57.761310452418101</v>
      </c>
      <c r="AE31" s="138">
        <f>(Gender!BW33/'Total Master''s'!AF33)*100</f>
        <v>59.834450137958214</v>
      </c>
      <c r="AF31" s="138">
        <f>(Gender!BX33/'Total Master''s'!AG33)*100</f>
        <v>60.31507876969242</v>
      </c>
      <c r="AG31" s="138">
        <f>(Gender!BY33/'Total Master''s'!AH33)*100</f>
        <v>58.12788906009245</v>
      </c>
      <c r="AH31" s="138">
        <f>(Gender!BZ33/'Total Master''s'!AI33)*100</f>
        <v>59.594801223241589</v>
      </c>
      <c r="AI31" s="138">
        <f>(Gender!CA33/'Total Master''s'!AJ33)*100</f>
        <v>58.695652173913047</v>
      </c>
      <c r="AJ31" s="138">
        <f>(Gender!CB33/'Total Master''s'!AK33)*100</f>
        <v>60.040227958431117</v>
      </c>
      <c r="AK31" s="138">
        <f>(Gender!CC33/'Total Master''s'!AL33)*100</f>
        <v>62.162162162162161</v>
      </c>
      <c r="AL31" s="138">
        <f>(Gender!CD33/'Total Master''s'!AM33)*100</f>
        <v>62.83238721242904</v>
      </c>
      <c r="AM31" s="138">
        <f>(Gender!CE33/'Total Master''s'!AN33)*100</f>
        <v>64.702093397745571</v>
      </c>
      <c r="AN31" s="138">
        <f>(Gender!CF33/'Total Master''s'!AO33)*100</f>
        <v>62.696969696969695</v>
      </c>
      <c r="AO31" s="138">
        <f>(Gender!CG33/'Total Master''s'!AP33)*100</f>
        <v>59.694036840462061</v>
      </c>
      <c r="AP31" s="138">
        <f>(Gender!CH33/'Total Master''s'!AQ33)*100</f>
        <v>63.035655871769713</v>
      </c>
      <c r="AQ31" s="138">
        <f>(Gender!CI33/'Total Master''s'!AR33)*100</f>
        <v>62.33925290875689</v>
      </c>
      <c r="AR31" s="138">
        <f>(Gender!CJ33/'Total Master''s'!AS33)*100</f>
        <v>62.319729978521025</v>
      </c>
      <c r="AS31" s="138">
        <f>(Gender!CK33/'Total Master''s'!AT33)*100</f>
        <v>61.716579191108366</v>
      </c>
    </row>
    <row r="32" spans="1:45">
      <c r="A32" s="128" t="s">
        <v>71</v>
      </c>
      <c r="B32" s="138">
        <f>(Gender!AT34/'Total Master''s'!C34)*100</f>
        <v>38.199181446111865</v>
      </c>
      <c r="C32" s="138">
        <f>(Gender!AU34/'Total Master''s'!D34)*100</f>
        <v>38.880344509381729</v>
      </c>
      <c r="D32" s="138">
        <f>(Gender!AV34/'Total Master''s'!E34)*100</f>
        <v>39.714551659944149</v>
      </c>
      <c r="E32" s="138">
        <f>(Gender!AW34/'Total Master''s'!F34)*100</f>
        <v>39.313893653516296</v>
      </c>
      <c r="F32" s="138">
        <f>(Gender!AX34/'Total Master''s'!G34)*100</f>
        <v>42.448436460412509</v>
      </c>
      <c r="G32" s="138">
        <f>(Gender!AY34/'Total Master''s'!H34)*100</f>
        <v>44.508301404853128</v>
      </c>
      <c r="H32" s="138">
        <f>(Gender!AZ34/'Total Master''s'!I34)*100</f>
        <v>43.970013037809643</v>
      </c>
      <c r="I32" s="138">
        <f>(Gender!BA34/'Total Master''s'!J34)*100</f>
        <v>46.581196581196579</v>
      </c>
      <c r="J32" s="138">
        <f>(Gender!BB34/'Total Master''s'!K34)*100</f>
        <v>46.635321774904497</v>
      </c>
      <c r="K32" s="138">
        <f>(Gender!BC34/'Total Master''s'!L34)*100</f>
        <v>48.051549555078246</v>
      </c>
      <c r="L32" s="138">
        <f>(Gender!BD34/'Total Master''s'!M34)*100</f>
        <v>49.016546987199497</v>
      </c>
      <c r="M32" s="138">
        <f>(Gender!BE34/'Total Master''s'!N34)*100</f>
        <v>47.535096310806395</v>
      </c>
      <c r="N32" s="138">
        <f>(Gender!BF34/'Total Master''s'!O34)*100</f>
        <v>49.573770491803273</v>
      </c>
      <c r="O32" s="138">
        <f>(Gender!BG34/'Total Master''s'!P34)*100</f>
        <v>50.554785020804438</v>
      </c>
      <c r="P32" s="138">
        <f>(Gender!BH34/'Total Master''s'!Q34)*100</f>
        <v>50.229925716307044</v>
      </c>
      <c r="Q32" s="138">
        <f>(Gender!BI34/'Total Master''s'!R34)*100</f>
        <v>50.279329608938554</v>
      </c>
      <c r="R32" s="138">
        <f>(Gender!BJ34/'Total Master''s'!S34)*100</f>
        <v>51.679879199698</v>
      </c>
      <c r="S32" s="138">
        <f>(Gender!BK34/'Total Master''s'!T34)*100</f>
        <v>50.107758620689658</v>
      </c>
      <c r="T32" s="138">
        <f>(Gender!BL34/'Total Master''s'!U34)*100</f>
        <v>50.26141512722203</v>
      </c>
      <c r="U32" s="138">
        <f>(Gender!BM34/'Total Master''s'!V34)*100</f>
        <v>52.596153846153847</v>
      </c>
      <c r="V32" s="138">
        <f>(Gender!BN34/'Total Master''s'!W34)*100</f>
        <v>52.380952380952387</v>
      </c>
      <c r="W32" s="138">
        <f>(Gender!BO34/'Total Master''s'!X34)*100</f>
        <v>52.987930526935536</v>
      </c>
      <c r="X32" s="138">
        <f>(Gender!BP34/'Total Master''s'!Y34)*100</f>
        <v>55.079122001020927</v>
      </c>
      <c r="Y32" s="138">
        <f>(Gender!BQ34/'Total Master''s'!Z34)*100</f>
        <v>54.438356164383563</v>
      </c>
      <c r="Z32" s="138">
        <f>(Gender!BR34/'Total Master''s'!AA34)*100</f>
        <v>53.856787392867012</v>
      </c>
      <c r="AA32" s="138">
        <f>(Gender!BS34/'Total Master''s'!AB34)*100</f>
        <v>57.128257537046501</v>
      </c>
      <c r="AB32" s="138">
        <f>(Gender!BT34/'Total Master''s'!AC34)*100</f>
        <v>56.369982547993011</v>
      </c>
      <c r="AC32" s="138">
        <f>(Gender!BU34/'Total Master''s'!AD34)*100</f>
        <v>58.258111734569404</v>
      </c>
      <c r="AD32" s="138">
        <f>(Gender!BV34/'Total Master''s'!AE34)*100</f>
        <v>57.295120795831359</v>
      </c>
      <c r="AE32" s="138">
        <f>(Gender!BW34/'Total Master''s'!AF34)*100</f>
        <v>57.204349796103301</v>
      </c>
      <c r="AF32" s="138">
        <f>(Gender!BX34/'Total Master''s'!AG34)*100</f>
        <v>59.120283510527415</v>
      </c>
      <c r="AG32" s="138">
        <f>(Gender!BY34/'Total Master''s'!AH34)*100</f>
        <v>60.808580858085804</v>
      </c>
      <c r="AH32" s="138">
        <f>(Gender!BZ34/'Total Master''s'!AI34)*100</f>
        <v>60.244648318042813</v>
      </c>
      <c r="AI32" s="138">
        <f>(Gender!CA34/'Total Master''s'!AJ34)*100</f>
        <v>59.552953698775944</v>
      </c>
      <c r="AJ32" s="138">
        <f>(Gender!CB34/'Total Master''s'!AK34)*100</f>
        <v>60.166751744087122</v>
      </c>
      <c r="AK32" s="138">
        <f>(Gender!CC34/'Total Master''s'!AL34)*100</f>
        <v>59.499024072869219</v>
      </c>
      <c r="AL32" s="138">
        <f>(Gender!CD34/'Total Master''s'!AM34)*100</f>
        <v>60.427897574123989</v>
      </c>
      <c r="AM32" s="138">
        <f>(Gender!CE34/'Total Master''s'!AN34)*100</f>
        <v>61.678229269904193</v>
      </c>
      <c r="AN32" s="138">
        <f>(Gender!CF34/'Total Master''s'!AO34)*100</f>
        <v>61.836803223640025</v>
      </c>
      <c r="AO32" s="138">
        <f>(Gender!CG34/'Total Master''s'!AP34)*100</f>
        <v>60.637462710001564</v>
      </c>
      <c r="AP32" s="138">
        <f>(Gender!CH34/'Total Master''s'!AQ34)*100</f>
        <v>59.83183360377636</v>
      </c>
      <c r="AQ32" s="138">
        <f>(Gender!CI34/'Total Master''s'!AR34)*100</f>
        <v>60.496860496860492</v>
      </c>
      <c r="AR32" s="138">
        <f>(Gender!CJ34/'Total Master''s'!AS34)*100</f>
        <v>60.437665782493369</v>
      </c>
      <c r="AS32" s="138">
        <f>(Gender!CK34/'Total Master''s'!AT34)*100</f>
        <v>63.010238000265915</v>
      </c>
    </row>
    <row r="33" spans="1:45">
      <c r="A33" s="128" t="s">
        <v>72</v>
      </c>
      <c r="B33" s="138">
        <f>(Gender!AT35/'Total Master''s'!C35)*100</f>
        <v>20.087575259989055</v>
      </c>
      <c r="C33" s="138">
        <f>(Gender!AU35/'Total Master''s'!D35)*100</f>
        <v>20.287698412698411</v>
      </c>
      <c r="D33" s="138">
        <f>(Gender!AV35/'Total Master''s'!E35)*100</f>
        <v>24.988452655889144</v>
      </c>
      <c r="E33" s="138">
        <f>(Gender!AW35/'Total Master''s'!F35)*100</f>
        <v>21.507863089731728</v>
      </c>
      <c r="F33" s="138">
        <f>(Gender!AX35/'Total Master''s'!G35)*100</f>
        <v>24.799662589624631</v>
      </c>
      <c r="G33" s="138">
        <f>(Gender!AY35/'Total Master''s'!H35)*100</f>
        <v>22.546881814217183</v>
      </c>
      <c r="H33" s="138">
        <f>(Gender!AZ35/'Total Master''s'!I35)*100</f>
        <v>23.23008849557522</v>
      </c>
      <c r="I33" s="138">
        <f>(Gender!BA35/'Total Master''s'!J35)*100</f>
        <v>26.588425738567384</v>
      </c>
      <c r="J33" s="138">
        <f>(Gender!BB35/'Total Master''s'!K35)*100</f>
        <v>28.337028824833705</v>
      </c>
      <c r="K33" s="138">
        <f>(Gender!BC35/'Total Master''s'!L35)*100</f>
        <v>28.950542822677928</v>
      </c>
      <c r="L33" s="138">
        <f>(Gender!BD35/'Total Master''s'!M35)*100</f>
        <v>29.318474067723958</v>
      </c>
      <c r="M33" s="138">
        <f>(Gender!BE35/'Total Master''s'!N35)*100</f>
        <v>33.417508417508415</v>
      </c>
      <c r="N33" s="138">
        <f>(Gender!BF35/'Total Master''s'!O35)*100</f>
        <v>34.136037177862271</v>
      </c>
      <c r="O33" s="138">
        <f>(Gender!BG35/'Total Master''s'!P35)*100</f>
        <v>35.53962900505902</v>
      </c>
      <c r="P33" s="138">
        <f>(Gender!BH35/'Total Master''s'!Q35)*100</f>
        <v>35.746201966041106</v>
      </c>
      <c r="Q33" s="138">
        <f>(Gender!BI35/'Total Master''s'!R35)*100</f>
        <v>35.235318617242818</v>
      </c>
      <c r="R33" s="138">
        <f>(Gender!BJ35/'Total Master''s'!S35)*100</f>
        <v>35.314685314685313</v>
      </c>
      <c r="S33" s="138">
        <f>(Gender!BK35/'Total Master''s'!T35)*100</f>
        <v>37.245110278818146</v>
      </c>
      <c r="T33" s="138">
        <f>(Gender!BL35/'Total Master''s'!U35)*100</f>
        <v>36.596736596736598</v>
      </c>
      <c r="U33" s="138">
        <f>(Gender!BM35/'Total Master''s'!V35)*100</f>
        <v>37.739872068230277</v>
      </c>
      <c r="V33" s="138">
        <f>(Gender!BN35/'Total Master''s'!W35)*100</f>
        <v>37.273093989511899</v>
      </c>
      <c r="W33" s="138">
        <f>(Gender!BO35/'Total Master''s'!X35)*100</f>
        <v>39.641109298531809</v>
      </c>
      <c r="X33" s="138">
        <f>(Gender!BP35/'Total Master''s'!Y35)*100</f>
        <v>39.843137254901961</v>
      </c>
      <c r="Y33" s="138">
        <f>(Gender!BQ35/'Total Master''s'!Z35)*100</f>
        <v>42.329149232914922</v>
      </c>
      <c r="Z33" s="138">
        <f>(Gender!BR35/'Total Master''s'!AA35)*100</f>
        <v>42.439196334155795</v>
      </c>
      <c r="AA33" s="138">
        <f>(Gender!BS35/'Total Master''s'!AB35)*100</f>
        <v>41.346469622331689</v>
      </c>
      <c r="AB33" s="138">
        <f>(Gender!BT35/'Total Master''s'!AC35)*100</f>
        <v>43.622200584225901</v>
      </c>
      <c r="AC33" s="138">
        <f>(Gender!BU35/'Total Master''s'!AD35)*100</f>
        <v>43.408662900188318</v>
      </c>
      <c r="AD33" s="138">
        <f>(Gender!BV35/'Total Master''s'!AE35)*100</f>
        <v>43.67981572127843</v>
      </c>
      <c r="AE33" s="138">
        <f>(Gender!BW35/'Total Master''s'!AF35)*100</f>
        <v>44.133599771624318</v>
      </c>
      <c r="AF33" s="138">
        <f>(Gender!BX35/'Total Master''s'!AG35)*100</f>
        <v>41.671486408328512</v>
      </c>
      <c r="AG33" s="138">
        <f>(Gender!BY35/'Total Master''s'!AH35)*100</f>
        <v>44.563426688632617</v>
      </c>
      <c r="AH33" s="138">
        <f>(Gender!BZ35/'Total Master''s'!AI35)*100</f>
        <v>43.671576650300054</v>
      </c>
      <c r="AI33" s="138">
        <f>(Gender!CA35/'Total Master''s'!AJ35)*100</f>
        <v>41.494643323752285</v>
      </c>
      <c r="AJ33" s="138">
        <f>(Gender!CB35/'Total Master''s'!AK35)*100</f>
        <v>43.508519318454525</v>
      </c>
      <c r="AK33" s="138">
        <f>(Gender!CC35/'Total Master''s'!AL35)*100</f>
        <v>41.63895486935867</v>
      </c>
      <c r="AL33" s="138">
        <f>(Gender!CD35/'Total Master''s'!AM35)*100</f>
        <v>43.562374916611077</v>
      </c>
      <c r="AM33" s="138">
        <f>(Gender!CE35/'Total Master''s'!AN35)*100</f>
        <v>44.546472564389703</v>
      </c>
      <c r="AN33" s="138">
        <f>(Gender!CF35/'Total Master''s'!AO35)*100</f>
        <v>45.668512658227847</v>
      </c>
      <c r="AO33" s="138">
        <f>(Gender!CG35/'Total Master''s'!AP35)*100</f>
        <v>45.731343283582085</v>
      </c>
      <c r="AP33" s="138">
        <f>(Gender!CH35/'Total Master''s'!AQ35)*100</f>
        <v>45.888639889674195</v>
      </c>
      <c r="AQ33" s="138">
        <f>(Gender!CI35/'Total Master''s'!AR35)*100</f>
        <v>44.679300291545189</v>
      </c>
      <c r="AR33" s="138">
        <f>(Gender!CJ35/'Total Master''s'!AS35)*100</f>
        <v>44.671766589574808</v>
      </c>
      <c r="AS33" s="138">
        <f>(Gender!CK35/'Total Master''s'!AT35)*100</f>
        <v>43.352812271731189</v>
      </c>
    </row>
    <row r="34" spans="1:45">
      <c r="A34" s="128" t="s">
        <v>73</v>
      </c>
      <c r="B34" s="138">
        <f>(Gender!AT36/'Total Master''s'!C36)*100</f>
        <v>36.369770580296894</v>
      </c>
      <c r="C34" s="138">
        <f>(Gender!AU36/'Total Master''s'!D36)*100</f>
        <v>34.753428654800118</v>
      </c>
      <c r="D34" s="138">
        <f>(Gender!AV36/'Total Master''s'!E36)*100</f>
        <v>33.803644914756028</v>
      </c>
      <c r="E34" s="138">
        <f>(Gender!AW36/'Total Master''s'!F36)*100</f>
        <v>35.031465388073116</v>
      </c>
      <c r="F34" s="138">
        <f>(Gender!AX36/'Total Master''s'!G36)*100</f>
        <v>38.829185520361989</v>
      </c>
      <c r="G34" s="138">
        <f>(Gender!AY36/'Total Master''s'!H36)*100</f>
        <v>37.804203539823014</v>
      </c>
      <c r="H34" s="138">
        <f>(Gender!AZ36/'Total Master''s'!I36)*100</f>
        <v>41.344142259414227</v>
      </c>
      <c r="I34" s="138">
        <f>(Gender!BA36/'Total Master''s'!J36)*100</f>
        <v>41.921618204804048</v>
      </c>
      <c r="J34" s="138">
        <f>(Gender!BB36/'Total Master''s'!K36)*100</f>
        <v>43.029525032092423</v>
      </c>
      <c r="K34" s="138">
        <f>(Gender!BC36/'Total Master''s'!L36)*100</f>
        <v>44.00494437577256</v>
      </c>
      <c r="L34" s="138">
        <f>(Gender!BD36/'Total Master''s'!M36)*100</f>
        <v>44.825975239430036</v>
      </c>
      <c r="M34" s="138">
        <f>(Gender!BE36/'Total Master''s'!N36)*100</f>
        <v>45.280847145488032</v>
      </c>
      <c r="N34" s="138">
        <f>(Gender!BF36/'Total Master''s'!O36)*100</f>
        <v>46.934739617666452</v>
      </c>
      <c r="O34" s="138">
        <f>(Gender!BG36/'Total Master''s'!P36)*100</f>
        <v>46.233826247689464</v>
      </c>
      <c r="P34" s="138">
        <f>(Gender!BH36/'Total Master''s'!Q36)*100</f>
        <v>46.546010706092275</v>
      </c>
      <c r="Q34" s="138">
        <f>(Gender!BI36/'Total Master''s'!R36)*100</f>
        <v>47.096468357430673</v>
      </c>
      <c r="R34" s="138">
        <f>(Gender!BJ36/'Total Master''s'!S36)*100</f>
        <v>46.819221967963387</v>
      </c>
      <c r="S34" s="138">
        <f>(Gender!BK36/'Total Master''s'!T36)*100</f>
        <v>49.188391539596651</v>
      </c>
      <c r="T34" s="138">
        <f>(Gender!BL36/'Total Master''s'!U36)*100</f>
        <v>49.038010323791646</v>
      </c>
      <c r="U34" s="138">
        <f>(Gender!BM36/'Total Master''s'!V36)*100</f>
        <v>50.643274853801167</v>
      </c>
      <c r="V34" s="138">
        <f>(Gender!BN36/'Total Master''s'!W36)*100</f>
        <v>52.649507948523841</v>
      </c>
      <c r="W34" s="138">
        <f>(Gender!BO36/'Total Master''s'!X36)*100</f>
        <v>55.71153846153846</v>
      </c>
      <c r="X34" s="138">
        <f>(Gender!BP36/'Total Master''s'!Y36)*100</f>
        <v>56.915243101182654</v>
      </c>
      <c r="Y34" s="138">
        <f>(Gender!BQ36/'Total Master''s'!Z36)*100</f>
        <v>58.828762045959969</v>
      </c>
      <c r="Z34" s="138">
        <f>(Gender!BR36/'Total Master''s'!AA36)*100</f>
        <v>58.585580627407822</v>
      </c>
      <c r="AA34" s="138">
        <f>(Gender!BS36/'Total Master''s'!AB36)*100</f>
        <v>59.783566125581977</v>
      </c>
      <c r="AB34" s="138">
        <f>(Gender!BT36/'Total Master''s'!AC36)*100</f>
        <v>60.235181185505162</v>
      </c>
      <c r="AC34" s="138">
        <f>(Gender!BU36/'Total Master''s'!AD36)*100</f>
        <v>59.134548490329763</v>
      </c>
      <c r="AD34" s="138">
        <f>(Gender!BV36/'Total Master''s'!AE36)*100</f>
        <v>58.932182823243892</v>
      </c>
      <c r="AE34" s="138">
        <f>(Gender!BW36/'Total Master''s'!AF36)*100</f>
        <v>59.448012023500475</v>
      </c>
      <c r="AF34" s="138">
        <f>(Gender!BX36/'Total Master''s'!AG36)*100</f>
        <v>59.642280796126947</v>
      </c>
      <c r="AG34" s="138">
        <f>(Gender!BY36/'Total Master''s'!AH36)*100</f>
        <v>59.512446794789106</v>
      </c>
      <c r="AH34" s="138">
        <f>(Gender!BZ36/'Total Master''s'!AI36)*100</f>
        <v>59.382863196927559</v>
      </c>
      <c r="AI34" s="138">
        <f>(Gender!CA36/'Total Master''s'!AJ36)*100</f>
        <v>60.060168471720822</v>
      </c>
      <c r="AJ34" s="138">
        <f>(Gender!CB36/'Total Master''s'!AK36)*100</f>
        <v>59.356207994340295</v>
      </c>
      <c r="AK34" s="138">
        <f>(Gender!CC36/'Total Master''s'!AL36)*100</f>
        <v>60.367035221702949</v>
      </c>
      <c r="AL34" s="138">
        <f>(Gender!CD36/'Total Master''s'!AM36)*100</f>
        <v>60.262008733624448</v>
      </c>
      <c r="AM34" s="138">
        <f>(Gender!CE36/'Total Master''s'!AN36)*100</f>
        <v>60.549100022784231</v>
      </c>
      <c r="AN34" s="138">
        <f>(Gender!CF36/'Total Master''s'!AO36)*100</f>
        <v>60.876475930971843</v>
      </c>
      <c r="AO34" s="138">
        <f>(Gender!CG36/'Total Master''s'!AP36)*100</f>
        <v>59.595293082591006</v>
      </c>
      <c r="AP34" s="138">
        <f>(Gender!CH36/'Total Master''s'!AQ36)*100</f>
        <v>60.481952632123281</v>
      </c>
      <c r="AQ34" s="138">
        <f>(Gender!CI36/'Total Master''s'!AR36)*100</f>
        <v>61.664974619289339</v>
      </c>
      <c r="AR34" s="138">
        <f>(Gender!CJ36/'Total Master''s'!AS36)*100</f>
        <v>60.596579057154777</v>
      </c>
      <c r="AS34" s="138">
        <f>(Gender!CK36/'Total Master''s'!AT36)*100</f>
        <v>59.922260741674549</v>
      </c>
    </row>
    <row r="35" spans="1:45">
      <c r="A35" s="129" t="s">
        <v>74</v>
      </c>
      <c r="B35" s="139">
        <f>(Gender!AT37/'Total Master''s'!C37)*100</f>
        <v>26.099706744868033</v>
      </c>
      <c r="C35" s="139">
        <f>(Gender!AU37/'Total Master''s'!D37)*100</f>
        <v>26.443768996960486</v>
      </c>
      <c r="D35" s="139">
        <f>(Gender!AV37/'Total Master''s'!E37)*100</f>
        <v>23.936170212765958</v>
      </c>
      <c r="E35" s="139">
        <f>(Gender!AW37/'Total Master''s'!F37)*100</f>
        <v>30.267062314540063</v>
      </c>
      <c r="F35" s="139">
        <f>(Gender!AX37/'Total Master''s'!G37)*100</f>
        <v>25.862068965517242</v>
      </c>
      <c r="G35" s="139">
        <f>(Gender!AY37/'Total Master''s'!H37)*100</f>
        <v>32.102272727272727</v>
      </c>
      <c r="H35" s="139">
        <f>(Gender!AZ37/'Total Master''s'!I37)*100</f>
        <v>30.927835051546392</v>
      </c>
      <c r="I35" s="139">
        <f>(Gender!BA37/'Total Master''s'!J37)*100</f>
        <v>24.338624338624339</v>
      </c>
      <c r="J35" s="139">
        <f>(Gender!BB37/'Total Master''s'!K37)*100</f>
        <v>32.850241545893724</v>
      </c>
      <c r="K35" s="139">
        <f>(Gender!BC37/'Total Master''s'!L37)*100</f>
        <v>36.827195467422094</v>
      </c>
      <c r="L35" s="139">
        <f>(Gender!BD37/'Total Master''s'!M37)*100</f>
        <v>37.966101694915253</v>
      </c>
      <c r="M35" s="139">
        <f>(Gender!BE37/'Total Master''s'!N37)*100</f>
        <v>36.636636636636638</v>
      </c>
      <c r="N35" s="139">
        <f>(Gender!BF37/'Total Master''s'!O37)*100</f>
        <v>39.871382636655952</v>
      </c>
      <c r="O35" s="139">
        <f>(Gender!BG37/'Total Master''s'!P37)*100</f>
        <v>39.142857142857139</v>
      </c>
      <c r="P35" s="139">
        <f>(Gender!BH37/'Total Master''s'!Q37)*100</f>
        <v>39.528023598820063</v>
      </c>
      <c r="Q35" s="139">
        <f>(Gender!BI37/'Total Master''s'!R37)*100</f>
        <v>42.65129682997118</v>
      </c>
      <c r="R35" s="139">
        <f>(Gender!BJ37/'Total Master''s'!S37)*100</f>
        <v>43.94736842105263</v>
      </c>
      <c r="S35" s="139">
        <f>(Gender!BK37/'Total Master''s'!T37)*100</f>
        <v>41.449275362318836</v>
      </c>
      <c r="T35" s="139">
        <f>(Gender!BL37/'Total Master''s'!U37)*100</f>
        <v>42.565597667638485</v>
      </c>
      <c r="U35" s="139">
        <f>(Gender!BM37/'Total Master''s'!V37)*100</f>
        <v>42.388059701492537</v>
      </c>
      <c r="V35" s="139">
        <f>(Gender!BN37/'Total Master''s'!W37)*100</f>
        <v>46.814404432132967</v>
      </c>
      <c r="W35" s="139">
        <f>(Gender!BO37/'Total Master''s'!X37)*100</f>
        <v>47.039473684210527</v>
      </c>
      <c r="X35" s="139">
        <f>(Gender!BP37/'Total Master''s'!Y37)*100</f>
        <v>40.285714285714285</v>
      </c>
      <c r="Y35" s="139">
        <f>(Gender!BQ37/'Total Master''s'!Z37)*100</f>
        <v>44.444444444444443</v>
      </c>
      <c r="Z35" s="139">
        <f>(Gender!BR37/'Total Master''s'!AA37)*100</f>
        <v>43.982494529540482</v>
      </c>
      <c r="AA35" s="139">
        <f>(Gender!BS37/'Total Master''s'!AB37)*100</f>
        <v>43.939393939393938</v>
      </c>
      <c r="AB35" s="139">
        <f>(Gender!BT37/'Total Master''s'!AC37)*100</f>
        <v>48.536585365853654</v>
      </c>
      <c r="AC35" s="139">
        <f>(Gender!BU37/'Total Master''s'!AD37)*100</f>
        <v>48.854961832061065</v>
      </c>
      <c r="AD35" s="139">
        <f>(Gender!BV37/'Total Master''s'!AE37)*100</f>
        <v>54.263565891472865</v>
      </c>
      <c r="AE35" s="139">
        <f>(Gender!BW37/'Total Master''s'!AF37)*100</f>
        <v>56.56565656565656</v>
      </c>
      <c r="AF35" s="139">
        <f>(Gender!BX37/'Total Master''s'!AG37)*100</f>
        <v>54.641909814323611</v>
      </c>
      <c r="AG35" s="139">
        <f>(Gender!BY37/'Total Master''s'!AH37)*100</f>
        <v>51.690821256038646</v>
      </c>
      <c r="AH35" s="139">
        <f>(Gender!BZ37/'Total Master''s'!AI37)*100</f>
        <v>56.629213483146067</v>
      </c>
      <c r="AI35" s="139">
        <f>(Gender!CA37/'Total Master''s'!AJ37)*100</f>
        <v>54.676258992805757</v>
      </c>
      <c r="AJ35" s="139">
        <f>(Gender!CB37/'Total Master''s'!AK37)*100</f>
        <v>59.523809523809526</v>
      </c>
      <c r="AK35" s="139">
        <f>(Gender!CC37/'Total Master''s'!AL37)*100</f>
        <v>60</v>
      </c>
      <c r="AL35" s="139">
        <f>(Gender!CD37/'Total Master''s'!AM37)*100</f>
        <v>61.556064073226544</v>
      </c>
      <c r="AM35" s="139">
        <f>(Gender!CE37/'Total Master''s'!AN37)*100</f>
        <v>53.427895981087467</v>
      </c>
      <c r="AN35" s="139">
        <f>(Gender!CF37/'Total Master''s'!AO37)*100</f>
        <v>61.938534278959814</v>
      </c>
      <c r="AO35" s="139">
        <f>(Gender!CG37/'Total Master''s'!AP37)*100</f>
        <v>58.644859813084118</v>
      </c>
      <c r="AP35" s="139">
        <f>(Gender!CH37/'Total Master''s'!AQ37)*100</f>
        <v>60.051546391752574</v>
      </c>
      <c r="AQ35" s="139">
        <f>(Gender!CI37/'Total Master''s'!AR37)*100</f>
        <v>59.336099585062243</v>
      </c>
      <c r="AR35" s="139">
        <f>(Gender!CJ37/'Total Master''s'!AS37)*100</f>
        <v>61.963190184049076</v>
      </c>
      <c r="AS35" s="139">
        <f>(Gender!CK37/'Total Master''s'!AT37)*100</f>
        <v>58.024691358024697</v>
      </c>
    </row>
    <row r="36" spans="1:45">
      <c r="A36" s="128" t="s">
        <v>75</v>
      </c>
      <c r="B36" s="138">
        <f>(Gender!AT38/'Total Master''s'!C38)*100</f>
        <v>39.39192691460412</v>
      </c>
      <c r="C36" s="138">
        <f>(Gender!AU38/'Total Master''s'!D38)*100</f>
        <v>39.52288463534331</v>
      </c>
      <c r="D36" s="138">
        <f>(Gender!AV38/'Total Master''s'!E38)*100</f>
        <v>39.565877523477475</v>
      </c>
      <c r="E36" s="138">
        <f>(Gender!AW38/'Total Master''s'!F38)*100</f>
        <v>39.636515562983078</v>
      </c>
      <c r="F36" s="138">
        <f>(Gender!AX38/'Total Master''s'!G38)*100</f>
        <v>41.279093355692901</v>
      </c>
      <c r="G36" s="138">
        <f>(Gender!AY38/'Total Master''s'!H38)*100</f>
        <v>42.500653936698932</v>
      </c>
      <c r="H36" s="138">
        <f>(Gender!AZ38/'Total Master''s'!I38)*100</f>
        <v>44.191000597966912</v>
      </c>
      <c r="I36" s="138">
        <f>(Gender!BA38/'Total Master''s'!J38)*100</f>
        <v>45.107444359171147</v>
      </c>
      <c r="J36" s="138">
        <f>(Gender!BB38/'Total Master''s'!K38)*100</f>
        <v>46.673472651012901</v>
      </c>
      <c r="K36" s="138">
        <f>(Gender!BC38/'Total Master''s'!L38)*100</f>
        <v>47.539094017750799</v>
      </c>
      <c r="L36" s="138">
        <f>(Gender!BD38/'Total Master''s'!M38)*100</f>
        <v>48.084395399440474</v>
      </c>
      <c r="M36" s="138">
        <f>(Gender!BE38/'Total Master''s'!N38)*100</f>
        <v>49.242837476298085</v>
      </c>
      <c r="N36" s="138">
        <f>(Gender!BF38/'Total Master''s'!O38)*100</f>
        <v>49.537125955517993</v>
      </c>
      <c r="O36" s="138">
        <f>(Gender!BG38/'Total Master''s'!P38)*100</f>
        <v>48.556793342287534</v>
      </c>
      <c r="P36" s="138">
        <f>(Gender!BH38/'Total Master''s'!Q38)*100</f>
        <v>48.065013386699839</v>
      </c>
      <c r="Q36" s="138">
        <f>(Gender!BI38/'Total Master''s'!R38)*100</f>
        <v>48.911887029693396</v>
      </c>
      <c r="R36" s="138">
        <f>(Gender!BJ38/'Total Master''s'!S38)*100</f>
        <v>49.203146233990857</v>
      </c>
      <c r="S36" s="138">
        <f>(Gender!BK38/'Total Master''s'!T38)*100</f>
        <v>50.676045544120861</v>
      </c>
      <c r="T36" s="138">
        <f>(Gender!BL38/'Total Master''s'!U38)*100</f>
        <v>51.600520667304217</v>
      </c>
      <c r="U36" s="138">
        <f>(Gender!BM38/'Total Master''s'!V38)*100</f>
        <v>51.79643740223041</v>
      </c>
      <c r="V36" s="138">
        <f>(Gender!BN38/'Total Master''s'!W38)*100</f>
        <v>52.115296930262367</v>
      </c>
      <c r="W36" s="138">
        <f>(Gender!BO38/'Total Master''s'!X38)*100</f>
        <v>52.924520378657903</v>
      </c>
      <c r="X36" s="138">
        <f>(Gender!BP38/'Total Master''s'!Y38)*100</f>
        <v>53.361786850355863</v>
      </c>
      <c r="Y36" s="138">
        <f>(Gender!BQ38/'Total Master''s'!Z38)*100</f>
        <v>53.446774744591508</v>
      </c>
      <c r="Z36" s="138">
        <f>(Gender!BR38/'Total Master''s'!AA38)*100</f>
        <v>54.056211401924124</v>
      </c>
      <c r="AA36" s="138">
        <f>(Gender!BS38/'Total Master''s'!AB38)*100</f>
        <v>54.300622615817971</v>
      </c>
      <c r="AB36" s="138">
        <f>(Gender!BT38/'Total Master''s'!AC38)*100</f>
        <v>55.134973602948499</v>
      </c>
      <c r="AC36" s="138">
        <f>(Gender!BU38/'Total Master''s'!AD38)*100</f>
        <v>56.248352356496355</v>
      </c>
      <c r="AD36" s="138">
        <f>(Gender!BV38/'Total Master''s'!AE38)*100</f>
        <v>56.440961770018063</v>
      </c>
      <c r="AE36" s="138">
        <f>(Gender!BW38/'Total Master''s'!AF38)*100</f>
        <v>57.092598191463054</v>
      </c>
      <c r="AF36" s="138">
        <f>(Gender!BX38/'Total Master''s'!AG38)*100</f>
        <v>57.781499272839454</v>
      </c>
      <c r="AG36" s="138">
        <f>(Gender!BY38/'Total Master''s'!AH38)*100</f>
        <v>57.805878390477247</v>
      </c>
      <c r="AH36" s="138">
        <f>(Gender!BZ38/'Total Master''s'!AI38)*100</f>
        <v>57.935459520664281</v>
      </c>
      <c r="AI36" s="138">
        <f>(Gender!CA38/'Total Master''s'!AJ38)*100</f>
        <v>57.887284927206132</v>
      </c>
      <c r="AJ36" s="138">
        <f>(Gender!CB38/'Total Master''s'!AK38)*100</f>
        <v>58.623905199807758</v>
      </c>
      <c r="AK36" s="138">
        <f>(Gender!CC38/'Total Master''s'!AL38)*100</f>
        <v>58.969352820667943</v>
      </c>
      <c r="AL36" s="138">
        <f>(Gender!CD38/'Total Master''s'!AM38)*100</f>
        <v>58.735081155668091</v>
      </c>
      <c r="AM36" s="138">
        <f>(Gender!CE38/'Total Master''s'!AN38)*100</f>
        <v>60.396712723200899</v>
      </c>
      <c r="AN36" s="138">
        <f>(Gender!CF38/'Total Master''s'!AO38)*100</f>
        <v>60.626997315607824</v>
      </c>
      <c r="AO36" s="138">
        <f>(Gender!CG38/'Total Master''s'!AP38)*100</f>
        <v>60.575201706844538</v>
      </c>
      <c r="AP36" s="138">
        <f>(Gender!CH38/'Total Master''s'!AQ38)*100</f>
        <v>60.799486103580769</v>
      </c>
      <c r="AQ36" s="138">
        <f>(Gender!CI38/'Total Master''s'!AR38)*100</f>
        <v>59.561570743051419</v>
      </c>
      <c r="AR36" s="138">
        <f>(Gender!CJ38/'Total Master''s'!AS38)*100</f>
        <v>59.274252605554999</v>
      </c>
      <c r="AS36" s="138">
        <f>(Gender!CK38/'Total Master''s'!AT38)*100</f>
        <v>59.223289387341168</v>
      </c>
    </row>
    <row r="37" spans="1:45">
      <c r="A37" s="12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row>
    <row r="38" spans="1:45" s="141" customFormat="1">
      <c r="A38" s="128" t="s">
        <v>76</v>
      </c>
      <c r="B38" s="138">
        <f>(Gender!AT40/'Total Master''s'!C40)*100</f>
        <v>38.450648839952812</v>
      </c>
      <c r="C38" s="138">
        <f>(Gender!AU40/'Total Master''s'!D40)*100</f>
        <v>38.890099513328977</v>
      </c>
      <c r="D38" s="138">
        <f>(Gender!AV40/'Total Master''s'!E40)*100</f>
        <v>37.642560042935727</v>
      </c>
      <c r="E38" s="138">
        <f>(Gender!AW40/'Total Master''s'!F40)*100</f>
        <v>38.113282808137214</v>
      </c>
      <c r="F38" s="138">
        <f>(Gender!AX40/'Total Master''s'!G40)*100</f>
        <v>38.734413965087285</v>
      </c>
      <c r="G38" s="138">
        <f>(Gender!AY40/'Total Master''s'!H40)*100</f>
        <v>40.563482029980136</v>
      </c>
      <c r="H38" s="138">
        <f>(Gender!AZ40/'Total Master''s'!I40)*100</f>
        <v>43.86241894558782</v>
      </c>
      <c r="I38" s="138">
        <f>(Gender!BA40/'Total Master''s'!J40)*100</f>
        <v>44.936673547955138</v>
      </c>
      <c r="J38" s="138">
        <f>(Gender!BB40/'Total Master''s'!K40)*100</f>
        <v>46.031108305113932</v>
      </c>
      <c r="K38" s="138">
        <f>(Gender!BC40/'Total Master''s'!L40)*100</f>
        <v>46.326283987915403</v>
      </c>
      <c r="L38" s="138">
        <f>(Gender!BD40/'Total Master''s'!M40)*100</f>
        <v>46.398331083568536</v>
      </c>
      <c r="M38" s="138">
        <f>(Gender!BE40/'Total Master''s'!N40)*100</f>
        <v>48.669548803507276</v>
      </c>
      <c r="N38" s="138">
        <f>(Gender!BF40/'Total Master''s'!O40)*100</f>
        <v>49.770014556040756</v>
      </c>
      <c r="O38" s="138">
        <f>(Gender!BG40/'Total Master''s'!P40)*100</f>
        <v>47.484698338676772</v>
      </c>
      <c r="P38" s="138">
        <f>(Gender!BH40/'Total Master''s'!Q40)*100</f>
        <v>47.815016579819989</v>
      </c>
      <c r="Q38" s="138">
        <f>(Gender!BI40/'Total Master''s'!R40)*100</f>
        <v>48.466739104189301</v>
      </c>
      <c r="R38" s="138">
        <f>(Gender!BJ40/'Total Master''s'!S40)*100</f>
        <v>48.10553231055323</v>
      </c>
      <c r="S38" s="138">
        <f>(Gender!BK40/'Total Master''s'!T40)*100</f>
        <v>49.663250366032216</v>
      </c>
      <c r="T38" s="138">
        <f>(Gender!BL40/'Total Master''s'!U40)*100</f>
        <v>51.560479109261657</v>
      </c>
      <c r="U38" s="138">
        <f>(Gender!BM40/'Total Master''s'!V40)*100</f>
        <v>51.259108444063436</v>
      </c>
      <c r="V38" s="138">
        <f>(Gender!BN40/'Total Master''s'!W40)*100</f>
        <v>52.33305682289506</v>
      </c>
      <c r="W38" s="138">
        <f>(Gender!BO40/'Total Master''s'!X40)*100</f>
        <v>52.651894926809703</v>
      </c>
      <c r="X38" s="138">
        <f>(Gender!BP40/'Total Master''s'!Y40)*100</f>
        <v>54.641505951831689</v>
      </c>
      <c r="Y38" s="138">
        <f>(Gender!BQ40/'Total Master''s'!Z40)*100</f>
        <v>53.640819964349376</v>
      </c>
      <c r="Z38" s="138">
        <f>(Gender!BR40/'Total Master''s'!AA40)*100</f>
        <v>54.717379374393182</v>
      </c>
      <c r="AA38" s="138">
        <f>(Gender!BS40/'Total Master''s'!AB40)*100</f>
        <v>54.166134457359391</v>
      </c>
      <c r="AB38" s="138">
        <f>(Gender!BT40/'Total Master''s'!AC40)*100</f>
        <v>55.624874220165019</v>
      </c>
      <c r="AC38" s="138">
        <f>(Gender!BU40/'Total Master''s'!AD40)*100</f>
        <v>56.384756146073677</v>
      </c>
      <c r="AD38" s="138">
        <f>(Gender!BV40/'Total Master''s'!AE40)*100</f>
        <v>55.812193859264866</v>
      </c>
      <c r="AE38" s="138">
        <f>(Gender!BW40/'Total Master''s'!AF40)*100</f>
        <v>56.792941995898303</v>
      </c>
      <c r="AF38" s="138">
        <f>(Gender!BX40/'Total Master''s'!AG40)*100</f>
        <v>57.397095342012193</v>
      </c>
      <c r="AG38" s="138">
        <f>(Gender!BY40/'Total Master''s'!AH40)*100</f>
        <v>57.714390872285605</v>
      </c>
      <c r="AH38" s="138">
        <f>(Gender!BZ40/'Total Master''s'!AI40)*100</f>
        <v>57.14886606610817</v>
      </c>
      <c r="AI38" s="138">
        <f>(Gender!CA40/'Total Master''s'!AJ40)*100</f>
        <v>56.666666666666664</v>
      </c>
      <c r="AJ38" s="138">
        <f>(Gender!CB40/'Total Master''s'!AK40)*100</f>
        <v>57.753879995111809</v>
      </c>
      <c r="AK38" s="138">
        <f>(Gender!CC40/'Total Master''s'!AL40)*100</f>
        <v>58.51855967992887</v>
      </c>
      <c r="AL38" s="138">
        <f>(Gender!CD40/'Total Master''s'!AM40)*100</f>
        <v>58.20392999158274</v>
      </c>
      <c r="AM38" s="138">
        <f>(Gender!CE40/'Total Master''s'!AN40)*100</f>
        <v>58.8215078777625</v>
      </c>
      <c r="AN38" s="138">
        <f>(Gender!CF40/'Total Master''s'!AO40)*100</f>
        <v>59.467703805383962</v>
      </c>
      <c r="AO38" s="138">
        <f>(Gender!CG40/'Total Master''s'!AP40)*100</f>
        <v>59.685534591194966</v>
      </c>
      <c r="AP38" s="138">
        <f>(Gender!CH40/'Total Master''s'!AQ40)*100</f>
        <v>59.64186001732935</v>
      </c>
      <c r="AQ38" s="138">
        <f>(Gender!CI40/'Total Master''s'!AR40)*100</f>
        <v>58.571907315204911</v>
      </c>
      <c r="AR38" s="138">
        <f>(Gender!CJ40/'Total Master''s'!AS40)*100</f>
        <v>59.945039325310333</v>
      </c>
      <c r="AS38" s="138">
        <f>(Gender!CK40/'Total Master''s'!AT40)*100</f>
        <v>58.818611761333784</v>
      </c>
    </row>
    <row r="39" spans="1:45" s="141" customFormat="1">
      <c r="A39" s="128" t="s">
        <v>77</v>
      </c>
      <c r="B39" s="138">
        <f>(Gender!AT41/'Total Master''s'!C41)*100</f>
        <v>48.291178285009252</v>
      </c>
      <c r="C39" s="138">
        <f>(Gender!AU41/'Total Master''s'!D41)*100</f>
        <v>48.459221501390175</v>
      </c>
      <c r="D39" s="138">
        <f>(Gender!AV41/'Total Master''s'!E41)*100</f>
        <v>48.958220878764976</v>
      </c>
      <c r="E39" s="138">
        <f>(Gender!AW41/'Total Master''s'!F41)*100</f>
        <v>48.259059993909247</v>
      </c>
      <c r="F39" s="138">
        <f>(Gender!AX41/'Total Master''s'!G41)*100</f>
        <v>50.664697193500743</v>
      </c>
      <c r="G39" s="138">
        <f>(Gender!AY41/'Total Master''s'!H41)*100</f>
        <v>51.572765279713316</v>
      </c>
      <c r="H39" s="138">
        <f>(Gender!AZ41/'Total Master''s'!I41)*100</f>
        <v>53.274208518098376</v>
      </c>
      <c r="I39" s="138">
        <f>(Gender!BA41/'Total Master''s'!J41)*100</f>
        <v>52.795347888186086</v>
      </c>
      <c r="J39" s="138">
        <f>(Gender!BB41/'Total Master''s'!K41)*100</f>
        <v>54.159628378378379</v>
      </c>
      <c r="K39" s="138">
        <f>(Gender!BC41/'Total Master''s'!L41)*100</f>
        <v>55.048746518105851</v>
      </c>
      <c r="L39" s="138">
        <f>(Gender!BD41/'Total Master''s'!M41)*100</f>
        <v>55.671839287862376</v>
      </c>
      <c r="M39" s="138">
        <f>(Gender!BE41/'Total Master''s'!N41)*100</f>
        <v>55.547254389241687</v>
      </c>
      <c r="N39" s="138">
        <f>(Gender!BF41/'Total Master''s'!O41)*100</f>
        <v>53.176203680363002</v>
      </c>
      <c r="O39" s="138">
        <f>(Gender!BG41/'Total Master''s'!P41)*100</f>
        <v>53.734685812145969</v>
      </c>
      <c r="P39" s="138">
        <f>(Gender!BH41/'Total Master''s'!Q41)*100</f>
        <v>51.943209522443709</v>
      </c>
      <c r="Q39" s="138">
        <f>(Gender!BI41/'Total Master''s'!R41)*100</f>
        <v>52.121476315024708</v>
      </c>
      <c r="R39" s="138">
        <f>(Gender!BJ41/'Total Master''s'!S41)*100</f>
        <v>52.072617246596067</v>
      </c>
      <c r="S39" s="138">
        <f>(Gender!BK41/'Total Master''s'!T41)*100</f>
        <v>53.23347256229296</v>
      </c>
      <c r="T39" s="138">
        <f>(Gender!BL41/'Total Master''s'!U41)*100</f>
        <v>53.524509111456418</v>
      </c>
      <c r="U39" s="138">
        <f>(Gender!BM41/'Total Master''s'!V41)*100</f>
        <v>53.593292520628168</v>
      </c>
      <c r="V39" s="138">
        <f>(Gender!BN41/'Total Master''s'!W41)*100</f>
        <v>52.143826322930799</v>
      </c>
      <c r="W39" s="138">
        <f>(Gender!BO41/'Total Master''s'!X41)*100</f>
        <v>49.525062107262897</v>
      </c>
      <c r="X39" s="138">
        <f>(Gender!BP41/'Total Master''s'!Y41)*100</f>
        <v>48.81203007518797</v>
      </c>
      <c r="Y39" s="138">
        <f>(Gender!BQ41/'Total Master''s'!Z41)*100</f>
        <v>47.337794588303758</v>
      </c>
      <c r="Z39" s="138">
        <f>(Gender!BR41/'Total Master''s'!AA41)*100</f>
        <v>49.59781671933353</v>
      </c>
      <c r="AA39" s="138">
        <f>(Gender!BS41/'Total Master''s'!AB41)*100</f>
        <v>48.690272475977359</v>
      </c>
      <c r="AB39" s="138">
        <f>(Gender!BT41/'Total Master''s'!AC41)*100</f>
        <v>51.650818806127837</v>
      </c>
      <c r="AC39" s="138">
        <f>(Gender!BU41/'Total Master''s'!AD41)*100</f>
        <v>51.040843214756258</v>
      </c>
      <c r="AD39" s="138">
        <f>(Gender!BV41/'Total Master''s'!AE41)*100</f>
        <v>52.457767051949702</v>
      </c>
      <c r="AE39" s="138">
        <f>(Gender!BW41/'Total Master''s'!AF41)*100</f>
        <v>52.390282131661451</v>
      </c>
      <c r="AF39" s="138">
        <f>(Gender!BX41/'Total Master''s'!AG41)*100</f>
        <v>52.455726092089726</v>
      </c>
      <c r="AG39" s="138">
        <f>(Gender!BY41/'Total Master''s'!AH41)*100</f>
        <v>52.260120382391129</v>
      </c>
      <c r="AH39" s="138">
        <f>(Gender!BZ41/'Total Master''s'!AI41)*100</f>
        <v>51.831884695786115</v>
      </c>
      <c r="AI39" s="138">
        <f>(Gender!CA41/'Total Master''s'!AJ41)*100</f>
        <v>52.644255943030686</v>
      </c>
      <c r="AJ39" s="138">
        <f>(Gender!CB41/'Total Master''s'!AK41)*100</f>
        <v>52.620893318567738</v>
      </c>
      <c r="AK39" s="138">
        <f>(Gender!CC41/'Total Master''s'!AL41)*100</f>
        <v>53.233516731306942</v>
      </c>
      <c r="AL39" s="138">
        <f>(Gender!CD41/'Total Master''s'!AM41)*100</f>
        <v>53.389158219479945</v>
      </c>
      <c r="AM39" s="138">
        <f>(Gender!CE41/'Total Master''s'!AN41)*100</f>
        <v>53.59195402298851</v>
      </c>
      <c r="AN39" s="138">
        <f>(Gender!CF41/'Total Master''s'!AO41)*100</f>
        <v>55.35337124289196</v>
      </c>
      <c r="AO39" s="138">
        <f>(Gender!CG41/'Total Master''s'!AP41)*100</f>
        <v>54.650263076446926</v>
      </c>
      <c r="AP39" s="138">
        <f>(Gender!CH41/'Total Master''s'!AQ41)*100</f>
        <v>54.238279821546108</v>
      </c>
      <c r="AQ39" s="138">
        <f>(Gender!CI41/'Total Master''s'!AR41)*100</f>
        <v>55.430006277463903</v>
      </c>
      <c r="AR39" s="138">
        <f>(Gender!CJ41/'Total Master''s'!AS41)*100</f>
        <v>53.830460780865288</v>
      </c>
      <c r="AS39" s="138">
        <f>(Gender!CK41/'Total Master''s'!AT41)*100</f>
        <v>55.773034167632815</v>
      </c>
    </row>
    <row r="40" spans="1:45" s="141" customFormat="1">
      <c r="A40" s="136" t="s">
        <v>78</v>
      </c>
      <c r="B40" s="133">
        <f>(Gender!AT42/'Total Master''s'!C42)*100</f>
        <v>36.724676483712628</v>
      </c>
      <c r="C40" s="133">
        <f>(Gender!AU42/'Total Master''s'!D42)*100</f>
        <v>36.384096024005999</v>
      </c>
      <c r="D40" s="133">
        <f>(Gender!AV42/'Total Master''s'!E42)*100</f>
        <v>36.799693016116649</v>
      </c>
      <c r="E40" s="133">
        <f>(Gender!AW42/'Total Master''s'!F42)*100</f>
        <v>36.995153473344104</v>
      </c>
      <c r="F40" s="133">
        <f>(Gender!AX42/'Total Master''s'!G42)*100</f>
        <v>38.168255283878985</v>
      </c>
      <c r="G40" s="133">
        <f>(Gender!AY42/'Total Master''s'!H42)*100</f>
        <v>39.293226756415649</v>
      </c>
      <c r="H40" s="133">
        <f>(Gender!AZ42/'Total Master''s'!I42)*100</f>
        <v>42.803815844048117</v>
      </c>
      <c r="I40" s="133">
        <f>(Gender!BA42/'Total Master''s'!J42)*100</f>
        <v>44.359756097560975</v>
      </c>
      <c r="J40" s="133">
        <f>(Gender!BB42/'Total Master''s'!K42)*100</f>
        <v>48.137651821862349</v>
      </c>
      <c r="K40" s="133">
        <f>(Gender!BC42/'Total Master''s'!L42)*100</f>
        <v>47.61341222879684</v>
      </c>
      <c r="L40" s="133">
        <f>(Gender!BD42/'Total Master''s'!M42)*100</f>
        <v>46.284829721362229</v>
      </c>
      <c r="M40" s="133">
        <f>(Gender!BE42/'Total Master''s'!N42)*100</f>
        <v>47.909199522102746</v>
      </c>
      <c r="N40" s="133">
        <f>(Gender!BF42/'Total Master''s'!O42)*100</f>
        <v>49.026763990267639</v>
      </c>
      <c r="O40" s="133">
        <f>(Gender!BG42/'Total Master''s'!P42)*100</f>
        <v>47.931769722814501</v>
      </c>
      <c r="P40" s="133">
        <f>(Gender!BH42/'Total Master''s'!Q42)*100</f>
        <v>45.856980703745741</v>
      </c>
      <c r="Q40" s="133">
        <f>(Gender!BI42/'Total Master''s'!R42)*100</f>
        <v>50.208887200911512</v>
      </c>
      <c r="R40" s="133">
        <f>(Gender!BJ42/'Total Master''s'!S42)*100</f>
        <v>44.117647058823529</v>
      </c>
      <c r="S40" s="133">
        <f>(Gender!BK42/'Total Master''s'!T42)*100</f>
        <v>50.162162162162161</v>
      </c>
      <c r="T40" s="133">
        <f>(Gender!BL42/'Total Master''s'!U42)*100</f>
        <v>52.149283572142622</v>
      </c>
      <c r="U40" s="133">
        <f>(Gender!BM42/'Total Master''s'!V42)*100</f>
        <v>52.237414543194525</v>
      </c>
      <c r="V40" s="133">
        <f>(Gender!BN42/'Total Master''s'!W42)*100</f>
        <v>47.737857618097138</v>
      </c>
      <c r="W40" s="133">
        <f>(Gender!BO42/'Total Master''s'!X42)*100</f>
        <v>50.820707070707073</v>
      </c>
      <c r="X40" s="133">
        <f>(Gender!BP42/'Total Master''s'!Y42)*100</f>
        <v>51.409913921044826</v>
      </c>
      <c r="Y40" s="133">
        <f>(Gender!BQ42/'Total Master''s'!Z42)*100</f>
        <v>52.544782485072503</v>
      </c>
      <c r="Z40" s="133">
        <f>(Gender!BR42/'Total Master''s'!AA42)*100</f>
        <v>52.522935779816514</v>
      </c>
      <c r="AA40" s="133">
        <f>(Gender!BS42/'Total Master''s'!AB42)*100</f>
        <v>54.542840713053472</v>
      </c>
      <c r="AB40" s="133">
        <f>(Gender!BT42/'Total Master''s'!AC42)*100</f>
        <v>53.575650118203313</v>
      </c>
      <c r="AC40" s="133">
        <f>(Gender!BU42/'Total Master''s'!AD42)*100</f>
        <v>53.922155688622752</v>
      </c>
      <c r="AD40" s="133">
        <f>(Gender!BV42/'Total Master''s'!AE42)*100</f>
        <v>53.942602396210646</v>
      </c>
      <c r="AE40" s="133">
        <f>(Gender!BW42/'Total Master''s'!AF42)*100</f>
        <v>53.812871822606809</v>
      </c>
      <c r="AF40" s="133">
        <f>(Gender!BX42/'Total Master''s'!AG42)*100</f>
        <v>55.252210088403544</v>
      </c>
      <c r="AG40" s="133">
        <f>(Gender!BY42/'Total Master''s'!AH42)*100</f>
        <v>53.850558259375894</v>
      </c>
      <c r="AH40" s="133">
        <f>(Gender!BZ42/'Total Master''s'!AI42)*100</f>
        <v>54.512635379061372</v>
      </c>
      <c r="AI40" s="133">
        <f>(Gender!CA42/'Total Master''s'!AJ42)*100</f>
        <v>55.623100303951368</v>
      </c>
      <c r="AJ40" s="133">
        <f>(Gender!CB42/'Total Master''s'!AK42)*100</f>
        <v>56.188555583564401</v>
      </c>
      <c r="AK40" s="133">
        <f>(Gender!CC42/'Total Master''s'!AL42)*100</f>
        <v>55.213160333642264</v>
      </c>
      <c r="AL40" s="133">
        <f>(Gender!CD42/'Total Master''s'!AM42)*100</f>
        <v>57.313769751693002</v>
      </c>
      <c r="AM40" s="133">
        <f>(Gender!CE42/'Total Master''s'!AN42)*100</f>
        <v>60.827464788732399</v>
      </c>
      <c r="AN40" s="133">
        <f>(Gender!CF42/'Total Master''s'!AO42)*100</f>
        <v>59.729883964238162</v>
      </c>
      <c r="AO40" s="133">
        <f>(Gender!CG42/'Total Master''s'!AP42)*100</f>
        <v>59.587929915639194</v>
      </c>
      <c r="AP40" s="133">
        <f>(Gender!CH42/'Total Master''s'!AQ42)*100</f>
        <v>62.278582930756841</v>
      </c>
      <c r="AQ40" s="133">
        <f>(Gender!CI42/'Total Master''s'!AR42)*100</f>
        <v>64.786615908635554</v>
      </c>
      <c r="AR40" s="133">
        <f>(Gender!CJ42/'Total Master''s'!AS42)*100</f>
        <v>65.280991735537185</v>
      </c>
      <c r="AS40" s="133">
        <f>(Gender!CK42/'Total Master''s'!AT42)*100</f>
        <v>67.38682279211676</v>
      </c>
    </row>
    <row r="41" spans="1:45" s="141" customFormat="1">
      <c r="A41" s="128" t="s">
        <v>79</v>
      </c>
      <c r="B41" s="138">
        <f>(Gender!AT43/'Total Master''s'!C43)*100</f>
        <v>39.091224419007979</v>
      </c>
      <c r="C41" s="138">
        <f>(Gender!AU43/'Total Master''s'!D43)*100</f>
        <v>40.891540891540892</v>
      </c>
      <c r="D41" s="138">
        <f>(Gender!AV43/'Total Master''s'!E43)*100</f>
        <v>41.12983151635283</v>
      </c>
      <c r="E41" s="138">
        <f>(Gender!AW43/'Total Master''s'!F43)*100</f>
        <v>41.753246753246756</v>
      </c>
      <c r="F41" s="138">
        <f>(Gender!AX43/'Total Master''s'!G43)*100</f>
        <v>41.58953080114906</v>
      </c>
      <c r="G41" s="138">
        <f>(Gender!AY43/'Total Master''s'!H43)*100</f>
        <v>43.827971109652005</v>
      </c>
      <c r="H41" s="138">
        <f>(Gender!AZ43/'Total Master''s'!I43)*100</f>
        <v>45.874083129584356</v>
      </c>
      <c r="I41" s="138">
        <f>(Gender!BA43/'Total Master''s'!J43)*100</f>
        <v>47.035573122529648</v>
      </c>
      <c r="J41" s="138">
        <f>(Gender!BB43/'Total Master''s'!K43)*100</f>
        <v>48.971193415637856</v>
      </c>
      <c r="K41" s="138">
        <f>(Gender!BC43/'Total Master''s'!L43)*100</f>
        <v>52.356181150550796</v>
      </c>
      <c r="L41" s="138">
        <f>(Gender!BD43/'Total Master''s'!M43)*100</f>
        <v>54.766474728087012</v>
      </c>
      <c r="M41" s="138">
        <f>(Gender!BE43/'Total Master''s'!N43)*100</f>
        <v>54.52841973766396</v>
      </c>
      <c r="N41" s="138">
        <f>(Gender!BF43/'Total Master''s'!O43)*100</f>
        <v>53.142677561282213</v>
      </c>
      <c r="O41" s="138">
        <f>(Gender!BG43/'Total Master''s'!P43)*100</f>
        <v>54.126055880441847</v>
      </c>
      <c r="P41" s="138">
        <f>(Gender!BH43/'Total Master''s'!Q43)*100</f>
        <v>54.78202095302467</v>
      </c>
      <c r="Q41" s="138">
        <f>(Gender!BI43/'Total Master''s'!R43)*100</f>
        <v>53.351206434316353</v>
      </c>
      <c r="R41" s="138">
        <f>(Gender!BJ43/'Total Master''s'!S43)*100</f>
        <v>55.314960629921259</v>
      </c>
      <c r="S41" s="138">
        <f>(Gender!BK43/'Total Master''s'!T43)*100</f>
        <v>55.760214333556604</v>
      </c>
      <c r="T41" s="138">
        <f>(Gender!BL43/'Total Master''s'!U43)*100</f>
        <v>55.615152531009052</v>
      </c>
      <c r="U41" s="138">
        <f>(Gender!BM43/'Total Master''s'!V43)*100</f>
        <v>54.022988505747129</v>
      </c>
      <c r="V41" s="138">
        <f>(Gender!BN43/'Total Master''s'!W43)*100</f>
        <v>56.512541553339382</v>
      </c>
      <c r="W41" s="138">
        <f>(Gender!BO43/'Total Master''s'!X43)*100</f>
        <v>58.495002939447382</v>
      </c>
      <c r="X41" s="138">
        <f>(Gender!BP43/'Total Master''s'!Y43)*100</f>
        <v>57.082563967290959</v>
      </c>
      <c r="Y41" s="138">
        <f>(Gender!BQ43/'Total Master''s'!Z43)*100</f>
        <v>56.836734693877553</v>
      </c>
      <c r="Z41" s="138">
        <f>(Gender!BR43/'Total Master''s'!AA43)*100</f>
        <v>56.626245127760932</v>
      </c>
      <c r="AA41" s="138">
        <f>(Gender!BS43/'Total Master''s'!AB43)*100</f>
        <v>58.321839080459768</v>
      </c>
      <c r="AB41" s="138">
        <f>(Gender!BT43/'Total Master''s'!AC43)*100</f>
        <v>58.220625528317839</v>
      </c>
      <c r="AC41" s="138">
        <f>(Gender!BU43/'Total Master''s'!AD43)*100</f>
        <v>59.023763648041104</v>
      </c>
      <c r="AD41" s="138">
        <f>(Gender!BV43/'Total Master''s'!AE43)*100</f>
        <v>59.181897302001744</v>
      </c>
      <c r="AE41" s="138">
        <f>(Gender!BW43/'Total Master''s'!AF43)*100</f>
        <v>59.656301145662852</v>
      </c>
      <c r="AF41" s="138">
        <f>(Gender!BX43/'Total Master''s'!AG43)*100</f>
        <v>58.72045639771801</v>
      </c>
      <c r="AG41" s="138">
        <f>(Gender!BY43/'Total Master''s'!AH43)*100</f>
        <v>58.273520853540248</v>
      </c>
      <c r="AH41" s="138">
        <f>(Gender!BZ43/'Total Master''s'!AI43)*100</f>
        <v>58.892185954500498</v>
      </c>
      <c r="AI41" s="138">
        <f>(Gender!CA43/'Total Master''s'!AJ43)*100</f>
        <v>58.975731620271233</v>
      </c>
      <c r="AJ41" s="138">
        <f>(Gender!CB43/'Total Master''s'!AK43)*100</f>
        <v>58.958089831357483</v>
      </c>
      <c r="AK41" s="138">
        <f>(Gender!CC43/'Total Master''s'!AL43)*100</f>
        <v>59.191954834156668</v>
      </c>
      <c r="AL41" s="138">
        <f>(Gender!CD43/'Total Master''s'!AM43)*100</f>
        <v>59.398496240601503</v>
      </c>
      <c r="AM41" s="138">
        <f>(Gender!CE43/'Total Master''s'!AN43)*100</f>
        <v>61.629502572898801</v>
      </c>
      <c r="AN41" s="138">
        <f>(Gender!CF43/'Total Master''s'!AO43)*100</f>
        <v>61.024250159540529</v>
      </c>
      <c r="AO41" s="138">
        <f>(Gender!CG43/'Total Master''s'!AP43)*100</f>
        <v>60.992233317482956</v>
      </c>
      <c r="AP41" s="138">
        <f>(Gender!CH43/'Total Master''s'!AQ43)*100</f>
        <v>60.026777744718828</v>
      </c>
      <c r="AQ41" s="138">
        <f>(Gender!CI43/'Total Master''s'!AR43)*100</f>
        <v>60.564549605645503</v>
      </c>
      <c r="AR41" s="138">
        <f>(Gender!CJ43/'Total Master''s'!AS43)*100</f>
        <v>59.094146133029483</v>
      </c>
      <c r="AS41" s="138">
        <f>(Gender!CK43/'Total Master''s'!AT43)*100</f>
        <v>60.628606134224114</v>
      </c>
    </row>
    <row r="42" spans="1:45" s="141" customFormat="1">
      <c r="A42" s="128" t="s">
        <v>80</v>
      </c>
      <c r="B42" s="138">
        <f>(Gender!AT44/'Total Master''s'!C44)*100</f>
        <v>40.820393589637135</v>
      </c>
      <c r="C42" s="138">
        <f>(Gender!AU44/'Total Master''s'!D44)*100</f>
        <v>41.11303823241083</v>
      </c>
      <c r="D42" s="138">
        <f>(Gender!AV44/'Total Master''s'!E44)*100</f>
        <v>41.043299875448753</v>
      </c>
      <c r="E42" s="138">
        <f>(Gender!AW44/'Total Master''s'!F44)*100</f>
        <v>41.524105754276832</v>
      </c>
      <c r="F42" s="138">
        <f>(Gender!AX44/'Total Master''s'!G44)*100</f>
        <v>43.16421799232829</v>
      </c>
      <c r="G42" s="138">
        <f>(Gender!AY44/'Total Master''s'!H44)*100</f>
        <v>42.836031436824072</v>
      </c>
      <c r="H42" s="138">
        <f>(Gender!AZ44/'Total Master''s'!I44)*100</f>
        <v>44.548578569197126</v>
      </c>
      <c r="I42" s="138">
        <f>(Gender!BA44/'Total Master''s'!J44)*100</f>
        <v>45.428003478693007</v>
      </c>
      <c r="J42" s="138">
        <f>(Gender!BB44/'Total Master''s'!K44)*100</f>
        <v>46.394138064018513</v>
      </c>
      <c r="K42" s="138">
        <f>(Gender!BC44/'Total Master''s'!L44)*100</f>
        <v>46.368152524167563</v>
      </c>
      <c r="L42" s="138">
        <f>(Gender!BD44/'Total Master''s'!M44)*100</f>
        <v>47.602284803400636</v>
      </c>
      <c r="M42" s="138">
        <f>(Gender!BE44/'Total Master''s'!N44)*100</f>
        <v>47.88817377312953</v>
      </c>
      <c r="N42" s="138">
        <f>(Gender!BF44/'Total Master''s'!O44)*100</f>
        <v>47.689309576837417</v>
      </c>
      <c r="O42" s="138">
        <f>(Gender!BG44/'Total Master''s'!P44)*100</f>
        <v>47.717186912373073</v>
      </c>
      <c r="P42" s="138">
        <f>(Gender!BH44/'Total Master''s'!Q44)*100</f>
        <v>45.658351752447111</v>
      </c>
      <c r="Q42" s="138">
        <f>(Gender!BI44/'Total Master''s'!R44)*100</f>
        <v>47.16197899017282</v>
      </c>
      <c r="R42" s="138">
        <f>(Gender!BJ44/'Total Master''s'!S44)*100</f>
        <v>47.401464945936517</v>
      </c>
      <c r="S42" s="138">
        <f>(Gender!BK44/'Total Master''s'!T44)*100</f>
        <v>49.080977978151552</v>
      </c>
      <c r="T42" s="138">
        <f>(Gender!BL44/'Total Master''s'!U44)*100</f>
        <v>50.35282258064516</v>
      </c>
      <c r="U42" s="138">
        <f>(Gender!BM44/'Total Master''s'!V44)*100</f>
        <v>51.690251572327043</v>
      </c>
      <c r="V42" s="138">
        <f>(Gender!BN44/'Total Master''s'!W44)*100</f>
        <v>51.680830262465214</v>
      </c>
      <c r="W42" s="138">
        <f>(Gender!BO44/'Total Master''s'!X44)*100</f>
        <v>52.104109201499391</v>
      </c>
      <c r="X42" s="138">
        <f>(Gender!BP44/'Total Master''s'!Y44)*100</f>
        <v>52.087101711423401</v>
      </c>
      <c r="Y42" s="138">
        <f>(Gender!BQ44/'Total Master''s'!Z44)*100</f>
        <v>51.713062098501069</v>
      </c>
      <c r="Z42" s="138">
        <f>(Gender!BR44/'Total Master''s'!AA44)*100</f>
        <v>51.91288613157554</v>
      </c>
      <c r="AA42" s="138">
        <f>(Gender!BS44/'Total Master''s'!AB44)*100</f>
        <v>52.457956015523934</v>
      </c>
      <c r="AB42" s="138">
        <f>(Gender!BT44/'Total Master''s'!AC44)*100</f>
        <v>52.38459576638612</v>
      </c>
      <c r="AC42" s="138">
        <f>(Gender!BU44/'Total Master''s'!AD44)*100</f>
        <v>54.814506044185073</v>
      </c>
      <c r="AD42" s="138">
        <f>(Gender!BV44/'Total Master''s'!AE44)*100</f>
        <v>55.486646552687446</v>
      </c>
      <c r="AE42" s="138">
        <f>(Gender!BW44/'Total Master''s'!AF44)*100</f>
        <v>55.911130331369264</v>
      </c>
      <c r="AF42" s="138">
        <f>(Gender!BX44/'Total Master''s'!AG44)*100</f>
        <v>58.379682039671209</v>
      </c>
      <c r="AG42" s="138">
        <f>(Gender!BY44/'Total Master''s'!AH44)*100</f>
        <v>57.67500702839471</v>
      </c>
      <c r="AH42" s="138">
        <f>(Gender!BZ44/'Total Master''s'!AI44)*100</f>
        <v>58.03615931850107</v>
      </c>
      <c r="AI42" s="138">
        <f>(Gender!CA44/'Total Master''s'!AJ44)*100</f>
        <v>57.630625969994831</v>
      </c>
      <c r="AJ42" s="138">
        <f>(Gender!CB44/'Total Master''s'!AK44)*100</f>
        <v>57.796232027764006</v>
      </c>
      <c r="AK42" s="138">
        <f>(Gender!CC44/'Total Master''s'!AL44)*100</f>
        <v>58.369098712446352</v>
      </c>
      <c r="AL42" s="138">
        <f>(Gender!CD44/'Total Master''s'!AM44)*100</f>
        <v>58.964795779132174</v>
      </c>
      <c r="AM42" s="138">
        <f>(Gender!CE44/'Total Master''s'!AN44)*100</f>
        <v>58.743480322427686</v>
      </c>
      <c r="AN42" s="138">
        <f>(Gender!CF44/'Total Master''s'!AO44)*100</f>
        <v>58.18225304950969</v>
      </c>
      <c r="AO42" s="138">
        <f>(Gender!CG44/'Total Master''s'!AP44)*100</f>
        <v>58.720073664825044</v>
      </c>
      <c r="AP42" s="138">
        <f>(Gender!CH44/'Total Master''s'!AQ44)*100</f>
        <v>58.504911220249333</v>
      </c>
      <c r="AQ42" s="138">
        <f>(Gender!CI44/'Total Master''s'!AR44)*100</f>
        <v>57.806324110671937</v>
      </c>
      <c r="AR42" s="138">
        <f>(Gender!CJ44/'Total Master''s'!AS44)*100</f>
        <v>56.885751682872097</v>
      </c>
      <c r="AS42" s="138">
        <f>(Gender!CK44/'Total Master''s'!AT44)*100</f>
        <v>56.793994678829343</v>
      </c>
    </row>
    <row r="43" spans="1:45" s="141" customFormat="1">
      <c r="A43" s="128" t="s">
        <v>81</v>
      </c>
      <c r="B43" s="138">
        <f>(Gender!AT45/'Total Master''s'!C45)*100</f>
        <v>32.95894655305964</v>
      </c>
      <c r="C43" s="138">
        <f>(Gender!AU45/'Total Master''s'!D45)*100</f>
        <v>34.016540812657318</v>
      </c>
      <c r="D43" s="138">
        <f>(Gender!AV45/'Total Master''s'!E45)*100</f>
        <v>33.953168044077138</v>
      </c>
      <c r="E43" s="138">
        <f>(Gender!AW45/'Total Master''s'!F45)*100</f>
        <v>32.533733133433287</v>
      </c>
      <c r="F43" s="138">
        <f>(Gender!AX45/'Total Master''s'!G45)*100</f>
        <v>34.781048097631015</v>
      </c>
      <c r="G43" s="138">
        <f>(Gender!AY45/'Total Master''s'!H45)*100</f>
        <v>35.880740233036327</v>
      </c>
      <c r="H43" s="138">
        <f>(Gender!AZ45/'Total Master''s'!I45)*100</f>
        <v>38.490309418565118</v>
      </c>
      <c r="I43" s="138">
        <f>(Gender!BA45/'Total Master''s'!J45)*100</f>
        <v>41.32231404958678</v>
      </c>
      <c r="J43" s="138">
        <f>(Gender!BB45/'Total Master''s'!K45)*100</f>
        <v>44.316263365222284</v>
      </c>
      <c r="K43" s="138">
        <f>(Gender!BC45/'Total Master''s'!L45)*100</f>
        <v>44.467892674103105</v>
      </c>
      <c r="L43" s="138">
        <f>(Gender!BD45/'Total Master''s'!M45)*100</f>
        <v>45.81005586592179</v>
      </c>
      <c r="M43" s="138">
        <f>(Gender!BE45/'Total Master''s'!N45)*100</f>
        <v>47.044558957259774</v>
      </c>
      <c r="N43" s="138">
        <f>(Gender!BF45/'Total Master''s'!O45)*100</f>
        <v>49.589816124469586</v>
      </c>
      <c r="O43" s="138">
        <f>(Gender!BG45/'Total Master''s'!P45)*100</f>
        <v>48.270934552729351</v>
      </c>
      <c r="P43" s="138">
        <f>(Gender!BH45/'Total Master''s'!Q45)*100</f>
        <v>47.420634920634917</v>
      </c>
      <c r="Q43" s="138">
        <f>(Gender!BI45/'Total Master''s'!R45)*100</f>
        <v>51.293103448275865</v>
      </c>
      <c r="R43" s="138">
        <f>(Gender!BJ45/'Total Master''s'!S45)*100</f>
        <v>51.487149870054857</v>
      </c>
      <c r="S43" s="138">
        <f>(Gender!BK45/'Total Master''s'!T45)*100</f>
        <v>51.954532852786251</v>
      </c>
      <c r="T43" s="138">
        <f>(Gender!BL45/'Total Master''s'!U45)*100</f>
        <v>52.175045584787703</v>
      </c>
      <c r="U43" s="138">
        <f>(Gender!BM45/'Total Master''s'!V45)*100</f>
        <v>55.226057365094796</v>
      </c>
      <c r="V43" s="138">
        <f>(Gender!BN45/'Total Master''s'!W45)*100</f>
        <v>53.664681630783328</v>
      </c>
      <c r="W43" s="138">
        <f>(Gender!BO45/'Total Master''s'!X45)*100</f>
        <v>57.12104689203926</v>
      </c>
      <c r="X43" s="138">
        <f>(Gender!BP45/'Total Master''s'!Y45)*100</f>
        <v>55.718112507727177</v>
      </c>
      <c r="Y43" s="138">
        <f>(Gender!BQ45/'Total Master''s'!Z45)*100</f>
        <v>58.251868890166762</v>
      </c>
      <c r="Z43" s="138">
        <f>(Gender!BR45/'Total Master''s'!AA45)*100</f>
        <v>59.528002817893622</v>
      </c>
      <c r="AA43" s="138">
        <f>(Gender!BS45/'Total Master''s'!AB45)*100</f>
        <v>59.131944444444443</v>
      </c>
      <c r="AB43" s="138">
        <f>(Gender!BT45/'Total Master''s'!AC45)*100</f>
        <v>60.638783269961984</v>
      </c>
      <c r="AC43" s="138">
        <f>(Gender!BU45/'Total Master''s'!AD45)*100</f>
        <v>61.625941293991083</v>
      </c>
      <c r="AD43" s="138">
        <f>(Gender!BV45/'Total Master''s'!AE45)*100</f>
        <v>61.804594519789646</v>
      </c>
      <c r="AE43" s="138">
        <f>(Gender!BW45/'Total Master''s'!AF45)*100</f>
        <v>62.516988312041313</v>
      </c>
      <c r="AF43" s="138">
        <f>(Gender!BX45/'Total Master''s'!AG45)*100</f>
        <v>61.664742849814033</v>
      </c>
      <c r="AG43" s="138">
        <f>(Gender!BY45/'Total Master''s'!AH45)*100</f>
        <v>61.660079051383399</v>
      </c>
      <c r="AH43" s="138">
        <f>(Gender!BZ45/'Total Master''s'!AI45)*100</f>
        <v>61.334606661095862</v>
      </c>
      <c r="AI43" s="138">
        <f>(Gender!CA45/'Total Master''s'!AJ45)*100</f>
        <v>64.703320631464351</v>
      </c>
      <c r="AJ43" s="138">
        <f>(Gender!CB45/'Total Master''s'!AK45)*100</f>
        <v>66.281035863664684</v>
      </c>
      <c r="AK43" s="138">
        <f>(Gender!CC45/'Total Master''s'!AL45)*100</f>
        <v>67.146797425681896</v>
      </c>
      <c r="AL43" s="138">
        <f>(Gender!CD45/'Total Master''s'!AM45)*100</f>
        <v>60.973397823458285</v>
      </c>
      <c r="AM43" s="138">
        <f>(Gender!CE45/'Total Master''s'!AN45)*100</f>
        <v>69.896869469701599</v>
      </c>
      <c r="AN43" s="138">
        <f>(Gender!CF45/'Total Master''s'!AO45)*100</f>
        <v>70.186542305129919</v>
      </c>
      <c r="AO43" s="138">
        <f>(Gender!CG45/'Total Master''s'!AP45)*100</f>
        <v>69.654956739289062</v>
      </c>
      <c r="AP43" s="138">
        <f>(Gender!CH45/'Total Master''s'!AQ45)*100</f>
        <v>70.221270521056383</v>
      </c>
      <c r="AQ43" s="138">
        <f>(Gender!CI45/'Total Master''s'!AR45)*100</f>
        <v>64.197445154123855</v>
      </c>
      <c r="AR43" s="138">
        <f>(Gender!CJ45/'Total Master''s'!AS45)*100</f>
        <v>61.29899008616696</v>
      </c>
      <c r="AS43" s="138">
        <f>(Gender!CK45/'Total Master''s'!AT45)*100</f>
        <v>61.80715935334873</v>
      </c>
    </row>
    <row r="44" spans="1:45" s="141" customFormat="1">
      <c r="A44" s="128" t="s">
        <v>82</v>
      </c>
      <c r="B44" s="138">
        <f>(Gender!AT46/'Total Master''s'!C46)*100</f>
        <v>37.057272042200452</v>
      </c>
      <c r="C44" s="138">
        <f>(Gender!AU46/'Total Master''s'!D46)*100</f>
        <v>35.563321684140462</v>
      </c>
      <c r="D44" s="138">
        <f>(Gender!AV46/'Total Master''s'!E46)*100</f>
        <v>37.026716931650547</v>
      </c>
      <c r="E44" s="138">
        <f>(Gender!AW46/'Total Master''s'!F46)*100</f>
        <v>38.141078838174273</v>
      </c>
      <c r="F44" s="138">
        <f>(Gender!AX46/'Total Master''s'!G46)*100</f>
        <v>39.829828222828709</v>
      </c>
      <c r="G44" s="138">
        <f>(Gender!AY46/'Total Master''s'!H46)*100</f>
        <v>40.089552238805972</v>
      </c>
      <c r="H44" s="138">
        <f>(Gender!AZ46/'Total Master''s'!I46)*100</f>
        <v>38.26652508627555</v>
      </c>
      <c r="I44" s="138">
        <f>(Gender!BA46/'Total Master''s'!J46)*100</f>
        <v>38.201569100784546</v>
      </c>
      <c r="J44" s="138">
        <f>(Gender!BB46/'Total Master''s'!K46)*100</f>
        <v>39.683319013133669</v>
      </c>
      <c r="K44" s="138">
        <f>(Gender!BC46/'Total Master''s'!L46)*100</f>
        <v>41.586725434275344</v>
      </c>
      <c r="L44" s="138">
        <f>(Gender!BD46/'Total Master''s'!M46)*100</f>
        <v>42.342819324950362</v>
      </c>
      <c r="M44" s="138">
        <f>(Gender!BE46/'Total Master''s'!N46)*100</f>
        <v>43.957663451232584</v>
      </c>
      <c r="N44" s="138">
        <f>(Gender!BF46/'Total Master''s'!O46)*100</f>
        <v>45.44650751547303</v>
      </c>
      <c r="O44" s="138">
        <f>(Gender!BG46/'Total Master''s'!P46)*100</f>
        <v>42.90709290709291</v>
      </c>
      <c r="P44" s="138">
        <f>(Gender!BH46/'Total Master''s'!Q46)*100</f>
        <v>43.18599067928259</v>
      </c>
      <c r="Q44" s="138">
        <f>(Gender!BI46/'Total Master''s'!R46)*100</f>
        <v>43.502070255108855</v>
      </c>
      <c r="R44" s="138">
        <f>(Gender!BJ46/'Total Master''s'!S46)*100</f>
        <v>45.247245708429411</v>
      </c>
      <c r="S44" s="138">
        <f>(Gender!BK46/'Total Master''s'!T46)*100</f>
        <v>46.005473739085105</v>
      </c>
      <c r="T44" s="138">
        <f>(Gender!BL46/'Total Master''s'!U46)*100</f>
        <v>45.467171717171716</v>
      </c>
      <c r="U44" s="138">
        <f>(Gender!BM46/'Total Master''s'!V46)*100</f>
        <v>46.563192904656319</v>
      </c>
      <c r="V44" s="138">
        <f>(Gender!BN46/'Total Master''s'!W46)*100</f>
        <v>47.593023255813954</v>
      </c>
      <c r="W44" s="138">
        <f>(Gender!BO46/'Total Master''s'!X46)*100</f>
        <v>49.419795221843003</v>
      </c>
      <c r="X44" s="138">
        <f>(Gender!BP46/'Total Master''s'!Y46)*100</f>
        <v>49.675704412546516</v>
      </c>
      <c r="Y44" s="138">
        <f>(Gender!BQ46/'Total Master''s'!Z46)*100</f>
        <v>50.661077071912288</v>
      </c>
      <c r="Z44" s="138">
        <f>(Gender!BR46/'Total Master''s'!AA46)*100</f>
        <v>50.049358341559724</v>
      </c>
      <c r="AA44" s="138">
        <f>(Gender!BS46/'Total Master''s'!AB46)*100</f>
        <v>50.970545630130374</v>
      </c>
      <c r="AB44" s="138">
        <f>(Gender!BT46/'Total Master''s'!AC46)*100</f>
        <v>50.72450392247346</v>
      </c>
      <c r="AC44" s="138">
        <f>(Gender!BU46/'Total Master''s'!AD46)*100</f>
        <v>55.15587529976019</v>
      </c>
      <c r="AD44" s="138">
        <f>(Gender!BV46/'Total Master''s'!AE46)*100</f>
        <v>56.041505874281796</v>
      </c>
      <c r="AE44" s="138">
        <f>(Gender!BW46/'Total Master''s'!AF46)*100</f>
        <v>56.801456041782075</v>
      </c>
      <c r="AF44" s="138">
        <f>(Gender!BX46/'Total Master''s'!AG46)*100</f>
        <v>57.591824189334559</v>
      </c>
      <c r="AG44" s="138">
        <f>(Gender!BY46/'Total Master''s'!AH46)*100</f>
        <v>56.918846611177166</v>
      </c>
      <c r="AH44" s="138">
        <f>(Gender!BZ46/'Total Master''s'!AI46)*100</f>
        <v>57.891332470892628</v>
      </c>
      <c r="AI44" s="138">
        <f>(Gender!CA46/'Total Master''s'!AJ46)*100</f>
        <v>56.911038419601056</v>
      </c>
      <c r="AJ44" s="138">
        <f>(Gender!CB46/'Total Master''s'!AK46)*100</f>
        <v>57.899268187688335</v>
      </c>
      <c r="AK44" s="138">
        <f>(Gender!CC46/'Total Master''s'!AL46)*100</f>
        <v>57.543655413271246</v>
      </c>
      <c r="AL44" s="138">
        <f>(Gender!CD46/'Total Master''s'!AM46)*100</f>
        <v>58.730902066381788</v>
      </c>
      <c r="AM44" s="138">
        <f>(Gender!CE46/'Total Master''s'!AN46)*100</f>
        <v>59.621142330723167</v>
      </c>
      <c r="AN44" s="138">
        <f>(Gender!CF46/'Total Master''s'!AO46)*100</f>
        <v>58.343195266272183</v>
      </c>
      <c r="AO44" s="138">
        <f>(Gender!CG46/'Total Master''s'!AP46)*100</f>
        <v>57.984829848298482</v>
      </c>
      <c r="AP44" s="138">
        <f>(Gender!CH46/'Total Master''s'!AQ46)*100</f>
        <v>58.715738398802451</v>
      </c>
      <c r="AQ44" s="138">
        <f>(Gender!CI46/'Total Master''s'!AR46)*100</f>
        <v>57.33444275855318</v>
      </c>
      <c r="AR44" s="138">
        <f>(Gender!CJ46/'Total Master''s'!AS46)*100</f>
        <v>57.509958224035749</v>
      </c>
      <c r="AS44" s="138">
        <f>(Gender!CK46/'Total Master''s'!AT46)*100</f>
        <v>56.752051728425769</v>
      </c>
    </row>
    <row r="45" spans="1:45" s="141" customFormat="1">
      <c r="A45" s="128" t="s">
        <v>83</v>
      </c>
      <c r="B45" s="138">
        <f>(Gender!AT47/'Total Master''s'!C47)*100</f>
        <v>36.888532477947074</v>
      </c>
      <c r="C45" s="138">
        <f>(Gender!AU47/'Total Master''s'!D47)*100</f>
        <v>38.864628820960704</v>
      </c>
      <c r="D45" s="138">
        <f>(Gender!AV47/'Total Master''s'!E47)*100</f>
        <v>36.498708010335918</v>
      </c>
      <c r="E45" s="138">
        <f>(Gender!AW47/'Total Master''s'!F47)*100</f>
        <v>36.069812540400775</v>
      </c>
      <c r="F45" s="138">
        <f>(Gender!AX47/'Total Master''s'!G47)*100</f>
        <v>39.119000657462195</v>
      </c>
      <c r="G45" s="138">
        <f>(Gender!AY47/'Total Master''s'!H47)*100</f>
        <v>42.122610415293344</v>
      </c>
      <c r="H45" s="138">
        <f>(Gender!AZ47/'Total Master''s'!I47)*100</f>
        <v>38.53092783505155</v>
      </c>
      <c r="I45" s="138">
        <f>(Gender!BA47/'Total Master''s'!J47)*100</f>
        <v>44.325239977413887</v>
      </c>
      <c r="J45" s="138">
        <f>(Gender!BB47/'Total Master''s'!K47)*100</f>
        <v>45.044052863436121</v>
      </c>
      <c r="K45" s="138">
        <f>(Gender!BC47/'Total Master''s'!L47)*100</f>
        <v>47.588611272515976</v>
      </c>
      <c r="L45" s="138">
        <f>(Gender!BD47/'Total Master''s'!M47)*100</f>
        <v>51.21373593842511</v>
      </c>
      <c r="M45" s="138">
        <f>(Gender!BE47/'Total Master''s'!N47)*100</f>
        <v>50.526315789473685</v>
      </c>
      <c r="N45" s="138">
        <f>(Gender!BF47/'Total Master''s'!O47)*100</f>
        <v>53.647514525500327</v>
      </c>
      <c r="O45" s="138">
        <f>(Gender!BG47/'Total Master''s'!P47)*100</f>
        <v>51.193317422434369</v>
      </c>
      <c r="P45" s="138">
        <f>(Gender!BH47/'Total Master''s'!Q47)*100</f>
        <v>52.527191298784395</v>
      </c>
      <c r="Q45" s="138">
        <f>(Gender!BI47/'Total Master''s'!R47)*100</f>
        <v>53.537170263788965</v>
      </c>
      <c r="R45" s="138">
        <f>(Gender!BJ47/'Total Master''s'!S47)*100</f>
        <v>54.467564259485926</v>
      </c>
      <c r="S45" s="138">
        <f>(Gender!BK47/'Total Master''s'!T47)*100</f>
        <v>56.18396519577378</v>
      </c>
      <c r="T45" s="138">
        <f>(Gender!BL47/'Total Master''s'!U47)*100</f>
        <v>56.155632984901281</v>
      </c>
      <c r="U45" s="138">
        <f>(Gender!BM47/'Total Master''s'!V47)*100</f>
        <v>54.954954954954957</v>
      </c>
      <c r="V45" s="138">
        <f>(Gender!BN47/'Total Master''s'!W47)*100</f>
        <v>54.349095154699356</v>
      </c>
      <c r="W45" s="138">
        <f>(Gender!BO47/'Total Master''s'!X47)*100</f>
        <v>60.023654642223534</v>
      </c>
      <c r="X45" s="138">
        <f>(Gender!BP47/'Total Master''s'!Y47)*100</f>
        <v>55.893137768465159</v>
      </c>
      <c r="Y45" s="138">
        <f>(Gender!BQ47/'Total Master''s'!Z47)*100</f>
        <v>58.893871449925264</v>
      </c>
      <c r="Z45" s="138">
        <f>(Gender!BR47/'Total Master''s'!AA47)*100</f>
        <v>57.155838255338487</v>
      </c>
      <c r="AA45" s="138">
        <f>(Gender!BS47/'Total Master''s'!AB47)*100</f>
        <v>58.836589698046183</v>
      </c>
      <c r="AB45" s="138">
        <f>(Gender!BT47/'Total Master''s'!AC47)*100</f>
        <v>60.598398651495998</v>
      </c>
      <c r="AC45" s="138">
        <f>(Gender!BU47/'Total Master''s'!AD47)*100</f>
        <v>59.290187891440503</v>
      </c>
      <c r="AD45" s="138">
        <f>(Gender!BV47/'Total Master''s'!AE47)*100</f>
        <v>55.938037865748711</v>
      </c>
      <c r="AE45" s="138">
        <f>(Gender!BW47/'Total Master''s'!AF47)*100</f>
        <v>54.385370809346426</v>
      </c>
      <c r="AF45" s="138">
        <f>(Gender!BX47/'Total Master''s'!AG47)*100</f>
        <v>54.313319530710835</v>
      </c>
      <c r="AG45" s="138">
        <f>(Gender!BY47/'Total Master''s'!AH47)*100</f>
        <v>56.479447756510822</v>
      </c>
      <c r="AH45" s="138">
        <f>(Gender!BZ47/'Total Master''s'!AI47)*100</f>
        <v>58.112737464964184</v>
      </c>
      <c r="AI45" s="138">
        <f>(Gender!CA47/'Total Master''s'!AJ47)*100</f>
        <v>57.826210019813182</v>
      </c>
      <c r="AJ45" s="138">
        <f>(Gender!CB47/'Total Master''s'!AK47)*100</f>
        <v>59.889807162534439</v>
      </c>
      <c r="AK45" s="138">
        <f>(Gender!CC47/'Total Master''s'!AL47)*100</f>
        <v>59.832317073170728</v>
      </c>
      <c r="AL45" s="138">
        <f>(Gender!CD47/'Total Master''s'!AM47)*100</f>
        <v>59.676195294712876</v>
      </c>
      <c r="AM45" s="138">
        <f>(Gender!CE47/'Total Master''s'!AN47)*100</f>
        <v>61.560123908758094</v>
      </c>
      <c r="AN45" s="138">
        <f>(Gender!CF47/'Total Master''s'!AO47)*100</f>
        <v>61.186113789778204</v>
      </c>
      <c r="AO45" s="138">
        <f>(Gender!CG47/'Total Master''s'!AP47)*100</f>
        <v>64.506726457399097</v>
      </c>
      <c r="AP45" s="138">
        <f>(Gender!CH47/'Total Master''s'!AQ47)*100</f>
        <v>62.053162236480297</v>
      </c>
      <c r="AQ45" s="138">
        <f>(Gender!CI47/'Total Master''s'!AR47)*100</f>
        <v>62.532023911187018</v>
      </c>
      <c r="AR45" s="138">
        <f>(Gender!CJ47/'Total Master''s'!AS47)*100</f>
        <v>61.490923136346076</v>
      </c>
      <c r="AS45" s="138">
        <f>(Gender!CK47/'Total Master''s'!AT47)*100</f>
        <v>61.321884984025552</v>
      </c>
    </row>
    <row r="46" spans="1:45" s="141" customFormat="1">
      <c r="A46" s="128" t="s">
        <v>84</v>
      </c>
      <c r="B46" s="138">
        <f>(Gender!AT48/'Total Master''s'!C48)*100</f>
        <v>21.47937411095306</v>
      </c>
      <c r="C46" s="138">
        <f>(Gender!AU48/'Total Master''s'!D48)*100</f>
        <v>27.218045112781951</v>
      </c>
      <c r="D46" s="138">
        <f>(Gender!AV48/'Total Master''s'!E48)*100</f>
        <v>31.170662905500706</v>
      </c>
      <c r="E46" s="138">
        <f>(Gender!AW48/'Total Master''s'!F48)*100</f>
        <v>26.434782608695649</v>
      </c>
      <c r="F46" s="138">
        <f>(Gender!AX48/'Total Master''s'!G48)*100</f>
        <v>27.758620689655171</v>
      </c>
      <c r="G46" s="138">
        <f>(Gender!AY48/'Total Master''s'!H48)*100</f>
        <v>25.9656652360515</v>
      </c>
      <c r="H46" s="138">
        <f>(Gender!AZ48/'Total Master''s'!I48)*100</f>
        <v>28.697571743929362</v>
      </c>
      <c r="I46" s="138">
        <f>(Gender!BA48/'Total Master''s'!J48)*100</f>
        <v>30.813953488372093</v>
      </c>
      <c r="J46" s="138">
        <f>(Gender!BB48/'Total Master''s'!K48)*100</f>
        <v>31.147540983606557</v>
      </c>
      <c r="K46" s="138">
        <f>(Gender!BC48/'Total Master''s'!L48)*100</f>
        <v>36.774193548387096</v>
      </c>
      <c r="L46" s="138">
        <f>(Gender!BD48/'Total Master''s'!M48)*100</f>
        <v>40.084388185654007</v>
      </c>
      <c r="M46" s="138">
        <f>(Gender!BE48/'Total Master''s'!N48)*100</f>
        <v>44.849785407725321</v>
      </c>
      <c r="N46" s="138">
        <f>(Gender!BF48/'Total Master''s'!O48)*100</f>
        <v>40.604751619870413</v>
      </c>
      <c r="O46" s="138">
        <f>(Gender!BG48/'Total Master''s'!P48)*100</f>
        <v>39.008620689655174</v>
      </c>
      <c r="P46" s="138">
        <f>(Gender!BH48/'Total Master''s'!Q48)*100</f>
        <v>47.321428571428569</v>
      </c>
      <c r="Q46" s="138">
        <f>(Gender!BI48/'Total Master''s'!R48)*100</f>
        <v>46.014492753623188</v>
      </c>
      <c r="R46" s="138">
        <f>(Gender!BJ48/'Total Master''s'!S48)*100</f>
        <v>47.940074906367045</v>
      </c>
      <c r="S46" s="138">
        <f>(Gender!BK48/'Total Master''s'!T48)*100</f>
        <v>55.195911413969334</v>
      </c>
      <c r="T46" s="138">
        <f>(Gender!BL48/'Total Master''s'!U48)*100</f>
        <v>47.43150684931507</v>
      </c>
      <c r="U46" s="138">
        <f>(Gender!BM48/'Total Master''s'!V48)*100</f>
        <v>49.395509499136445</v>
      </c>
      <c r="V46" s="138">
        <f>(Gender!BN48/'Total Master''s'!W48)*100</f>
        <v>48.225806451612904</v>
      </c>
      <c r="W46" s="138">
        <f>(Gender!BO48/'Total Master''s'!X48)*100</f>
        <v>49.574105621805792</v>
      </c>
      <c r="X46" s="138">
        <f>(Gender!BP48/'Total Master''s'!Y48)*100</f>
        <v>55.24475524475524</v>
      </c>
      <c r="Y46" s="138">
        <f>(Gender!BQ48/'Total Master''s'!Z48)*100</f>
        <v>57.627118644067799</v>
      </c>
      <c r="Z46" s="138">
        <f>(Gender!BR48/'Total Master''s'!AA48)*100</f>
        <v>56.000000000000007</v>
      </c>
      <c r="AA46" s="138">
        <f>(Gender!BS48/'Total Master''s'!AB48)*100</f>
        <v>54.617834394904463</v>
      </c>
      <c r="AB46" s="138">
        <f>(Gender!BT48/'Total Master''s'!AC48)*100</f>
        <v>57.021276595744688</v>
      </c>
      <c r="AC46" s="138">
        <f>(Gender!BU48/'Total Master''s'!AD48)*100</f>
        <v>61.735419630156471</v>
      </c>
      <c r="AD46" s="138">
        <f>(Gender!BV48/'Total Master''s'!AE48)*100</f>
        <v>56.919060052219315</v>
      </c>
      <c r="AE46" s="138">
        <f>(Gender!BW48/'Total Master''s'!AF48)*100</f>
        <v>61.397058823529413</v>
      </c>
      <c r="AF46" s="138">
        <f>(Gender!BX48/'Total Master''s'!AG48)*100</f>
        <v>62.688296639629201</v>
      </c>
      <c r="AG46" s="138">
        <f>(Gender!BY48/'Total Master''s'!AH48)*100</f>
        <v>60.688836104513065</v>
      </c>
      <c r="AH46" s="138">
        <f>(Gender!BZ48/'Total Master''s'!AI48)*100</f>
        <v>59.036144578313255</v>
      </c>
      <c r="AI46" s="138">
        <f>(Gender!CA48/'Total Master''s'!AJ48)*100</f>
        <v>57.650862068965516</v>
      </c>
      <c r="AJ46" s="138">
        <f>(Gender!CB48/'Total Master''s'!AK48)*100</f>
        <v>58.728652751423148</v>
      </c>
      <c r="AK46" s="138">
        <f>(Gender!CC48/'Total Master''s'!AL48)*100</f>
        <v>57.518115942028977</v>
      </c>
      <c r="AL46" s="138">
        <f>(Gender!CD48/'Total Master''s'!AM48)*100</f>
        <v>60.154241645244213</v>
      </c>
      <c r="AM46" s="138">
        <f>(Gender!CE48/'Total Master''s'!AN48)*100</f>
        <v>59.301442672741075</v>
      </c>
      <c r="AN46" s="138">
        <f>(Gender!CF48/'Total Master''s'!AO48)*100</f>
        <v>56.938159879336347</v>
      </c>
      <c r="AO46" s="138">
        <f>(Gender!CG48/'Total Master''s'!AP48)*100</f>
        <v>60.192735359525571</v>
      </c>
      <c r="AP46" s="138">
        <f>(Gender!CH48/'Total Master''s'!AQ48)*100</f>
        <v>63.002873563218387</v>
      </c>
      <c r="AQ46" s="138">
        <f>(Gender!CI48/'Total Master''s'!AR48)*100</f>
        <v>64.949109414758269</v>
      </c>
      <c r="AR46" s="138">
        <f>(Gender!CJ48/'Total Master''s'!AS48)*100</f>
        <v>63.304347826086961</v>
      </c>
      <c r="AS46" s="138">
        <f>(Gender!CK48/'Total Master''s'!AT48)*100</f>
        <v>61.873508353221965</v>
      </c>
    </row>
    <row r="47" spans="1:45" s="141" customFormat="1">
      <c r="A47" s="128" t="s">
        <v>85</v>
      </c>
      <c r="B47" s="138">
        <f>(Gender!AT49/'Total Master''s'!C49)*100</f>
        <v>37.997945440018263</v>
      </c>
      <c r="C47" s="138">
        <f>(Gender!AU49/'Total Master''s'!D49)*100</f>
        <v>37.021102233148945</v>
      </c>
      <c r="D47" s="138">
        <f>(Gender!AV49/'Total Master''s'!E49)*100</f>
        <v>38.131930088329263</v>
      </c>
      <c r="E47" s="138">
        <f>(Gender!AW49/'Total Master''s'!F49)*100</f>
        <v>37.881670743861555</v>
      </c>
      <c r="F47" s="138">
        <f>(Gender!AX49/'Total Master''s'!G49)*100</f>
        <v>40.2247591865858</v>
      </c>
      <c r="G47" s="138">
        <f>(Gender!AY49/'Total Master''s'!H49)*100</f>
        <v>42.587418508170352</v>
      </c>
      <c r="H47" s="138">
        <f>(Gender!AZ49/'Total Master''s'!I49)*100</f>
        <v>43.799019607843135</v>
      </c>
      <c r="I47" s="138">
        <f>(Gender!BA49/'Total Master''s'!J49)*100</f>
        <v>45.195591431232536</v>
      </c>
      <c r="J47" s="138">
        <f>(Gender!BB49/'Total Master''s'!K49)*100</f>
        <v>47.826775393872218</v>
      </c>
      <c r="K47" s="138">
        <f>(Gender!BC49/'Total Master''s'!L49)*100</f>
        <v>49.307479224376735</v>
      </c>
      <c r="L47" s="138">
        <f>(Gender!BD49/'Total Master''s'!M49)*100</f>
        <v>48.896945387226168</v>
      </c>
      <c r="M47" s="138">
        <f>(Gender!BE49/'Total Master''s'!N49)*100</f>
        <v>50.397757405864084</v>
      </c>
      <c r="N47" s="138">
        <f>(Gender!BF49/'Total Master''s'!O49)*100</f>
        <v>50.887486075009278</v>
      </c>
      <c r="O47" s="138">
        <f>(Gender!BG49/'Total Master''s'!P49)*100</f>
        <v>50.323974082073434</v>
      </c>
      <c r="P47" s="138">
        <f>(Gender!BH49/'Total Master''s'!Q49)*100</f>
        <v>49.741920114349242</v>
      </c>
      <c r="Q47" s="138">
        <f>(Gender!BI49/'Total Master''s'!R49)*100</f>
        <v>50.175725378013894</v>
      </c>
      <c r="R47" s="138">
        <f>(Gender!BJ49/'Total Master''s'!S49)*100</f>
        <v>51.1168100595632</v>
      </c>
      <c r="S47" s="138">
        <f>(Gender!BK49/'Total Master''s'!T49)*100</f>
        <v>52.974527526705018</v>
      </c>
      <c r="T47" s="138">
        <f>(Gender!BL49/'Total Master''s'!U49)*100</f>
        <v>53.668900147082852</v>
      </c>
      <c r="U47" s="138">
        <f>(Gender!BM49/'Total Master''s'!V49)*100</f>
        <v>53.701821593307798</v>
      </c>
      <c r="V47" s="138">
        <f>(Gender!BN49/'Total Master''s'!W49)*100</f>
        <v>53.720912372321635</v>
      </c>
      <c r="W47" s="138">
        <f>(Gender!BO49/'Total Master''s'!X49)*100</f>
        <v>54.145579041381367</v>
      </c>
      <c r="X47" s="138">
        <f>(Gender!BP49/'Total Master''s'!Y49)*100</f>
        <v>54.680232558139529</v>
      </c>
      <c r="Y47" s="138">
        <f>(Gender!BQ49/'Total Master''s'!Z49)*100</f>
        <v>55.662766030247035</v>
      </c>
      <c r="Z47" s="138">
        <f>(Gender!BR49/'Total Master''s'!AA49)*100</f>
        <v>55.743062966915687</v>
      </c>
      <c r="AA47" s="138">
        <f>(Gender!BS49/'Total Master''s'!AB49)*100</f>
        <v>56.359264314031321</v>
      </c>
      <c r="AB47" s="138">
        <f>(Gender!BT49/'Total Master''s'!AC49)*100</f>
        <v>57.332161024932496</v>
      </c>
      <c r="AC47" s="138">
        <f>(Gender!BU49/'Total Master''s'!AD49)*100</f>
        <v>56.949584420311837</v>
      </c>
      <c r="AD47" s="138">
        <f>(Gender!BV49/'Total Master''s'!AE49)*100</f>
        <v>57.191559395756187</v>
      </c>
      <c r="AE47" s="138">
        <f>(Gender!BW49/'Total Master''s'!AF49)*100</f>
        <v>57.694826457105428</v>
      </c>
      <c r="AF47" s="138">
        <f>(Gender!BX49/'Total Master''s'!AG49)*100</f>
        <v>58.503643149102544</v>
      </c>
      <c r="AG47" s="138">
        <f>(Gender!BY49/'Total Master''s'!AH49)*100</f>
        <v>59.266409266409269</v>
      </c>
      <c r="AH47" s="138">
        <f>(Gender!BZ49/'Total Master''s'!AI49)*100</f>
        <v>59.587298074795314</v>
      </c>
      <c r="AI47" s="138">
        <f>(Gender!CA49/'Total Master''s'!AJ49)*100</f>
        <v>59.912877178070545</v>
      </c>
      <c r="AJ47" s="138">
        <f>(Gender!CB49/'Total Master''s'!AK49)*100</f>
        <v>59.704597462034535</v>
      </c>
      <c r="AK47" s="138">
        <f>(Gender!CC49/'Total Master''s'!AL49)*100</f>
        <v>59.56777996070727</v>
      </c>
      <c r="AL47" s="138">
        <f>(Gender!CD49/'Total Master''s'!AM49)*100</f>
        <v>60.067698259187615</v>
      </c>
      <c r="AM47" s="138">
        <f>(Gender!CE49/'Total Master''s'!AN49)*100</f>
        <v>60.586015973345098</v>
      </c>
      <c r="AN47" s="138">
        <f>(Gender!CF49/'Total Master''s'!AO49)*100</f>
        <v>61.382711366115039</v>
      </c>
      <c r="AO47" s="138">
        <f>(Gender!CG49/'Total Master''s'!AP49)*100</f>
        <v>60.345068130028366</v>
      </c>
      <c r="AP47" s="138">
        <f>(Gender!CH49/'Total Master''s'!AQ49)*100</f>
        <v>61.06653443923549</v>
      </c>
      <c r="AQ47" s="138">
        <f>(Gender!CI49/'Total Master''s'!AR49)*100</f>
        <v>60.434705778406084</v>
      </c>
      <c r="AR47" s="138">
        <f>(Gender!CJ49/'Total Master''s'!AS49)*100</f>
        <v>59.371376511512338</v>
      </c>
      <c r="AS47" s="138">
        <f>(Gender!CK49/'Total Master''s'!AT49)*100</f>
        <v>59.276332956423417</v>
      </c>
    </row>
    <row r="48" spans="1:45" s="141" customFormat="1">
      <c r="A48" s="128" t="s">
        <v>86</v>
      </c>
      <c r="B48" s="138">
        <f>(Gender!AT50/'Total Master''s'!C50)*100</f>
        <v>25.027808676307007</v>
      </c>
      <c r="C48" s="138">
        <f>(Gender!AU50/'Total Master''s'!D50)*100</f>
        <v>25.635103926096996</v>
      </c>
      <c r="D48" s="138">
        <f>(Gender!AV50/'Total Master''s'!E50)*100</f>
        <v>27.982162764771463</v>
      </c>
      <c r="E48" s="138">
        <f>(Gender!AW50/'Total Master''s'!F50)*100</f>
        <v>24.23076923076923</v>
      </c>
      <c r="F48" s="138">
        <f>(Gender!AX50/'Total Master''s'!G50)*100</f>
        <v>30.758807588075882</v>
      </c>
      <c r="G48" s="138">
        <f>(Gender!AY50/'Total Master''s'!H50)*100</f>
        <v>28.776978417266186</v>
      </c>
      <c r="H48" s="138">
        <f>(Gender!AZ50/'Total Master''s'!I50)*100</f>
        <v>35.694444444444443</v>
      </c>
      <c r="I48" s="138">
        <f>(Gender!BA50/'Total Master''s'!J50)*100</f>
        <v>38.352638352638351</v>
      </c>
      <c r="J48" s="138">
        <f>(Gender!BB50/'Total Master''s'!K50)*100</f>
        <v>37.025796661608496</v>
      </c>
      <c r="K48" s="138">
        <f>(Gender!BC50/'Total Master''s'!L50)*100</f>
        <v>40.849194729136165</v>
      </c>
      <c r="L48" s="138">
        <f>(Gender!BD50/'Total Master''s'!M50)*100</f>
        <v>37.086092715231786</v>
      </c>
      <c r="M48" s="138">
        <f>(Gender!BE50/'Total Master''s'!N50)*100</f>
        <v>40.901213171577119</v>
      </c>
      <c r="N48" s="138">
        <f>(Gender!BF50/'Total Master''s'!O50)*100</f>
        <v>44.505494505494504</v>
      </c>
      <c r="O48" s="138">
        <f>(Gender!BG50/'Total Master''s'!P50)*100</f>
        <v>43.554952510176392</v>
      </c>
      <c r="P48" s="138">
        <f>(Gender!BH50/'Total Master''s'!Q50)*100</f>
        <v>41.724617524339358</v>
      </c>
      <c r="Q48" s="138">
        <f>(Gender!BI50/'Total Master''s'!R50)*100</f>
        <v>42.954856361149112</v>
      </c>
      <c r="R48" s="138">
        <f>(Gender!BJ50/'Total Master''s'!S50)*100</f>
        <v>43.221476510067113</v>
      </c>
      <c r="S48" s="138">
        <f>(Gender!BK50/'Total Master''s'!T50)*100</f>
        <v>43.810848400556331</v>
      </c>
      <c r="T48" s="138">
        <f>(Gender!BL50/'Total Master''s'!U50)*100</f>
        <v>48.015873015873019</v>
      </c>
      <c r="U48" s="138">
        <f>(Gender!BM50/'Total Master''s'!V50)*100</f>
        <v>46.910466582597735</v>
      </c>
      <c r="V48" s="138">
        <f>(Gender!BN50/'Total Master''s'!W50)*100</f>
        <v>49.02470741222367</v>
      </c>
      <c r="W48" s="138">
        <f>(Gender!BO50/'Total Master''s'!X50)*100</f>
        <v>51.728553137003843</v>
      </c>
      <c r="X48" s="138">
        <f>(Gender!BP50/'Total Master''s'!Y50)*100</f>
        <v>49.426751592356688</v>
      </c>
      <c r="Y48" s="138">
        <f>(Gender!BQ50/'Total Master''s'!Z50)*100</f>
        <v>48.740416210295727</v>
      </c>
      <c r="Z48" s="138">
        <f>(Gender!BR50/'Total Master''s'!AA50)*100</f>
        <v>53.660886319845858</v>
      </c>
      <c r="AA48" s="138">
        <f>(Gender!BS50/'Total Master''s'!AB50)*100</f>
        <v>55.213505461767632</v>
      </c>
      <c r="AB48" s="138">
        <f>(Gender!BT50/'Total Master''s'!AC50)*100</f>
        <v>51.600753295668547</v>
      </c>
      <c r="AC48" s="138">
        <f>(Gender!BU50/'Total Master''s'!AD50)*100</f>
        <v>54.040895813047705</v>
      </c>
      <c r="AD48" s="138">
        <f>(Gender!BV50/'Total Master''s'!AE50)*100</f>
        <v>53.14834578441836</v>
      </c>
      <c r="AE48" s="138">
        <f>(Gender!BW50/'Total Master''s'!AF50)*100</f>
        <v>55.816326530612251</v>
      </c>
      <c r="AF48" s="138">
        <f>(Gender!BX50/'Total Master''s'!AG50)*100</f>
        <v>55.31674208144797</v>
      </c>
      <c r="AG48" s="138">
        <f>(Gender!BY50/'Total Master''s'!AH50)*100</f>
        <v>55.035605289928789</v>
      </c>
      <c r="AH48" s="138">
        <f>(Gender!BZ50/'Total Master''s'!AI50)*100</f>
        <v>57.051961823966067</v>
      </c>
      <c r="AI48" s="138">
        <f>(Gender!CA50/'Total Master''s'!AJ50)*100</f>
        <v>55.140186915887845</v>
      </c>
      <c r="AJ48" s="138">
        <f>(Gender!CB50/'Total Master''s'!AK50)*100</f>
        <v>56.182795698924728</v>
      </c>
      <c r="AK48" s="138">
        <f>(Gender!CC50/'Total Master''s'!AL50)*100</f>
        <v>54.889071487263763</v>
      </c>
      <c r="AL48" s="138">
        <f>(Gender!CD50/'Total Master''s'!AM50)*100</f>
        <v>56.311548791405549</v>
      </c>
      <c r="AM48" s="138">
        <f>(Gender!CE50/'Total Master''s'!AN50)*100</f>
        <v>58.102434928631396</v>
      </c>
      <c r="AN48" s="138">
        <f>(Gender!CF50/'Total Master''s'!AO50)*100</f>
        <v>58.809332260659694</v>
      </c>
      <c r="AO48" s="138">
        <f>(Gender!CG50/'Total Master''s'!AP50)*100</f>
        <v>59.01771336553945</v>
      </c>
      <c r="AP48" s="138">
        <f>(Gender!CH50/'Total Master''s'!AQ50)*100</f>
        <v>59.358288770053477</v>
      </c>
      <c r="AQ48" s="138">
        <f>(Gender!CI50/'Total Master''s'!AR50)*100</f>
        <v>56.341976173791174</v>
      </c>
      <c r="AR48" s="138">
        <f>(Gender!CJ50/'Total Master''s'!AS50)*100</f>
        <v>57.055214723926383</v>
      </c>
      <c r="AS48" s="138">
        <f>(Gender!CK50/'Total Master''s'!AT50)*100</f>
        <v>56.878306878306887</v>
      </c>
    </row>
    <row r="49" spans="1:45" s="141" customFormat="1">
      <c r="A49" s="129" t="s">
        <v>87</v>
      </c>
      <c r="B49" s="139">
        <f>(Gender!AT51/'Total Master''s'!C51)*100</f>
        <v>39.232760649564604</v>
      </c>
      <c r="C49" s="139">
        <f>(Gender!AU51/'Total Master''s'!D51)*100</f>
        <v>39.439252336448597</v>
      </c>
      <c r="D49" s="139">
        <f>(Gender!AV51/'Total Master''s'!E51)*100</f>
        <v>37.950819672131146</v>
      </c>
      <c r="E49" s="139">
        <f>(Gender!AW51/'Total Master''s'!F51)*100</f>
        <v>36.75541084083509</v>
      </c>
      <c r="F49" s="139">
        <f>(Gender!AX51/'Total Master''s'!G51)*100</f>
        <v>38.240270727580373</v>
      </c>
      <c r="G49" s="139">
        <f>(Gender!AY51/'Total Master''s'!H51)*100</f>
        <v>40.995172669884887</v>
      </c>
      <c r="H49" s="139">
        <f>(Gender!AZ51/'Total Master''s'!I51)*100</f>
        <v>43.837535014005603</v>
      </c>
      <c r="I49" s="139">
        <f>(Gender!BA51/'Total Master''s'!J51)*100</f>
        <v>45.292351174704116</v>
      </c>
      <c r="J49" s="139">
        <f>(Gender!BB51/'Total Master''s'!K51)*100</f>
        <v>46.726737771239421</v>
      </c>
      <c r="K49" s="139">
        <f>(Gender!BC51/'Total Master''s'!L51)*100</f>
        <v>47.443609022556394</v>
      </c>
      <c r="L49" s="139">
        <f>(Gender!BD51/'Total Master''s'!M51)*100</f>
        <v>48.224685327822655</v>
      </c>
      <c r="M49" s="139">
        <f>(Gender!BE51/'Total Master''s'!N51)*100</f>
        <v>49.53846153846154</v>
      </c>
      <c r="N49" s="139">
        <f>(Gender!BF51/'Total Master''s'!O51)*100</f>
        <v>49.332330261425618</v>
      </c>
      <c r="O49" s="139">
        <f>(Gender!BG51/'Total Master''s'!P51)*100</f>
        <v>48.869395711500971</v>
      </c>
      <c r="P49" s="139">
        <f>(Gender!BH51/'Total Master''s'!Q51)*100</f>
        <v>49.516587677725113</v>
      </c>
      <c r="Q49" s="139">
        <f>(Gender!BI51/'Total Master''s'!R51)*100</f>
        <v>49.710334516912724</v>
      </c>
      <c r="R49" s="139">
        <f>(Gender!BJ51/'Total Master''s'!S51)*100</f>
        <v>51.633986928104584</v>
      </c>
      <c r="S49" s="139">
        <f>(Gender!BK51/'Total Master''s'!T51)*100</f>
        <v>50.834260289210235</v>
      </c>
      <c r="T49" s="139">
        <f>(Gender!BL51/'Total Master''s'!U51)*100</f>
        <v>52.819857638255151</v>
      </c>
      <c r="U49" s="139">
        <f>(Gender!BM51/'Total Master''s'!V51)*100</f>
        <v>50.963319748054836</v>
      </c>
      <c r="V49" s="139">
        <f>(Gender!BN51/'Total Master''s'!W51)*100</f>
        <v>54.215618521078092</v>
      </c>
      <c r="W49" s="139">
        <f>(Gender!BO51/'Total Master''s'!X51)*100</f>
        <v>55.278567843399692</v>
      </c>
      <c r="X49" s="139">
        <f>(Gender!BP51/'Total Master''s'!Y51)*100</f>
        <v>55.854126679462567</v>
      </c>
      <c r="Y49" s="139">
        <f>(Gender!BQ51/'Total Master''s'!Z51)*100</f>
        <v>55.425867507886437</v>
      </c>
      <c r="Z49" s="139">
        <f>(Gender!BR51/'Total Master''s'!AA51)*100</f>
        <v>57.012924844423175</v>
      </c>
      <c r="AA49" s="139">
        <f>(Gender!BS51/'Total Master''s'!AB51)*100</f>
        <v>57.337883959044369</v>
      </c>
      <c r="AB49" s="139">
        <f>(Gender!BT51/'Total Master''s'!AC51)*100</f>
        <v>57.238805970149251</v>
      </c>
      <c r="AC49" s="139">
        <f>(Gender!BU51/'Total Master''s'!AD51)*100</f>
        <v>58.068478427759864</v>
      </c>
      <c r="AD49" s="139">
        <f>(Gender!BV51/'Total Master''s'!AE51)*100</f>
        <v>59.102392628919596</v>
      </c>
      <c r="AE49" s="139">
        <f>(Gender!BW51/'Total Master''s'!AF51)*100</f>
        <v>60.59225512528473</v>
      </c>
      <c r="AF49" s="139">
        <f>(Gender!BX51/'Total Master''s'!AG51)*100</f>
        <v>60.108586940991572</v>
      </c>
      <c r="AG49" s="139">
        <f>(Gender!BY51/'Total Master''s'!AH51)*100</f>
        <v>60.913229780396364</v>
      </c>
      <c r="AH49" s="139">
        <f>(Gender!BZ51/'Total Master''s'!AI51)*100</f>
        <v>61.216924453534446</v>
      </c>
      <c r="AI49" s="139">
        <f>(Gender!CA51/'Total Master''s'!AJ51)*100</f>
        <v>59.531853281853287</v>
      </c>
      <c r="AJ49" s="139">
        <f>(Gender!CB51/'Total Master''s'!AK51)*100</f>
        <v>61.267067176406329</v>
      </c>
      <c r="AK49" s="139">
        <f>(Gender!CC51/'Total Master''s'!AL51)*100</f>
        <v>60.945387792565398</v>
      </c>
      <c r="AL49" s="139">
        <f>(Gender!CD51/'Total Master''s'!AM51)*100</f>
        <v>61.517898651789871</v>
      </c>
      <c r="AM49" s="139">
        <f>(Gender!CE51/'Total Master''s'!AN51)*100</f>
        <v>62.675569882569647</v>
      </c>
      <c r="AN49" s="139">
        <f>(Gender!CF51/'Total Master''s'!AO51)*100</f>
        <v>63.01882513041506</v>
      </c>
      <c r="AO49" s="139">
        <f>(Gender!CG51/'Total Master''s'!AP51)*100</f>
        <v>63.010345978418073</v>
      </c>
      <c r="AP49" s="139">
        <f>(Gender!CH51/'Total Master''s'!AQ51)*100</f>
        <v>61.89320388349514</v>
      </c>
      <c r="AQ49" s="139">
        <f>(Gender!CI51/'Total Master''s'!AR51)*100</f>
        <v>61.588447653429604</v>
      </c>
      <c r="AR49" s="139">
        <f>(Gender!CJ51/'Total Master''s'!AS51)*100</f>
        <v>61.881087662337663</v>
      </c>
      <c r="AS49" s="139">
        <f>(Gender!CK51/'Total Master''s'!AT51)*100</f>
        <v>61.359162954521906</v>
      </c>
    </row>
    <row r="50" spans="1:45" s="141" customFormat="1">
      <c r="A50" s="128" t="s">
        <v>88</v>
      </c>
      <c r="B50" s="138">
        <f>(Gender!AT52/'Total Master''s'!C52)*100</f>
        <v>42.467993722639797</v>
      </c>
      <c r="C50" s="138">
        <f>(Gender!AU52/'Total Master''s'!D52)*100</f>
        <v>42.892942913826282</v>
      </c>
      <c r="D50" s="138">
        <f>(Gender!AV52/'Total Master''s'!E52)*100</f>
        <v>43.565386770552607</v>
      </c>
      <c r="E50" s="138">
        <f>(Gender!AW52/'Total Master''s'!F52)*100</f>
        <v>44.421477122856849</v>
      </c>
      <c r="F50" s="138">
        <f>(Gender!AX52/'Total Master''s'!G52)*100</f>
        <v>45.681140286538557</v>
      </c>
      <c r="G50" s="138">
        <f>(Gender!AY52/'Total Master''s'!H52)*100</f>
        <v>47.540523472037052</v>
      </c>
      <c r="H50" s="138">
        <f>(Gender!AZ52/'Total Master''s'!I52)*100</f>
        <v>48.449727701249373</v>
      </c>
      <c r="I50" s="138">
        <f>(Gender!BA52/'Total Master''s'!J52)*100</f>
        <v>48.53771164699846</v>
      </c>
      <c r="J50" s="138">
        <f>(Gender!BB52/'Total Master''s'!K52)*100</f>
        <v>49.181552173753353</v>
      </c>
      <c r="K50" s="138">
        <f>(Gender!BC52/'Total Master''s'!L52)*100</f>
        <v>50.288135379493838</v>
      </c>
      <c r="L50" s="138">
        <f>(Gender!BD52/'Total Master''s'!M52)*100</f>
        <v>50.609257650845549</v>
      </c>
      <c r="M50" s="138">
        <f>(Gender!BE52/'Total Master''s'!N52)*100</f>
        <v>51.196750392061084</v>
      </c>
      <c r="N50" s="138">
        <f>(Gender!BF52/'Total Master''s'!O52)*100</f>
        <v>51.649818806027085</v>
      </c>
      <c r="O50" s="138">
        <f>(Gender!BG52/'Total Master''s'!P52)*100</f>
        <v>51.202852366523878</v>
      </c>
      <c r="P50" s="138">
        <f>(Gender!BH52/'Total Master''s'!Q52)*100</f>
        <v>50.642138146476924</v>
      </c>
      <c r="Q50" s="138">
        <f>(Gender!BI52/'Total Master''s'!R52)*100</f>
        <v>51.040508547735207</v>
      </c>
      <c r="R50" s="138">
        <f>(Gender!BJ52/'Total Master''s'!S52)*100</f>
        <v>51.62007665441417</v>
      </c>
      <c r="S50" s="138">
        <f>(Gender!BK52/'Total Master''s'!T52)*100</f>
        <v>52.296738631143782</v>
      </c>
      <c r="T50" s="138">
        <f>(Gender!BL52/'Total Master''s'!U52)*100</f>
        <v>52.6332186830168</v>
      </c>
      <c r="U50" s="138">
        <f>(Gender!BM52/'Total Master''s'!V52)*100</f>
        <v>53.117799368125993</v>
      </c>
      <c r="V50" s="138">
        <f>(Gender!BN52/'Total Master''s'!W52)*100</f>
        <v>54.354806116262878</v>
      </c>
      <c r="W50" s="138">
        <f>(Gender!BO52/'Total Master''s'!X52)*100</f>
        <v>55.477443930833758</v>
      </c>
      <c r="X50" s="138">
        <f>(Gender!BP52/'Total Master''s'!Y52)*100</f>
        <v>56.021788396459385</v>
      </c>
      <c r="Y50" s="138">
        <f>(Gender!BQ52/'Total Master''s'!Z52)*100</f>
        <v>56.3040015926737</v>
      </c>
      <c r="Z50" s="138">
        <f>(Gender!BR52/'Total Master''s'!AA52)*100</f>
        <v>56.478216467233175</v>
      </c>
      <c r="AA50" s="138">
        <f>(Gender!BS52/'Total Master''s'!AB52)*100</f>
        <v>57.217857611610071</v>
      </c>
      <c r="AB50" s="138">
        <f>(Gender!BT52/'Total Master''s'!AC52)*100</f>
        <v>57.870697018084591</v>
      </c>
      <c r="AC50" s="138">
        <f>(Gender!BU52/'Total Master''s'!AD52)*100</f>
        <v>58.860578299456058</v>
      </c>
      <c r="AD50" s="138">
        <f>(Gender!BV52/'Total Master''s'!AE52)*100</f>
        <v>58.93512690265954</v>
      </c>
      <c r="AE50" s="138">
        <f>(Gender!BW52/'Total Master''s'!AF52)*100</f>
        <v>59.18884995554626</v>
      </c>
      <c r="AF50" s="138">
        <f>(Gender!BX52/'Total Master''s'!AG52)*100</f>
        <v>59.788895071408099</v>
      </c>
      <c r="AG50" s="138">
        <f>(Gender!BY52/'Total Master''s'!AH52)*100</f>
        <v>60.606931905000536</v>
      </c>
      <c r="AH50" s="138">
        <f>(Gender!BZ52/'Total Master''s'!AI52)*100</f>
        <v>60.505431913089389</v>
      </c>
      <c r="AI50" s="138">
        <f>(Gender!CA52/'Total Master''s'!AJ52)*100</f>
        <v>61.017323507108316</v>
      </c>
      <c r="AJ50" s="138">
        <f>(Gender!CB52/'Total Master''s'!AK52)*100</f>
        <v>60.89196531474672</v>
      </c>
      <c r="AK50" s="138">
        <f>(Gender!CC52/'Total Master''s'!AL52)*100</f>
        <v>60.705738722678113</v>
      </c>
      <c r="AL50" s="138">
        <f>(Gender!CD52/'Total Master''s'!AM52)*100</f>
        <v>60.973350960667339</v>
      </c>
      <c r="AM50" s="138">
        <f>(Gender!CE52/'Total Master''s'!AN52)*100</f>
        <v>61.594346870115771</v>
      </c>
      <c r="AN50" s="138">
        <f>(Gender!CF52/'Total Master''s'!AO52)*100</f>
        <v>61.435839676868106</v>
      </c>
      <c r="AO50" s="138">
        <f>(Gender!CG52/'Total Master''s'!AP52)*100</f>
        <v>61.211674583072714</v>
      </c>
      <c r="AP50" s="138">
        <f>(Gender!CH52/'Total Master''s'!AQ52)*100</f>
        <v>60.850813683560169</v>
      </c>
      <c r="AQ50" s="138">
        <f>(Gender!CI52/'Total Master''s'!AR52)*100</f>
        <v>60.799144143885052</v>
      </c>
      <c r="AR50" s="138">
        <f>(Gender!CJ52/'Total Master''s'!AS52)*100</f>
        <v>60.584878903938275</v>
      </c>
      <c r="AS50" s="138">
        <f>(Gender!CK52/'Total Master''s'!AT52)*100</f>
        <v>60.534325329726066</v>
      </c>
    </row>
    <row r="51" spans="1:45" s="141" customFormat="1">
      <c r="A51" s="12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row>
    <row r="52" spans="1:45" s="141" customFormat="1">
      <c r="A52" s="128" t="s">
        <v>89</v>
      </c>
      <c r="B52" s="138">
        <f>(Gender!AT54/'Total Master''s'!C54)*100</f>
        <v>47.525947381124787</v>
      </c>
      <c r="C52" s="138">
        <f>(Gender!AU54/'Total Master''s'!D54)*100</f>
        <v>47.911602209944753</v>
      </c>
      <c r="D52" s="138">
        <f>(Gender!AV54/'Total Master''s'!E54)*100</f>
        <v>48.735348550277607</v>
      </c>
      <c r="E52" s="138">
        <f>(Gender!AW54/'Total Master''s'!F54)*100</f>
        <v>49.611255090707147</v>
      </c>
      <c r="F52" s="138">
        <f>(Gender!AX54/'Total Master''s'!G54)*100</f>
        <v>49.474912485414237</v>
      </c>
      <c r="G52" s="138">
        <f>(Gender!AY54/'Total Master''s'!H54)*100</f>
        <v>52.225822957530276</v>
      </c>
      <c r="H52" s="138">
        <f>(Gender!AZ54/'Total Master''s'!I54)*100</f>
        <v>52.537872872091206</v>
      </c>
      <c r="I52" s="138">
        <f>(Gender!BA54/'Total Master''s'!J54)*100</f>
        <v>51.155794806839772</v>
      </c>
      <c r="J52" s="138">
        <f>(Gender!BB54/'Total Master''s'!K54)*100</f>
        <v>52.45057318491444</v>
      </c>
      <c r="K52" s="138">
        <f>(Gender!BC54/'Total Master''s'!L54)*100</f>
        <v>52.550931568866446</v>
      </c>
      <c r="L52" s="138">
        <f>(Gender!BD54/'Total Master''s'!M54)*100</f>
        <v>53.041319382869304</v>
      </c>
      <c r="M52" s="138">
        <f>(Gender!BE54/'Total Master''s'!N54)*100</f>
        <v>52.956381260096933</v>
      </c>
      <c r="N52" s="138">
        <f>(Gender!BF54/'Total Master''s'!O54)*100</f>
        <v>52.059732234809474</v>
      </c>
      <c r="O52" s="138">
        <f>(Gender!BG54/'Total Master''s'!P54)*100</f>
        <v>51.952372614253193</v>
      </c>
      <c r="P52" s="138">
        <f>(Gender!BH54/'Total Master''s'!Q54)*100</f>
        <v>51.174352820161154</v>
      </c>
      <c r="Q52" s="138">
        <f>(Gender!BI54/'Total Master''s'!R54)*100</f>
        <v>50.754975978037066</v>
      </c>
      <c r="R52" s="138">
        <f>(Gender!BJ54/'Total Master''s'!S54)*100</f>
        <v>51.29344548484368</v>
      </c>
      <c r="S52" s="138">
        <f>(Gender!BK54/'Total Master''s'!T54)*100</f>
        <v>53.310165073848822</v>
      </c>
      <c r="T52" s="138">
        <f>(Gender!BL54/'Total Master''s'!U54)*100</f>
        <v>54.8540393754243</v>
      </c>
      <c r="U52" s="138">
        <f>(Gender!BM54/'Total Master''s'!V54)*100</f>
        <v>53.985386914646291</v>
      </c>
      <c r="V52" s="138">
        <f>(Gender!BN54/'Total Master''s'!W54)*100</f>
        <v>56.006364359586314</v>
      </c>
      <c r="W52" s="138">
        <f>(Gender!BO54/'Total Master''s'!X54)*100</f>
        <v>55.29374303454864</v>
      </c>
      <c r="X52" s="138">
        <f>(Gender!BP54/'Total Master''s'!Y54)*100</f>
        <v>55.767179643455734</v>
      </c>
      <c r="Y52" s="138">
        <f>(Gender!BQ54/'Total Master''s'!Z54)*100</f>
        <v>54.567526555386948</v>
      </c>
      <c r="Z52" s="138">
        <f>(Gender!BR54/'Total Master''s'!AA54)*100</f>
        <v>55.812904196119717</v>
      </c>
      <c r="AA52" s="138">
        <f>(Gender!BS54/'Total Master''s'!AB54)*100</f>
        <v>56.239289608973365</v>
      </c>
      <c r="AB52" s="138">
        <f>(Gender!BT54/'Total Master''s'!AC54)*100</f>
        <v>56.798212956068504</v>
      </c>
      <c r="AC52" s="138">
        <f>(Gender!BU54/'Total Master''s'!AD54)*100</f>
        <v>57.907612606130378</v>
      </c>
      <c r="AD52" s="138">
        <f>(Gender!BV54/'Total Master''s'!AE54)*100</f>
        <v>58.964699316310863</v>
      </c>
      <c r="AE52" s="138">
        <f>(Gender!BW54/'Total Master''s'!AF54)*100</f>
        <v>58.032564450474901</v>
      </c>
      <c r="AF52" s="138">
        <f>(Gender!BX54/'Total Master''s'!AG54)*100</f>
        <v>59.65595178302361</v>
      </c>
      <c r="AG52" s="138">
        <f>(Gender!BY54/'Total Master''s'!AH54)*100</f>
        <v>59.471539371631387</v>
      </c>
      <c r="AH52" s="138">
        <f>(Gender!BZ54/'Total Master''s'!AI54)*100</f>
        <v>57.936085219707053</v>
      </c>
      <c r="AI52" s="138">
        <f>(Gender!CA54/'Total Master''s'!AJ54)*100</f>
        <v>59.743092583616097</v>
      </c>
      <c r="AJ52" s="138">
        <f>(Gender!CB54/'Total Master''s'!AK54)*100</f>
        <v>58.489440400906808</v>
      </c>
      <c r="AK52" s="138">
        <f>(Gender!CC54/'Total Master''s'!AL54)*100</f>
        <v>60.275675064964403</v>
      </c>
      <c r="AL52" s="138">
        <f>(Gender!CD54/'Total Master''s'!AM54)*100</f>
        <v>61.460634957553204</v>
      </c>
      <c r="AM52" s="138">
        <f>(Gender!CE54/'Total Master''s'!AN54)*100</f>
        <v>60.214158239143366</v>
      </c>
      <c r="AN52" s="138">
        <f>(Gender!CF54/'Total Master''s'!AO54)*100</f>
        <v>59.806662007919861</v>
      </c>
      <c r="AO52" s="138">
        <f>(Gender!CG54/'Total Master''s'!AP54)*100</f>
        <v>57.532762915628723</v>
      </c>
      <c r="AP52" s="138">
        <f>(Gender!CH54/'Total Master''s'!AQ54)*100</f>
        <v>58.884130107651345</v>
      </c>
      <c r="AQ52" s="138">
        <f>(Gender!CI54/'Total Master''s'!AR54)*100</f>
        <v>59.347278501807033</v>
      </c>
      <c r="AR52" s="138">
        <f>(Gender!CJ54/'Total Master''s'!AS54)*100</f>
        <v>60.579464946600403</v>
      </c>
      <c r="AS52" s="138">
        <f>(Gender!CK54/'Total Master''s'!AT54)*100</f>
        <v>60</v>
      </c>
    </row>
    <row r="53" spans="1:45" s="141" customFormat="1">
      <c r="A53" s="128" t="s">
        <v>90</v>
      </c>
      <c r="B53" s="138">
        <f>(Gender!AT55/'Total Master''s'!C55)*100</f>
        <v>33.781512605042018</v>
      </c>
      <c r="C53" s="138">
        <f>(Gender!AU55/'Total Master''s'!D55)*100</f>
        <v>33.243967828418228</v>
      </c>
      <c r="D53" s="138">
        <f>(Gender!AV55/'Total Master''s'!E55)*100</f>
        <v>33.521126760563376</v>
      </c>
      <c r="E53" s="138">
        <f>(Gender!AW55/'Total Master''s'!F55)*100</f>
        <v>29.836065573770494</v>
      </c>
      <c r="F53" s="138">
        <f>(Gender!AX55/'Total Master''s'!G55)*100</f>
        <v>35.57692307692308</v>
      </c>
      <c r="G53" s="138">
        <f>(Gender!AY55/'Total Master''s'!H55)*100</f>
        <v>37.5</v>
      </c>
      <c r="H53" s="138">
        <f>(Gender!AZ55/'Total Master''s'!I55)*100</f>
        <v>42.877697841726622</v>
      </c>
      <c r="I53" s="138">
        <f>(Gender!BA55/'Total Master''s'!J55)*100</f>
        <v>41.141141141141141</v>
      </c>
      <c r="J53" s="138">
        <f>(Gender!BB55/'Total Master''s'!K55)*100</f>
        <v>46.548672566371678</v>
      </c>
      <c r="K53" s="138">
        <f>(Gender!BC55/'Total Master''s'!L55)*100</f>
        <v>45.145631067961169</v>
      </c>
      <c r="L53" s="138">
        <f>(Gender!BD55/'Total Master''s'!M55)*100</f>
        <v>48.747913188647743</v>
      </c>
      <c r="M53" s="138">
        <f>(Gender!BE55/'Total Master''s'!N55)*100</f>
        <v>54.838709677419352</v>
      </c>
      <c r="N53" s="138">
        <f>(Gender!BF55/'Total Master''s'!O55)*100</f>
        <v>49.816176470588239</v>
      </c>
      <c r="O53" s="138">
        <f>(Gender!BG55/'Total Master''s'!P55)*100</f>
        <v>52.149532710280376</v>
      </c>
      <c r="P53" s="138">
        <f>(Gender!BH55/'Total Master''s'!Q55)*100</f>
        <v>50.101419878296149</v>
      </c>
      <c r="Q53" s="138">
        <f>(Gender!BI55/'Total Master''s'!R55)*100</f>
        <v>51.759834368530022</v>
      </c>
      <c r="R53" s="138">
        <f>(Gender!BJ55/'Total Master''s'!S55)*100</f>
        <v>53.370786516853933</v>
      </c>
      <c r="S53" s="138">
        <f>(Gender!BK55/'Total Master''s'!T55)*100</f>
        <v>51.292246520874748</v>
      </c>
      <c r="T53" s="138">
        <f>(Gender!BL55/'Total Master''s'!U55)*100</f>
        <v>57.299270072992705</v>
      </c>
      <c r="U53" s="138">
        <f>(Gender!BM55/'Total Master''s'!V55)*100</f>
        <v>52.132701421800952</v>
      </c>
      <c r="V53" s="138">
        <f>(Gender!BN55/'Total Master''s'!W55)*100</f>
        <v>58.276333789329684</v>
      </c>
      <c r="W53" s="138">
        <f>(Gender!BO55/'Total Master''s'!X55)*100</f>
        <v>58.782201405152222</v>
      </c>
      <c r="X53" s="138">
        <f>(Gender!BP55/'Total Master''s'!Y55)*100</f>
        <v>62.696629213483149</v>
      </c>
      <c r="Y53" s="138">
        <f>(Gender!BQ55/'Total Master''s'!Z55)*100</f>
        <v>61.068702290076338</v>
      </c>
      <c r="Z53" s="138">
        <f>(Gender!BR55/'Total Master''s'!AA55)*100</f>
        <v>57.366071428571431</v>
      </c>
      <c r="AA53" s="138">
        <f>(Gender!BS55/'Total Master''s'!AB55)*100</f>
        <v>60.965372507869887</v>
      </c>
      <c r="AB53" s="138">
        <f>(Gender!BT55/'Total Master''s'!AC55)*100</f>
        <v>65.414364640883988</v>
      </c>
      <c r="AC53" s="138">
        <f>(Gender!BU55/'Total Master''s'!AD55)*100</f>
        <v>63.60116166505324</v>
      </c>
      <c r="AD53" s="138">
        <f>(Gender!BV55/'Total Master''s'!AE55)*100</f>
        <v>64.530685920577611</v>
      </c>
      <c r="AE53" s="138">
        <f>(Gender!BW55/'Total Master''s'!AF55)*100</f>
        <v>67.012089810017272</v>
      </c>
      <c r="AF53" s="138">
        <f>(Gender!BX55/'Total Master''s'!AG55)*100</f>
        <v>66.694560669456067</v>
      </c>
      <c r="AG53" s="138">
        <f>(Gender!BY55/'Total Master''s'!AH55)*100</f>
        <v>69.049621530698062</v>
      </c>
      <c r="AH53" s="138">
        <f>(Gender!BZ55/'Total Master''s'!AI55)*100</f>
        <v>71.645185746777855</v>
      </c>
      <c r="AI53" s="138">
        <f>(Gender!CA55/'Total Master''s'!AJ55)*100</f>
        <v>69.977761304670125</v>
      </c>
      <c r="AJ53" s="138">
        <f>(Gender!CB55/'Total Master''s'!AK55)*100</f>
        <v>70.038910505836569</v>
      </c>
      <c r="AK53" s="138">
        <f>(Gender!CC55/'Total Master''s'!AL55)*100</f>
        <v>71.298543689320397</v>
      </c>
      <c r="AL53" s="138">
        <f>(Gender!CD55/'Total Master''s'!AM55)*100</f>
        <v>71.238670694864055</v>
      </c>
      <c r="AM53" s="138">
        <f>(Gender!CE55/'Total Master''s'!AN55)*100</f>
        <v>70.631970260223056</v>
      </c>
      <c r="AN53" s="138">
        <f>(Gender!CF55/'Total Master''s'!AO55)*100</f>
        <v>69.295605057194464</v>
      </c>
      <c r="AO53" s="138">
        <f>(Gender!CG55/'Total Master''s'!AP55)*100</f>
        <v>72.867773325701208</v>
      </c>
      <c r="AP53" s="138">
        <f>(Gender!CH55/'Total Master''s'!AQ55)*100</f>
        <v>71.45981410606889</v>
      </c>
      <c r="AQ53" s="138">
        <f>(Gender!CI55/'Total Master''s'!AR55)*100</f>
        <v>68.912797281993207</v>
      </c>
      <c r="AR53" s="138">
        <f>(Gender!CJ55/'Total Master''s'!AS55)*100</f>
        <v>69.056404849762785</v>
      </c>
      <c r="AS53" s="138">
        <f>(Gender!CK55/'Total Master''s'!AT55)*100</f>
        <v>72.248062015503876</v>
      </c>
    </row>
    <row r="54" spans="1:45" s="141" customFormat="1">
      <c r="A54" s="128" t="s">
        <v>91</v>
      </c>
      <c r="B54" s="138">
        <f>(Gender!AT56/'Total Master''s'!C56)*100</f>
        <v>37.461844417722688</v>
      </c>
      <c r="C54" s="138">
        <f>(Gender!AU56/'Total Master''s'!D56)*100</f>
        <v>36.703453186187254</v>
      </c>
      <c r="D54" s="138">
        <f>(Gender!AV56/'Total Master''s'!E56)*100</f>
        <v>37.276015124116391</v>
      </c>
      <c r="E54" s="138">
        <f>(Gender!AW56/'Total Master''s'!F56)*100</f>
        <v>39.139108417095066</v>
      </c>
      <c r="F54" s="138">
        <f>(Gender!AX56/'Total Master''s'!G56)*100</f>
        <v>39.64991794951942</v>
      </c>
      <c r="G54" s="138">
        <f>(Gender!AY56/'Total Master''s'!H56)*100</f>
        <v>42.471376107150569</v>
      </c>
      <c r="H54" s="138">
        <f>(Gender!AZ56/'Total Master''s'!I56)*100</f>
        <v>42.914979757085021</v>
      </c>
      <c r="I54" s="138">
        <f>(Gender!BA56/'Total Master''s'!J56)*100</f>
        <v>43.832433540627349</v>
      </c>
      <c r="J54" s="138">
        <f>(Gender!BB56/'Total Master''s'!K56)*100</f>
        <v>44.898941289701639</v>
      </c>
      <c r="K54" s="138">
        <f>(Gender!BC56/'Total Master''s'!L56)*100</f>
        <v>46.893210699992977</v>
      </c>
      <c r="L54" s="138">
        <f>(Gender!BD56/'Total Master''s'!M56)*100</f>
        <v>47.02108783184331</v>
      </c>
      <c r="M54" s="138">
        <f>(Gender!BE56/'Total Master''s'!N56)*100</f>
        <v>46.501530358032603</v>
      </c>
      <c r="N54" s="138">
        <f>(Gender!BF56/'Total Master''s'!O56)*100</f>
        <v>48.354150852253127</v>
      </c>
      <c r="O54" s="138">
        <f>(Gender!BG56/'Total Master''s'!P56)*100</f>
        <v>47.563295770525393</v>
      </c>
      <c r="P54" s="138">
        <f>(Gender!BH56/'Total Master''s'!Q56)*100</f>
        <v>47.488348006214395</v>
      </c>
      <c r="Q54" s="138">
        <f>(Gender!BI56/'Total Master''s'!R56)*100</f>
        <v>47.757164613041674</v>
      </c>
      <c r="R54" s="138">
        <f>(Gender!BJ56/'Total Master''s'!S56)*100</f>
        <v>48.999046711153483</v>
      </c>
      <c r="S54" s="138">
        <f>(Gender!BK56/'Total Master''s'!T56)*100</f>
        <v>50.079649542015133</v>
      </c>
      <c r="T54" s="138">
        <f>(Gender!BL56/'Total Master''s'!U56)*100</f>
        <v>50.911292378281928</v>
      </c>
      <c r="U54" s="138">
        <f>(Gender!BM56/'Total Master''s'!V56)*100</f>
        <v>51.747509872104672</v>
      </c>
      <c r="V54" s="138">
        <f>(Gender!BN56/'Total Master''s'!W56)*100</f>
        <v>53.858232391206819</v>
      </c>
      <c r="W54" s="138">
        <f>(Gender!BO56/'Total Master''s'!X56)*100</f>
        <v>54.565057326180707</v>
      </c>
      <c r="X54" s="138">
        <f>(Gender!BP56/'Total Master''s'!Y56)*100</f>
        <v>55.09118541033434</v>
      </c>
      <c r="Y54" s="138">
        <f>(Gender!BQ56/'Total Master''s'!Z56)*100</f>
        <v>55.597189695550355</v>
      </c>
      <c r="Z54" s="138">
        <f>(Gender!BR56/'Total Master''s'!AA56)*100</f>
        <v>56.620872499397443</v>
      </c>
      <c r="AA54" s="138">
        <f>(Gender!BS56/'Total Master''s'!AB56)*100</f>
        <v>57.101898853167889</v>
      </c>
      <c r="AB54" s="138">
        <f>(Gender!BT56/'Total Master''s'!AC56)*100</f>
        <v>56.693479530849778</v>
      </c>
      <c r="AC54" s="138">
        <f>(Gender!BU56/'Total Master''s'!AD56)*100</f>
        <v>58.87632007346496</v>
      </c>
      <c r="AD54" s="138">
        <f>(Gender!BV56/'Total Master''s'!AE56)*100</f>
        <v>58.094795146082625</v>
      </c>
      <c r="AE54" s="138">
        <f>(Gender!BW56/'Total Master''s'!AF56)*100</f>
        <v>59.176029962546814</v>
      </c>
      <c r="AF54" s="138">
        <f>(Gender!BX56/'Total Master''s'!AG56)*100</f>
        <v>58.950803819654297</v>
      </c>
      <c r="AG54" s="138">
        <f>(Gender!BY56/'Total Master''s'!AH56)*100</f>
        <v>60.115880335816485</v>
      </c>
      <c r="AH54" s="138">
        <f>(Gender!BZ56/'Total Master''s'!AI56)*100</f>
        <v>59.882552928450004</v>
      </c>
      <c r="AI54" s="138">
        <f>(Gender!CA56/'Total Master''s'!AJ56)*100</f>
        <v>61.033177466043199</v>
      </c>
      <c r="AJ54" s="138">
        <f>(Gender!CB56/'Total Master''s'!AK56)*100</f>
        <v>60.015125324114095</v>
      </c>
      <c r="AK54" s="138">
        <f>(Gender!CC56/'Total Master''s'!AL56)*100</f>
        <v>59.946498933593602</v>
      </c>
      <c r="AL54" s="138">
        <f>(Gender!CD56/'Total Master''s'!AM56)*100</f>
        <v>60.454186697280619</v>
      </c>
      <c r="AM54" s="138">
        <f>(Gender!CE56/'Total Master''s'!AN56)*100</f>
        <v>61.491978994316952</v>
      </c>
      <c r="AN54" s="138">
        <f>(Gender!CF56/'Total Master''s'!AO56)*100</f>
        <v>60.511988096445847</v>
      </c>
      <c r="AO54" s="138">
        <f>(Gender!CG56/'Total Master''s'!AP56)*100</f>
        <v>59.94129868416713</v>
      </c>
      <c r="AP54" s="138">
        <f>(Gender!CH56/'Total Master''s'!AQ56)*100</f>
        <v>59.469390297066703</v>
      </c>
      <c r="AQ54" s="138">
        <f>(Gender!CI56/'Total Master''s'!AR56)*100</f>
        <v>59.061909262759926</v>
      </c>
      <c r="AR54" s="138">
        <f>(Gender!CJ56/'Total Master''s'!AS56)*100</f>
        <v>58.120420161043164</v>
      </c>
      <c r="AS54" s="138">
        <f>(Gender!CK56/'Total Master''s'!AT56)*100</f>
        <v>58.858161850038215</v>
      </c>
    </row>
    <row r="55" spans="1:45" s="141" customFormat="1">
      <c r="A55" s="136" t="s">
        <v>92</v>
      </c>
      <c r="B55" s="133">
        <f>(Gender!AT57/'Total Master''s'!C57)*100</f>
        <v>33.097345132743364</v>
      </c>
      <c r="C55" s="133">
        <f>(Gender!AU57/'Total Master''s'!D57)*100</f>
        <v>33.946488294314378</v>
      </c>
      <c r="D55" s="133">
        <f>(Gender!AV57/'Total Master''s'!E57)*100</f>
        <v>30.658105939004816</v>
      </c>
      <c r="E55" s="133">
        <f>(Gender!AW57/'Total Master''s'!F57)*100</f>
        <v>33.333333333333329</v>
      </c>
      <c r="F55" s="133">
        <f>(Gender!AX57/'Total Master''s'!G57)*100</f>
        <v>34.354194407456724</v>
      </c>
      <c r="G55" s="133">
        <f>(Gender!AY57/'Total Master''s'!H57)*100</f>
        <v>34.674063800277395</v>
      </c>
      <c r="H55" s="133">
        <f>(Gender!AZ57/'Total Master''s'!I57)*100</f>
        <v>38.393977415307404</v>
      </c>
      <c r="I55" s="133">
        <f>(Gender!BA57/'Total Master''s'!J57)*100</f>
        <v>37.98358733880422</v>
      </c>
      <c r="J55" s="133">
        <f>(Gender!BB57/'Total Master''s'!K57)*100</f>
        <v>40.459540459540463</v>
      </c>
      <c r="K55" s="133">
        <f>(Gender!BC57/'Total Master''s'!L57)*100</f>
        <v>41.269841269841265</v>
      </c>
      <c r="L55" s="133">
        <f>(Gender!BD57/'Total Master''s'!M57)*100</f>
        <v>40.56818181818182</v>
      </c>
      <c r="M55" s="133">
        <f>(Gender!BE57/'Total Master''s'!N57)*100</f>
        <v>39.219712525667347</v>
      </c>
      <c r="N55" s="133">
        <f>(Gender!BF57/'Total Master''s'!O57)*100</f>
        <v>41.783567134268537</v>
      </c>
      <c r="O55" s="133">
        <f>(Gender!BG57/'Total Master''s'!P57)*100</f>
        <v>40.582347588717013</v>
      </c>
      <c r="P55" s="133">
        <f>(Gender!BH57/'Total Master''s'!Q57)*100</f>
        <v>40.97165991902834</v>
      </c>
      <c r="Q55" s="133">
        <f>(Gender!BI57/'Total Master''s'!R57)*100</f>
        <v>40.729247478665634</v>
      </c>
      <c r="R55" s="133">
        <f>(Gender!BJ57/'Total Master''s'!S57)*100</f>
        <v>43.888491779842745</v>
      </c>
      <c r="S55" s="133">
        <f>(Gender!BK57/'Total Master''s'!T57)*100</f>
        <v>48.635536688902363</v>
      </c>
      <c r="T55" s="133">
        <f>(Gender!BL57/'Total Master''s'!U57)*100</f>
        <v>49.498746867167917</v>
      </c>
      <c r="U55" s="133">
        <f>(Gender!BM57/'Total Master''s'!V57)*100</f>
        <v>48.688711516533637</v>
      </c>
      <c r="V55" s="133">
        <f>(Gender!BN57/'Total Master''s'!W57)*100</f>
        <v>48.662551440329217</v>
      </c>
      <c r="W55" s="133">
        <f>(Gender!BO57/'Total Master''s'!X57)*100</f>
        <v>52.981764415968456</v>
      </c>
      <c r="X55" s="133">
        <f>(Gender!BP57/'Total Master''s'!Y57)*100</f>
        <v>51.11851499286054</v>
      </c>
      <c r="Y55" s="133">
        <f>(Gender!BQ57/'Total Master''s'!Z57)*100</f>
        <v>54.87428319364799</v>
      </c>
      <c r="Z55" s="133">
        <f>(Gender!BR57/'Total Master''s'!AA57)*100</f>
        <v>53.411131059245967</v>
      </c>
      <c r="AA55" s="133">
        <f>(Gender!BS57/'Total Master''s'!AB57)*100</f>
        <v>53.359858532272334</v>
      </c>
      <c r="AB55" s="133">
        <f>(Gender!BT57/'Total Master''s'!AC57)*100</f>
        <v>55.346938775510203</v>
      </c>
      <c r="AC55" s="133">
        <f>(Gender!BU57/'Total Master''s'!AD57)*100</f>
        <v>57.435477263416637</v>
      </c>
      <c r="AD55" s="133">
        <f>(Gender!BV57/'Total Master''s'!AE57)*100</f>
        <v>55.485232067510552</v>
      </c>
      <c r="AE55" s="133">
        <f>(Gender!BW57/'Total Master''s'!AF57)*100</f>
        <v>55.219552609776301</v>
      </c>
      <c r="AF55" s="133">
        <f>(Gender!BX57/'Total Master''s'!AG57)*100</f>
        <v>56.234618539786709</v>
      </c>
      <c r="AG55" s="133">
        <f>(Gender!BY57/'Total Master''s'!AH57)*100</f>
        <v>57.729367406786757</v>
      </c>
      <c r="AH55" s="133">
        <f>(Gender!BZ57/'Total Master''s'!AI57)*100</f>
        <v>58.074011774600507</v>
      </c>
      <c r="AI55" s="133">
        <f>(Gender!CA57/'Total Master''s'!AJ57)*100</f>
        <v>56.849602010892333</v>
      </c>
      <c r="AJ55" s="133">
        <f>(Gender!CB57/'Total Master''s'!AK57)*100</f>
        <v>58.330398027474459</v>
      </c>
      <c r="AK55" s="133">
        <f>(Gender!CC57/'Total Master''s'!AL57)*100</f>
        <v>58.851326790258085</v>
      </c>
      <c r="AL55" s="133">
        <f>(Gender!CD57/'Total Master''s'!AM57)*100</f>
        <v>57.366362451108209</v>
      </c>
      <c r="AM55" s="133">
        <f>(Gender!CE57/'Total Master''s'!AN57)*100</f>
        <v>61.915810407689754</v>
      </c>
      <c r="AN55" s="133">
        <f>(Gender!CF57/'Total Master''s'!AO57)*100</f>
        <v>58.524332810047099</v>
      </c>
      <c r="AO55" s="133">
        <f>(Gender!CG57/'Total Master''s'!AP57)*100</f>
        <v>62.259615384615387</v>
      </c>
      <c r="AP55" s="133">
        <f>(Gender!CH57/'Total Master''s'!AQ57)*100</f>
        <v>61.017929438982065</v>
      </c>
      <c r="AQ55" s="133">
        <f>(Gender!CI57/'Total Master''s'!AR57)*100</f>
        <v>59.983633387888702</v>
      </c>
      <c r="AR55" s="133">
        <f>(Gender!CJ57/'Total Master''s'!AS57)*100</f>
        <v>58.562091503267979</v>
      </c>
      <c r="AS55" s="133">
        <f>(Gender!CK57/'Total Master''s'!AT57)*100</f>
        <v>57.684373388344511</v>
      </c>
    </row>
    <row r="56" spans="1:45" s="141" customFormat="1">
      <c r="A56" s="128" t="s">
        <v>93</v>
      </c>
      <c r="B56" s="138">
        <f>(Gender!AT58/'Total Master''s'!C58)*100</f>
        <v>35.202060221870049</v>
      </c>
      <c r="C56" s="138">
        <f>(Gender!AU58/'Total Master''s'!D58)*100</f>
        <v>36.143308746048476</v>
      </c>
      <c r="D56" s="138">
        <f>(Gender!AV58/'Total Master''s'!E58)*100</f>
        <v>37.132406730065838</v>
      </c>
      <c r="E56" s="138">
        <f>(Gender!AW58/'Total Master''s'!F58)*100</f>
        <v>39.835452505609574</v>
      </c>
      <c r="F56" s="138">
        <f>(Gender!AX58/'Total Master''s'!G58)*100</f>
        <v>39.994782154969997</v>
      </c>
      <c r="G56" s="138">
        <f>(Gender!AY58/'Total Master''s'!H58)*100</f>
        <v>40.242557883131205</v>
      </c>
      <c r="H56" s="138">
        <f>(Gender!AZ58/'Total Master''s'!I58)*100</f>
        <v>41.230883078441046</v>
      </c>
      <c r="I56" s="138">
        <f>(Gender!BA58/'Total Master''s'!J58)*100</f>
        <v>45.280373831775698</v>
      </c>
      <c r="J56" s="138">
        <f>(Gender!BB58/'Total Master''s'!K58)*100</f>
        <v>44.91991991991992</v>
      </c>
      <c r="K56" s="138">
        <f>(Gender!BC58/'Total Master''s'!L58)*100</f>
        <v>46.947341643347748</v>
      </c>
      <c r="L56" s="138">
        <f>(Gender!BD58/'Total Master''s'!M58)*100</f>
        <v>48.763339610797239</v>
      </c>
      <c r="M56" s="138">
        <f>(Gender!BE58/'Total Master''s'!N58)*100</f>
        <v>50.277885485330231</v>
      </c>
      <c r="N56" s="138">
        <f>(Gender!BF58/'Total Master''s'!O58)*100</f>
        <v>50.079787234042549</v>
      </c>
      <c r="O56" s="138">
        <f>(Gender!BG58/'Total Master''s'!P58)*100</f>
        <v>51.176959291055113</v>
      </c>
      <c r="P56" s="138">
        <f>(Gender!BH58/'Total Master''s'!Q58)*100</f>
        <v>49.492721658579619</v>
      </c>
      <c r="Q56" s="138">
        <f>(Gender!BI58/'Total Master''s'!R58)*100</f>
        <v>48.963341346153847</v>
      </c>
      <c r="R56" s="138">
        <f>(Gender!BJ58/'Total Master''s'!S58)*100</f>
        <v>48.072346501665876</v>
      </c>
      <c r="S56" s="138">
        <f>(Gender!BK58/'Total Master''s'!T58)*100</f>
        <v>49.070343972730093</v>
      </c>
      <c r="T56" s="138">
        <f>(Gender!BL58/'Total Master''s'!U58)*100</f>
        <v>48.147569173049867</v>
      </c>
      <c r="U56" s="138">
        <f>(Gender!BM58/'Total Master''s'!V58)*100</f>
        <v>47.423120728929383</v>
      </c>
      <c r="V56" s="138">
        <f>(Gender!BN58/'Total Master''s'!W58)*100</f>
        <v>48.164504554236821</v>
      </c>
      <c r="W56" s="138">
        <f>(Gender!BO58/'Total Master''s'!X58)*100</f>
        <v>50.397983550013272</v>
      </c>
      <c r="X56" s="138">
        <f>(Gender!BP58/'Total Master''s'!Y58)*100</f>
        <v>52.01873180610049</v>
      </c>
      <c r="Y56" s="138">
        <f>(Gender!BQ58/'Total Master''s'!Z58)*100</f>
        <v>53.847102342786677</v>
      </c>
      <c r="Z56" s="138">
        <f>(Gender!BR58/'Total Master''s'!AA58)*100</f>
        <v>53.927967125936668</v>
      </c>
      <c r="AA56" s="138">
        <f>(Gender!BS58/'Total Master''s'!AB58)*100</f>
        <v>54.557559617479725</v>
      </c>
      <c r="AB56" s="138">
        <f>(Gender!BT58/'Total Master''s'!AC58)*100</f>
        <v>56.888361045130644</v>
      </c>
      <c r="AC56" s="138">
        <f>(Gender!BU58/'Total Master''s'!AD58)*100</f>
        <v>56.428740250531781</v>
      </c>
      <c r="AD56" s="138">
        <f>(Gender!BV58/'Total Master''s'!AE58)*100</f>
        <v>57.970525368432888</v>
      </c>
      <c r="AE56" s="138">
        <f>(Gender!BW58/'Total Master''s'!AF58)*100</f>
        <v>55.806660899653984</v>
      </c>
      <c r="AF56" s="138">
        <f>(Gender!BX58/'Total Master''s'!AG58)*100</f>
        <v>57.581923324052262</v>
      </c>
      <c r="AG56" s="138">
        <f>(Gender!BY58/'Total Master''s'!AH58)*100</f>
        <v>57.640668238187963</v>
      </c>
      <c r="AH56" s="138">
        <f>(Gender!BZ58/'Total Master''s'!AI58)*100</f>
        <v>56.786060019361088</v>
      </c>
      <c r="AI56" s="138">
        <f>(Gender!CA58/'Total Master''s'!AJ58)*100</f>
        <v>56.831238779174143</v>
      </c>
      <c r="AJ56" s="138">
        <f>(Gender!CB58/'Total Master''s'!AK58)*100</f>
        <v>57.000415454923136</v>
      </c>
      <c r="AK56" s="138">
        <f>(Gender!CC58/'Total Master''s'!AL58)*100</f>
        <v>58.945583723558862</v>
      </c>
      <c r="AL56" s="138">
        <f>(Gender!CD58/'Total Master''s'!AM58)*100</f>
        <v>58.261283413976358</v>
      </c>
      <c r="AM56" s="138">
        <f>(Gender!CE58/'Total Master''s'!AN58)*100</f>
        <v>57.859610552763819</v>
      </c>
      <c r="AN56" s="138">
        <f>(Gender!CF58/'Total Master''s'!AO58)*100</f>
        <v>57.356834858915192</v>
      </c>
      <c r="AO56" s="138">
        <f>(Gender!CG58/'Total Master''s'!AP58)*100</f>
        <v>56.867255323885132</v>
      </c>
      <c r="AP56" s="138">
        <f>(Gender!CH58/'Total Master''s'!AQ58)*100</f>
        <v>55.274321266968329</v>
      </c>
      <c r="AQ56" s="138">
        <f>(Gender!CI58/'Total Master''s'!AR58)*100</f>
        <v>56.990365287308521</v>
      </c>
      <c r="AR56" s="138">
        <f>(Gender!CJ58/'Total Master''s'!AS58)*100</f>
        <v>57.495158166559065</v>
      </c>
      <c r="AS56" s="138">
        <f>(Gender!CK58/'Total Master''s'!AT58)*100</f>
        <v>56.557089787621784</v>
      </c>
    </row>
    <row r="57" spans="1:45" s="141" customFormat="1">
      <c r="A57" s="128" t="s">
        <v>94</v>
      </c>
      <c r="B57" s="138">
        <f>(Gender!AT59/'Total Master''s'!C59)*100</f>
        <v>45.654949677031695</v>
      </c>
      <c r="C57" s="138">
        <f>(Gender!AU59/'Total Master''s'!D59)*100</f>
        <v>46.704476810524199</v>
      </c>
      <c r="D57" s="138">
        <f>(Gender!AV59/'Total Master''s'!E59)*100</f>
        <v>46.947229393047969</v>
      </c>
      <c r="E57" s="138">
        <f>(Gender!AW59/'Total Master''s'!F59)*100</f>
        <v>47.291105495543029</v>
      </c>
      <c r="F57" s="138">
        <f>(Gender!AX59/'Total Master''s'!G59)*100</f>
        <v>49.323992803794361</v>
      </c>
      <c r="G57" s="138">
        <f>(Gender!AY59/'Total Master''s'!H59)*100</f>
        <v>50.801282051282051</v>
      </c>
      <c r="H57" s="138">
        <f>(Gender!AZ59/'Total Master''s'!I59)*100</f>
        <v>51.881935419374194</v>
      </c>
      <c r="I57" s="138">
        <f>(Gender!BA59/'Total Master''s'!J59)*100</f>
        <v>51.631701631701631</v>
      </c>
      <c r="J57" s="138">
        <f>(Gender!BB59/'Total Master''s'!K59)*100</f>
        <v>51.875391894202814</v>
      </c>
      <c r="K57" s="138">
        <f>(Gender!BC59/'Total Master''s'!L59)*100</f>
        <v>52.715361356494924</v>
      </c>
      <c r="L57" s="138">
        <f>(Gender!BD59/'Total Master''s'!M59)*100</f>
        <v>52.830188679245282</v>
      </c>
      <c r="M57" s="138">
        <f>(Gender!BE59/'Total Master''s'!N59)*100</f>
        <v>54.068370803818908</v>
      </c>
      <c r="N57" s="138">
        <f>(Gender!BF59/'Total Master''s'!O59)*100</f>
        <v>54.204620860228026</v>
      </c>
      <c r="O57" s="138">
        <f>(Gender!BG59/'Total Master''s'!P59)*100</f>
        <v>54.017146356399273</v>
      </c>
      <c r="P57" s="138">
        <f>(Gender!BH59/'Total Master''s'!Q59)*100</f>
        <v>53.839099361204227</v>
      </c>
      <c r="Q57" s="138">
        <f>(Gender!BI59/'Total Master''s'!R59)*100</f>
        <v>54.783584882125481</v>
      </c>
      <c r="R57" s="138">
        <f>(Gender!BJ59/'Total Master''s'!S59)*100</f>
        <v>55.640026608381646</v>
      </c>
      <c r="S57" s="138">
        <f>(Gender!BK59/'Total Master''s'!T59)*100</f>
        <v>55.076736058349795</v>
      </c>
      <c r="T57" s="138">
        <f>(Gender!BL59/'Total Master''s'!U59)*100</f>
        <v>55.330203997283981</v>
      </c>
      <c r="U57" s="138">
        <f>(Gender!BM59/'Total Master''s'!V59)*100</f>
        <v>56.573369723012604</v>
      </c>
      <c r="V57" s="138">
        <f>(Gender!BN59/'Total Master''s'!W59)*100</f>
        <v>57.889251162542088</v>
      </c>
      <c r="W57" s="138">
        <f>(Gender!BO59/'Total Master''s'!X59)*100</f>
        <v>58.430359016351495</v>
      </c>
      <c r="X57" s="138">
        <f>(Gender!BP59/'Total Master''s'!Y59)*100</f>
        <v>58.491252760051438</v>
      </c>
      <c r="Y57" s="138">
        <f>(Gender!BQ59/'Total Master''s'!Z59)*100</f>
        <v>58.661463598109961</v>
      </c>
      <c r="Z57" s="138">
        <f>(Gender!BR59/'Total Master''s'!AA59)*100</f>
        <v>58.294291774467986</v>
      </c>
      <c r="AA57" s="138">
        <f>(Gender!BS59/'Total Master''s'!AB59)*100</f>
        <v>59.350266064481502</v>
      </c>
      <c r="AB57" s="138">
        <f>(Gender!BT59/'Total Master''s'!AC59)*100</f>
        <v>59.445387662705151</v>
      </c>
      <c r="AC57" s="138">
        <f>(Gender!BU59/'Total Master''s'!AD59)*100</f>
        <v>60.672078699371013</v>
      </c>
      <c r="AD57" s="138">
        <f>(Gender!BV59/'Total Master''s'!AE59)*100</f>
        <v>60.799376771764301</v>
      </c>
      <c r="AE57" s="138">
        <f>(Gender!BW59/'Total Master''s'!AF59)*100</f>
        <v>61.250918839451721</v>
      </c>
      <c r="AF57" s="138">
        <f>(Gender!BX59/'Total Master''s'!AG59)*100</f>
        <v>62.178530123015449</v>
      </c>
      <c r="AG57" s="138">
        <f>(Gender!BY59/'Total Master''s'!AH59)*100</f>
        <v>62.819999198750054</v>
      </c>
      <c r="AH57" s="138">
        <f>(Gender!BZ59/'Total Master''s'!AI59)*100</f>
        <v>62.871899609198564</v>
      </c>
      <c r="AI57" s="138">
        <f>(Gender!CA59/'Total Master''s'!AJ59)*100</f>
        <v>63.303556090018901</v>
      </c>
      <c r="AJ57" s="138">
        <f>(Gender!CB59/'Total Master''s'!AK59)*100</f>
        <v>63.191085822664775</v>
      </c>
      <c r="AK57" s="138">
        <f>(Gender!CC59/'Total Master''s'!AL59)*100</f>
        <v>62.284108751342856</v>
      </c>
      <c r="AL57" s="138">
        <f>(Gender!CD59/'Total Master''s'!AM59)*100</f>
        <v>62.472718137139452</v>
      </c>
      <c r="AM57" s="138">
        <f>(Gender!CE59/'Total Master''s'!AN59)*100</f>
        <v>63.093296045987721</v>
      </c>
      <c r="AN57" s="138">
        <f>(Gender!CF59/'Total Master''s'!AO59)*100</f>
        <v>63.750783699059568</v>
      </c>
      <c r="AO57" s="138">
        <f>(Gender!CG59/'Total Master''s'!AP59)*100</f>
        <v>63.384762445297447</v>
      </c>
      <c r="AP57" s="138">
        <f>(Gender!CH59/'Total Master''s'!AQ59)*100</f>
        <v>63.081570110998697</v>
      </c>
      <c r="AQ57" s="138">
        <f>(Gender!CI59/'Total Master''s'!AR59)*100</f>
        <v>62.491259614424131</v>
      </c>
      <c r="AR57" s="138">
        <f>(Gender!CJ59/'Total Master''s'!AS59)*100</f>
        <v>62.401168424452656</v>
      </c>
      <c r="AS57" s="138">
        <f>(Gender!CK59/'Total Master''s'!AT59)*100</f>
        <v>62.214463840399006</v>
      </c>
    </row>
    <row r="58" spans="1:45" s="141" customFormat="1">
      <c r="A58" s="128" t="s">
        <v>95</v>
      </c>
      <c r="B58" s="138">
        <f>(Gender!AT60/'Total Master''s'!C60)*100</f>
        <v>40.949796472184531</v>
      </c>
      <c r="C58" s="138">
        <f>(Gender!AU60/'Total Master''s'!D60)*100</f>
        <v>40.887888048898176</v>
      </c>
      <c r="D58" s="138">
        <f>(Gender!AV60/'Total Master''s'!E60)*100</f>
        <v>42.558172531214531</v>
      </c>
      <c r="E58" s="138">
        <f>(Gender!AW60/'Total Master''s'!F60)*100</f>
        <v>42.291940909755745</v>
      </c>
      <c r="F58" s="138">
        <f>(Gender!AX60/'Total Master''s'!G60)*100</f>
        <v>43.026726830961472</v>
      </c>
      <c r="G58" s="138">
        <f>(Gender!AY60/'Total Master''s'!H60)*100</f>
        <v>46.2969342059938</v>
      </c>
      <c r="H58" s="138">
        <f>(Gender!AZ60/'Total Master''s'!I60)*100</f>
        <v>46.681091645145528</v>
      </c>
      <c r="I58" s="138">
        <f>(Gender!BA60/'Total Master''s'!J60)*100</f>
        <v>46.141743545734101</v>
      </c>
      <c r="J58" s="138">
        <f>(Gender!BB60/'Total Master''s'!K60)*100</f>
        <v>47.536676155025184</v>
      </c>
      <c r="K58" s="138">
        <f>(Gender!BC60/'Total Master''s'!L60)*100</f>
        <v>48.55954855954856</v>
      </c>
      <c r="L58" s="138">
        <f>(Gender!BD60/'Total Master''s'!M60)*100</f>
        <v>48.851454823889739</v>
      </c>
      <c r="M58" s="138">
        <f>(Gender!BE60/'Total Master''s'!N60)*100</f>
        <v>48.781413711942903</v>
      </c>
      <c r="N58" s="138">
        <f>(Gender!BF60/'Total Master''s'!O60)*100</f>
        <v>49.301115241635692</v>
      </c>
      <c r="O58" s="138">
        <f>(Gender!BG60/'Total Master''s'!P60)*100</f>
        <v>48.498566470499469</v>
      </c>
      <c r="P58" s="138">
        <f>(Gender!BH60/'Total Master''s'!Q60)*100</f>
        <v>47.744014732965006</v>
      </c>
      <c r="Q58" s="138">
        <f>(Gender!BI60/'Total Master''s'!R60)*100</f>
        <v>47.533801646650048</v>
      </c>
      <c r="R58" s="138">
        <f>(Gender!BJ60/'Total Master''s'!S60)*100</f>
        <v>47.900431262767647</v>
      </c>
      <c r="S58" s="138">
        <f>(Gender!BK60/'Total Master''s'!T60)*100</f>
        <v>49.64817420931783</v>
      </c>
      <c r="T58" s="138">
        <f>(Gender!BL60/'Total Master''s'!U60)*100</f>
        <v>49.496048147342471</v>
      </c>
      <c r="U58" s="138">
        <f>(Gender!BM60/'Total Master''s'!V60)*100</f>
        <v>49.564680880235827</v>
      </c>
      <c r="V58" s="138">
        <f>(Gender!BN60/'Total Master''s'!W60)*100</f>
        <v>48.78213345928075</v>
      </c>
      <c r="W58" s="138">
        <f>(Gender!BO60/'Total Master''s'!X60)*100</f>
        <v>52.059445262955606</v>
      </c>
      <c r="X58" s="138">
        <f>(Gender!BP60/'Total Master''s'!Y60)*100</f>
        <v>52.867033552281192</v>
      </c>
      <c r="Y58" s="138">
        <f>(Gender!BQ60/'Total Master''s'!Z60)*100</f>
        <v>52.745198028216898</v>
      </c>
      <c r="Z58" s="138">
        <f>(Gender!BR60/'Total Master''s'!AA60)*100</f>
        <v>53.088966465672272</v>
      </c>
      <c r="AA58" s="138">
        <f>(Gender!BS60/'Total Master''s'!AB60)*100</f>
        <v>53.674186484697252</v>
      </c>
      <c r="AB58" s="138">
        <f>(Gender!BT60/'Total Master''s'!AC60)*100</f>
        <v>55.800481878300104</v>
      </c>
      <c r="AC58" s="138">
        <f>(Gender!BU60/'Total Master''s'!AD60)*100</f>
        <v>55.529329047810364</v>
      </c>
      <c r="AD58" s="138">
        <f>(Gender!BV60/'Total Master''s'!AE60)*100</f>
        <v>55.728464058585473</v>
      </c>
      <c r="AE58" s="138">
        <f>(Gender!BW60/'Total Master''s'!AF60)*100</f>
        <v>56.152852838490595</v>
      </c>
      <c r="AF58" s="138">
        <f>(Gender!BX60/'Total Master''s'!AG60)*100</f>
        <v>56.135164635255599</v>
      </c>
      <c r="AG58" s="138">
        <f>(Gender!BY60/'Total Master''s'!AH60)*100</f>
        <v>57.728848664955649</v>
      </c>
      <c r="AH58" s="138">
        <f>(Gender!BZ60/'Total Master''s'!AI60)*100</f>
        <v>57.773371837420804</v>
      </c>
      <c r="AI58" s="138">
        <f>(Gender!CA60/'Total Master''s'!AJ60)*100</f>
        <v>57.816790082369586</v>
      </c>
      <c r="AJ58" s="138">
        <f>(Gender!CB60/'Total Master''s'!AK60)*100</f>
        <v>58.661746804625679</v>
      </c>
      <c r="AK58" s="138">
        <f>(Gender!CC60/'Total Master''s'!AL60)*100</f>
        <v>58.487712665406434</v>
      </c>
      <c r="AL58" s="138">
        <f>(Gender!CD60/'Total Master''s'!AM60)*100</f>
        <v>59.01496756423731</v>
      </c>
      <c r="AM58" s="138">
        <f>(Gender!CE60/'Total Master''s'!AN60)*100</f>
        <v>60.333841252251005</v>
      </c>
      <c r="AN58" s="138">
        <f>(Gender!CF60/'Total Master''s'!AO60)*100</f>
        <v>60.105600855500597</v>
      </c>
      <c r="AO58" s="138">
        <f>(Gender!CG60/'Total Master''s'!AP60)*100</f>
        <v>60.743762749097755</v>
      </c>
      <c r="AP58" s="138">
        <f>(Gender!CH60/'Total Master''s'!AQ60)*100</f>
        <v>60.315245784849203</v>
      </c>
      <c r="AQ58" s="138">
        <f>(Gender!CI60/'Total Master''s'!AR60)*100</f>
        <v>61.008996001776985</v>
      </c>
      <c r="AR58" s="138">
        <f>(Gender!CJ60/'Total Master''s'!AS60)*100</f>
        <v>60.875313300465471</v>
      </c>
      <c r="AS58" s="138">
        <f>(Gender!CK60/'Total Master''s'!AT60)*100</f>
        <v>61.033469701545805</v>
      </c>
    </row>
    <row r="59" spans="1:45">
      <c r="A59" s="128" t="s">
        <v>96</v>
      </c>
      <c r="B59" s="138">
        <f>(Gender!AT61/'Total Master''s'!C61)*100</f>
        <v>47.574626865671647</v>
      </c>
      <c r="C59" s="138">
        <f>(Gender!AU61/'Total Master''s'!D61)*100</f>
        <v>44.325153374233125</v>
      </c>
      <c r="D59" s="138">
        <f>(Gender!AV61/'Total Master''s'!E61)*100</f>
        <v>43.842034805890229</v>
      </c>
      <c r="E59" s="138">
        <f>(Gender!AW61/'Total Master''s'!F61)*100</f>
        <v>47.558968732857927</v>
      </c>
      <c r="F59" s="138">
        <f>(Gender!AX61/'Total Master''s'!G61)*100</f>
        <v>51.365187713310576</v>
      </c>
      <c r="G59" s="138">
        <f>(Gender!AY61/'Total Master''s'!H61)*100</f>
        <v>50.643536653609402</v>
      </c>
      <c r="H59" s="138">
        <f>(Gender!AZ61/'Total Master''s'!I61)*100</f>
        <v>49.683362118595284</v>
      </c>
      <c r="I59" s="138">
        <f>(Gender!BA61/'Total Master''s'!J61)*100</f>
        <v>50.185676392572944</v>
      </c>
      <c r="J59" s="138">
        <f>(Gender!BB61/'Total Master''s'!K61)*100</f>
        <v>50.314861460957182</v>
      </c>
      <c r="K59" s="138">
        <f>(Gender!BC61/'Total Master''s'!L61)*100</f>
        <v>50.763358778625957</v>
      </c>
      <c r="L59" s="138">
        <f>(Gender!BD61/'Total Master''s'!M61)*100</f>
        <v>49.524456521739133</v>
      </c>
      <c r="M59" s="138">
        <f>(Gender!BE61/'Total Master''s'!N61)*100</f>
        <v>49.343832020997375</v>
      </c>
      <c r="N59" s="138">
        <f>(Gender!BF61/'Total Master''s'!O61)*100</f>
        <v>52.208305866842451</v>
      </c>
      <c r="O59" s="138">
        <f>(Gender!BG61/'Total Master''s'!P61)*100</f>
        <v>47.096362476068919</v>
      </c>
      <c r="P59" s="138">
        <f>(Gender!BH61/'Total Master''s'!Q61)*100</f>
        <v>44.750656167979002</v>
      </c>
      <c r="Q59" s="138">
        <f>(Gender!BI61/'Total Master''s'!R61)*100</f>
        <v>46.469833119383821</v>
      </c>
      <c r="R59" s="138">
        <f>(Gender!BJ61/'Total Master''s'!S61)*100</f>
        <v>45.009535918626824</v>
      </c>
      <c r="S59" s="138">
        <f>(Gender!BK61/'Total Master''s'!T61)*100</f>
        <v>48.139534883720927</v>
      </c>
      <c r="T59" s="138">
        <f>(Gender!BL61/'Total Master''s'!U61)*100</f>
        <v>45.969230769230769</v>
      </c>
      <c r="U59" s="138">
        <f>(Gender!BM61/'Total Master''s'!V61)*100</f>
        <v>46.279594137542276</v>
      </c>
      <c r="V59" s="138">
        <f>(Gender!BN61/'Total Master''s'!W61)*100</f>
        <v>49.080779944289695</v>
      </c>
      <c r="W59" s="138">
        <f>(Gender!BO61/'Total Master''s'!X61)*100</f>
        <v>50.100806451612897</v>
      </c>
      <c r="X59" s="138">
        <f>(Gender!BP61/'Total Master''s'!Y61)*100</f>
        <v>53.778213935230625</v>
      </c>
      <c r="Y59" s="138">
        <f>(Gender!BQ61/'Total Master''s'!Z61)*100</f>
        <v>54.444444444444443</v>
      </c>
      <c r="Z59" s="138">
        <f>(Gender!BR61/'Total Master''s'!AA61)*100</f>
        <v>58.74195146111937</v>
      </c>
      <c r="AA59" s="138">
        <f>(Gender!BS61/'Total Master''s'!AB61)*100</f>
        <v>55.952964233219014</v>
      </c>
      <c r="AB59" s="138">
        <f>(Gender!BT61/'Total Master''s'!AC61)*100</f>
        <v>58.15</v>
      </c>
      <c r="AC59" s="138">
        <f>(Gender!BU61/'Total Master''s'!AD61)*100</f>
        <v>57.883708748035623</v>
      </c>
      <c r="AD59" s="138">
        <f>(Gender!BV61/'Total Master''s'!AE61)*100</f>
        <v>57.283566614826334</v>
      </c>
      <c r="AE59" s="138">
        <f>(Gender!BW61/'Total Master''s'!AF61)*100</f>
        <v>57.466529351184349</v>
      </c>
      <c r="AF59" s="138">
        <f>(Gender!BX61/'Total Master''s'!AG61)*100</f>
        <v>58.637339055793994</v>
      </c>
      <c r="AG59" s="138">
        <f>(Gender!BY61/'Total Master''s'!AH61)*100</f>
        <v>55.912863070539423</v>
      </c>
      <c r="AH59" s="138">
        <f>(Gender!BZ61/'Total Master''s'!AI61)*100</f>
        <v>58.826358826358828</v>
      </c>
      <c r="AI59" s="138">
        <f>(Gender!CA61/'Total Master''s'!AJ61)*100</f>
        <v>57.490272373540854</v>
      </c>
      <c r="AJ59" s="138">
        <f>(Gender!CB61/'Total Master''s'!AK61)*100</f>
        <v>58.12989405803777</v>
      </c>
      <c r="AK59" s="138">
        <f>(Gender!CC61/'Total Master''s'!AL61)*100</f>
        <v>59.694107062528111</v>
      </c>
      <c r="AL59" s="138">
        <f>(Gender!CD61/'Total Master''s'!AM61)*100</f>
        <v>60.251630941286116</v>
      </c>
      <c r="AM59" s="138">
        <f>(Gender!CE61/'Total Master''s'!AN61)*100</f>
        <v>59.058295964125563</v>
      </c>
      <c r="AN59" s="138">
        <f>(Gender!CF61/'Total Master''s'!AO61)*100</f>
        <v>58.928571428571431</v>
      </c>
      <c r="AO59" s="138">
        <f>(Gender!CG61/'Total Master''s'!AP61)*100</f>
        <v>57.894736842105267</v>
      </c>
      <c r="AP59" s="138">
        <f>(Gender!CH61/'Total Master''s'!AQ61)*100</f>
        <v>58.096828046744577</v>
      </c>
      <c r="AQ59" s="138">
        <f>(Gender!CI61/'Total Master''s'!AR61)*100</f>
        <v>60.825147347740668</v>
      </c>
      <c r="AR59" s="138">
        <f>(Gender!CJ61/'Total Master''s'!AS61)*100</f>
        <v>57.638347622759156</v>
      </c>
      <c r="AS59" s="138">
        <f>(Gender!CK61/'Total Master''s'!AT61)*100</f>
        <v>57.8372268274303</v>
      </c>
    </row>
    <row r="60" spans="1:45">
      <c r="A60" s="129" t="s">
        <v>97</v>
      </c>
      <c r="B60" s="139">
        <f>(Gender!AT62/'Total Master''s'!C62)*100</f>
        <v>53.398058252427184</v>
      </c>
      <c r="C60" s="139">
        <f>(Gender!AU62/'Total Master''s'!D62)*100</f>
        <v>53.26704545454546</v>
      </c>
      <c r="D60" s="139">
        <f>(Gender!AV62/'Total Master''s'!E62)*100</f>
        <v>57.209847596717466</v>
      </c>
      <c r="E60" s="139">
        <f>(Gender!AW62/'Total Master''s'!F62)*100</f>
        <v>53.650442477876105</v>
      </c>
      <c r="F60" s="139">
        <f>(Gender!AX62/'Total Master''s'!G62)*100</f>
        <v>54.043392504930964</v>
      </c>
      <c r="G60" s="139">
        <f>(Gender!AY62/'Total Master''s'!H62)*100</f>
        <v>52.356020942408378</v>
      </c>
      <c r="H60" s="139">
        <f>(Gender!AZ62/'Total Master''s'!I62)*100</f>
        <v>54.895666131621191</v>
      </c>
      <c r="I60" s="139">
        <f>(Gender!BA62/'Total Master''s'!J62)*100</f>
        <v>55.505415162454874</v>
      </c>
      <c r="J60" s="139">
        <f>(Gender!BB62/'Total Master''s'!K62)*100</f>
        <v>60.287891617273495</v>
      </c>
      <c r="K60" s="139">
        <f>(Gender!BC62/'Total Master''s'!L62)*100</f>
        <v>61.642675698560545</v>
      </c>
      <c r="L60" s="139">
        <f>(Gender!BD62/'Total Master''s'!M62)*100</f>
        <v>63.573883161512022</v>
      </c>
      <c r="M60" s="139">
        <f>(Gender!BE62/'Total Master''s'!N62)*100</f>
        <v>62.760416666666664</v>
      </c>
      <c r="N60" s="139">
        <f>(Gender!BF62/'Total Master''s'!O62)*100</f>
        <v>63.930131004366807</v>
      </c>
      <c r="O60" s="139">
        <f>(Gender!BG62/'Total Master''s'!P62)*100</f>
        <v>59.601873536299763</v>
      </c>
      <c r="P60" s="139">
        <f>(Gender!BH62/'Total Master''s'!Q62)*100</f>
        <v>56.772673733804481</v>
      </c>
      <c r="Q60" s="139">
        <f>(Gender!BI62/'Total Master''s'!R62)*100</f>
        <v>61.625282167042897</v>
      </c>
      <c r="R60" s="139">
        <f>(Gender!BJ62/'Total Master''s'!S62)*100</f>
        <v>57.919075144508668</v>
      </c>
      <c r="S60" s="139">
        <f>(Gender!BK62/'Total Master''s'!T62)*100</f>
        <v>60.073260073260073</v>
      </c>
      <c r="T60" s="139">
        <f>(Gender!BL62/'Total Master''s'!U62)*100</f>
        <v>62.048192771084345</v>
      </c>
      <c r="U60" s="139">
        <f>(Gender!BM62/'Total Master''s'!V62)*100</f>
        <v>64.581231079717455</v>
      </c>
      <c r="V60" s="139">
        <f>(Gender!BN62/'Total Master''s'!W62)*100</f>
        <v>65.668662674650705</v>
      </c>
      <c r="W60" s="139">
        <f>(Gender!BO62/'Total Master''s'!X62)*100</f>
        <v>62.664165103189497</v>
      </c>
      <c r="X60" s="139">
        <f>(Gender!BP62/'Total Master''s'!Y62)*100</f>
        <v>67.518939393939391</v>
      </c>
      <c r="Y60" s="139">
        <f>(Gender!BQ62/'Total Master''s'!Z62)*100</f>
        <v>65.548504079782404</v>
      </c>
      <c r="Z60" s="139">
        <f>(Gender!BR62/'Total Master''s'!AA62)*100</f>
        <v>65.161839863713794</v>
      </c>
      <c r="AA60" s="139">
        <f>(Gender!BS62/'Total Master''s'!AB62)*100</f>
        <v>68.8359303391384</v>
      </c>
      <c r="AB60" s="139">
        <f>(Gender!BT62/'Total Master''s'!AC62)*100</f>
        <v>66.615027110766846</v>
      </c>
      <c r="AC60" s="139">
        <f>(Gender!BU62/'Total Master''s'!AD62)*100</f>
        <v>67.753001715265867</v>
      </c>
      <c r="AD60" s="139">
        <f>(Gender!BV62/'Total Master''s'!AE62)*100</f>
        <v>68.079470198675494</v>
      </c>
      <c r="AE60" s="139">
        <f>(Gender!BW62/'Total Master''s'!AF62)*100</f>
        <v>67.808708065667375</v>
      </c>
      <c r="AF60" s="139">
        <f>(Gender!BX62/'Total Master''s'!AG62)*100</f>
        <v>67.859600825877493</v>
      </c>
      <c r="AG60" s="139">
        <f>(Gender!BY62/'Total Master''s'!AH62)*100</f>
        <v>67.501842299189391</v>
      </c>
      <c r="AH60" s="139">
        <f>(Gender!BZ62/'Total Master''s'!AI62)*100</f>
        <v>68.695652173913047</v>
      </c>
      <c r="AI60" s="139">
        <f>(Gender!CA62/'Total Master''s'!AJ62)*100</f>
        <v>64.941338854382337</v>
      </c>
      <c r="AJ60" s="139">
        <f>(Gender!CB62/'Total Master''s'!AK62)*100</f>
        <v>63.364993215739482</v>
      </c>
      <c r="AK60" s="139">
        <f>(Gender!CC62/'Total Master''s'!AL62)*100</f>
        <v>60.510688836104507</v>
      </c>
      <c r="AL60" s="139">
        <f>(Gender!CD62/'Total Master''s'!AM62)*100</f>
        <v>60.213243546576876</v>
      </c>
      <c r="AM60" s="139">
        <f>(Gender!CE62/'Total Master''s'!AN62)*100</f>
        <v>57.508969759097894</v>
      </c>
      <c r="AN60" s="139">
        <f>(Gender!CF62/'Total Master''s'!AO62)*100</f>
        <v>56.733275412684627</v>
      </c>
      <c r="AO60" s="139">
        <f>(Gender!CG62/'Total Master''s'!AP62)*100</f>
        <v>54.086317722681358</v>
      </c>
      <c r="AP60" s="139">
        <f>(Gender!CH62/'Total Master''s'!AQ62)*100</f>
        <v>57.62032085561497</v>
      </c>
      <c r="AQ60" s="139">
        <f>(Gender!CI62/'Total Master''s'!AR62)*100</f>
        <v>56.373580143037437</v>
      </c>
      <c r="AR60" s="139">
        <f>(Gender!CJ62/'Total Master''s'!AS62)*100</f>
        <v>58.852061438965244</v>
      </c>
      <c r="AS60" s="139">
        <f>(Gender!CK62/'Total Master''s'!AT62)*100</f>
        <v>54.434346599811967</v>
      </c>
    </row>
    <row r="61" spans="1:45">
      <c r="A61" s="130" t="s">
        <v>98</v>
      </c>
      <c r="B61" s="140">
        <f>(Gender!AT63/'Total Master''s'!C63)*100</f>
        <v>32.79372087319107</v>
      </c>
      <c r="C61" s="140">
        <f>(Gender!AU63/'Total Master''s'!D63)*100</f>
        <v>32.858376511226254</v>
      </c>
      <c r="D61" s="140">
        <f>(Gender!AV63/'Total Master''s'!E63)*100</f>
        <v>35.340593636557763</v>
      </c>
      <c r="E61" s="140">
        <f>(Gender!AW63/'Total Master''s'!F63)*100</f>
        <v>35.650056200824274</v>
      </c>
      <c r="F61" s="140">
        <f>(Gender!AX63/'Total Master''s'!G63)*100</f>
        <v>37.099661826138849</v>
      </c>
      <c r="G61" s="140">
        <f>(Gender!AY63/'Total Master''s'!H63)*100</f>
        <v>40.493096646942803</v>
      </c>
      <c r="H61" s="140">
        <f>(Gender!AZ63/'Total Master''s'!I63)*100</f>
        <v>41.200951248513675</v>
      </c>
      <c r="I61" s="140">
        <f>(Gender!BA63/'Total Master''s'!J63)*100</f>
        <v>41.393070923272269</v>
      </c>
      <c r="J61" s="140">
        <f>(Gender!BB63/'Total Master''s'!K63)*100</f>
        <v>41.108383023500529</v>
      </c>
      <c r="K61" s="140">
        <f>(Gender!BC63/'Total Master''s'!L63)*100</f>
        <v>44.148833622517834</v>
      </c>
      <c r="L61" s="140">
        <f>(Gender!BD63/'Total Master''s'!M63)*100</f>
        <v>43.786443148688051</v>
      </c>
      <c r="M61" s="140">
        <f>(Gender!BE63/'Total Master''s'!N63)*100</f>
        <v>45.798319327731093</v>
      </c>
      <c r="N61" s="140">
        <f>(Gender!BF63/'Total Master''s'!O63)*100</f>
        <v>46.749059645351956</v>
      </c>
      <c r="O61" s="140">
        <f>(Gender!BG63/'Total Master''s'!P63)*100</f>
        <v>46.248864668483201</v>
      </c>
      <c r="P61" s="140">
        <f>(Gender!BH63/'Total Master''s'!Q63)*100</f>
        <v>48.041117145073706</v>
      </c>
      <c r="Q61" s="140">
        <f>(Gender!BI63/'Total Master''s'!R63)*100</f>
        <v>46.348531684698607</v>
      </c>
      <c r="R61" s="140">
        <f>(Gender!BJ63/'Total Master''s'!S63)*100</f>
        <v>46.650264950794849</v>
      </c>
      <c r="S61" s="140">
        <f>(Gender!BK63/'Total Master''s'!T63)*100</f>
        <v>46.997234294745162</v>
      </c>
      <c r="T61" s="140">
        <f>(Gender!BL63/'Total Master''s'!U63)*100</f>
        <v>47.619976589933671</v>
      </c>
      <c r="U61" s="140">
        <f>(Gender!BM63/'Total Master''s'!V63)*100</f>
        <v>47.76498145617802</v>
      </c>
      <c r="V61" s="140">
        <f>(Gender!BN63/'Total Master''s'!W63)*100</f>
        <v>49.091974223784419</v>
      </c>
      <c r="W61" s="140">
        <f>(Gender!BO63/'Total Master''s'!X63)*100</f>
        <v>48.94797245600612</v>
      </c>
      <c r="X61" s="140">
        <f>(Gender!BP63/'Total Master''s'!Y63)*100</f>
        <v>50.100973012667524</v>
      </c>
      <c r="Y61" s="140">
        <f>(Gender!BQ63/'Total Master''s'!Z63)*100</f>
        <v>48.819937283380092</v>
      </c>
      <c r="Z61" s="140">
        <f>(Gender!BR63/'Total Master''s'!AA63)*100</f>
        <v>50.435747108223737</v>
      </c>
      <c r="AA61" s="140">
        <f>(Gender!BS63/'Total Master''s'!AB63)*100</f>
        <v>50.793415393741661</v>
      </c>
      <c r="AB61" s="140">
        <f>(Gender!BT63/'Total Master''s'!AC63)*100</f>
        <v>49.945799457994575</v>
      </c>
      <c r="AC61" s="140">
        <f>(Gender!BU63/'Total Master''s'!AD63)*100</f>
        <v>53.893695920889982</v>
      </c>
      <c r="AD61" s="140">
        <f>(Gender!BV63/'Total Master''s'!AE63)*100</f>
        <v>53.040251213245796</v>
      </c>
      <c r="AE61" s="140">
        <f>(Gender!BW63/'Total Master''s'!AF63)*100</f>
        <v>53.258790642930705</v>
      </c>
      <c r="AF61" s="140">
        <f>(Gender!BX63/'Total Master''s'!AG63)*100</f>
        <v>54.379768296128852</v>
      </c>
      <c r="AG61" s="140">
        <f>(Gender!BY63/'Total Master''s'!AH63)*100</f>
        <v>53.610621866955697</v>
      </c>
      <c r="AH61" s="140">
        <f>(Gender!BZ63/'Total Master''s'!AI63)*100</f>
        <v>55.296034763715376</v>
      </c>
      <c r="AI61" s="140">
        <f>(Gender!CA63/'Total Master''s'!AJ63)*100</f>
        <v>55.160857908847184</v>
      </c>
      <c r="AJ61" s="140">
        <f>(Gender!CB63/'Total Master''s'!AK63)*100</f>
        <v>55.987246102975909</v>
      </c>
      <c r="AK61" s="140">
        <f>(Gender!CC63/'Total Master''s'!AL63)*100</f>
        <v>56.876757263355202</v>
      </c>
      <c r="AL61" s="140">
        <f>(Gender!CD63/'Total Master''s'!AM63)*100</f>
        <v>58.16337541815043</v>
      </c>
      <c r="AM61" s="140">
        <f>(Gender!CE63/'Total Master''s'!AN63)*100</f>
        <v>59.125910509885536</v>
      </c>
      <c r="AN61" s="140">
        <f>(Gender!CF63/'Total Master''s'!AO63)*100</f>
        <v>59.646334194317504</v>
      </c>
      <c r="AO61" s="140">
        <f>(Gender!CG63/'Total Master''s'!AP63)*100</f>
        <v>59.582490343939675</v>
      </c>
      <c r="AP61" s="140">
        <f>(Gender!CH63/'Total Master''s'!AQ63)*100</f>
        <v>56.709813032415092</v>
      </c>
      <c r="AQ61" s="140">
        <f>(Gender!CI63/'Total Master''s'!AR63)*100</f>
        <v>57.047455226145907</v>
      </c>
      <c r="AR61" s="140">
        <f>(Gender!CJ63/'Total Master''s'!AS63)*100</f>
        <v>57.152648585136589</v>
      </c>
      <c r="AS61" s="140">
        <f>(Gender!CK63/'Total Master''s'!AT63)*100</f>
        <v>57.444292860391087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56</vt:lpstr>
      <vt:lpstr>Total Master's</vt:lpstr>
      <vt:lpstr>Public</vt:lpstr>
      <vt:lpstr>Gender</vt:lpstr>
      <vt:lpstr>All Races</vt:lpstr>
      <vt:lpstr>Black</vt:lpstr>
      <vt:lpstr>Hispanic &amp; Foreign</vt:lpstr>
      <vt:lpstr>Women as a % of total</vt:lpstr>
      <vt:lpstr>'Table 56'!Print_Area</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2013-04-10T13:54:34Z</cp:lastPrinted>
  <dcterms:created xsi:type="dcterms:W3CDTF">2011-05-24T13:29:37Z</dcterms:created>
  <dcterms:modified xsi:type="dcterms:W3CDTF">2015-05-11T01:24:42Z</dcterms:modified>
</cp:coreProperties>
</file>